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slicers/slicer4.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slicers/slicer5.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drawings/drawing9.xml" ContentType="application/vnd.openxmlformats-officedocument.drawing+xml"/>
  <Override PartName="/xl/tables/table1.xml" ContentType="application/vnd.openxmlformats-officedocument.spreadsheetml.table+xml"/>
  <Override PartName="/xl/slicers/slicer6.xml" ContentType="application/vnd.ms-excel.slicer+xml"/>
  <Override PartName="/xl/pivotTables/pivotTable2.xml" ContentType="application/vnd.openxmlformats-officedocument.spreadsheetml.pivotTable+xml"/>
  <Override PartName="/xl/drawings/drawing10.xml" ContentType="application/vnd.openxmlformats-officedocument.drawing+xml"/>
  <Override PartName="/xl/slicers/slicer7.xml" ContentType="application/vnd.ms-excel.slicer+xml"/>
  <Override PartName="/xl/pivotTables/pivotTable3.xml" ContentType="application/vnd.openxmlformats-officedocument.spreadsheetml.pivotTable+xml"/>
  <Override PartName="/xl/drawings/drawing11.xml" ContentType="application/vnd.openxmlformats-officedocument.drawing+xml"/>
  <Override PartName="/xl/slicers/slicer8.xml" ContentType="application/vnd.ms-excel.slicer+xml"/>
  <Override PartName="/xl/pivotTables/pivotTable4.xml" ContentType="application/vnd.openxmlformats-officedocument.spreadsheetml.pivotTable+xml"/>
  <Override PartName="/xl/drawings/drawing12.xml" ContentType="application/vnd.openxmlformats-officedocument.drawing+xml"/>
  <Override PartName="/xl/slicers/slicer9.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pivotTables/pivotTable5.xml" ContentType="application/vnd.openxmlformats-officedocument.spreadsheetml.pivotTable+xml"/>
  <Override PartName="/xl/drawings/drawing13.xml" ContentType="application/vnd.openxmlformats-officedocument.drawing+xml"/>
  <Override PartName="/xl/pivotTables/pivotTable6.xml" ContentType="application/vnd.openxmlformats-officedocument.spreadsheetml.pivotTable+xml"/>
  <Override PartName="/xl/drawings/drawing14.xml" ContentType="application/vnd.openxmlformats-officedocument.drawing+xml"/>
  <Override PartName="/xl/slicers/slicer10.xml" ContentType="application/vnd.ms-excel.slicer+xml"/>
  <Override PartName="/xl/pivotTables/pivotTable7.xml" ContentType="application/vnd.openxmlformats-officedocument.spreadsheetml.pivotTable+xml"/>
  <Override PartName="/xl/drawings/drawing15.xml" ContentType="application/vnd.openxmlformats-officedocument.drawing+xml"/>
  <Override PartName="/xl/pivotTables/pivotTable8.xml" ContentType="application/vnd.openxmlformats-officedocument.spreadsheetml.pivotTable+xml"/>
  <Override PartName="/xl/drawings/drawing16.xml" ContentType="application/vnd.openxmlformats-officedocument.drawing+xml"/>
  <Override PartName="/xl/pivotTables/pivotTable9.xml" ContentType="application/vnd.openxmlformats-officedocument.spreadsheetml.pivotTable+xml"/>
  <Override PartName="/xl/drawings/drawing17.xml" ContentType="application/vnd.openxmlformats-officedocument.drawing+xml"/>
  <Override PartName="/xl/pivotTables/pivotTable10.xml" ContentType="application/vnd.openxmlformats-officedocument.spreadsheetml.pivotTable+xml"/>
  <Override PartName="/xl/drawings/drawing18.xml" ContentType="application/vnd.openxmlformats-officedocument.drawing+xml"/>
  <Override PartName="/xl/pivotTables/pivotTable11.xml" ContentType="application/vnd.openxmlformats-officedocument.spreadsheetml.pivotTable+xml"/>
  <Override PartName="/xl/drawings/drawing19.xml" ContentType="application/vnd.openxmlformats-officedocument.drawing+xml"/>
  <Override PartName="/xl/slicers/slicer11.xml" ContentType="application/vnd.ms-excel.slicer+xml"/>
  <Override PartName="/xl/pivotTables/pivotTable12.xml" ContentType="application/vnd.openxmlformats-officedocument.spreadsheetml.pivotTable+xml"/>
  <Override PartName="/xl/drawings/drawing20.xml" ContentType="application/vnd.openxmlformats-officedocument.drawing+xml"/>
  <Override PartName="/xl/slicers/slicer12.xml" ContentType="application/vnd.ms-excel.slicer+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1.xml" ContentType="application/vnd.openxmlformats-officedocument.spreadsheetml.query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1.xml" ContentType="application/vnd.openxmlformats-officedocument.drawing+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codeName="ThisWorkbook" hidePivotFieldList="1"/>
  <mc:AlternateContent xmlns:mc="http://schemas.openxmlformats.org/markup-compatibility/2006">
    <mc:Choice Requires="x15">
      <x15ac:absPath xmlns:x15ac="http://schemas.microsoft.com/office/spreadsheetml/2010/11/ac" url="\\ad.utwente.nl\SU\General\4. Personal Development\19. Activismemonitor\2023\"/>
    </mc:Choice>
  </mc:AlternateContent>
  <xr:revisionPtr revIDLastSave="0" documentId="13_ncr:1_{DCD7F859-E176-4009-B0A5-4D2DB5AFE513}" xr6:coauthVersionLast="47" xr6:coauthVersionMax="47" xr10:uidLastSave="{00000000-0000-0000-0000-000000000000}"/>
  <workbookProtection lockStructure="1"/>
  <bookViews>
    <workbookView xWindow="-108" yWindow="-108" windowWidth="23256" windowHeight="12456" tabRatio="1000" xr2:uid="{8FD6DEFE-FB8A-44F6-8EE7-DE2AB656DCD5}"/>
  </bookViews>
  <sheets>
    <sheet name="Main Dashboard" sheetId="42" r:id="rId1"/>
    <sheet name="Reading Guide" sheetId="52" r:id="rId2"/>
    <sheet name="Conclusions" sheetId="54" r:id="rId3"/>
    <sheet name="Response Rate" sheetId="43" r:id="rId4"/>
    <sheet name="Active members" sheetId="45" r:id="rId5"/>
    <sheet name="Internationals" sheetId="46" r:id="rId6"/>
    <sheet name="Committees" sheetId="44" r:id="rId7"/>
    <sheet name="Covid-19 Influence" sheetId="47" state="veryHidden" r:id="rId8"/>
    <sheet name="Response Rate sheet" sheetId="16" state="veryHidden" r:id="rId9"/>
    <sheet name="Active members sheet" sheetId="18" state="veryHidden" r:id="rId10"/>
    <sheet name=" International sheet" sheetId="28" state="veryHidden" r:id="rId11"/>
    <sheet name=" Amount of Committees" sheetId="36" state="veryHidden" r:id="rId12"/>
    <sheet name="General2023" sheetId="61" state="veryHidden" r:id="rId13"/>
    <sheet name="Committee2023" sheetId="62" state="veryHidden" r:id="rId14"/>
    <sheet name="Division Study Year Committees" sheetId="32" state="veryHidden" r:id="rId15"/>
    <sheet name="Covid-19 Influence sheet" sheetId="37" state="veryHidden" r:id="rId16"/>
    <sheet name="Pivot Table Background" sheetId="22" state="veryHidden" r:id="rId17"/>
    <sheet name="Pivot Table Internationals " sheetId="29" state="veryHidden" r:id="rId18"/>
    <sheet name="Pivot Table Committees Year" sheetId="35" state="veryHidden" r:id="rId19"/>
    <sheet name="Pivot Table Covid Influence" sheetId="38" state="veryHidden" r:id="rId20"/>
    <sheet name="Distribution" sheetId="25" state="veryHidden" r:id="rId21"/>
    <sheet name="Amount of Internationals" sheetId="49" state="veryHidden" r:id="rId22"/>
    <sheet name="Data Retrieved 2021" sheetId="19" state="veryHidden" r:id="rId23"/>
    <sheet name="General2021" sheetId="41" state="veryHidden" r:id="rId24"/>
    <sheet name="Data Retrieved 2023" sheetId="63" state="veryHidden" r:id="rId25"/>
    <sheet name="Comittee2021" sheetId="5" state="veryHidden" r:id="rId26"/>
    <sheet name="Data Retrieved 2022" sheetId="57" state="veryHidden" r:id="rId27"/>
    <sheet name="General2022" sheetId="55" state="veryHidden" r:id="rId28"/>
    <sheet name="Committee2022" sheetId="56" state="veryHidden" r:id="rId29"/>
    <sheet name="JarenCombined" sheetId="59" state="veryHidden" r:id="rId30"/>
    <sheet name="Jaren vergelijken" sheetId="58" state="veryHidden" r:id="rId31"/>
    <sheet name="Sheet1" sheetId="48" state="veryHidden" r:id="rId32"/>
  </sheets>
  <definedNames>
    <definedName name="_xlcn.WorksheetConnection_AM2022Jarenvergelijking.xlsxCombined202120221" hidden="1">Combined20212022[]</definedName>
    <definedName name="_xlcn.WorksheetConnection_AM2022Jarenvergelijking.xlsxData20211" hidden="1">Data2021[]</definedName>
    <definedName name="_xlcn.WorksheetConnection_AM2022Jarenvergelijking.xlsxData20221" hidden="1">Data2022[]</definedName>
    <definedName name="ExternalData_1" localSheetId="29" hidden="1">JarenCombined!$A$1:$AL$279</definedName>
    <definedName name="Slicer_covid_impact">#N/A</definedName>
    <definedName name="Slicer_Interval_number_of_members">#N/A</definedName>
    <definedName name="Slicer_Interval_number_of_members1">#N/A</definedName>
    <definedName name="Slicer_Interval_number_of_members2">#N/A</definedName>
    <definedName name="Slicer_Interval_number_of_members3">#N/A</definedName>
    <definedName name="Slicer_Interval_number_of_members4">#N/A</definedName>
    <definedName name="Slicer_Interval_number_of_members5">#N/A</definedName>
    <definedName name="Slicer_Interval_number_of_members6">#N/A</definedName>
    <definedName name="Slicer_organisation_type">#N/A</definedName>
    <definedName name="Slicer_Sector">#N/A</definedName>
    <definedName name="Slicer_sector1">#N/A</definedName>
    <definedName name="Slicer_Sector10">#N/A</definedName>
    <definedName name="Slicer_Sector2">#N/A</definedName>
    <definedName name="Slicer_Sector3">#N/A</definedName>
    <definedName name="Slicer_Sector4">#N/A</definedName>
    <definedName name="Slicer_Sector5">#N/A</definedName>
    <definedName name="Slicer_Sector6">#N/A</definedName>
    <definedName name="Slicer_Sector7">#N/A</definedName>
    <definedName name="Slicer_Sector8">#N/A</definedName>
    <definedName name="Slicer_Sector9">#N/A</definedName>
  </definedNames>
  <calcPr calcId="191029"/>
  <pivotCaches>
    <pivotCache cacheId="49" r:id="rId33"/>
    <pivotCache cacheId="50" r:id="rId34"/>
    <pivotCache cacheId="51" r:id="rId35"/>
    <pivotCache cacheId="52" r:id="rId36"/>
    <pivotCache cacheId="53" r:id="rId37"/>
    <pivotCache cacheId="54" r:id="rId38"/>
    <pivotCache cacheId="55" r:id="rId39"/>
  </pivotCaches>
  <extLst>
    <ext xmlns:x14="http://schemas.microsoft.com/office/spreadsheetml/2009/9/main" uri="{BBE1A952-AA13-448e-AADC-164F8A28A991}">
      <x14:slicerCaches>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9"/>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2022" name="Data2022" connection="WorksheetConnection_AM 2022 Jaren vergelijking.xlsx!Data2022"/>
          <x15:modelTable id="Data2021" name="Data2021" connection="WorksheetConnection_AM 2022 Jaren vergelijking.xlsx!Data2021"/>
          <x15:modelTable id="Combined20212022" name="Combined20212022" connection="WorksheetConnection_AM 2022 Jaren vergelijking.xlsx!Combined2021202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16" l="1"/>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2" i="16"/>
  <c r="A2" i="16" l="1"/>
  <c r="A3" i="16"/>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C140" i="63"/>
  <c r="A140" i="63"/>
  <c r="N140" i="63" s="1"/>
  <c r="C139" i="63"/>
  <c r="B139" i="63"/>
  <c r="A139" i="63"/>
  <c r="E139" i="63" s="1"/>
  <c r="C138" i="63"/>
  <c r="A138" i="63"/>
  <c r="C137" i="63"/>
  <c r="B137" i="63"/>
  <c r="A137" i="63"/>
  <c r="C136" i="63"/>
  <c r="A136" i="63"/>
  <c r="Z136" i="63" s="1"/>
  <c r="C135" i="63"/>
  <c r="B135" i="63"/>
  <c r="A135" i="63"/>
  <c r="C134" i="63"/>
  <c r="B134" i="63"/>
  <c r="A134" i="63"/>
  <c r="J134" i="63" s="1"/>
  <c r="C133" i="63"/>
  <c r="A133" i="63"/>
  <c r="C132" i="63"/>
  <c r="B132" i="63"/>
  <c r="A132" i="63"/>
  <c r="C131" i="63"/>
  <c r="B131" i="63"/>
  <c r="A131" i="63"/>
  <c r="AD131" i="63" s="1"/>
  <c r="C130" i="63"/>
  <c r="B130" i="63"/>
  <c r="A130" i="63"/>
  <c r="C129" i="63"/>
  <c r="B129" i="63"/>
  <c r="A129" i="63"/>
  <c r="C128" i="63"/>
  <c r="A128" i="63"/>
  <c r="C127" i="63"/>
  <c r="B127" i="63"/>
  <c r="A127" i="63"/>
  <c r="E127" i="63" s="1"/>
  <c r="C126" i="63"/>
  <c r="A126" i="63"/>
  <c r="AA126" i="63" s="1"/>
  <c r="C125" i="63"/>
  <c r="B125" i="63"/>
  <c r="A125" i="63"/>
  <c r="AC125" i="63" s="1"/>
  <c r="C124" i="63"/>
  <c r="A124" i="63"/>
  <c r="C123" i="63"/>
  <c r="B123" i="63"/>
  <c r="A123" i="63"/>
  <c r="C122" i="63"/>
  <c r="B122" i="63"/>
  <c r="A122" i="63"/>
  <c r="AF122" i="63" s="1"/>
  <c r="C121" i="63"/>
  <c r="B121" i="63"/>
  <c r="A121" i="63"/>
  <c r="C120" i="63"/>
  <c r="B120" i="63"/>
  <c r="A120" i="63"/>
  <c r="C119" i="63"/>
  <c r="B119" i="63"/>
  <c r="A119" i="63"/>
  <c r="C118" i="63"/>
  <c r="B118" i="63"/>
  <c r="A118" i="63"/>
  <c r="AF118" i="63" s="1"/>
  <c r="C117" i="63"/>
  <c r="A117" i="63"/>
  <c r="N117" i="63" s="1"/>
  <c r="C116" i="63"/>
  <c r="B116" i="63"/>
  <c r="A116" i="63"/>
  <c r="K116" i="63" s="1"/>
  <c r="C115" i="63"/>
  <c r="B115" i="63"/>
  <c r="A115" i="63"/>
  <c r="D115" i="63" s="1"/>
  <c r="C114" i="63"/>
  <c r="B114" i="63"/>
  <c r="A114" i="63"/>
  <c r="C113" i="63"/>
  <c r="A113" i="63"/>
  <c r="AA113" i="63" s="1"/>
  <c r="C112" i="63"/>
  <c r="B112" i="63"/>
  <c r="A112" i="63"/>
  <c r="D112" i="63" s="1"/>
  <c r="C111" i="63"/>
  <c r="B111" i="63"/>
  <c r="A111" i="63"/>
  <c r="C110" i="63"/>
  <c r="B110" i="63"/>
  <c r="A110" i="63"/>
  <c r="M110" i="63" s="1"/>
  <c r="C109" i="63"/>
  <c r="B109" i="63"/>
  <c r="A109" i="63"/>
  <c r="Z109" i="63" s="1"/>
  <c r="C108" i="63"/>
  <c r="B108" i="63"/>
  <c r="A108" i="63"/>
  <c r="C107" i="63"/>
  <c r="B107" i="63"/>
  <c r="A107" i="63"/>
  <c r="C106" i="63"/>
  <c r="B106" i="63"/>
  <c r="A106" i="63"/>
  <c r="N106" i="63" s="1"/>
  <c r="C105" i="63"/>
  <c r="B105" i="63"/>
  <c r="A105" i="63"/>
  <c r="AA105" i="63" s="1"/>
  <c r="C104" i="63"/>
  <c r="A104" i="63"/>
  <c r="N104" i="63" s="1"/>
  <c r="C103" i="63"/>
  <c r="B103" i="63"/>
  <c r="A103" i="63"/>
  <c r="AD103" i="63" s="1"/>
  <c r="C102" i="63"/>
  <c r="B102" i="63"/>
  <c r="A102" i="63"/>
  <c r="C101" i="63"/>
  <c r="B101" i="63"/>
  <c r="A101" i="63"/>
  <c r="D101" i="63" s="1"/>
  <c r="C100" i="63"/>
  <c r="B100" i="63"/>
  <c r="A100" i="63"/>
  <c r="N100" i="63" s="1"/>
  <c r="C99" i="63"/>
  <c r="B99" i="63"/>
  <c r="A99" i="63"/>
  <c r="M99" i="63" s="1"/>
  <c r="C98" i="63"/>
  <c r="B98" i="63"/>
  <c r="A98" i="63"/>
  <c r="C97" i="63"/>
  <c r="B97" i="63"/>
  <c r="A97" i="63"/>
  <c r="N97" i="63" s="1"/>
  <c r="C96" i="63"/>
  <c r="B96" i="63"/>
  <c r="A96" i="63"/>
  <c r="J96" i="63" s="1"/>
  <c r="C95" i="63"/>
  <c r="B95" i="63"/>
  <c r="A95" i="63"/>
  <c r="D95" i="63" s="1"/>
  <c r="C94" i="63"/>
  <c r="A94" i="63"/>
  <c r="C93" i="63"/>
  <c r="B93" i="63"/>
  <c r="A93" i="63"/>
  <c r="D93" i="63" s="1"/>
  <c r="C92" i="63"/>
  <c r="A92" i="63"/>
  <c r="N92" i="63" s="1"/>
  <c r="C91" i="63"/>
  <c r="B91" i="63"/>
  <c r="A91" i="63"/>
  <c r="N91" i="63" s="1"/>
  <c r="C90" i="63"/>
  <c r="B90" i="63"/>
  <c r="A90" i="63"/>
  <c r="Z90" i="63" s="1"/>
  <c r="C89" i="63"/>
  <c r="B89" i="63"/>
  <c r="A89" i="63"/>
  <c r="AD89" i="63" s="1"/>
  <c r="C88" i="63"/>
  <c r="B88" i="63"/>
  <c r="A88" i="63"/>
  <c r="J88" i="63" s="1"/>
  <c r="C87" i="63"/>
  <c r="A87" i="63"/>
  <c r="N87" i="63" s="1"/>
  <c r="C86" i="63"/>
  <c r="B86" i="63"/>
  <c r="A86" i="63"/>
  <c r="D86" i="63" s="1"/>
  <c r="C85" i="63"/>
  <c r="B85" i="63"/>
  <c r="A85" i="63"/>
  <c r="C84" i="63"/>
  <c r="A84" i="63"/>
  <c r="N84" i="63" s="1"/>
  <c r="C83" i="63"/>
  <c r="B83" i="63"/>
  <c r="A83" i="63"/>
  <c r="K83" i="63" s="1"/>
  <c r="C82" i="63"/>
  <c r="B82" i="63"/>
  <c r="A82" i="63"/>
  <c r="N82" i="63" s="1"/>
  <c r="C81" i="63"/>
  <c r="B81" i="63"/>
  <c r="A81" i="63"/>
  <c r="C80" i="63"/>
  <c r="B80" i="63"/>
  <c r="A80" i="63"/>
  <c r="M80" i="63" s="1"/>
  <c r="C79" i="63"/>
  <c r="B79" i="63"/>
  <c r="A79" i="63"/>
  <c r="M79" i="63" s="1"/>
  <c r="C78" i="63"/>
  <c r="B78" i="63"/>
  <c r="A78" i="63"/>
  <c r="N78" i="63" s="1"/>
  <c r="C77" i="63"/>
  <c r="A77" i="63"/>
  <c r="C76" i="63"/>
  <c r="B76" i="63"/>
  <c r="A76" i="63"/>
  <c r="C75" i="63"/>
  <c r="B75" i="63"/>
  <c r="A75" i="63"/>
  <c r="M75" i="63" s="1"/>
  <c r="C74" i="63"/>
  <c r="B74" i="63"/>
  <c r="A74" i="63"/>
  <c r="D74" i="63" s="1"/>
  <c r="C73" i="63"/>
  <c r="B73" i="63"/>
  <c r="A73" i="63"/>
  <c r="C72" i="63"/>
  <c r="B72" i="63"/>
  <c r="A72" i="63"/>
  <c r="N72" i="63" s="1"/>
  <c r="C71" i="63"/>
  <c r="A71" i="63"/>
  <c r="AB71" i="63" s="1"/>
  <c r="C70" i="63"/>
  <c r="B70" i="63"/>
  <c r="A70" i="63"/>
  <c r="N70" i="63" s="1"/>
  <c r="C69" i="63"/>
  <c r="B69" i="63"/>
  <c r="A69" i="63"/>
  <c r="N69" i="63" s="1"/>
  <c r="C68" i="63"/>
  <c r="B68" i="63"/>
  <c r="A68" i="63"/>
  <c r="AB68" i="63" s="1"/>
  <c r="C67" i="63"/>
  <c r="B67" i="63"/>
  <c r="A67" i="63"/>
  <c r="E67" i="63" s="1"/>
  <c r="C66" i="63"/>
  <c r="B66" i="63"/>
  <c r="A66" i="63"/>
  <c r="AB66" i="63" s="1"/>
  <c r="C65" i="63"/>
  <c r="B65" i="63"/>
  <c r="A65" i="63"/>
  <c r="C64" i="63"/>
  <c r="B64" i="63"/>
  <c r="A64" i="63"/>
  <c r="C63" i="63"/>
  <c r="B63" i="63"/>
  <c r="A63" i="63"/>
  <c r="N63" i="63" s="1"/>
  <c r="C62" i="63"/>
  <c r="B62" i="63"/>
  <c r="A62" i="63"/>
  <c r="N62" i="63" s="1"/>
  <c r="C61" i="63"/>
  <c r="B61" i="63"/>
  <c r="A61" i="63"/>
  <c r="C60" i="63"/>
  <c r="B60" i="63"/>
  <c r="A60" i="63"/>
  <c r="C59" i="63"/>
  <c r="B59" i="63"/>
  <c r="A59" i="63"/>
  <c r="D59" i="63" s="1"/>
  <c r="C58" i="63"/>
  <c r="B58" i="63"/>
  <c r="A58" i="63"/>
  <c r="M58" i="63" s="1"/>
  <c r="C57" i="63"/>
  <c r="A57" i="63"/>
  <c r="AF57" i="63" s="1"/>
  <c r="C56" i="63"/>
  <c r="B56" i="63"/>
  <c r="A56" i="63"/>
  <c r="N56" i="63" s="1"/>
  <c r="C55" i="63"/>
  <c r="B55" i="63"/>
  <c r="A55" i="63"/>
  <c r="N55" i="63" s="1"/>
  <c r="C54" i="63"/>
  <c r="B54" i="63"/>
  <c r="A54" i="63"/>
  <c r="N54" i="63" s="1"/>
  <c r="C53" i="63"/>
  <c r="B53" i="63"/>
  <c r="A53" i="63"/>
  <c r="AF53" i="63" s="1"/>
  <c r="C52" i="63"/>
  <c r="B52" i="63"/>
  <c r="A52" i="63"/>
  <c r="C51" i="63"/>
  <c r="B51" i="63"/>
  <c r="A51" i="63"/>
  <c r="N51" i="63" s="1"/>
  <c r="C50" i="63"/>
  <c r="B50" i="63"/>
  <c r="A50" i="63"/>
  <c r="D50" i="63" s="1"/>
  <c r="C49" i="63"/>
  <c r="B49" i="63"/>
  <c r="A49" i="63"/>
  <c r="M49" i="63" s="1"/>
  <c r="C48" i="63"/>
  <c r="B48" i="63"/>
  <c r="A48" i="63"/>
  <c r="AD48" i="63" s="1"/>
  <c r="C47" i="63"/>
  <c r="A47" i="63"/>
  <c r="N47" i="63" s="1"/>
  <c r="C46" i="63"/>
  <c r="B46" i="63"/>
  <c r="A46" i="63"/>
  <c r="J46" i="63" s="1"/>
  <c r="C45" i="63"/>
  <c r="B45" i="63"/>
  <c r="A45" i="63"/>
  <c r="N45" i="63" s="1"/>
  <c r="C44" i="63"/>
  <c r="A44" i="63"/>
  <c r="C43" i="63"/>
  <c r="B43" i="63"/>
  <c r="A43" i="63"/>
  <c r="C42" i="63"/>
  <c r="B42" i="63"/>
  <c r="A42" i="63"/>
  <c r="AF42" i="63" s="1"/>
  <c r="C41" i="63"/>
  <c r="A41" i="63"/>
  <c r="C40" i="63"/>
  <c r="A40" i="63"/>
  <c r="AD40" i="63" s="1"/>
  <c r="C39" i="63"/>
  <c r="A39" i="63"/>
  <c r="C38" i="63"/>
  <c r="A38" i="63"/>
  <c r="M38" i="63" s="1"/>
  <c r="C37" i="63"/>
  <c r="B37" i="63"/>
  <c r="A37" i="63"/>
  <c r="N37" i="63" s="1"/>
  <c r="C36" i="63"/>
  <c r="B36" i="63"/>
  <c r="A36" i="63"/>
  <c r="AA36" i="63" s="1"/>
  <c r="C35" i="63"/>
  <c r="B35" i="63"/>
  <c r="A35" i="63"/>
  <c r="AC35" i="63" s="1"/>
  <c r="C34" i="63"/>
  <c r="A34" i="63"/>
  <c r="AC34" i="63" s="1"/>
  <c r="C33" i="63"/>
  <c r="B33" i="63"/>
  <c r="A33" i="63"/>
  <c r="J33" i="63" s="1"/>
  <c r="C32" i="63"/>
  <c r="B32" i="63"/>
  <c r="A32" i="63"/>
  <c r="M32" i="63" s="1"/>
  <c r="C31" i="63"/>
  <c r="B31" i="63"/>
  <c r="A31" i="63"/>
  <c r="AD31" i="63" s="1"/>
  <c r="C30" i="63"/>
  <c r="B30" i="63"/>
  <c r="A30" i="63"/>
  <c r="N30" i="63" s="1"/>
  <c r="C29" i="63"/>
  <c r="B29" i="63"/>
  <c r="A29" i="63"/>
  <c r="D29" i="63" s="1"/>
  <c r="C28" i="63"/>
  <c r="B28" i="63"/>
  <c r="A28" i="63"/>
  <c r="D28" i="63" s="1"/>
  <c r="C27" i="63"/>
  <c r="B27" i="63"/>
  <c r="A27" i="63"/>
  <c r="M27" i="63" s="1"/>
  <c r="C26" i="63"/>
  <c r="A26" i="63"/>
  <c r="AD26" i="63" s="1"/>
  <c r="C25" i="63"/>
  <c r="B25" i="63"/>
  <c r="A25" i="63"/>
  <c r="D25" i="63" s="1"/>
  <c r="C24" i="63"/>
  <c r="B24" i="63"/>
  <c r="A24" i="63"/>
  <c r="M24" i="63" s="1"/>
  <c r="C23" i="63"/>
  <c r="B23" i="63"/>
  <c r="A23" i="63"/>
  <c r="D23" i="63" s="1"/>
  <c r="C22" i="63"/>
  <c r="B22" i="63"/>
  <c r="A22" i="63"/>
  <c r="C21" i="63"/>
  <c r="B21" i="63"/>
  <c r="A21" i="63"/>
  <c r="D21" i="63" s="1"/>
  <c r="C20" i="63"/>
  <c r="B20" i="63"/>
  <c r="A20" i="63"/>
  <c r="M20" i="63" s="1"/>
  <c r="C19" i="63"/>
  <c r="B19" i="63"/>
  <c r="A19" i="63"/>
  <c r="J19" i="63" s="1"/>
  <c r="C18" i="63"/>
  <c r="B18" i="63"/>
  <c r="A18" i="63"/>
  <c r="C17" i="63"/>
  <c r="B17" i="63"/>
  <c r="A17" i="63"/>
  <c r="N17" i="63" s="1"/>
  <c r="C16" i="63"/>
  <c r="B16" i="63"/>
  <c r="A16" i="63"/>
  <c r="AC16" i="63" s="1"/>
  <c r="C15" i="63"/>
  <c r="B15" i="63"/>
  <c r="A15" i="63"/>
  <c r="C14" i="63"/>
  <c r="B14" i="63"/>
  <c r="A14" i="63"/>
  <c r="AB14" i="63" s="1"/>
  <c r="C13" i="63"/>
  <c r="A13" i="63"/>
  <c r="C12" i="63"/>
  <c r="B12" i="63"/>
  <c r="A12" i="63"/>
  <c r="E12" i="63" s="1"/>
  <c r="C11" i="63"/>
  <c r="B11" i="63"/>
  <c r="A11" i="63"/>
  <c r="AD11" i="63" s="1"/>
  <c r="C10" i="63"/>
  <c r="B10" i="63"/>
  <c r="A10" i="63"/>
  <c r="K10" i="63" s="1"/>
  <c r="C9" i="63"/>
  <c r="B9" i="63"/>
  <c r="A9" i="63"/>
  <c r="K9" i="63" s="1"/>
  <c r="C8" i="63"/>
  <c r="B8" i="63"/>
  <c r="A8" i="63"/>
  <c r="E8" i="63" s="1"/>
  <c r="C7" i="63"/>
  <c r="B7" i="63"/>
  <c r="A7" i="63"/>
  <c r="K7" i="63" s="1"/>
  <c r="C6" i="63"/>
  <c r="B6" i="63"/>
  <c r="A6" i="63"/>
  <c r="N6" i="63" s="1"/>
  <c r="C5" i="63"/>
  <c r="B5" i="63"/>
  <c r="A5" i="63"/>
  <c r="J5" i="63" s="1"/>
  <c r="C4" i="63"/>
  <c r="B4" i="63"/>
  <c r="A4" i="63"/>
  <c r="M4" i="63" s="1"/>
  <c r="C3" i="63"/>
  <c r="B3" i="63"/>
  <c r="A3" i="63"/>
  <c r="D3" i="63" s="1"/>
  <c r="C2" i="63"/>
  <c r="B2" i="63"/>
  <c r="A2" i="63"/>
  <c r="K140" i="63"/>
  <c r="J140" i="63"/>
  <c r="E140" i="63"/>
  <c r="D140" i="63"/>
  <c r="N138" i="63"/>
  <c r="K138" i="63"/>
  <c r="J138" i="63"/>
  <c r="E138" i="63"/>
  <c r="D138" i="63"/>
  <c r="N137" i="63"/>
  <c r="M137" i="63"/>
  <c r="K137" i="63"/>
  <c r="J137" i="63"/>
  <c r="E137" i="63"/>
  <c r="D137" i="63"/>
  <c r="K136" i="63"/>
  <c r="J136" i="63"/>
  <c r="E136" i="63"/>
  <c r="D136" i="63"/>
  <c r="I136" i="63" s="1"/>
  <c r="J135" i="63"/>
  <c r="E135" i="63"/>
  <c r="N134" i="63"/>
  <c r="M134" i="63"/>
  <c r="K134" i="63"/>
  <c r="E134" i="63"/>
  <c r="D134" i="63"/>
  <c r="N133" i="63"/>
  <c r="M133" i="63"/>
  <c r="K133" i="63"/>
  <c r="J133" i="63"/>
  <c r="E133" i="63"/>
  <c r="D133" i="63"/>
  <c r="I133" i="63" s="1"/>
  <c r="K132" i="63"/>
  <c r="J132" i="63"/>
  <c r="E132" i="63"/>
  <c r="M131" i="63"/>
  <c r="K131" i="63"/>
  <c r="J131" i="63"/>
  <c r="E131" i="63"/>
  <c r="J130" i="63"/>
  <c r="E130" i="63"/>
  <c r="K129" i="63"/>
  <c r="J129" i="63"/>
  <c r="E129" i="63"/>
  <c r="K128" i="63"/>
  <c r="J128" i="63"/>
  <c r="E128" i="63"/>
  <c r="D128" i="63"/>
  <c r="I128" i="63" s="1"/>
  <c r="K126" i="63"/>
  <c r="J126" i="63"/>
  <c r="E126" i="63"/>
  <c r="D126" i="63"/>
  <c r="D125" i="63"/>
  <c r="N124" i="63"/>
  <c r="M124" i="63"/>
  <c r="K124" i="63"/>
  <c r="J124" i="63"/>
  <c r="E124" i="63"/>
  <c r="D124" i="63"/>
  <c r="J123" i="63"/>
  <c r="E123" i="63"/>
  <c r="J121" i="63"/>
  <c r="E121" i="63"/>
  <c r="N120" i="63"/>
  <c r="M120" i="63"/>
  <c r="K120" i="63"/>
  <c r="J120" i="63"/>
  <c r="E120" i="63"/>
  <c r="D120" i="63"/>
  <c r="N119" i="63"/>
  <c r="M119" i="63"/>
  <c r="K119" i="63"/>
  <c r="J119" i="63"/>
  <c r="E119" i="63"/>
  <c r="D119" i="63"/>
  <c r="J118" i="63"/>
  <c r="E118" i="63"/>
  <c r="K117" i="63"/>
  <c r="J117" i="63"/>
  <c r="E117" i="63"/>
  <c r="D117" i="63"/>
  <c r="N115" i="63"/>
  <c r="M115" i="63"/>
  <c r="K115" i="63"/>
  <c r="J115" i="63"/>
  <c r="E115" i="63"/>
  <c r="K113" i="63"/>
  <c r="J113" i="63"/>
  <c r="E113" i="63"/>
  <c r="D113" i="63"/>
  <c r="M112" i="63"/>
  <c r="J112" i="63"/>
  <c r="E112" i="63"/>
  <c r="M111" i="63"/>
  <c r="K111" i="63"/>
  <c r="J111" i="63"/>
  <c r="E111" i="63"/>
  <c r="J110" i="63"/>
  <c r="E110" i="63"/>
  <c r="J108" i="63"/>
  <c r="E108" i="63"/>
  <c r="D108" i="63"/>
  <c r="I108" i="63" s="1"/>
  <c r="N107" i="63"/>
  <c r="M107" i="63"/>
  <c r="K107" i="63"/>
  <c r="J107" i="63"/>
  <c r="E107" i="63"/>
  <c r="D107" i="63"/>
  <c r="J105" i="63"/>
  <c r="E105" i="63"/>
  <c r="K104" i="63"/>
  <c r="J104" i="63"/>
  <c r="E104" i="63"/>
  <c r="D104" i="63"/>
  <c r="M103" i="63"/>
  <c r="K103" i="63"/>
  <c r="J103" i="63"/>
  <c r="E103" i="63"/>
  <c r="J102" i="63"/>
  <c r="E102" i="63"/>
  <c r="J100" i="63"/>
  <c r="E100" i="63"/>
  <c r="N99" i="63"/>
  <c r="K99" i="63"/>
  <c r="J99" i="63"/>
  <c r="E99" i="63"/>
  <c r="D99" i="63"/>
  <c r="I99" i="63" s="1"/>
  <c r="J98" i="63"/>
  <c r="E98" i="63"/>
  <c r="J97" i="63"/>
  <c r="E97" i="63"/>
  <c r="K96" i="63"/>
  <c r="N95" i="63"/>
  <c r="K95" i="63"/>
  <c r="M94" i="63"/>
  <c r="K94" i="63"/>
  <c r="J94" i="63"/>
  <c r="E94" i="63"/>
  <c r="D94" i="63"/>
  <c r="I94" i="63" s="1"/>
  <c r="K92" i="63"/>
  <c r="J92" i="63"/>
  <c r="E92" i="63"/>
  <c r="D92" i="63"/>
  <c r="J91" i="63"/>
  <c r="E91" i="63"/>
  <c r="N90" i="63"/>
  <c r="M90" i="63"/>
  <c r="J90" i="63"/>
  <c r="E90" i="63"/>
  <c r="K87" i="63"/>
  <c r="J87" i="63"/>
  <c r="E87" i="63"/>
  <c r="D87" i="63"/>
  <c r="N86" i="63"/>
  <c r="M86" i="63"/>
  <c r="K86" i="63"/>
  <c r="J86" i="63"/>
  <c r="E86" i="63"/>
  <c r="F86" i="63" s="1"/>
  <c r="D85" i="63"/>
  <c r="K84" i="63"/>
  <c r="J84" i="63"/>
  <c r="E84" i="63"/>
  <c r="D84" i="63"/>
  <c r="K81" i="63"/>
  <c r="N77" i="63"/>
  <c r="M77" i="63"/>
  <c r="K77" i="63"/>
  <c r="J77" i="63"/>
  <c r="E77" i="63"/>
  <c r="D77" i="63"/>
  <c r="I77" i="63" s="1"/>
  <c r="N73" i="63"/>
  <c r="M73" i="63"/>
  <c r="K73" i="63"/>
  <c r="J73" i="63"/>
  <c r="E73" i="63"/>
  <c r="D73" i="63"/>
  <c r="K71" i="63"/>
  <c r="J71" i="63"/>
  <c r="E71" i="63"/>
  <c r="D71" i="63"/>
  <c r="M69" i="63"/>
  <c r="J69" i="63"/>
  <c r="N65" i="63"/>
  <c r="M65" i="63"/>
  <c r="K65" i="63"/>
  <c r="E65" i="63"/>
  <c r="D65" i="63"/>
  <c r="N64" i="63"/>
  <c r="M64" i="63"/>
  <c r="K64" i="63"/>
  <c r="J64" i="63"/>
  <c r="E64" i="63"/>
  <c r="D64" i="63"/>
  <c r="I64" i="63" s="1"/>
  <c r="N61" i="63"/>
  <c r="M61" i="63"/>
  <c r="K61" i="63"/>
  <c r="J61" i="63"/>
  <c r="E61" i="63"/>
  <c r="N60" i="63"/>
  <c r="M60" i="63"/>
  <c r="K60" i="63"/>
  <c r="J60" i="63"/>
  <c r="E60" i="63"/>
  <c r="D60" i="63"/>
  <c r="K57" i="63"/>
  <c r="J57" i="63"/>
  <c r="E57" i="63"/>
  <c r="D57" i="63"/>
  <c r="I57" i="63" s="1"/>
  <c r="J56" i="63"/>
  <c r="E56" i="63"/>
  <c r="N52" i="63"/>
  <c r="M52" i="63"/>
  <c r="K52" i="63"/>
  <c r="J52" i="63"/>
  <c r="E52" i="63"/>
  <c r="K47" i="63"/>
  <c r="J47" i="63"/>
  <c r="E47" i="63"/>
  <c r="D47" i="63"/>
  <c r="N44" i="63"/>
  <c r="M44" i="63"/>
  <c r="K44" i="63"/>
  <c r="J44" i="63"/>
  <c r="E44" i="63"/>
  <c r="D44" i="63"/>
  <c r="N43" i="63"/>
  <c r="M43" i="63"/>
  <c r="K43" i="63"/>
  <c r="J43" i="63"/>
  <c r="E43" i="63"/>
  <c r="D43" i="63"/>
  <c r="K41" i="63"/>
  <c r="J41" i="63"/>
  <c r="E41" i="63"/>
  <c r="D41" i="63"/>
  <c r="K40" i="63"/>
  <c r="J40" i="63"/>
  <c r="E40" i="63"/>
  <c r="D40" i="63"/>
  <c r="N39" i="63"/>
  <c r="M39" i="63"/>
  <c r="K39" i="63"/>
  <c r="J39" i="63"/>
  <c r="E39" i="63"/>
  <c r="D39" i="63"/>
  <c r="N38" i="63"/>
  <c r="K38" i="63"/>
  <c r="J38" i="63"/>
  <c r="E38" i="63"/>
  <c r="D38" i="63"/>
  <c r="K34" i="63"/>
  <c r="J34" i="63"/>
  <c r="E34" i="63"/>
  <c r="D34" i="63"/>
  <c r="I34" i="63" s="1"/>
  <c r="N26" i="63"/>
  <c r="M26" i="63"/>
  <c r="K26" i="63"/>
  <c r="J26" i="63"/>
  <c r="E26" i="63"/>
  <c r="D26" i="63"/>
  <c r="I26" i="63" s="1"/>
  <c r="N25" i="63"/>
  <c r="M25" i="63"/>
  <c r="N18" i="63"/>
  <c r="K18" i="63"/>
  <c r="D18" i="63"/>
  <c r="M17" i="63"/>
  <c r="J17" i="63"/>
  <c r="E17" i="63"/>
  <c r="N13" i="63"/>
  <c r="M13" i="63"/>
  <c r="K13" i="63"/>
  <c r="J13" i="63"/>
  <c r="E13" i="63"/>
  <c r="D13" i="63"/>
  <c r="D9" i="63"/>
  <c r="N5" i="63"/>
  <c r="M5" i="63"/>
  <c r="K5" i="63"/>
  <c r="E5" i="63"/>
  <c r="D5" i="63"/>
  <c r="AA138" i="63"/>
  <c r="Z138" i="63"/>
  <c r="AD137" i="63"/>
  <c r="AB137" i="63"/>
  <c r="Z137" i="63"/>
  <c r="AD136" i="63"/>
  <c r="AF134" i="63"/>
  <c r="AB134" i="63"/>
  <c r="AA134" i="63"/>
  <c r="Z134" i="63"/>
  <c r="AD133" i="63"/>
  <c r="AC133" i="63"/>
  <c r="Z133" i="63"/>
  <c r="AD132" i="63"/>
  <c r="AC132" i="63"/>
  <c r="Z132" i="63"/>
  <c r="AD129" i="63"/>
  <c r="AA129" i="63"/>
  <c r="Z129" i="63"/>
  <c r="Z127" i="63"/>
  <c r="AA127" i="63"/>
  <c r="AF120" i="63"/>
  <c r="AD120" i="63"/>
  <c r="AB114" i="63"/>
  <c r="AF112" i="63"/>
  <c r="AD112" i="63"/>
  <c r="AC112" i="63"/>
  <c r="Z112" i="63"/>
  <c r="AB111" i="63"/>
  <c r="AF110" i="63"/>
  <c r="AB110" i="63"/>
  <c r="AB108" i="63"/>
  <c r="AF107" i="63"/>
  <c r="AD107" i="63"/>
  <c r="Z107" i="63"/>
  <c r="AC102" i="63"/>
  <c r="AB102" i="63"/>
  <c r="AF99" i="63"/>
  <c r="AD99" i="63"/>
  <c r="AC99" i="63"/>
  <c r="AB99" i="63"/>
  <c r="Z99" i="63"/>
  <c r="AF98" i="63"/>
  <c r="AC98" i="63"/>
  <c r="AA98" i="63"/>
  <c r="AC95" i="63"/>
  <c r="Z95" i="63"/>
  <c r="AC94" i="63"/>
  <c r="AC90" i="63"/>
  <c r="AB90" i="63"/>
  <c r="I86" i="63"/>
  <c r="AF85" i="63"/>
  <c r="AD85" i="63"/>
  <c r="AA85" i="63"/>
  <c r="Z85" i="63"/>
  <c r="AA78" i="63"/>
  <c r="AF77" i="63"/>
  <c r="AC77" i="63"/>
  <c r="AB77" i="63"/>
  <c r="AA77" i="63"/>
  <c r="Z77" i="63"/>
  <c r="AD73" i="63"/>
  <c r="Z73" i="63"/>
  <c r="AF65" i="63"/>
  <c r="AD65" i="63"/>
  <c r="AC65" i="63"/>
  <c r="AF64" i="63"/>
  <c r="Z64" i="63"/>
  <c r="Z61" i="63"/>
  <c r="AC60" i="63"/>
  <c r="AB60" i="63"/>
  <c r="Z55" i="63"/>
  <c r="AD53" i="63"/>
  <c r="AC53" i="63"/>
  <c r="AB52" i="63"/>
  <c r="AF44" i="63"/>
  <c r="AD44" i="63"/>
  <c r="AC44" i="63"/>
  <c r="AB44" i="63"/>
  <c r="AA44" i="63"/>
  <c r="Z44" i="63"/>
  <c r="AF43" i="63"/>
  <c r="AC43" i="63"/>
  <c r="AF39" i="63"/>
  <c r="AF38" i="63"/>
  <c r="AF33" i="63"/>
  <c r="AB33" i="63"/>
  <c r="AC30" i="63"/>
  <c r="AB30" i="63"/>
  <c r="AF29" i="63"/>
  <c r="AC26" i="63"/>
  <c r="Z26" i="63"/>
  <c r="AF25" i="63"/>
  <c r="AD25" i="63"/>
  <c r="AC25" i="63"/>
  <c r="AB25" i="63"/>
  <c r="Z25" i="63"/>
  <c r="AA25" i="63"/>
  <c r="AF18" i="63"/>
  <c r="AD18" i="63"/>
  <c r="AC18" i="63"/>
  <c r="AB18" i="63"/>
  <c r="AA18" i="63"/>
  <c r="AD17" i="63"/>
  <c r="AC17" i="63"/>
  <c r="AB17" i="63"/>
  <c r="Z17" i="63"/>
  <c r="Z13" i="63"/>
  <c r="AF9" i="63"/>
  <c r="AB9" i="63"/>
  <c r="AF5" i="63"/>
  <c r="AD5" i="63"/>
  <c r="AC5" i="63"/>
  <c r="Z5" i="63"/>
  <c r="AA5" i="63"/>
  <c r="B144" i="16"/>
  <c r="B143" i="16"/>
  <c r="AB53" i="63" l="1"/>
  <c r="Z57" i="63"/>
  <c r="AA57" i="63"/>
  <c r="Z10" i="63"/>
  <c r="AC57" i="63"/>
  <c r="Z46" i="63"/>
  <c r="AD57" i="63"/>
  <c r="D53" i="63"/>
  <c r="M57" i="63"/>
  <c r="AB57" i="63"/>
  <c r="AC10" i="63"/>
  <c r="AD10" i="63"/>
  <c r="E53" i="63"/>
  <c r="G53" i="63" s="1"/>
  <c r="H53" i="63" s="1"/>
  <c r="N57" i="63"/>
  <c r="AC49" i="63"/>
  <c r="AF10" i="63"/>
  <c r="J53" i="63"/>
  <c r="Z53" i="63"/>
  <c r="K53" i="63"/>
  <c r="M53" i="63"/>
  <c r="N53" i="63"/>
  <c r="AA10" i="63"/>
  <c r="M136" i="63"/>
  <c r="X136" i="63" s="1"/>
  <c r="AF36" i="63"/>
  <c r="AF3" i="63"/>
  <c r="N127" i="63"/>
  <c r="Z3" i="63"/>
  <c r="AC11" i="63"/>
  <c r="AD36" i="63"/>
  <c r="E28" i="63"/>
  <c r="K11" i="63"/>
  <c r="AC46" i="63"/>
  <c r="N11" i="63"/>
  <c r="D105" i="63"/>
  <c r="I105" i="63" s="1"/>
  <c r="AA46" i="63"/>
  <c r="J36" i="63"/>
  <c r="M36" i="63"/>
  <c r="N126" i="63"/>
  <c r="V126" i="63" s="1"/>
  <c r="K3" i="63"/>
  <c r="AC79" i="63"/>
  <c r="AF79" i="63"/>
  <c r="Z45" i="63"/>
  <c r="D91" i="63"/>
  <c r="I91" i="63" s="1"/>
  <c r="Z31" i="63"/>
  <c r="AB40" i="63"/>
  <c r="AF40" i="63"/>
  <c r="AA74" i="63"/>
  <c r="D31" i="63"/>
  <c r="M91" i="63"/>
  <c r="AC31" i="63"/>
  <c r="J31" i="63"/>
  <c r="AF74" i="63"/>
  <c r="AF31" i="63"/>
  <c r="K31" i="63"/>
  <c r="AA31" i="63"/>
  <c r="AB31" i="63"/>
  <c r="Z33" i="63"/>
  <c r="M31" i="63"/>
  <c r="J106" i="63"/>
  <c r="D45" i="63"/>
  <c r="E45" i="63"/>
  <c r="M45" i="63"/>
  <c r="G57" i="63"/>
  <c r="H57" i="63" s="1"/>
  <c r="M83" i="63"/>
  <c r="AB118" i="63"/>
  <c r="E3" i="63"/>
  <c r="M3" i="63"/>
  <c r="M33" i="63"/>
  <c r="AA29" i="63"/>
  <c r="AC33" i="63"/>
  <c r="AB10" i="63"/>
  <c r="AB29" i="63"/>
  <c r="AD33" i="63"/>
  <c r="Z89" i="63"/>
  <c r="D106" i="63"/>
  <c r="J29" i="63"/>
  <c r="AB106" i="63"/>
  <c r="AD72" i="63"/>
  <c r="Z106" i="63"/>
  <c r="AF6" i="63"/>
  <c r="AC106" i="63"/>
  <c r="M47" i="63"/>
  <c r="O47" i="63" s="1"/>
  <c r="T47" i="63" s="1"/>
  <c r="J72" i="63"/>
  <c r="K33" i="63"/>
  <c r="Q33" i="63" s="1"/>
  <c r="M72" i="63"/>
  <c r="X72" i="63" s="1"/>
  <c r="N3" i="63"/>
  <c r="N83" i="63"/>
  <c r="E50" i="63"/>
  <c r="Z71" i="63"/>
  <c r="J50" i="63"/>
  <c r="K50" i="63"/>
  <c r="N136" i="63"/>
  <c r="Z117" i="63"/>
  <c r="AF117" i="63"/>
  <c r="D11" i="63"/>
  <c r="E36" i="63"/>
  <c r="O36" i="63" s="1"/>
  <c r="AC3" i="63"/>
  <c r="J3" i="63"/>
  <c r="M11" i="63"/>
  <c r="K36" i="63"/>
  <c r="N79" i="63"/>
  <c r="AD71" i="63"/>
  <c r="AF71" i="63"/>
  <c r="J139" i="63"/>
  <c r="AB62" i="63"/>
  <c r="AD87" i="63"/>
  <c r="AB46" i="63"/>
  <c r="AD88" i="63"/>
  <c r="M126" i="63"/>
  <c r="P126" i="63" s="1"/>
  <c r="AA80" i="63"/>
  <c r="AC109" i="63"/>
  <c r="N36" i="63"/>
  <c r="M50" i="63"/>
  <c r="K105" i="63"/>
  <c r="AF46" i="63"/>
  <c r="AC19" i="63"/>
  <c r="AD19" i="63"/>
  <c r="AF50" i="63"/>
  <c r="AB80" i="63"/>
  <c r="E32" i="63"/>
  <c r="D37" i="63"/>
  <c r="E46" i="63"/>
  <c r="N50" i="63"/>
  <c r="D54" i="63"/>
  <c r="M92" i="63"/>
  <c r="M105" i="63"/>
  <c r="M117" i="63"/>
  <c r="AD46" i="63"/>
  <c r="AC51" i="63"/>
  <c r="AB104" i="63"/>
  <c r="AB122" i="63"/>
  <c r="E37" i="63"/>
  <c r="K46" i="63"/>
  <c r="E54" i="63"/>
  <c r="D79" i="63"/>
  <c r="M113" i="63"/>
  <c r="AD51" i="63"/>
  <c r="AD122" i="63"/>
  <c r="X26" i="63"/>
  <c r="M46" i="63"/>
  <c r="X46" i="63" s="1"/>
  <c r="J54" i="63"/>
  <c r="E58" i="63"/>
  <c r="E79" i="63"/>
  <c r="F94" i="63"/>
  <c r="N113" i="63"/>
  <c r="V113" i="63" s="1"/>
  <c r="M140" i="63"/>
  <c r="AF51" i="63"/>
  <c r="AC66" i="63"/>
  <c r="K54" i="63"/>
  <c r="J79" i="63"/>
  <c r="Q120" i="63"/>
  <c r="AA70" i="63"/>
  <c r="Z126" i="63"/>
  <c r="AA139" i="63"/>
  <c r="M54" i="63"/>
  <c r="J70" i="63"/>
  <c r="K79" i="63"/>
  <c r="AD70" i="63"/>
  <c r="AC55" i="63"/>
  <c r="M51" i="63"/>
  <c r="N80" i="63"/>
  <c r="M93" i="63"/>
  <c r="J127" i="63"/>
  <c r="AB51" i="63"/>
  <c r="N93" i="63"/>
  <c r="K127" i="63"/>
  <c r="Q127" i="63" s="1"/>
  <c r="Z80" i="63"/>
  <c r="V5" i="63"/>
  <c r="M127" i="63"/>
  <c r="P127" i="63" s="1"/>
  <c r="AB127" i="63"/>
  <c r="J37" i="63"/>
  <c r="AD80" i="63"/>
  <c r="Z101" i="63"/>
  <c r="AC127" i="63"/>
  <c r="J8" i="63"/>
  <c r="Q26" i="63"/>
  <c r="K37" i="63"/>
  <c r="AF4" i="63"/>
  <c r="AF80" i="63"/>
  <c r="AD127" i="63"/>
  <c r="M37" i="63"/>
  <c r="D80" i="63"/>
  <c r="AC80" i="63"/>
  <c r="AF127" i="63"/>
  <c r="N10" i="63"/>
  <c r="D51" i="63"/>
  <c r="I51" i="63" s="1"/>
  <c r="E80" i="63"/>
  <c r="P80" i="63" s="1"/>
  <c r="M84" i="63"/>
  <c r="O84" i="63" s="1"/>
  <c r="E51" i="63"/>
  <c r="J80" i="63"/>
  <c r="E93" i="63"/>
  <c r="G93" i="63" s="1"/>
  <c r="H93" i="63" s="1"/>
  <c r="J51" i="63"/>
  <c r="K80" i="63"/>
  <c r="J93" i="63"/>
  <c r="D127" i="63"/>
  <c r="AB55" i="63"/>
  <c r="K51" i="63"/>
  <c r="K93" i="63"/>
  <c r="AA19" i="63"/>
  <c r="AF66" i="63"/>
  <c r="AF87" i="63"/>
  <c r="Z104" i="63"/>
  <c r="N58" i="63"/>
  <c r="V133" i="63"/>
  <c r="Z70" i="63"/>
  <c r="AA104" i="63"/>
  <c r="Z139" i="63"/>
  <c r="X113" i="63"/>
  <c r="AB70" i="63"/>
  <c r="AC104" i="63"/>
  <c r="AB139" i="63"/>
  <c r="Z62" i="63"/>
  <c r="AC70" i="63"/>
  <c r="AD104" i="63"/>
  <c r="AC139" i="63"/>
  <c r="D6" i="63"/>
  <c r="AF104" i="63"/>
  <c r="E6" i="63"/>
  <c r="K19" i="63"/>
  <c r="AF70" i="63"/>
  <c r="P94" i="63"/>
  <c r="Z100" i="63"/>
  <c r="K6" i="63"/>
  <c r="M19" i="63"/>
  <c r="L77" i="63"/>
  <c r="S77" i="63" s="1"/>
  <c r="M87" i="63"/>
  <c r="P87" i="63" s="1"/>
  <c r="AB100" i="63"/>
  <c r="N19" i="63"/>
  <c r="AF100" i="63"/>
  <c r="E23" i="63"/>
  <c r="M23" i="63"/>
  <c r="M10" i="63"/>
  <c r="J16" i="63"/>
  <c r="K16" i="63"/>
  <c r="E20" i="63"/>
  <c r="J58" i="63"/>
  <c r="D70" i="63"/>
  <c r="G70" i="63" s="1"/>
  <c r="H70" i="63" s="1"/>
  <c r="D100" i="63"/>
  <c r="P120" i="63"/>
  <c r="D139" i="63"/>
  <c r="F139" i="63" s="1"/>
  <c r="N20" i="63"/>
  <c r="K58" i="63"/>
  <c r="E70" i="63"/>
  <c r="J6" i="63"/>
  <c r="J23" i="63"/>
  <c r="N59" i="63"/>
  <c r="D63" i="63"/>
  <c r="E66" i="63"/>
  <c r="K70" i="63"/>
  <c r="Q70" i="63" s="1"/>
  <c r="X86" i="63"/>
  <c r="K100" i="63"/>
  <c r="L128" i="63"/>
  <c r="J66" i="63"/>
  <c r="M70" i="63"/>
  <c r="M100" i="63"/>
  <c r="X100" i="63" s="1"/>
  <c r="M104" i="63"/>
  <c r="AC87" i="63"/>
  <c r="AD101" i="63"/>
  <c r="M6" i="63"/>
  <c r="N23" i="63"/>
  <c r="F38" i="63"/>
  <c r="K66" i="63"/>
  <c r="X126" i="63"/>
  <c r="D24" i="63"/>
  <c r="M66" i="63"/>
  <c r="D19" i="63"/>
  <c r="J24" i="63"/>
  <c r="N66" i="63"/>
  <c r="AD49" i="63"/>
  <c r="E19" i="63"/>
  <c r="N24" i="63"/>
  <c r="F77" i="63"/>
  <c r="B57" i="63"/>
  <c r="D16" i="63"/>
  <c r="D58" i="63"/>
  <c r="L138" i="63"/>
  <c r="G77" i="63"/>
  <c r="H77" i="63" s="1"/>
  <c r="N4" i="63"/>
  <c r="J12" i="63"/>
  <c r="M16" i="63"/>
  <c r="K23" i="63"/>
  <c r="E31" i="63"/>
  <c r="N33" i="63"/>
  <c r="N46" i="63"/>
  <c r="J59" i="63"/>
  <c r="M71" i="63"/>
  <c r="X71" i="63" s="1"/>
  <c r="D8" i="63"/>
  <c r="F8" i="63" s="1"/>
  <c r="K12" i="63"/>
  <c r="D17" i="63"/>
  <c r="I17" i="63" s="1"/>
  <c r="J42" i="63"/>
  <c r="K59" i="63"/>
  <c r="N71" i="63"/>
  <c r="D97" i="63"/>
  <c r="F126" i="63"/>
  <c r="B117" i="63"/>
  <c r="M59" i="63"/>
  <c r="E72" i="63"/>
  <c r="O72" i="63" s="1"/>
  <c r="T72" i="63" s="1"/>
  <c r="AC72" i="63"/>
  <c r="K17" i="63"/>
  <c r="D20" i="63"/>
  <c r="G20" i="63" s="1"/>
  <c r="H20" i="63" s="1"/>
  <c r="E24" i="63"/>
  <c r="N31" i="63"/>
  <c r="K45" i="63"/>
  <c r="V45" i="63" s="1"/>
  <c r="X57" i="63"/>
  <c r="E63" i="63"/>
  <c r="K72" i="63"/>
  <c r="K91" i="63"/>
  <c r="Q91" i="63" s="1"/>
  <c r="K97" i="63"/>
  <c r="E106" i="63"/>
  <c r="K112" i="63"/>
  <c r="L112" i="63" s="1"/>
  <c r="S112" i="63" s="1"/>
  <c r="G140" i="63"/>
  <c r="H140" i="63" s="1"/>
  <c r="K35" i="63"/>
  <c r="J63" i="63"/>
  <c r="M97" i="63"/>
  <c r="AC110" i="63"/>
  <c r="P13" i="63"/>
  <c r="K20" i="63"/>
  <c r="K24" i="63"/>
  <c r="M35" i="63"/>
  <c r="X77" i="63"/>
  <c r="D88" i="63"/>
  <c r="X94" i="63"/>
  <c r="K106" i="63"/>
  <c r="N112" i="63"/>
  <c r="L117" i="63"/>
  <c r="F124" i="63"/>
  <c r="G133" i="63"/>
  <c r="H133" i="63" s="1"/>
  <c r="D4" i="63"/>
  <c r="D33" i="63"/>
  <c r="D46" i="63"/>
  <c r="V77" i="63"/>
  <c r="E88" i="63"/>
  <c r="M106" i="63"/>
  <c r="F138" i="63"/>
  <c r="E4" i="63"/>
  <c r="E33" i="63"/>
  <c r="K110" i="63"/>
  <c r="B124" i="63"/>
  <c r="J4" i="63"/>
  <c r="E16" i="63"/>
  <c r="Q18" i="63"/>
  <c r="E29" i="63"/>
  <c r="L41" i="63"/>
  <c r="S41" i="63" s="1"/>
  <c r="V64" i="63"/>
  <c r="B26" i="63"/>
  <c r="B44" i="63"/>
  <c r="K4" i="63"/>
  <c r="B104" i="63"/>
  <c r="E59" i="63"/>
  <c r="G38" i="63"/>
  <c r="H38" i="63" s="1"/>
  <c r="F44" i="63"/>
  <c r="P107" i="63"/>
  <c r="V18" i="63"/>
  <c r="L57" i="63"/>
  <c r="S57" i="63" s="1"/>
  <c r="I138" i="63"/>
  <c r="F107" i="63"/>
  <c r="U107" i="63" s="1"/>
  <c r="F136" i="63"/>
  <c r="O107" i="63"/>
  <c r="G136" i="63"/>
  <c r="H136" i="63" s="1"/>
  <c r="G92" i="63"/>
  <c r="H92" i="63" s="1"/>
  <c r="F47" i="63"/>
  <c r="I38" i="63"/>
  <c r="B77" i="63"/>
  <c r="B84" i="63"/>
  <c r="B87" i="63"/>
  <c r="B39" i="63"/>
  <c r="B13" i="63"/>
  <c r="B140" i="63"/>
  <c r="N7" i="63"/>
  <c r="M7" i="63"/>
  <c r="J27" i="63"/>
  <c r="X27" i="63" s="1"/>
  <c r="AB27" i="63"/>
  <c r="AA27" i="63"/>
  <c r="Z27" i="63"/>
  <c r="AF27" i="63"/>
  <c r="N123" i="63"/>
  <c r="D123" i="63"/>
  <c r="AF123" i="63"/>
  <c r="AA123" i="63"/>
  <c r="AC123" i="63"/>
  <c r="D75" i="63"/>
  <c r="I75" i="63" s="1"/>
  <c r="K75" i="63"/>
  <c r="D96" i="63"/>
  <c r="P65" i="63"/>
  <c r="E96" i="63"/>
  <c r="Z42" i="63"/>
  <c r="G44" i="63"/>
  <c r="H44" i="63" s="1"/>
  <c r="K82" i="63"/>
  <c r="AB34" i="63"/>
  <c r="M82" i="63"/>
  <c r="L87" i="63"/>
  <c r="S87" i="63" s="1"/>
  <c r="I120" i="63"/>
  <c r="G120" i="63"/>
  <c r="H120" i="63" s="1"/>
  <c r="F120" i="63"/>
  <c r="N114" i="63"/>
  <c r="M114" i="63"/>
  <c r="K114" i="63"/>
  <c r="J114" i="63"/>
  <c r="D114" i="63"/>
  <c r="E114" i="63"/>
  <c r="AA114" i="63"/>
  <c r="N121" i="63"/>
  <c r="M121" i="63"/>
  <c r="K121" i="63"/>
  <c r="D121" i="63"/>
  <c r="M128" i="63"/>
  <c r="AC128" i="63"/>
  <c r="AF135" i="63"/>
  <c r="D135" i="63"/>
  <c r="G135" i="63" s="1"/>
  <c r="H135" i="63" s="1"/>
  <c r="AD135" i="63"/>
  <c r="AA42" i="63"/>
  <c r="Z116" i="63"/>
  <c r="V61" i="63"/>
  <c r="D116" i="63"/>
  <c r="D12" i="63"/>
  <c r="AA12" i="63"/>
  <c r="AF12" i="63"/>
  <c r="Z12" i="63"/>
  <c r="AB12" i="63"/>
  <c r="AC12" i="63"/>
  <c r="D32" i="63"/>
  <c r="K32" i="63"/>
  <c r="J32" i="63"/>
  <c r="AF94" i="63"/>
  <c r="N94" i="63"/>
  <c r="O94" i="63" s="1"/>
  <c r="B128" i="63"/>
  <c r="AB35" i="63"/>
  <c r="AB42" i="63"/>
  <c r="Z103" i="63"/>
  <c r="AC116" i="63"/>
  <c r="Z128" i="63"/>
  <c r="M12" i="63"/>
  <c r="N32" i="63"/>
  <c r="E62" i="63"/>
  <c r="D83" i="63"/>
  <c r="E116" i="63"/>
  <c r="K135" i="63"/>
  <c r="B94" i="63"/>
  <c r="AA101" i="63"/>
  <c r="N101" i="63"/>
  <c r="J101" i="63"/>
  <c r="E101" i="63"/>
  <c r="M101" i="63"/>
  <c r="K101" i="63"/>
  <c r="AC42" i="63"/>
  <c r="AA103" i="63"/>
  <c r="AD116" i="63"/>
  <c r="AA128" i="63"/>
  <c r="D7" i="63"/>
  <c r="N12" i="63"/>
  <c r="D27" i="63"/>
  <c r="J62" i="63"/>
  <c r="E83" i="63"/>
  <c r="J116" i="63"/>
  <c r="M135" i="63"/>
  <c r="AA40" i="63"/>
  <c r="Z40" i="63"/>
  <c r="N40" i="63"/>
  <c r="Q40" i="63" s="1"/>
  <c r="M67" i="63"/>
  <c r="K67" i="63"/>
  <c r="J67" i="63"/>
  <c r="AC67" i="63"/>
  <c r="N67" i="63"/>
  <c r="M74" i="63"/>
  <c r="K74" i="63"/>
  <c r="J74" i="63"/>
  <c r="N81" i="63"/>
  <c r="Q81" i="63" s="1"/>
  <c r="M81" i="63"/>
  <c r="J81" i="63"/>
  <c r="D81" i="63"/>
  <c r="E81" i="63"/>
  <c r="M108" i="63"/>
  <c r="X108" i="63" s="1"/>
  <c r="K108" i="63"/>
  <c r="L108" i="63" s="1"/>
  <c r="S108" i="63" s="1"/>
  <c r="AC108" i="63"/>
  <c r="AF108" i="63"/>
  <c r="AD108" i="63"/>
  <c r="Z108" i="63"/>
  <c r="AA108" i="63"/>
  <c r="D122" i="63"/>
  <c r="E122" i="63"/>
  <c r="M122" i="63"/>
  <c r="N122" i="63"/>
  <c r="K122" i="63"/>
  <c r="J122" i="63"/>
  <c r="D129" i="63"/>
  <c r="N129" i="63"/>
  <c r="V129" i="63" s="1"/>
  <c r="M129" i="63"/>
  <c r="AD42" i="63"/>
  <c r="AC48" i="63"/>
  <c r="AC62" i="63"/>
  <c r="AC103" i="63"/>
  <c r="I117" i="63"/>
  <c r="AD128" i="63"/>
  <c r="E7" i="63"/>
  <c r="E27" i="63"/>
  <c r="M40" i="63"/>
  <c r="X40" i="63" s="1"/>
  <c r="M62" i="63"/>
  <c r="J83" i="63"/>
  <c r="D103" i="63"/>
  <c r="G103" i="63" s="1"/>
  <c r="H103" i="63" s="1"/>
  <c r="M116" i="63"/>
  <c r="N135" i="63"/>
  <c r="B40" i="63"/>
  <c r="AD47" i="63"/>
  <c r="AC47" i="63"/>
  <c r="Z47" i="63"/>
  <c r="M88" i="63"/>
  <c r="K88" i="63"/>
  <c r="N88" i="63"/>
  <c r="J95" i="63"/>
  <c r="E95" i="63"/>
  <c r="AB95" i="63"/>
  <c r="B136" i="63"/>
  <c r="AA89" i="63"/>
  <c r="J7" i="63"/>
  <c r="G13" i="63"/>
  <c r="H13" i="63" s="1"/>
  <c r="K27" i="63"/>
  <c r="D67" i="63"/>
  <c r="N116" i="63"/>
  <c r="V116" i="63" s="1"/>
  <c r="F140" i="63"/>
  <c r="J20" i="63"/>
  <c r="AD20" i="63"/>
  <c r="AB20" i="63"/>
  <c r="Z20" i="63"/>
  <c r="B47" i="63"/>
  <c r="AA61" i="63"/>
  <c r="D61" i="63"/>
  <c r="F61" i="63" s="1"/>
  <c r="D102" i="63"/>
  <c r="K102" i="63"/>
  <c r="N102" i="63"/>
  <c r="M102" i="63"/>
  <c r="AB41" i="63"/>
  <c r="N41" i="63"/>
  <c r="M41" i="63"/>
  <c r="M68" i="63"/>
  <c r="N68" i="63"/>
  <c r="D68" i="63"/>
  <c r="K68" i="63"/>
  <c r="J68" i="63"/>
  <c r="E68" i="63"/>
  <c r="J75" i="63"/>
  <c r="X75" i="63" s="1"/>
  <c r="AC75" i="63"/>
  <c r="E75" i="63"/>
  <c r="AA75" i="63"/>
  <c r="N75" i="63"/>
  <c r="AF75" i="63"/>
  <c r="AD75" i="63"/>
  <c r="AB75" i="63"/>
  <c r="D82" i="63"/>
  <c r="J82" i="63"/>
  <c r="E82" i="63"/>
  <c r="K109" i="63"/>
  <c r="E109" i="63"/>
  <c r="D109" i="63"/>
  <c r="I109" i="63" s="1"/>
  <c r="N109" i="63"/>
  <c r="M109" i="63"/>
  <c r="J109" i="63"/>
  <c r="M130" i="63"/>
  <c r="D130" i="63"/>
  <c r="G130" i="63" s="1"/>
  <c r="H130" i="63" s="1"/>
  <c r="N130" i="63"/>
  <c r="K130" i="63"/>
  <c r="N21" i="63"/>
  <c r="M21" i="63"/>
  <c r="AA21" i="63"/>
  <c r="Z21" i="63"/>
  <c r="K21" i="63"/>
  <c r="E21" i="63"/>
  <c r="AC21" i="63"/>
  <c r="J21" i="63"/>
  <c r="D62" i="63"/>
  <c r="K62" i="63"/>
  <c r="V62" i="63" s="1"/>
  <c r="AD55" i="63"/>
  <c r="AD62" i="63"/>
  <c r="D55" i="63"/>
  <c r="M8" i="63"/>
  <c r="AD8" i="63"/>
  <c r="AC8" i="63"/>
  <c r="AA8" i="63"/>
  <c r="M28" i="63"/>
  <c r="AF28" i="63"/>
  <c r="N28" i="63"/>
  <c r="AA28" i="63"/>
  <c r="Z28" i="63"/>
  <c r="D42" i="63"/>
  <c r="I42" i="63" s="1"/>
  <c r="N42" i="63"/>
  <c r="E42" i="63"/>
  <c r="K69" i="63"/>
  <c r="E69" i="63"/>
  <c r="D69" i="63"/>
  <c r="M76" i="63"/>
  <c r="AF76" i="63"/>
  <c r="AD76" i="63"/>
  <c r="N76" i="63"/>
  <c r="AB76" i="63"/>
  <c r="K76" i="63"/>
  <c r="J76" i="63"/>
  <c r="E76" i="63"/>
  <c r="D76" i="63"/>
  <c r="AF8" i="63"/>
  <c r="K8" i="63"/>
  <c r="J28" i="63"/>
  <c r="K42" i="63"/>
  <c r="E55" i="63"/>
  <c r="K123" i="63"/>
  <c r="N8" i="63"/>
  <c r="M55" i="63"/>
  <c r="D22" i="63"/>
  <c r="AF22" i="63"/>
  <c r="N22" i="63"/>
  <c r="M22" i="63"/>
  <c r="K22" i="63"/>
  <c r="J22" i="63"/>
  <c r="E22" i="63"/>
  <c r="V73" i="63"/>
  <c r="G128" i="63"/>
  <c r="H128" i="63" s="1"/>
  <c r="AE25" i="63"/>
  <c r="AD109" i="63"/>
  <c r="N27" i="63"/>
  <c r="V27" i="63" s="1"/>
  <c r="N14" i="63"/>
  <c r="M14" i="63"/>
  <c r="J14" i="63"/>
  <c r="E14" i="63"/>
  <c r="D14" i="63"/>
  <c r="M34" i="63"/>
  <c r="Z34" i="63"/>
  <c r="B41" i="63"/>
  <c r="M48" i="63"/>
  <c r="AF48" i="63"/>
  <c r="J48" i="63"/>
  <c r="AB48" i="63"/>
  <c r="N48" i="63"/>
  <c r="D48" i="63"/>
  <c r="AA48" i="63"/>
  <c r="K48" i="63"/>
  <c r="E48" i="63"/>
  <c r="AF89" i="63"/>
  <c r="M89" i="63"/>
  <c r="K89" i="63"/>
  <c r="J89" i="63"/>
  <c r="N89" i="63"/>
  <c r="E89" i="63"/>
  <c r="D89" i="63"/>
  <c r="I89" i="63" s="1"/>
  <c r="N96" i="63"/>
  <c r="M96" i="63"/>
  <c r="X96" i="63" s="1"/>
  <c r="Z14" i="63"/>
  <c r="AB89" i="63"/>
  <c r="AF109" i="63"/>
  <c r="B34" i="63"/>
  <c r="J55" i="63"/>
  <c r="K55" i="63"/>
  <c r="Q55" i="63" s="1"/>
  <c r="AB103" i="63"/>
  <c r="N103" i="63"/>
  <c r="O103" i="63" s="1"/>
  <c r="T103" i="63" s="1"/>
  <c r="AF103" i="63"/>
  <c r="AA14" i="63"/>
  <c r="AC89" i="63"/>
  <c r="I113" i="63"/>
  <c r="L113" i="63"/>
  <c r="S113" i="63" s="1"/>
  <c r="G113" i="63"/>
  <c r="H113" i="63" s="1"/>
  <c r="AF55" i="63"/>
  <c r="AF62" i="63"/>
  <c r="Z75" i="63"/>
  <c r="K14" i="63"/>
  <c r="J15" i="63"/>
  <c r="AD15" i="63"/>
  <c r="J35" i="63"/>
  <c r="N35" i="63"/>
  <c r="N49" i="63"/>
  <c r="K49" i="63"/>
  <c r="J49" i="63"/>
  <c r="E49" i="63"/>
  <c r="D49" i="63"/>
  <c r="I49" i="63" s="1"/>
  <c r="AC14" i="63"/>
  <c r="AF49" i="63"/>
  <c r="D15" i="63"/>
  <c r="K28" i="63"/>
  <c r="M42" i="63"/>
  <c r="M123" i="63"/>
  <c r="X123" i="63" s="1"/>
  <c r="D2" i="63"/>
  <c r="N2" i="63"/>
  <c r="K2" i="63"/>
  <c r="E2" i="63"/>
  <c r="M2" i="63"/>
  <c r="J2" i="63"/>
  <c r="AD14" i="63"/>
  <c r="E15" i="63"/>
  <c r="AF14" i="63"/>
  <c r="AC82" i="63"/>
  <c r="K15" i="63"/>
  <c r="N34" i="63"/>
  <c r="Z15" i="63"/>
  <c r="AF32" i="63"/>
  <c r="AF82" i="63"/>
  <c r="I93" i="63"/>
  <c r="F133" i="63"/>
  <c r="M15" i="63"/>
  <c r="D35" i="63"/>
  <c r="I39" i="63"/>
  <c r="F39" i="63"/>
  <c r="E74" i="63"/>
  <c r="F74" i="63" s="1"/>
  <c r="AB15" i="63"/>
  <c r="AC40" i="63"/>
  <c r="N15" i="63"/>
  <c r="E35" i="63"/>
  <c r="G39" i="63"/>
  <c r="H39" i="63" s="1"/>
  <c r="L47" i="63"/>
  <c r="S47" i="63" s="1"/>
  <c r="I47" i="63"/>
  <c r="N74" i="63"/>
  <c r="M95" i="63"/>
  <c r="N108" i="63"/>
  <c r="N128" i="63"/>
  <c r="J9" i="63"/>
  <c r="M29" i="63"/>
  <c r="X29" i="63" s="1"/>
  <c r="M63" i="63"/>
  <c r="AA118" i="63"/>
  <c r="N29" i="63"/>
  <c r="AC118" i="63"/>
  <c r="Z131" i="63"/>
  <c r="D30" i="63"/>
  <c r="I30" i="63" s="1"/>
  <c r="M78" i="63"/>
  <c r="K78" i="63"/>
  <c r="V78" i="63" s="1"/>
  <c r="J78" i="63"/>
  <c r="E78" i="63"/>
  <c r="D78" i="63"/>
  <c r="M98" i="63"/>
  <c r="K98" i="63"/>
  <c r="N98" i="63"/>
  <c r="D132" i="63"/>
  <c r="F132" i="63" s="1"/>
  <c r="AB132" i="63"/>
  <c r="N132" i="63"/>
  <c r="Q132" i="63" s="1"/>
  <c r="M132" i="63"/>
  <c r="P132" i="63" s="1"/>
  <c r="AF132" i="63"/>
  <c r="N139" i="63"/>
  <c r="M139" i="63"/>
  <c r="P139" i="63" s="1"/>
  <c r="K139" i="63"/>
  <c r="AD16" i="63"/>
  <c r="G34" i="63"/>
  <c r="H34" i="63" s="1"/>
  <c r="AB78" i="63"/>
  <c r="AB91" i="63"/>
  <c r="AD118" i="63"/>
  <c r="M56" i="63"/>
  <c r="D90" i="63"/>
  <c r="B71" i="63"/>
  <c r="D56" i="63"/>
  <c r="Z16" i="63"/>
  <c r="AB16" i="63"/>
  <c r="N111" i="63"/>
  <c r="D111" i="63"/>
  <c r="J125" i="63"/>
  <c r="E125" i="63"/>
  <c r="N125" i="63"/>
  <c r="M125" i="63"/>
  <c r="Z125" i="63"/>
  <c r="K125" i="63"/>
  <c r="AA125" i="63"/>
  <c r="AA91" i="63"/>
  <c r="K56" i="63"/>
  <c r="D10" i="63"/>
  <c r="E30" i="63"/>
  <c r="D98" i="63"/>
  <c r="J85" i="63"/>
  <c r="AB85" i="63"/>
  <c r="E85" i="63"/>
  <c r="F85" i="63" s="1"/>
  <c r="N85" i="63"/>
  <c r="AC85" i="63"/>
  <c r="M85" i="63"/>
  <c r="AF105" i="63"/>
  <c r="N105" i="63"/>
  <c r="V105" i="63" s="1"/>
  <c r="AD78" i="63"/>
  <c r="AC91" i="63"/>
  <c r="E10" i="63"/>
  <c r="J30" i="63"/>
  <c r="K85" i="63"/>
  <c r="J11" i="63"/>
  <c r="E11" i="63"/>
  <c r="AB126" i="63"/>
  <c r="AD126" i="63"/>
  <c r="L34" i="63"/>
  <c r="AE44" i="63"/>
  <c r="AD125" i="63"/>
  <c r="J10" i="63"/>
  <c r="K30" i="63"/>
  <c r="M18" i="63"/>
  <c r="J18" i="63"/>
  <c r="E18" i="63"/>
  <c r="J45" i="63"/>
  <c r="AB45" i="63"/>
  <c r="D72" i="63"/>
  <c r="AB72" i="63"/>
  <c r="B92" i="63"/>
  <c r="B126" i="63"/>
  <c r="B133" i="63"/>
  <c r="AF133" i="63"/>
  <c r="AC9" i="63"/>
  <c r="N9" i="63"/>
  <c r="V9" i="63" s="1"/>
  <c r="AA110" i="63"/>
  <c r="N110" i="63"/>
  <c r="O110" i="63" s="1"/>
  <c r="T110" i="63" s="1"/>
  <c r="E9" i="63"/>
  <c r="K29" i="63"/>
  <c r="L29" i="63" s="1"/>
  <c r="S29" i="63" s="1"/>
  <c r="K63" i="63"/>
  <c r="AA16" i="63"/>
  <c r="N16" i="63"/>
  <c r="O16" i="63" s="1"/>
  <c r="AB36" i="63"/>
  <c r="D36" i="63"/>
  <c r="N131" i="63"/>
  <c r="Q131" i="63" s="1"/>
  <c r="D131" i="63"/>
  <c r="L131" i="63" s="1"/>
  <c r="S131" i="63" s="1"/>
  <c r="M138" i="63"/>
  <c r="X138" i="63" s="1"/>
  <c r="AC138" i="63"/>
  <c r="M118" i="63"/>
  <c r="K118" i="63"/>
  <c r="D118" i="63"/>
  <c r="B138" i="63"/>
  <c r="M9" i="63"/>
  <c r="AA132" i="63"/>
  <c r="D110" i="63"/>
  <c r="G110" i="63" s="1"/>
  <c r="H110" i="63" s="1"/>
  <c r="J65" i="63"/>
  <c r="X65" i="63" s="1"/>
  <c r="Z65" i="63"/>
  <c r="AF78" i="63"/>
  <c r="Z29" i="63"/>
  <c r="AF125" i="63"/>
  <c r="M30" i="63"/>
  <c r="K90" i="63"/>
  <c r="Q90" i="63" s="1"/>
  <c r="N118" i="63"/>
  <c r="J25" i="63"/>
  <c r="X25" i="63" s="1"/>
  <c r="K25" i="63"/>
  <c r="V25" i="63" s="1"/>
  <c r="E25" i="63"/>
  <c r="O25" i="63" s="1"/>
  <c r="B38" i="63"/>
  <c r="D52" i="63"/>
  <c r="AC52" i="63"/>
  <c r="D66" i="63"/>
  <c r="AE57" i="63"/>
  <c r="B113" i="63"/>
  <c r="AD77" i="63"/>
  <c r="AE77" i="63" s="1"/>
  <c r="AD37" i="63"/>
  <c r="AA37" i="63"/>
  <c r="Z37" i="63"/>
  <c r="AB37" i="63"/>
  <c r="AF37" i="63"/>
  <c r="AC37" i="63"/>
  <c r="I85" i="63"/>
  <c r="AB24" i="63"/>
  <c r="AA24" i="63"/>
  <c r="AF24" i="63"/>
  <c r="AD24" i="63"/>
  <c r="AC24" i="63"/>
  <c r="Z24" i="63"/>
  <c r="G104" i="63"/>
  <c r="H104" i="63" s="1"/>
  <c r="F104" i="63"/>
  <c r="O104" i="63"/>
  <c r="F71" i="63"/>
  <c r="Q92" i="63"/>
  <c r="V92" i="63"/>
  <c r="G71" i="63"/>
  <c r="H71" i="63" s="1"/>
  <c r="AB93" i="63"/>
  <c r="AF93" i="63"/>
  <c r="AC93" i="63"/>
  <c r="AD93" i="63"/>
  <c r="AA93" i="63"/>
  <c r="Z93" i="63"/>
  <c r="X13" i="63"/>
  <c r="Z4" i="63"/>
  <c r="AD4" i="63"/>
  <c r="AC4" i="63"/>
  <c r="AB4" i="63"/>
  <c r="AA4" i="63"/>
  <c r="AF23" i="63"/>
  <c r="Z23" i="63"/>
  <c r="AD23" i="63"/>
  <c r="AA23" i="63"/>
  <c r="AC23" i="63"/>
  <c r="AB23" i="63"/>
  <c r="L101" i="63"/>
  <c r="S101" i="63" s="1"/>
  <c r="I101" i="63"/>
  <c r="I3" i="63"/>
  <c r="L38" i="63"/>
  <c r="S38" i="63" s="1"/>
  <c r="P26" i="63"/>
  <c r="AF58" i="63"/>
  <c r="AD58" i="63"/>
  <c r="AB58" i="63"/>
  <c r="AA58" i="63"/>
  <c r="AC58" i="63"/>
  <c r="AC7" i="63"/>
  <c r="Z7" i="63"/>
  <c r="AB7" i="63"/>
  <c r="AD7" i="63"/>
  <c r="AF7" i="63"/>
  <c r="AA7" i="63"/>
  <c r="Z58" i="63"/>
  <c r="F57" i="63"/>
  <c r="AB63" i="63"/>
  <c r="AF63" i="63"/>
  <c r="AA63" i="63"/>
  <c r="Z63" i="63"/>
  <c r="AD63" i="63"/>
  <c r="AC63" i="63"/>
  <c r="Q65" i="63"/>
  <c r="V65" i="63"/>
  <c r="I29" i="63"/>
  <c r="F60" i="63"/>
  <c r="I60" i="63"/>
  <c r="G60" i="63"/>
  <c r="H60" i="63" s="1"/>
  <c r="O60" i="63"/>
  <c r="AF121" i="63"/>
  <c r="AA121" i="63"/>
  <c r="AD121" i="63"/>
  <c r="AC121" i="63"/>
  <c r="AB121" i="63"/>
  <c r="Z121" i="63"/>
  <c r="X60" i="63"/>
  <c r="P60" i="63"/>
  <c r="AD119" i="63"/>
  <c r="Z119" i="63"/>
  <c r="AF119" i="63"/>
  <c r="AA119" i="63"/>
  <c r="AB119" i="63"/>
  <c r="AC119" i="63"/>
  <c r="AD54" i="63"/>
  <c r="AC54" i="63"/>
  <c r="AB54" i="63"/>
  <c r="Z54" i="63"/>
  <c r="AF54" i="63"/>
  <c r="AA54" i="63"/>
  <c r="AA2" i="63"/>
  <c r="AF2" i="63"/>
  <c r="AD2" i="63"/>
  <c r="AC2" i="63"/>
  <c r="AB2" i="63"/>
  <c r="Z2" i="63"/>
  <c r="AD6" i="63"/>
  <c r="AC6" i="63"/>
  <c r="AB6" i="63"/>
  <c r="AA6" i="63"/>
  <c r="Z6" i="63"/>
  <c r="P52" i="63"/>
  <c r="P57" i="63"/>
  <c r="O57" i="63"/>
  <c r="I5" i="63"/>
  <c r="L5" i="63"/>
  <c r="S5" i="63" s="1"/>
  <c r="AF83" i="63"/>
  <c r="AA83" i="63"/>
  <c r="AD83" i="63"/>
  <c r="AC83" i="63"/>
  <c r="Z83" i="63"/>
  <c r="AB83" i="63"/>
  <c r="F3" i="63"/>
  <c r="Q61" i="63"/>
  <c r="O65" i="63"/>
  <c r="T65" i="63" s="1"/>
  <c r="AC68" i="63"/>
  <c r="Z68" i="63"/>
  <c r="AA68" i="63"/>
  <c r="AF68" i="63"/>
  <c r="AD68" i="63"/>
  <c r="V26" i="63"/>
  <c r="AF130" i="63"/>
  <c r="AD130" i="63"/>
  <c r="AB130" i="63"/>
  <c r="AA130" i="63"/>
  <c r="AC130" i="63"/>
  <c r="Z130" i="63"/>
  <c r="AB32" i="63"/>
  <c r="AD32" i="63"/>
  <c r="AF41" i="63"/>
  <c r="AD41" i="63"/>
  <c r="AA41" i="63"/>
  <c r="Z41" i="63"/>
  <c r="AC41" i="63"/>
  <c r="AF56" i="63"/>
  <c r="AB56" i="63"/>
  <c r="AA56" i="63"/>
  <c r="Z56" i="63"/>
  <c r="AF69" i="63"/>
  <c r="AD69" i="63"/>
  <c r="Z69" i="63"/>
  <c r="AA69" i="63"/>
  <c r="AC69" i="63"/>
  <c r="AB69" i="63"/>
  <c r="P86" i="63"/>
  <c r="I112" i="63"/>
  <c r="L40" i="63"/>
  <c r="S40" i="63" s="1"/>
  <c r="I40" i="63"/>
  <c r="AA50" i="63"/>
  <c r="AC50" i="63"/>
  <c r="Z50" i="63"/>
  <c r="AD59" i="63"/>
  <c r="AA59" i="63"/>
  <c r="Z59" i="63"/>
  <c r="AF59" i="63"/>
  <c r="AC59" i="63"/>
  <c r="AB59" i="63"/>
  <c r="AD115" i="63"/>
  <c r="AF115" i="63"/>
  <c r="AC115" i="63"/>
  <c r="I127" i="63"/>
  <c r="F127" i="63"/>
  <c r="Q5" i="63"/>
  <c r="AF16" i="63"/>
  <c r="G40" i="63"/>
  <c r="H40" i="63" s="1"/>
  <c r="L44" i="63"/>
  <c r="S44" i="63" s="1"/>
  <c r="F112" i="63"/>
  <c r="P113" i="63"/>
  <c r="AA17" i="63"/>
  <c r="AE17" i="63" s="1"/>
  <c r="AF17" i="63"/>
  <c r="Z19" i="63"/>
  <c r="AF19" i="63"/>
  <c r="AB19" i="63"/>
  <c r="AF26" i="63"/>
  <c r="AB26" i="63"/>
  <c r="AA26" i="63"/>
  <c r="AD39" i="63"/>
  <c r="AA39" i="63"/>
  <c r="Z39" i="63"/>
  <c r="AC39" i="63"/>
  <c r="AB39" i="63"/>
  <c r="F40" i="63"/>
  <c r="O44" i="63"/>
  <c r="V57" i="63"/>
  <c r="Q57" i="63"/>
  <c r="AD84" i="63"/>
  <c r="AB84" i="63"/>
  <c r="AC84" i="63"/>
  <c r="AF84" i="63"/>
  <c r="AA84" i="63"/>
  <c r="Z84" i="63"/>
  <c r="P103" i="63"/>
  <c r="Q113" i="63"/>
  <c r="L53" i="63"/>
  <c r="S53" i="63" s="1"/>
  <c r="I53" i="63"/>
  <c r="I84" i="63"/>
  <c r="L84" i="63"/>
  <c r="S84" i="63" s="1"/>
  <c r="I44" i="63"/>
  <c r="AA66" i="63"/>
  <c r="AD66" i="63"/>
  <c r="Z66" i="63"/>
  <c r="G84" i="63"/>
  <c r="H84" i="63" s="1"/>
  <c r="AB67" i="63"/>
  <c r="F84" i="63"/>
  <c r="AA115" i="63"/>
  <c r="AA30" i="63"/>
  <c r="AD30" i="63"/>
  <c r="AF30" i="63"/>
  <c r="Z30" i="63"/>
  <c r="AB47" i="63"/>
  <c r="AF47" i="63"/>
  <c r="AA47" i="63"/>
  <c r="AD52" i="63"/>
  <c r="AA52" i="63"/>
  <c r="Z52" i="63"/>
  <c r="AF52" i="63"/>
  <c r="X52" i="63"/>
  <c r="AB115" i="63"/>
  <c r="L120" i="63"/>
  <c r="S120" i="63" s="1"/>
  <c r="Q137" i="63"/>
  <c r="V137" i="63"/>
  <c r="AD124" i="63"/>
  <c r="AA124" i="63"/>
  <c r="Z124" i="63"/>
  <c r="AF124" i="63"/>
  <c r="AC124" i="63"/>
  <c r="AB124" i="63"/>
  <c r="I28" i="63"/>
  <c r="F28" i="63"/>
  <c r="AA82" i="63"/>
  <c r="AB82" i="63"/>
  <c r="Z82" i="63"/>
  <c r="AD82" i="63"/>
  <c r="G117" i="63"/>
  <c r="H117" i="63" s="1"/>
  <c r="F117" i="63"/>
  <c r="P117" i="63"/>
  <c r="F108" i="63"/>
  <c r="Z115" i="63"/>
  <c r="AD12" i="63"/>
  <c r="AC13" i="63"/>
  <c r="AB13" i="63"/>
  <c r="AA13" i="63"/>
  <c r="AD13" i="63"/>
  <c r="AF13" i="63"/>
  <c r="AA97" i="63"/>
  <c r="AF97" i="63"/>
  <c r="AC97" i="63"/>
  <c r="AB97" i="63"/>
  <c r="Z97" i="63"/>
  <c r="AD97" i="63"/>
  <c r="P137" i="63"/>
  <c r="I25" i="63"/>
  <c r="Z32" i="63"/>
  <c r="P44" i="63"/>
  <c r="X44" i="63"/>
  <c r="AB50" i="63"/>
  <c r="AC56" i="63"/>
  <c r="V60" i="63"/>
  <c r="Q60" i="63"/>
  <c r="AC81" i="63"/>
  <c r="Z81" i="63"/>
  <c r="AF81" i="63"/>
  <c r="AB81" i="63"/>
  <c r="AA81" i="63"/>
  <c r="AD81" i="63"/>
  <c r="Z67" i="63"/>
  <c r="AD67" i="63"/>
  <c r="AA67" i="63"/>
  <c r="AF96" i="63"/>
  <c r="AA96" i="63"/>
  <c r="Z96" i="63"/>
  <c r="AC96" i="63"/>
  <c r="AB96" i="63"/>
  <c r="G28" i="63"/>
  <c r="H28" i="63" s="1"/>
  <c r="O20" i="63"/>
  <c r="AC92" i="63"/>
  <c r="Z92" i="63"/>
  <c r="AA92" i="63"/>
  <c r="AD92" i="63"/>
  <c r="AF92" i="63"/>
  <c r="AB92" i="63"/>
  <c r="AD96" i="63"/>
  <c r="I20" i="63"/>
  <c r="AC38" i="63"/>
  <c r="AB38" i="63"/>
  <c r="AD38" i="63"/>
  <c r="AA38" i="63"/>
  <c r="Z38" i="63"/>
  <c r="G108" i="63"/>
  <c r="H108" i="63" s="1"/>
  <c r="AA15" i="63"/>
  <c r="AC15" i="63"/>
  <c r="AF15" i="63"/>
  <c r="O17" i="63"/>
  <c r="T17" i="63" s="1"/>
  <c r="AA32" i="63"/>
  <c r="AA34" i="63"/>
  <c r="AF34" i="63"/>
  <c r="AD34" i="63"/>
  <c r="AD9" i="63"/>
  <c r="AA9" i="63"/>
  <c r="Z9" i="63"/>
  <c r="G12" i="63"/>
  <c r="H12" i="63" s="1"/>
  <c r="AC32" i="63"/>
  <c r="AD43" i="63"/>
  <c r="AB43" i="63"/>
  <c r="AA43" i="63"/>
  <c r="Z43" i="63"/>
  <c r="Q44" i="63"/>
  <c r="V44" i="63"/>
  <c r="AD50" i="63"/>
  <c r="AD56" i="63"/>
  <c r="AA60" i="63"/>
  <c r="L60" i="63"/>
  <c r="AF60" i="63"/>
  <c r="AD60" i="63"/>
  <c r="Z60" i="63"/>
  <c r="AF67" i="63"/>
  <c r="X73" i="63"/>
  <c r="X80" i="63"/>
  <c r="X87" i="63"/>
  <c r="AF111" i="63"/>
  <c r="AC111" i="63"/>
  <c r="Z111" i="63"/>
  <c r="AD111" i="63"/>
  <c r="AA111" i="63"/>
  <c r="AB88" i="63"/>
  <c r="AA88" i="63"/>
  <c r="AF88" i="63"/>
  <c r="AC88" i="63"/>
  <c r="L99" i="63"/>
  <c r="S99" i="63" s="1"/>
  <c r="P104" i="63"/>
  <c r="X104" i="63"/>
  <c r="I11" i="63"/>
  <c r="X107" i="63"/>
  <c r="V138" i="63"/>
  <c r="Q138" i="63"/>
  <c r="X5" i="63"/>
  <c r="AD3" i="63"/>
  <c r="AA3" i="63"/>
  <c r="Z8" i="63"/>
  <c r="AA20" i="63"/>
  <c r="AC20" i="63"/>
  <c r="AB21" i="63"/>
  <c r="I74" i="63"/>
  <c r="AC114" i="63"/>
  <c r="Z114" i="63"/>
  <c r="AF114" i="63"/>
  <c r="AD114" i="63"/>
  <c r="F65" i="63"/>
  <c r="I65" i="63"/>
  <c r="V10" i="63"/>
  <c r="G65" i="63"/>
  <c r="H65" i="63" s="1"/>
  <c r="Q10" i="63"/>
  <c r="AD61" i="63"/>
  <c r="AF61" i="63"/>
  <c r="AC61" i="63"/>
  <c r="AB61" i="63"/>
  <c r="AB3" i="63"/>
  <c r="I13" i="63"/>
  <c r="F13" i="63"/>
  <c r="L13" i="63"/>
  <c r="S13" i="63" s="1"/>
  <c r="AF20" i="63"/>
  <c r="F64" i="63"/>
  <c r="AB87" i="63"/>
  <c r="AA87" i="63"/>
  <c r="Z87" i="63"/>
  <c r="AB98" i="63"/>
  <c r="AD98" i="63"/>
  <c r="Z98" i="63"/>
  <c r="AB8" i="63"/>
  <c r="AF21" i="63"/>
  <c r="AD21" i="63"/>
  <c r="G87" i="63"/>
  <c r="H87" i="63" s="1"/>
  <c r="Z88" i="63"/>
  <c r="AB113" i="63"/>
  <c r="AF113" i="63"/>
  <c r="AC113" i="63"/>
  <c r="AD113" i="63"/>
  <c r="Z113" i="63"/>
  <c r="AA45" i="63"/>
  <c r="AD45" i="63"/>
  <c r="AF45" i="63"/>
  <c r="AC45" i="63"/>
  <c r="AD110" i="63"/>
  <c r="Q133" i="63"/>
  <c r="AF140" i="63"/>
  <c r="AD140" i="63"/>
  <c r="AC140" i="63"/>
  <c r="AB140" i="63"/>
  <c r="AA140" i="63"/>
  <c r="Z140" i="63"/>
  <c r="F26" i="63"/>
  <c r="L26" i="63"/>
  <c r="S26" i="63" s="1"/>
  <c r="AD27" i="63"/>
  <c r="AC27" i="63"/>
  <c r="G47" i="63"/>
  <c r="H47" i="63" s="1"/>
  <c r="Z74" i="63"/>
  <c r="AC74" i="63"/>
  <c r="AD74" i="63"/>
  <c r="AB74" i="63"/>
  <c r="AC76" i="63"/>
  <c r="Z76" i="63"/>
  <c r="AA76" i="63"/>
  <c r="AD79" i="63"/>
  <c r="AB79" i="63"/>
  <c r="Z79" i="63"/>
  <c r="AA79" i="63"/>
  <c r="AA112" i="63"/>
  <c r="AB112" i="63"/>
  <c r="AB138" i="63"/>
  <c r="AD138" i="63"/>
  <c r="AF138" i="63"/>
  <c r="AA35" i="63"/>
  <c r="AD35" i="63"/>
  <c r="Z35" i="63"/>
  <c r="AF35" i="63"/>
  <c r="X53" i="63"/>
  <c r="I107" i="63"/>
  <c r="V120" i="63"/>
  <c r="AD22" i="63"/>
  <c r="AA22" i="63"/>
  <c r="Z22" i="63"/>
  <c r="AB22" i="63"/>
  <c r="O26" i="63"/>
  <c r="G26" i="63"/>
  <c r="H26" i="63" s="1"/>
  <c r="AF11" i="63"/>
  <c r="AB11" i="63"/>
  <c r="AA11" i="63"/>
  <c r="Z11" i="63"/>
  <c r="AC22" i="63"/>
  <c r="AD28" i="63"/>
  <c r="AC28" i="63"/>
  <c r="AB28" i="63"/>
  <c r="AD29" i="63"/>
  <c r="AC29" i="63"/>
  <c r="S34" i="63"/>
  <c r="F34" i="63"/>
  <c r="Z36" i="63"/>
  <c r="AC36" i="63"/>
  <c r="I41" i="63"/>
  <c r="F41" i="63"/>
  <c r="G41" i="63"/>
  <c r="H41" i="63" s="1"/>
  <c r="I87" i="63"/>
  <c r="F87" i="63"/>
  <c r="L92" i="63"/>
  <c r="S92" i="63" s="1"/>
  <c r="I92" i="63"/>
  <c r="F92" i="63"/>
  <c r="L94" i="63"/>
  <c r="S94" i="63" s="1"/>
  <c r="P99" i="63"/>
  <c r="X99" i="63"/>
  <c r="AA102" i="63"/>
  <c r="AD102" i="63"/>
  <c r="AF102" i="63"/>
  <c r="Z102" i="63"/>
  <c r="G107" i="63"/>
  <c r="H107" i="63" s="1"/>
  <c r="T107" i="63"/>
  <c r="Z110" i="63"/>
  <c r="Z51" i="63"/>
  <c r="AA51" i="63"/>
  <c r="AB64" i="63"/>
  <c r="X64" i="63"/>
  <c r="AD64" i="63"/>
  <c r="AC64" i="63"/>
  <c r="AA64" i="63"/>
  <c r="L134" i="63"/>
  <c r="S134" i="63" s="1"/>
  <c r="I134" i="63"/>
  <c r="O136" i="63"/>
  <c r="T136" i="63" s="1"/>
  <c r="X90" i="63"/>
  <c r="AA99" i="63"/>
  <c r="AE99" i="63" s="1"/>
  <c r="F99" i="63"/>
  <c r="AA49" i="63"/>
  <c r="Z49" i="63"/>
  <c r="Q64" i="63"/>
  <c r="AA72" i="63"/>
  <c r="Z72" i="63"/>
  <c r="AF72" i="63"/>
  <c r="O77" i="63"/>
  <c r="X117" i="63"/>
  <c r="AB125" i="63"/>
  <c r="X33" i="63"/>
  <c r="O38" i="63"/>
  <c r="AB49" i="63"/>
  <c r="AA53" i="63"/>
  <c r="AE53" i="63" s="1"/>
  <c r="I71" i="63"/>
  <c r="L71" i="63"/>
  <c r="S71" i="63" s="1"/>
  <c r="P77" i="63"/>
  <c r="G100" i="63"/>
  <c r="H100" i="63" s="1"/>
  <c r="L39" i="63"/>
  <c r="S39" i="63" s="1"/>
  <c r="AF86" i="63"/>
  <c r="AB86" i="63"/>
  <c r="AD86" i="63"/>
  <c r="AC86" i="63"/>
  <c r="Z86" i="63"/>
  <c r="AD105" i="63"/>
  <c r="Z105" i="63"/>
  <c r="AB105" i="63"/>
  <c r="L126" i="63"/>
  <c r="S126" i="63" s="1"/>
  <c r="AF136" i="63"/>
  <c r="AA136" i="63"/>
  <c r="AC136" i="63"/>
  <c r="AB136" i="63"/>
  <c r="AA137" i="63"/>
  <c r="AF137" i="63"/>
  <c r="X137" i="63"/>
  <c r="AC137" i="63"/>
  <c r="AB73" i="63"/>
  <c r="AA73" i="63"/>
  <c r="AC73" i="63"/>
  <c r="AA86" i="63"/>
  <c r="F93" i="63"/>
  <c r="AB94" i="63"/>
  <c r="AA94" i="63"/>
  <c r="Z94" i="63"/>
  <c r="AD94" i="63"/>
  <c r="L104" i="63"/>
  <c r="S104" i="63" s="1"/>
  <c r="I104" i="63"/>
  <c r="AC105" i="63"/>
  <c r="O113" i="63"/>
  <c r="L124" i="63"/>
  <c r="S124" i="63" s="1"/>
  <c r="I124" i="63"/>
  <c r="G126" i="63"/>
  <c r="H126" i="63" s="1"/>
  <c r="G138" i="63"/>
  <c r="H138" i="63" s="1"/>
  <c r="AF106" i="63"/>
  <c r="AA106" i="63"/>
  <c r="AD106" i="63"/>
  <c r="AA117" i="63"/>
  <c r="AC117" i="63"/>
  <c r="AB117" i="63"/>
  <c r="G127" i="63"/>
  <c r="H127" i="63" s="1"/>
  <c r="S128" i="63"/>
  <c r="F128" i="63"/>
  <c r="AC135" i="63"/>
  <c r="Z135" i="63"/>
  <c r="AB135" i="63"/>
  <c r="AA135" i="63"/>
  <c r="AB5" i="63"/>
  <c r="AE5" i="63" s="1"/>
  <c r="Z18" i="63"/>
  <c r="AE18" i="63" s="1"/>
  <c r="AA33" i="63"/>
  <c r="Z48" i="63"/>
  <c r="AA55" i="63"/>
  <c r="AA62" i="63"/>
  <c r="AA65" i="63"/>
  <c r="AB65" i="63"/>
  <c r="AF73" i="63"/>
  <c r="G94" i="63"/>
  <c r="H94" i="63" s="1"/>
  <c r="AA95" i="63"/>
  <c r="AF95" i="63"/>
  <c r="AD95" i="63"/>
  <c r="V107" i="63"/>
  <c r="AD117" i="63"/>
  <c r="X120" i="63"/>
  <c r="O120" i="63"/>
  <c r="T120" i="63" s="1"/>
  <c r="G124" i="63"/>
  <c r="H124" i="63" s="1"/>
  <c r="I126" i="63"/>
  <c r="AB133" i="63"/>
  <c r="AA133" i="63"/>
  <c r="AC71" i="63"/>
  <c r="AA71" i="63"/>
  <c r="Q73" i="63"/>
  <c r="AD90" i="63"/>
  <c r="AA90" i="63"/>
  <c r="AF90" i="63"/>
  <c r="P90" i="63"/>
  <c r="AF91" i="63"/>
  <c r="Z91" i="63"/>
  <c r="AD91" i="63"/>
  <c r="AD100" i="63"/>
  <c r="AA100" i="63"/>
  <c r="AC100" i="63"/>
  <c r="AF101" i="63"/>
  <c r="AB101" i="63"/>
  <c r="AC101" i="63"/>
  <c r="S117" i="63"/>
  <c r="L133" i="63"/>
  <c r="S133" i="63" s="1"/>
  <c r="AD134" i="63"/>
  <c r="AC134" i="63"/>
  <c r="Q77" i="63"/>
  <c r="X103" i="63"/>
  <c r="AA109" i="63"/>
  <c r="AB109" i="63"/>
  <c r="AB123" i="63"/>
  <c r="Z123" i="63"/>
  <c r="AD123" i="63"/>
  <c r="AF129" i="63"/>
  <c r="X129" i="63"/>
  <c r="AC129" i="63"/>
  <c r="AB129" i="63"/>
  <c r="AC78" i="63"/>
  <c r="L86" i="63"/>
  <c r="S86" i="63" s="1"/>
  <c r="AA107" i="63"/>
  <c r="Q107" i="63"/>
  <c r="AB107" i="63"/>
  <c r="AF116" i="63"/>
  <c r="AA116" i="63"/>
  <c r="Z120" i="63"/>
  <c r="AC120" i="63"/>
  <c r="AA120" i="63"/>
  <c r="AF131" i="63"/>
  <c r="AA131" i="63"/>
  <c r="AB131" i="63"/>
  <c r="AD139" i="63"/>
  <c r="Z78" i="63"/>
  <c r="G86" i="63"/>
  <c r="H86" i="63" s="1"/>
  <c r="AC107" i="63"/>
  <c r="AB116" i="63"/>
  <c r="AB120" i="63"/>
  <c r="P129" i="63"/>
  <c r="AC131" i="63"/>
  <c r="AF139" i="63"/>
  <c r="F113" i="63"/>
  <c r="AB128" i="63"/>
  <c r="AF128" i="63"/>
  <c r="S138" i="63"/>
  <c r="AA122" i="63"/>
  <c r="AC122" i="63"/>
  <c r="Z122" i="63"/>
  <c r="AF126" i="63"/>
  <c r="AC126" i="63"/>
  <c r="L140" i="63"/>
  <c r="S140" i="63" s="1"/>
  <c r="I140" i="63"/>
  <c r="L136" i="63"/>
  <c r="S136" i="63" s="1"/>
  <c r="Z118" i="63"/>
  <c r="O133" i="63"/>
  <c r="G112" i="63"/>
  <c r="H112" i="63" s="1"/>
  <c r="K140" i="57"/>
  <c r="J140" i="57"/>
  <c r="A140" i="57"/>
  <c r="M140" i="57" s="1"/>
  <c r="A139" i="57"/>
  <c r="N139" i="57" s="1"/>
  <c r="K138" i="57"/>
  <c r="J138" i="57"/>
  <c r="A138" i="57"/>
  <c r="M138" i="57" s="1"/>
  <c r="A137" i="57"/>
  <c r="D137" i="57" s="1"/>
  <c r="K136" i="57"/>
  <c r="J136" i="57"/>
  <c r="A136" i="57"/>
  <c r="N136" i="57" s="1"/>
  <c r="A135" i="57"/>
  <c r="M135" i="57" s="1"/>
  <c r="A134" i="57"/>
  <c r="AF134" i="57" s="1"/>
  <c r="K133" i="57"/>
  <c r="J133" i="57"/>
  <c r="A133" i="57"/>
  <c r="AD133" i="57" s="1"/>
  <c r="A132" i="57"/>
  <c r="AD132" i="57" s="1"/>
  <c r="A131" i="57"/>
  <c r="M131" i="57" s="1"/>
  <c r="K130" i="57"/>
  <c r="J130" i="57"/>
  <c r="A130" i="57"/>
  <c r="N130" i="57" s="1"/>
  <c r="A129" i="57"/>
  <c r="D129" i="57" s="1"/>
  <c r="K128" i="57"/>
  <c r="J128" i="57"/>
  <c r="A128" i="57"/>
  <c r="N128" i="57" s="1"/>
  <c r="A127" i="57"/>
  <c r="N127" i="57" s="1"/>
  <c r="K126" i="57"/>
  <c r="J126" i="57"/>
  <c r="A126" i="57"/>
  <c r="AB126" i="57" s="1"/>
  <c r="A125" i="57"/>
  <c r="AC125" i="57" s="1"/>
  <c r="K124" i="57"/>
  <c r="J124" i="57"/>
  <c r="A124" i="57"/>
  <c r="N124" i="57" s="1"/>
  <c r="A123" i="57"/>
  <c r="K123" i="57" s="1"/>
  <c r="A122" i="57"/>
  <c r="AF122" i="57" s="1"/>
  <c r="A121" i="57"/>
  <c r="K121" i="57" s="1"/>
  <c r="K120" i="57"/>
  <c r="J120" i="57"/>
  <c r="A120" i="57"/>
  <c r="N120" i="57" s="1"/>
  <c r="A119" i="57"/>
  <c r="J119" i="57" s="1"/>
  <c r="A118" i="57"/>
  <c r="J118" i="57" s="1"/>
  <c r="K117" i="57"/>
  <c r="J117" i="57"/>
  <c r="A117" i="57"/>
  <c r="AD117" i="57" s="1"/>
  <c r="A116" i="57"/>
  <c r="N116" i="57" s="1"/>
  <c r="A115" i="57"/>
  <c r="N115" i="57" s="1"/>
  <c r="K114" i="57"/>
  <c r="J114" i="57"/>
  <c r="A114" i="57"/>
  <c r="Z114" i="57" s="1"/>
  <c r="K113" i="57"/>
  <c r="J113" i="57"/>
  <c r="A113" i="57"/>
  <c r="M113" i="57" s="1"/>
  <c r="K112" i="57"/>
  <c r="J112" i="57"/>
  <c r="A112" i="57"/>
  <c r="N112" i="57" s="1"/>
  <c r="A111" i="57"/>
  <c r="M111" i="57" s="1"/>
  <c r="A110" i="57"/>
  <c r="AF110" i="57" s="1"/>
  <c r="A109" i="57"/>
  <c r="M109" i="57" s="1"/>
  <c r="A108" i="57"/>
  <c r="N108" i="57" s="1"/>
  <c r="A107" i="57"/>
  <c r="J107" i="57" s="1"/>
  <c r="A106" i="57"/>
  <c r="K106" i="57" s="1"/>
  <c r="K105" i="57"/>
  <c r="J105" i="57"/>
  <c r="A105" i="57"/>
  <c r="N105" i="57" s="1"/>
  <c r="K104" i="57"/>
  <c r="J104" i="57"/>
  <c r="A104" i="57"/>
  <c r="M104" i="57" s="1"/>
  <c r="A103" i="57"/>
  <c r="M103" i="57" s="1"/>
  <c r="A102" i="57"/>
  <c r="M102" i="57" s="1"/>
  <c r="K101" i="57"/>
  <c r="J101" i="57"/>
  <c r="A101" i="57"/>
  <c r="N101" i="57" s="1"/>
  <c r="K100" i="57"/>
  <c r="A100" i="57"/>
  <c r="E100" i="57" s="1"/>
  <c r="A99" i="57"/>
  <c r="E99" i="57" s="1"/>
  <c r="A98" i="57"/>
  <c r="A97" i="57"/>
  <c r="M97" i="57" s="1"/>
  <c r="K96" i="57"/>
  <c r="A96" i="57"/>
  <c r="D96" i="57" s="1"/>
  <c r="A95" i="57"/>
  <c r="AB95" i="57" s="1"/>
  <c r="K94" i="57"/>
  <c r="J94" i="57"/>
  <c r="A94" i="57"/>
  <c r="M94" i="57" s="1"/>
  <c r="K93" i="57"/>
  <c r="J93" i="57"/>
  <c r="A93" i="57"/>
  <c r="N93" i="57" s="1"/>
  <c r="K92" i="57"/>
  <c r="J92" i="57"/>
  <c r="A92" i="57"/>
  <c r="N92" i="57" s="1"/>
  <c r="A91" i="57"/>
  <c r="AD91" i="57" s="1"/>
  <c r="A90" i="57"/>
  <c r="E90" i="57" s="1"/>
  <c r="A89" i="57"/>
  <c r="Z89" i="57" s="1"/>
  <c r="A88" i="57"/>
  <c r="D88" i="57" s="1"/>
  <c r="K87" i="57"/>
  <c r="J87" i="57"/>
  <c r="A87" i="57"/>
  <c r="AC87" i="57" s="1"/>
  <c r="K86" i="57"/>
  <c r="J86" i="57"/>
  <c r="A86" i="57"/>
  <c r="AD86" i="57" s="1"/>
  <c r="A85" i="57"/>
  <c r="D85" i="57" s="1"/>
  <c r="K84" i="57"/>
  <c r="J84" i="57"/>
  <c r="A84" i="57"/>
  <c r="N84" i="57" s="1"/>
  <c r="A83" i="57"/>
  <c r="E83" i="57" s="1"/>
  <c r="A82" i="57"/>
  <c r="AB82" i="57" s="1"/>
  <c r="A81" i="57"/>
  <c r="J81" i="57" s="1"/>
  <c r="A80" i="57"/>
  <c r="AF80" i="57" s="1"/>
  <c r="A79" i="57"/>
  <c r="E79" i="57" s="1"/>
  <c r="A78" i="57"/>
  <c r="K78" i="57" s="1"/>
  <c r="K77" i="57"/>
  <c r="J77" i="57"/>
  <c r="A77" i="57"/>
  <c r="M77" i="57" s="1"/>
  <c r="K76" i="57"/>
  <c r="A76" i="57"/>
  <c r="A75" i="57"/>
  <c r="K75" i="57" s="1"/>
  <c r="A74" i="57"/>
  <c r="N74" i="57" s="1"/>
  <c r="A73" i="57"/>
  <c r="M73" i="57" s="1"/>
  <c r="K72" i="57"/>
  <c r="A72" i="57"/>
  <c r="AD72" i="57" s="1"/>
  <c r="K71" i="57"/>
  <c r="J71" i="57"/>
  <c r="A71" i="57"/>
  <c r="AB71" i="57" s="1"/>
  <c r="A70" i="57"/>
  <c r="K70" i="57" s="1"/>
  <c r="A69" i="57"/>
  <c r="J69" i="57" s="1"/>
  <c r="A68" i="57"/>
  <c r="M68" i="57" s="1"/>
  <c r="A67" i="57"/>
  <c r="E67" i="57" s="1"/>
  <c r="A66" i="57"/>
  <c r="K66" i="57" s="1"/>
  <c r="A65" i="57"/>
  <c r="E65" i="57" s="1"/>
  <c r="A64" i="57"/>
  <c r="M64" i="57" s="1"/>
  <c r="A63" i="57"/>
  <c r="N63" i="57" s="1"/>
  <c r="A62" i="57"/>
  <c r="Z62" i="57" s="1"/>
  <c r="A61" i="57"/>
  <c r="M61" i="57" s="1"/>
  <c r="A60" i="57"/>
  <c r="D60" i="57" s="1"/>
  <c r="A59" i="57"/>
  <c r="A58" i="57"/>
  <c r="Z58" i="57" s="1"/>
  <c r="K57" i="57"/>
  <c r="J57" i="57"/>
  <c r="A57" i="57"/>
  <c r="M57" i="57" s="1"/>
  <c r="A56" i="57"/>
  <c r="AB56" i="57" s="1"/>
  <c r="A55" i="57"/>
  <c r="AC55" i="57" s="1"/>
  <c r="A54" i="57"/>
  <c r="D54" i="57" s="1"/>
  <c r="I54" i="57" s="1"/>
  <c r="A53" i="57"/>
  <c r="E53" i="57" s="1"/>
  <c r="A52" i="57"/>
  <c r="D52" i="57" s="1"/>
  <c r="A51" i="57"/>
  <c r="M51" i="57" s="1"/>
  <c r="A50" i="57"/>
  <c r="N50" i="57" s="1"/>
  <c r="A49" i="57"/>
  <c r="AD49" i="57" s="1"/>
  <c r="A48" i="57"/>
  <c r="K47" i="57"/>
  <c r="J47" i="57"/>
  <c r="A47" i="57"/>
  <c r="M47" i="57" s="1"/>
  <c r="A46" i="57"/>
  <c r="E46" i="57" s="1"/>
  <c r="A45" i="57"/>
  <c r="M45" i="57" s="1"/>
  <c r="K44" i="57"/>
  <c r="J44" i="57"/>
  <c r="A44" i="57"/>
  <c r="AA44" i="57" s="1"/>
  <c r="A43" i="57"/>
  <c r="N43" i="57" s="1"/>
  <c r="A42" i="57"/>
  <c r="AF42" i="57" s="1"/>
  <c r="K41" i="57"/>
  <c r="J41" i="57"/>
  <c r="A41" i="57"/>
  <c r="Z41" i="57" s="1"/>
  <c r="K40" i="57"/>
  <c r="J40" i="57"/>
  <c r="A40" i="57"/>
  <c r="N40" i="57" s="1"/>
  <c r="K39" i="57"/>
  <c r="J39" i="57"/>
  <c r="A39" i="57"/>
  <c r="AC39" i="57" s="1"/>
  <c r="K38" i="57"/>
  <c r="J38" i="57"/>
  <c r="A38" i="57"/>
  <c r="AA38" i="57" s="1"/>
  <c r="A37" i="57"/>
  <c r="E37" i="57" s="1"/>
  <c r="K36" i="57"/>
  <c r="J36" i="57"/>
  <c r="A36" i="57"/>
  <c r="AC36" i="57" s="1"/>
  <c r="A35" i="57"/>
  <c r="AB35" i="57" s="1"/>
  <c r="K34" i="57"/>
  <c r="J34" i="57"/>
  <c r="A34" i="57"/>
  <c r="AF34" i="57" s="1"/>
  <c r="A33" i="57"/>
  <c r="M33" i="57" s="1"/>
  <c r="K32" i="57"/>
  <c r="A32" i="57"/>
  <c r="D32" i="57" s="1"/>
  <c r="I32" i="57" s="1"/>
  <c r="A31" i="57"/>
  <c r="E31" i="57" s="1"/>
  <c r="A30" i="57"/>
  <c r="J30" i="57" s="1"/>
  <c r="A29" i="57"/>
  <c r="AC29" i="57" s="1"/>
  <c r="A28" i="57"/>
  <c r="M28" i="57" s="1"/>
  <c r="A27" i="57"/>
  <c r="N27" i="57" s="1"/>
  <c r="K26" i="57"/>
  <c r="J26" i="57"/>
  <c r="A26" i="57"/>
  <c r="AC26" i="57" s="1"/>
  <c r="A25" i="57"/>
  <c r="E25" i="57" s="1"/>
  <c r="A24" i="57"/>
  <c r="D24" i="57" s="1"/>
  <c r="A23" i="57"/>
  <c r="A22" i="57"/>
  <c r="AB22" i="57" s="1"/>
  <c r="A21" i="57"/>
  <c r="M21" i="57" s="1"/>
  <c r="A20" i="57"/>
  <c r="AC20" i="57" s="1"/>
  <c r="A19" i="57"/>
  <c r="N19" i="57" s="1"/>
  <c r="A18" i="57"/>
  <c r="A17" i="57"/>
  <c r="Z17" i="57" s="1"/>
  <c r="A16" i="57"/>
  <c r="AC16" i="57" s="1"/>
  <c r="A15" i="57"/>
  <c r="J15" i="57" s="1"/>
  <c r="A14" i="57"/>
  <c r="AC14" i="57" s="1"/>
  <c r="K13" i="57"/>
  <c r="J13" i="57"/>
  <c r="A13" i="57"/>
  <c r="AB13" i="57" s="1"/>
  <c r="A12" i="57"/>
  <c r="AB12" i="57" s="1"/>
  <c r="A11" i="57"/>
  <c r="AA11" i="57" s="1"/>
  <c r="K10" i="57"/>
  <c r="J10" i="57"/>
  <c r="A10" i="57"/>
  <c r="AD10" i="57" s="1"/>
  <c r="A9" i="57"/>
  <c r="M9" i="57" s="1"/>
  <c r="A8" i="57"/>
  <c r="AA8" i="57" s="1"/>
  <c r="A7" i="57"/>
  <c r="N7" i="57" s="1"/>
  <c r="A6" i="57"/>
  <c r="E6" i="57" s="1"/>
  <c r="A5" i="57"/>
  <c r="AD5" i="57" s="1"/>
  <c r="A4" i="57"/>
  <c r="A3" i="57"/>
  <c r="M3" i="57" s="1"/>
  <c r="A2" i="57"/>
  <c r="AC2" i="57" s="1"/>
  <c r="E10" i="57"/>
  <c r="E13" i="57"/>
  <c r="E26" i="57"/>
  <c r="E34" i="57"/>
  <c r="E36" i="57"/>
  <c r="E38" i="57"/>
  <c r="E39" i="57"/>
  <c r="E40" i="57"/>
  <c r="E41" i="57"/>
  <c r="E44" i="57"/>
  <c r="E47" i="57"/>
  <c r="E57" i="57"/>
  <c r="E71" i="57"/>
  <c r="E77" i="57"/>
  <c r="E84" i="57"/>
  <c r="E86" i="57"/>
  <c r="E87" i="57"/>
  <c r="E92" i="57"/>
  <c r="E93" i="57"/>
  <c r="E94" i="57"/>
  <c r="E101" i="57"/>
  <c r="E104" i="57"/>
  <c r="E105" i="57"/>
  <c r="E112" i="57"/>
  <c r="E113" i="57"/>
  <c r="E114" i="57"/>
  <c r="E117" i="57"/>
  <c r="E120" i="57"/>
  <c r="E124" i="57"/>
  <c r="E126" i="57"/>
  <c r="E128" i="57"/>
  <c r="E130" i="57"/>
  <c r="E133" i="57"/>
  <c r="E136" i="57"/>
  <c r="E138" i="57"/>
  <c r="E140" i="57"/>
  <c r="D10" i="57"/>
  <c r="I10" i="57" s="1"/>
  <c r="D13" i="57"/>
  <c r="I13" i="57" s="1"/>
  <c r="D26" i="57"/>
  <c r="D34" i="57"/>
  <c r="D36" i="57"/>
  <c r="D38" i="57"/>
  <c r="I38" i="57" s="1"/>
  <c r="D39" i="57"/>
  <c r="D40" i="57"/>
  <c r="D41" i="57"/>
  <c r="D44" i="57"/>
  <c r="D47" i="57"/>
  <c r="I47" i="57" s="1"/>
  <c r="D57" i="57"/>
  <c r="D71" i="57"/>
  <c r="I71" i="57" s="1"/>
  <c r="D77" i="57"/>
  <c r="I77" i="57" s="1"/>
  <c r="D84" i="57"/>
  <c r="D86" i="57"/>
  <c r="I86" i="57" s="1"/>
  <c r="D87" i="57"/>
  <c r="D92" i="57"/>
  <c r="I92" i="57" s="1"/>
  <c r="D93" i="57"/>
  <c r="D94" i="57"/>
  <c r="D101" i="57"/>
  <c r="D104" i="57"/>
  <c r="D105" i="57"/>
  <c r="D112" i="57"/>
  <c r="D113" i="57"/>
  <c r="D114" i="57"/>
  <c r="D117" i="57"/>
  <c r="I117" i="57" s="1"/>
  <c r="D118" i="57"/>
  <c r="D120" i="57"/>
  <c r="I120" i="57" s="1"/>
  <c r="D124" i="57"/>
  <c r="D126" i="57"/>
  <c r="D128" i="57"/>
  <c r="D130" i="57"/>
  <c r="I130" i="57" s="1"/>
  <c r="D133" i="57"/>
  <c r="D136" i="57"/>
  <c r="D138" i="57"/>
  <c r="D140" i="57"/>
  <c r="I140" i="57" s="1"/>
  <c r="C2" i="57"/>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B2" i="57"/>
  <c r="B3" i="57"/>
  <c r="B4" i="57"/>
  <c r="B5" i="57"/>
  <c r="B6" i="57"/>
  <c r="B7" i="57"/>
  <c r="B8" i="57"/>
  <c r="B9" i="57"/>
  <c r="B11" i="57"/>
  <c r="B12" i="57"/>
  <c r="B14" i="57"/>
  <c r="B15" i="57"/>
  <c r="B16" i="57"/>
  <c r="B17" i="57"/>
  <c r="B18" i="57"/>
  <c r="B19" i="57"/>
  <c r="B20" i="57"/>
  <c r="B21" i="57"/>
  <c r="B22" i="57"/>
  <c r="B23" i="57"/>
  <c r="B24" i="57"/>
  <c r="B25" i="57"/>
  <c r="B27" i="57"/>
  <c r="B28" i="57"/>
  <c r="B29" i="57"/>
  <c r="B30" i="57"/>
  <c r="B31" i="57"/>
  <c r="B32" i="57"/>
  <c r="B33" i="57"/>
  <c r="B35" i="57"/>
  <c r="B37" i="57"/>
  <c r="B42" i="57"/>
  <c r="B43" i="57"/>
  <c r="B45" i="57"/>
  <c r="B46" i="57"/>
  <c r="B48" i="57"/>
  <c r="B49" i="57"/>
  <c r="B50" i="57"/>
  <c r="B51" i="57"/>
  <c r="B52" i="57"/>
  <c r="B53" i="57"/>
  <c r="B54" i="57"/>
  <c r="B55" i="57"/>
  <c r="B56" i="57"/>
  <c r="B58" i="57"/>
  <c r="B59" i="57"/>
  <c r="B60" i="57"/>
  <c r="B61" i="57"/>
  <c r="B62" i="57"/>
  <c r="B63" i="57"/>
  <c r="B64" i="57"/>
  <c r="B65" i="57"/>
  <c r="B66" i="57"/>
  <c r="B67" i="57"/>
  <c r="B68" i="57"/>
  <c r="B69" i="57"/>
  <c r="B70" i="57"/>
  <c r="B72" i="57"/>
  <c r="B73" i="57"/>
  <c r="B74" i="57"/>
  <c r="B75" i="57"/>
  <c r="B76" i="57"/>
  <c r="B78" i="57"/>
  <c r="B79" i="57"/>
  <c r="B80" i="57"/>
  <c r="B81" i="57"/>
  <c r="B82" i="57"/>
  <c r="B83" i="57"/>
  <c r="B85" i="57"/>
  <c r="B88" i="57"/>
  <c r="B89" i="57"/>
  <c r="B90" i="57"/>
  <c r="B91" i="57"/>
  <c r="B95" i="57"/>
  <c r="B96" i="57"/>
  <c r="B97" i="57"/>
  <c r="B98" i="57"/>
  <c r="B99" i="57"/>
  <c r="B100" i="57"/>
  <c r="B102" i="57"/>
  <c r="B103" i="57"/>
  <c r="B106" i="57"/>
  <c r="B107" i="57"/>
  <c r="B108" i="57"/>
  <c r="B109" i="57"/>
  <c r="B110" i="57"/>
  <c r="B111" i="57"/>
  <c r="B115" i="57"/>
  <c r="B116" i="57"/>
  <c r="B118" i="57"/>
  <c r="B119" i="57"/>
  <c r="B121" i="57"/>
  <c r="B122" i="57"/>
  <c r="B123" i="57"/>
  <c r="B125" i="57"/>
  <c r="B127" i="57"/>
  <c r="B129" i="57"/>
  <c r="B131" i="57"/>
  <c r="B132" i="57"/>
  <c r="B134" i="57"/>
  <c r="B135" i="57"/>
  <c r="B137" i="57"/>
  <c r="B139" i="57"/>
  <c r="A2" i="19"/>
  <c r="AE10" i="63" l="1"/>
  <c r="V81" i="63"/>
  <c r="F51" i="63"/>
  <c r="V12" i="63"/>
  <c r="V33" i="63"/>
  <c r="F75" i="63"/>
  <c r="Q46" i="63"/>
  <c r="G45" i="63"/>
  <c r="H45" i="63" s="1"/>
  <c r="P36" i="63"/>
  <c r="Q129" i="63"/>
  <c r="P136" i="63"/>
  <c r="O53" i="63"/>
  <c r="T53" i="63" s="1"/>
  <c r="L11" i="63"/>
  <c r="S11" i="63" s="1"/>
  <c r="F53" i="63"/>
  <c r="V127" i="63"/>
  <c r="P53" i="63"/>
  <c r="P72" i="63"/>
  <c r="Z70" i="57"/>
  <c r="P70" i="63"/>
  <c r="P31" i="63"/>
  <c r="AE33" i="63"/>
  <c r="X47" i="63"/>
  <c r="P47" i="63"/>
  <c r="L105" i="63"/>
  <c r="S105" i="63" s="1"/>
  <c r="X8" i="63"/>
  <c r="G105" i="63"/>
  <c r="H105" i="63" s="1"/>
  <c r="F105" i="63"/>
  <c r="L91" i="63"/>
  <c r="S91" i="63" s="1"/>
  <c r="X31" i="63"/>
  <c r="AE139" i="63"/>
  <c r="X36" i="63"/>
  <c r="X109" i="63"/>
  <c r="L20" i="63"/>
  <c r="S20" i="63" s="1"/>
  <c r="L3" i="63"/>
  <c r="S3" i="63" s="1"/>
  <c r="Q3" i="63"/>
  <c r="L70" i="63"/>
  <c r="S70" i="63" s="1"/>
  <c r="V70" i="63"/>
  <c r="L46" i="63"/>
  <c r="U84" i="63"/>
  <c r="X51" i="63"/>
  <c r="F79" i="63"/>
  <c r="L106" i="63"/>
  <c r="S106" i="63" s="1"/>
  <c r="O42" i="63"/>
  <c r="T42" i="63" s="1"/>
  <c r="AE31" i="63"/>
  <c r="E135" i="57"/>
  <c r="X62" i="63"/>
  <c r="G139" i="63"/>
  <c r="H139" i="63" s="1"/>
  <c r="I8" i="63"/>
  <c r="O126" i="63"/>
  <c r="Q116" i="63"/>
  <c r="Q126" i="63"/>
  <c r="I79" i="63"/>
  <c r="L79" i="63"/>
  <c r="S79" i="63" s="1"/>
  <c r="I106" i="63"/>
  <c r="I139" i="63"/>
  <c r="F14" i="63"/>
  <c r="O31" i="63"/>
  <c r="T31" i="63" s="1"/>
  <c r="V132" i="63"/>
  <c r="G17" i="63"/>
  <c r="H17" i="63" s="1"/>
  <c r="P95" i="63"/>
  <c r="V80" i="63"/>
  <c r="G46" i="63"/>
  <c r="H46" i="63" s="1"/>
  <c r="G131" i="63"/>
  <c r="H131" i="63" s="1"/>
  <c r="G8" i="63"/>
  <c r="H8" i="63" s="1"/>
  <c r="X139" i="63"/>
  <c r="P29" i="63"/>
  <c r="P108" i="63"/>
  <c r="P51" i="63"/>
  <c r="I46" i="63"/>
  <c r="Q125" i="63"/>
  <c r="V98" i="63"/>
  <c r="G49" i="63"/>
  <c r="H49" i="63" s="1"/>
  <c r="X3" i="63"/>
  <c r="G16" i="63"/>
  <c r="H16" i="63" s="1"/>
  <c r="AB86" i="57"/>
  <c r="AC86" i="57"/>
  <c r="AA140" i="57"/>
  <c r="Q80" i="63"/>
  <c r="F46" i="63"/>
  <c r="L30" i="63"/>
  <c r="S30" i="63" s="1"/>
  <c r="O89" i="63"/>
  <c r="T89" i="63" s="1"/>
  <c r="G30" i="63"/>
  <c r="H30" i="63" s="1"/>
  <c r="X70" i="63"/>
  <c r="I70" i="63"/>
  <c r="O127" i="63"/>
  <c r="T127" i="63" s="1"/>
  <c r="L17" i="63"/>
  <c r="AE80" i="63"/>
  <c r="Q79" i="63"/>
  <c r="G114" i="63"/>
  <c r="H114" i="63" s="1"/>
  <c r="V112" i="63"/>
  <c r="F36" i="63"/>
  <c r="U36" i="63" s="1"/>
  <c r="F89" i="63"/>
  <c r="F17" i="63"/>
  <c r="U17" i="63" s="1"/>
  <c r="F114" i="63"/>
  <c r="V103" i="63"/>
  <c r="AB114" i="57"/>
  <c r="AB30" i="57"/>
  <c r="Q35" i="63"/>
  <c r="V79" i="63"/>
  <c r="X127" i="63"/>
  <c r="AE46" i="63"/>
  <c r="F33" i="63"/>
  <c r="X114" i="63"/>
  <c r="G88" i="63"/>
  <c r="H88" i="63" s="1"/>
  <c r="L49" i="63"/>
  <c r="S49" i="63" s="1"/>
  <c r="P14" i="63"/>
  <c r="AC27" i="57"/>
  <c r="E118" i="57"/>
  <c r="AB28" i="57"/>
  <c r="AC68" i="57"/>
  <c r="X16" i="63"/>
  <c r="AE104" i="63"/>
  <c r="L8" i="63"/>
  <c r="S8" i="63" s="1"/>
  <c r="O46" i="63"/>
  <c r="T46" i="63" s="1"/>
  <c r="O70" i="63"/>
  <c r="T70" i="63" s="1"/>
  <c r="X94" i="57"/>
  <c r="L127" i="63"/>
  <c r="S127" i="63" s="1"/>
  <c r="Z106" i="57"/>
  <c r="P96" i="63"/>
  <c r="AE12" i="63"/>
  <c r="O80" i="63"/>
  <c r="P8" i="63"/>
  <c r="L51" i="63"/>
  <c r="S51" i="63" s="1"/>
  <c r="AB68" i="57"/>
  <c r="Q45" i="63"/>
  <c r="L61" i="63"/>
  <c r="S61" i="63" s="1"/>
  <c r="O30" i="63"/>
  <c r="X125" i="63"/>
  <c r="X42" i="63"/>
  <c r="O100" i="63"/>
  <c r="T100" i="63" s="1"/>
  <c r="P100" i="63"/>
  <c r="I33" i="63"/>
  <c r="F70" i="63"/>
  <c r="G116" i="63"/>
  <c r="H116" i="63" s="1"/>
  <c r="AE70" i="63"/>
  <c r="L93" i="63"/>
  <c r="S93" i="63" s="1"/>
  <c r="F80" i="63"/>
  <c r="AE127" i="63"/>
  <c r="AB31" i="57"/>
  <c r="I61" i="63"/>
  <c r="P16" i="63"/>
  <c r="Q31" i="63"/>
  <c r="L33" i="63"/>
  <c r="S33" i="63" s="1"/>
  <c r="P46" i="63"/>
  <c r="D106" i="57"/>
  <c r="I106" i="57" s="1"/>
  <c r="Z86" i="57"/>
  <c r="V31" i="63"/>
  <c r="X10" i="63"/>
  <c r="V139" i="63"/>
  <c r="P21" i="63"/>
  <c r="P114" i="63"/>
  <c r="AC95" i="57"/>
  <c r="G80" i="63"/>
  <c r="H80" i="63" s="1"/>
  <c r="O71" i="63"/>
  <c r="T71" i="63" s="1"/>
  <c r="D33" i="57"/>
  <c r="I33" i="57" s="1"/>
  <c r="AD103" i="57"/>
  <c r="O62" i="63"/>
  <c r="P71" i="63"/>
  <c r="AC56" i="57"/>
  <c r="Z33" i="57"/>
  <c r="Z46" i="57"/>
  <c r="AB104" i="57"/>
  <c r="AB57" i="57"/>
  <c r="AA68" i="57"/>
  <c r="AB106" i="57"/>
  <c r="AA14" i="57"/>
  <c r="I116" i="63"/>
  <c r="P62" i="63"/>
  <c r="I80" i="63"/>
  <c r="E103" i="57"/>
  <c r="L80" i="63"/>
  <c r="S80" i="63" s="1"/>
  <c r="U104" i="63"/>
  <c r="V108" i="63"/>
  <c r="V28" i="63"/>
  <c r="V91" i="63"/>
  <c r="Q112" i="63"/>
  <c r="Z32" i="57"/>
  <c r="Z51" i="57"/>
  <c r="Z138" i="57"/>
  <c r="AB14" i="57"/>
  <c r="AA51" i="57"/>
  <c r="AA86" i="57"/>
  <c r="AA138" i="57"/>
  <c r="D56" i="57"/>
  <c r="AA15" i="57"/>
  <c r="AB51" i="57"/>
  <c r="AB138" i="57"/>
  <c r="D51" i="57"/>
  <c r="AA3" i="57"/>
  <c r="Z56" i="57"/>
  <c r="AC138" i="57"/>
  <c r="AD138" i="57"/>
  <c r="X85" i="63"/>
  <c r="F42" i="63"/>
  <c r="P101" i="63"/>
  <c r="Q114" i="63"/>
  <c r="AA94" i="57"/>
  <c r="E115" i="57"/>
  <c r="F20" i="63"/>
  <c r="U20" i="63" s="1"/>
  <c r="Z94" i="57"/>
  <c r="AD25" i="57"/>
  <c r="Z72" i="57"/>
  <c r="AE112" i="63"/>
  <c r="AE3" i="63"/>
  <c r="AB3" i="57"/>
  <c r="E33" i="57"/>
  <c r="Z26" i="57"/>
  <c r="AC51" i="57"/>
  <c r="AA72" i="57"/>
  <c r="AB55" i="57"/>
  <c r="AC72" i="57"/>
  <c r="E63" i="57"/>
  <c r="E51" i="57"/>
  <c r="AE26" i="63"/>
  <c r="Q98" i="63"/>
  <c r="D72" i="57"/>
  <c r="D64" i="57"/>
  <c r="I64" i="57" s="1"/>
  <c r="D3" i="57"/>
  <c r="P25" i="63"/>
  <c r="AC106" i="57"/>
  <c r="E139" i="57"/>
  <c r="AE89" i="63"/>
  <c r="AB88" i="57"/>
  <c r="AA26" i="57"/>
  <c r="O118" i="63"/>
  <c r="T118" i="63" s="1"/>
  <c r="V22" i="63"/>
  <c r="F55" i="63"/>
  <c r="O135" i="63"/>
  <c r="T135" i="63" s="1"/>
  <c r="AC28" i="57"/>
  <c r="D102" i="57"/>
  <c r="E106" i="57"/>
  <c r="G10" i="63"/>
  <c r="H10" i="63" s="1"/>
  <c r="G89" i="63"/>
  <c r="H89" i="63" s="1"/>
  <c r="V101" i="63"/>
  <c r="Z3" i="57"/>
  <c r="AD55" i="57"/>
  <c r="AB72" i="57"/>
  <c r="AD95" i="57"/>
  <c r="D95" i="57"/>
  <c r="E127" i="57"/>
  <c r="E15" i="57"/>
  <c r="O15" i="63"/>
  <c r="T15" i="63" s="1"/>
  <c r="AE129" i="63"/>
  <c r="AE134" i="63"/>
  <c r="AE138" i="63"/>
  <c r="AE101" i="63"/>
  <c r="AE110" i="63"/>
  <c r="AE71" i="63"/>
  <c r="AE106" i="63"/>
  <c r="AE107" i="63"/>
  <c r="AE49" i="63"/>
  <c r="AE90" i="63"/>
  <c r="AE11" i="63"/>
  <c r="AE98" i="63"/>
  <c r="AE60" i="63"/>
  <c r="AE30" i="63"/>
  <c r="AE93" i="63"/>
  <c r="AE103" i="63"/>
  <c r="AE15" i="63"/>
  <c r="AE109" i="63"/>
  <c r="AE100" i="63"/>
  <c r="AE29" i="63"/>
  <c r="AE61" i="63"/>
  <c r="AE16" i="63"/>
  <c r="AE133" i="63"/>
  <c r="AE75" i="63"/>
  <c r="AE35" i="63"/>
  <c r="AE2" i="63"/>
  <c r="AE132" i="63"/>
  <c r="AE125" i="63"/>
  <c r="AE40" i="63"/>
  <c r="AE42" i="63"/>
  <c r="AE20" i="63"/>
  <c r="AE122" i="63"/>
  <c r="AE14" i="63"/>
  <c r="AE120" i="63"/>
  <c r="AE85" i="63"/>
  <c r="AE62" i="63"/>
  <c r="AE27" i="63"/>
  <c r="L118" i="63"/>
  <c r="S118" i="63" s="1"/>
  <c r="X68" i="63"/>
  <c r="P89" i="63"/>
  <c r="Q103" i="63"/>
  <c r="O139" i="63"/>
  <c r="T139" i="63" s="1"/>
  <c r="W127" i="63"/>
  <c r="V14" i="63"/>
  <c r="I55" i="63"/>
  <c r="O108" i="63"/>
  <c r="T108" i="63" s="1"/>
  <c r="O114" i="63"/>
  <c r="T114" i="63" s="1"/>
  <c r="P30" i="63"/>
  <c r="X78" i="63"/>
  <c r="Q89" i="63"/>
  <c r="F101" i="63"/>
  <c r="L85" i="63"/>
  <c r="S85" i="63" s="1"/>
  <c r="P123" i="63"/>
  <c r="I132" i="63"/>
  <c r="P42" i="63"/>
  <c r="L65" i="63"/>
  <c r="S65" i="63" s="1"/>
  <c r="G55" i="63"/>
  <c r="H55" i="63" s="1"/>
  <c r="O88" i="63"/>
  <c r="T88" i="63" s="1"/>
  <c r="O138" i="63"/>
  <c r="T138" i="63" s="1"/>
  <c r="L132" i="63"/>
  <c r="S132" i="63" s="1"/>
  <c r="P10" i="63"/>
  <c r="L103" i="63"/>
  <c r="S103" i="63" s="1"/>
  <c r="G42" i="63"/>
  <c r="H42" i="63" s="1"/>
  <c r="F122" i="63"/>
  <c r="X89" i="63"/>
  <c r="V55" i="63"/>
  <c r="P138" i="63"/>
  <c r="T25" i="63"/>
  <c r="O49" i="63"/>
  <c r="G48" i="63"/>
  <c r="H48" i="63" s="1"/>
  <c r="V42" i="63"/>
  <c r="X76" i="63"/>
  <c r="G25" i="63"/>
  <c r="H25" i="63" s="1"/>
  <c r="U127" i="63"/>
  <c r="V85" i="63"/>
  <c r="G35" i="63"/>
  <c r="H35" i="63" s="1"/>
  <c r="V48" i="63"/>
  <c r="G122" i="63"/>
  <c r="H122" i="63" s="1"/>
  <c r="F25" i="63"/>
  <c r="U25" i="63" s="1"/>
  <c r="Q105" i="63"/>
  <c r="V118" i="63"/>
  <c r="V15" i="63"/>
  <c r="X14" i="63"/>
  <c r="L109" i="63"/>
  <c r="S109" i="63" s="1"/>
  <c r="O18" i="63"/>
  <c r="T18" i="63" s="1"/>
  <c r="O116" i="63"/>
  <c r="T116" i="63" s="1"/>
  <c r="O128" i="63"/>
  <c r="U128" i="63" s="1"/>
  <c r="F15" i="63"/>
  <c r="O55" i="63"/>
  <c r="T55" i="63" s="1"/>
  <c r="O95" i="63"/>
  <c r="T95" i="63" s="1"/>
  <c r="L55" i="63"/>
  <c r="S55" i="63" s="1"/>
  <c r="Q28" i="63"/>
  <c r="AE73" i="63"/>
  <c r="P48" i="63"/>
  <c r="X48" i="63"/>
  <c r="V131" i="63"/>
  <c r="V35" i="63"/>
  <c r="Q123" i="63"/>
  <c r="V123" i="63"/>
  <c r="AE131" i="63"/>
  <c r="AE45" i="63"/>
  <c r="Q22" i="63"/>
  <c r="G15" i="63"/>
  <c r="H15" i="63" s="1"/>
  <c r="O12" i="63"/>
  <c r="T12" i="63" s="1"/>
  <c r="O129" i="63"/>
  <c r="T129" i="63" s="1"/>
  <c r="AE123" i="63"/>
  <c r="X11" i="63"/>
  <c r="Q85" i="63"/>
  <c r="Q9" i="63"/>
  <c r="Q25" i="63"/>
  <c r="I15" i="63"/>
  <c r="L14" i="63"/>
  <c r="S14" i="63" s="1"/>
  <c r="I14" i="63"/>
  <c r="L74" i="63"/>
  <c r="S74" i="63" s="1"/>
  <c r="AE128" i="63"/>
  <c r="I103" i="63"/>
  <c r="AE8" i="63"/>
  <c r="L15" i="63"/>
  <c r="O48" i="63"/>
  <c r="T48" i="63" s="1"/>
  <c r="L42" i="63"/>
  <c r="G14" i="63"/>
  <c r="H14" i="63" s="1"/>
  <c r="AE135" i="63"/>
  <c r="AE28" i="63"/>
  <c r="Q78" i="63"/>
  <c r="O10" i="63"/>
  <c r="T10" i="63" s="1"/>
  <c r="X132" i="63"/>
  <c r="P78" i="63"/>
  <c r="P12" i="63"/>
  <c r="I10" i="63"/>
  <c r="F10" i="63"/>
  <c r="L10" i="63"/>
  <c r="S10" i="63" s="1"/>
  <c r="V75" i="63"/>
  <c r="Q75" i="63"/>
  <c r="AE136" i="63"/>
  <c r="AE13" i="63"/>
  <c r="Q118" i="63"/>
  <c r="Q14" i="63"/>
  <c r="AE7" i="63"/>
  <c r="P85" i="63"/>
  <c r="X21" i="63"/>
  <c r="O75" i="63"/>
  <c r="T75" i="63" s="1"/>
  <c r="G75" i="63"/>
  <c r="H75" i="63" s="1"/>
  <c r="X101" i="63"/>
  <c r="L78" i="63"/>
  <c r="S78" i="63" s="1"/>
  <c r="I78" i="63"/>
  <c r="X18" i="63"/>
  <c r="P18" i="63"/>
  <c r="V90" i="63"/>
  <c r="O85" i="63"/>
  <c r="T85" i="63" s="1"/>
  <c r="Q15" i="63"/>
  <c r="P122" i="63"/>
  <c r="X122" i="63"/>
  <c r="AE116" i="63"/>
  <c r="AE76" i="63"/>
  <c r="L25" i="63"/>
  <c r="S25" i="63" s="1"/>
  <c r="Q42" i="63"/>
  <c r="Q12" i="63"/>
  <c r="G85" i="63"/>
  <c r="H85" i="63" s="1"/>
  <c r="V89" i="63"/>
  <c r="X12" i="63"/>
  <c r="AE118" i="63"/>
  <c r="L130" i="63"/>
  <c r="S130" i="63" s="1"/>
  <c r="I130" i="63"/>
  <c r="F130" i="63"/>
  <c r="Q101" i="63"/>
  <c r="V128" i="63"/>
  <c r="Q128" i="63"/>
  <c r="Q62" i="63"/>
  <c r="Q27" i="63"/>
  <c r="Q48" i="63"/>
  <c r="V40" i="63"/>
  <c r="F49" i="63"/>
  <c r="AE56" i="63"/>
  <c r="Q108" i="63"/>
  <c r="P118" i="63"/>
  <c r="X118" i="63"/>
  <c r="G36" i="63"/>
  <c r="H36" i="63" s="1"/>
  <c r="AE74" i="63"/>
  <c r="L75" i="63"/>
  <c r="S75" i="63" s="1"/>
  <c r="F103" i="63"/>
  <c r="U103" i="63" s="1"/>
  <c r="O101" i="63"/>
  <c r="T101" i="63" s="1"/>
  <c r="AE108" i="63"/>
  <c r="G132" i="63"/>
  <c r="H132" i="63" s="1"/>
  <c r="AE34" i="63"/>
  <c r="L28" i="63"/>
  <c r="S28" i="63" s="1"/>
  <c r="G101" i="63"/>
  <c r="H101" i="63" s="1"/>
  <c r="F116" i="63"/>
  <c r="V114" i="63"/>
  <c r="I36" i="63"/>
  <c r="L122" i="63"/>
  <c r="S122" i="63" s="1"/>
  <c r="I122" i="63"/>
  <c r="AE67" i="63"/>
  <c r="L36" i="63"/>
  <c r="S36" i="63" s="1"/>
  <c r="P116" i="63"/>
  <c r="I118" i="63"/>
  <c r="G118" i="63"/>
  <c r="H118" i="63" s="1"/>
  <c r="F118" i="63"/>
  <c r="L114" i="63"/>
  <c r="S114" i="63" s="1"/>
  <c r="I114" i="63"/>
  <c r="AE64" i="63"/>
  <c r="AE9" i="63"/>
  <c r="F30" i="63"/>
  <c r="AE65" i="63"/>
  <c r="O40" i="63"/>
  <c r="T40" i="63" s="1"/>
  <c r="X95" i="63"/>
  <c r="O132" i="63"/>
  <c r="U132" i="63" s="1"/>
  <c r="P40" i="63"/>
  <c r="AE38" i="63"/>
  <c r="AE6" i="63"/>
  <c r="Q109" i="63"/>
  <c r="V109" i="63"/>
  <c r="AE55" i="63"/>
  <c r="AE126" i="63"/>
  <c r="AE78" i="63"/>
  <c r="AE48" i="63"/>
  <c r="L89" i="63"/>
  <c r="S89" i="63" s="1"/>
  <c r="AE47" i="63"/>
  <c r="AE119" i="63"/>
  <c r="O14" i="63"/>
  <c r="T14" i="63" s="1"/>
  <c r="F131" i="63"/>
  <c r="I131" i="63"/>
  <c r="V49" i="63"/>
  <c r="Q49" i="63"/>
  <c r="O123" i="63"/>
  <c r="T123" i="63" s="1"/>
  <c r="Q76" i="63"/>
  <c r="V76" i="63"/>
  <c r="P75" i="63"/>
  <c r="T36" i="63"/>
  <c r="R94" i="63"/>
  <c r="W94" i="63"/>
  <c r="R126" i="63"/>
  <c r="U126" i="63"/>
  <c r="T126" i="63"/>
  <c r="W126" i="63"/>
  <c r="F7" i="63"/>
  <c r="L7" i="63"/>
  <c r="S7" i="63" s="1"/>
  <c r="I7" i="63"/>
  <c r="G81" i="63"/>
  <c r="H81" i="63" s="1"/>
  <c r="O81" i="63"/>
  <c r="L19" i="63"/>
  <c r="S19" i="63" s="1"/>
  <c r="F19" i="63"/>
  <c r="I19" i="63"/>
  <c r="AE114" i="63"/>
  <c r="L97" i="63"/>
  <c r="S97" i="63" s="1"/>
  <c r="F97" i="63"/>
  <c r="I97" i="63"/>
  <c r="V41" i="63"/>
  <c r="Q41" i="63"/>
  <c r="V54" i="63"/>
  <c r="Q54" i="63"/>
  <c r="X93" i="63"/>
  <c r="P93" i="63"/>
  <c r="P24" i="63"/>
  <c r="X24" i="63"/>
  <c r="X116" i="63"/>
  <c r="G73" i="63"/>
  <c r="H73" i="63" s="1"/>
  <c r="O73" i="63"/>
  <c r="T73" i="63" s="1"/>
  <c r="W136" i="63"/>
  <c r="R136" i="63"/>
  <c r="P79" i="63"/>
  <c r="X79" i="63"/>
  <c r="G97" i="63"/>
  <c r="H97" i="63" s="1"/>
  <c r="O97" i="63"/>
  <c r="P19" i="63"/>
  <c r="X19" i="63"/>
  <c r="F50" i="63"/>
  <c r="L50" i="63"/>
  <c r="S50" i="63" s="1"/>
  <c r="I50" i="63"/>
  <c r="I6" i="63"/>
  <c r="L6" i="63"/>
  <c r="S6" i="63" s="1"/>
  <c r="F6" i="63"/>
  <c r="V106" i="63"/>
  <c r="Q106" i="63"/>
  <c r="V51" i="63"/>
  <c r="Q51" i="63"/>
  <c r="O22" i="63"/>
  <c r="G22" i="63"/>
  <c r="H22" i="63" s="1"/>
  <c r="Q82" i="63"/>
  <c r="V82" i="63"/>
  <c r="O24" i="63"/>
  <c r="G24" i="63"/>
  <c r="H24" i="63" s="1"/>
  <c r="O109" i="63"/>
  <c r="T109" i="63" s="1"/>
  <c r="G109" i="63"/>
  <c r="H109" i="63" s="1"/>
  <c r="AE105" i="63"/>
  <c r="V29" i="63"/>
  <c r="Q29" i="63"/>
  <c r="L35" i="63"/>
  <c r="S35" i="63" s="1"/>
  <c r="I35" i="63"/>
  <c r="F35" i="63"/>
  <c r="V21" i="63"/>
  <c r="Q21" i="63"/>
  <c r="X34" i="63"/>
  <c r="P34" i="63"/>
  <c r="O34" i="63"/>
  <c r="T34" i="63" s="1"/>
  <c r="AE32" i="63"/>
  <c r="L82" i="63"/>
  <c r="S82" i="63" s="1"/>
  <c r="F82" i="63"/>
  <c r="I82" i="63"/>
  <c r="T80" i="63"/>
  <c r="AE19" i="63"/>
  <c r="V83" i="63"/>
  <c r="Q83" i="63"/>
  <c r="L37" i="63"/>
  <c r="S37" i="63" s="1"/>
  <c r="I37" i="63"/>
  <c r="F37" i="63"/>
  <c r="F137" i="63"/>
  <c r="I137" i="63"/>
  <c r="L137" i="63"/>
  <c r="S137" i="63" s="1"/>
  <c r="AE51" i="63"/>
  <c r="P28" i="63"/>
  <c r="X28" i="63"/>
  <c r="G76" i="63"/>
  <c r="H76" i="63" s="1"/>
  <c r="P76" i="63"/>
  <c r="O76" i="63"/>
  <c r="T76" i="63" s="1"/>
  <c r="I21" i="63"/>
  <c r="L21" i="63"/>
  <c r="S21" i="63" s="1"/>
  <c r="F21" i="63"/>
  <c r="AE84" i="63"/>
  <c r="X130" i="63"/>
  <c r="P130" i="63"/>
  <c r="X54" i="63"/>
  <c r="P54" i="63"/>
  <c r="L23" i="63"/>
  <c r="S23" i="63" s="1"/>
  <c r="F23" i="63"/>
  <c r="I23" i="63"/>
  <c r="AE37" i="63"/>
  <c r="L18" i="63"/>
  <c r="I18" i="63"/>
  <c r="F18" i="63"/>
  <c r="G18" i="63"/>
  <c r="H18" i="63" s="1"/>
  <c r="V117" i="63"/>
  <c r="Q117" i="63"/>
  <c r="G137" i="63"/>
  <c r="H137" i="63" s="1"/>
  <c r="O137" i="63"/>
  <c r="X22" i="63"/>
  <c r="P22" i="63"/>
  <c r="L116" i="63"/>
  <c r="S116" i="63" s="1"/>
  <c r="AE21" i="63"/>
  <c r="Q111" i="63"/>
  <c r="V111" i="63"/>
  <c r="O86" i="63"/>
  <c r="AE81" i="63"/>
  <c r="P124" i="63"/>
  <c r="O124" i="63"/>
  <c r="U124" i="63" s="1"/>
  <c r="X124" i="63"/>
  <c r="AE121" i="63"/>
  <c r="R60" i="63"/>
  <c r="W60" i="63"/>
  <c r="G58" i="63"/>
  <c r="H58" i="63" s="1"/>
  <c r="O58" i="63"/>
  <c r="T58" i="63" s="1"/>
  <c r="O4" i="63"/>
  <c r="T4" i="63" s="1"/>
  <c r="G4" i="63"/>
  <c r="H4" i="63" s="1"/>
  <c r="X30" i="63"/>
  <c r="S46" i="63"/>
  <c r="G37" i="63"/>
  <c r="H37" i="63" s="1"/>
  <c r="O37" i="63"/>
  <c r="Q122" i="63"/>
  <c r="V122" i="63"/>
  <c r="Q71" i="63"/>
  <c r="V71" i="63"/>
  <c r="AE95" i="63"/>
  <c r="AE117" i="63"/>
  <c r="F72" i="63"/>
  <c r="U72" i="63" s="1"/>
  <c r="L72" i="63"/>
  <c r="S72" i="63" s="1"/>
  <c r="I72" i="63"/>
  <c r="I76" i="63"/>
  <c r="F76" i="63"/>
  <c r="L76" i="63"/>
  <c r="S76" i="63" s="1"/>
  <c r="O27" i="63"/>
  <c r="T27" i="63" s="1"/>
  <c r="G27" i="63"/>
  <c r="H27" i="63" s="1"/>
  <c r="AE113" i="63"/>
  <c r="Q8" i="63"/>
  <c r="V8" i="63"/>
  <c r="P27" i="63"/>
  <c r="X20" i="63"/>
  <c r="P20" i="63"/>
  <c r="T20" i="63"/>
  <c r="S17" i="63"/>
  <c r="X67" i="63"/>
  <c r="P67" i="63"/>
  <c r="O39" i="63"/>
  <c r="U39" i="63" s="1"/>
  <c r="X39" i="63"/>
  <c r="P39" i="63"/>
  <c r="G32" i="63"/>
  <c r="H32" i="63" s="1"/>
  <c r="O32" i="63"/>
  <c r="T32" i="63" s="1"/>
  <c r="AE50" i="63"/>
  <c r="AE69" i="63"/>
  <c r="Q68" i="63"/>
  <c r="V68" i="63"/>
  <c r="P83" i="63"/>
  <c r="X83" i="63"/>
  <c r="T60" i="63"/>
  <c r="V58" i="63"/>
  <c r="Q58" i="63"/>
  <c r="O130" i="63"/>
  <c r="T130" i="63" s="1"/>
  <c r="O23" i="63"/>
  <c r="T23" i="63" s="1"/>
  <c r="G23" i="63"/>
  <c r="H23" i="63" s="1"/>
  <c r="AE4" i="63"/>
  <c r="T16" i="63"/>
  <c r="Q100" i="63"/>
  <c r="V100" i="63"/>
  <c r="Q95" i="63"/>
  <c r="V95" i="63"/>
  <c r="G5" i="63"/>
  <c r="H5" i="63" s="1"/>
  <c r="O5" i="63"/>
  <c r="T5" i="63" s="1"/>
  <c r="Q53" i="63"/>
  <c r="V53" i="63"/>
  <c r="AE72" i="63"/>
  <c r="X110" i="63"/>
  <c r="P110" i="63"/>
  <c r="V20" i="63"/>
  <c r="Q20" i="63"/>
  <c r="V19" i="63"/>
  <c r="Q19" i="63"/>
  <c r="V67" i="63"/>
  <c r="Q67" i="63"/>
  <c r="P69" i="63"/>
  <c r="X69" i="63"/>
  <c r="Q39" i="63"/>
  <c r="V39" i="63"/>
  <c r="Q17" i="63"/>
  <c r="V17" i="63"/>
  <c r="G69" i="63"/>
  <c r="H69" i="63" s="1"/>
  <c r="O69" i="63"/>
  <c r="T69" i="63" s="1"/>
  <c r="F2" i="63"/>
  <c r="I2" i="63"/>
  <c r="L2" i="63"/>
  <c r="S2" i="63" s="1"/>
  <c r="L121" i="63"/>
  <c r="S121" i="63" s="1"/>
  <c r="I121" i="63"/>
  <c r="F121" i="63"/>
  <c r="L58" i="63"/>
  <c r="S58" i="63" s="1"/>
  <c r="F58" i="63"/>
  <c r="I58" i="63"/>
  <c r="F73" i="63"/>
  <c r="L73" i="63"/>
  <c r="S73" i="63" s="1"/>
  <c r="I73" i="63"/>
  <c r="W26" i="63"/>
  <c r="R26" i="63"/>
  <c r="I81" i="63"/>
  <c r="F81" i="63"/>
  <c r="L81" i="63"/>
  <c r="S81" i="63" s="1"/>
  <c r="X74" i="63"/>
  <c r="P74" i="63"/>
  <c r="P45" i="63"/>
  <c r="X45" i="63"/>
  <c r="L64" i="63"/>
  <c r="S64" i="63" s="1"/>
  <c r="AE96" i="63"/>
  <c r="W44" i="63"/>
  <c r="R44" i="63"/>
  <c r="R53" i="63"/>
  <c r="I48" i="63"/>
  <c r="F48" i="63"/>
  <c r="L48" i="63"/>
  <c r="S48" i="63" s="1"/>
  <c r="F66" i="63"/>
  <c r="L66" i="63"/>
  <c r="S66" i="63" s="1"/>
  <c r="I66" i="63"/>
  <c r="T44" i="63"/>
  <c r="W57" i="63"/>
  <c r="R57" i="63"/>
  <c r="V6" i="63"/>
  <c r="Q6" i="63"/>
  <c r="T26" i="63"/>
  <c r="V125" i="63"/>
  <c r="X37" i="63"/>
  <c r="P37" i="63"/>
  <c r="O29" i="63"/>
  <c r="G29" i="63"/>
  <c r="H29" i="63" s="1"/>
  <c r="AE22" i="63"/>
  <c r="L115" i="63"/>
  <c r="S115" i="63" s="1"/>
  <c r="F115" i="63"/>
  <c r="I115" i="63"/>
  <c r="X7" i="63"/>
  <c r="P7" i="63"/>
  <c r="V30" i="63"/>
  <c r="Q30" i="63"/>
  <c r="V93" i="63"/>
  <c r="Q93" i="63"/>
  <c r="R113" i="63"/>
  <c r="W113" i="63"/>
  <c r="O51" i="63"/>
  <c r="T51" i="63" s="1"/>
  <c r="G51" i="63"/>
  <c r="H51" i="63" s="1"/>
  <c r="X61" i="63"/>
  <c r="P61" i="63"/>
  <c r="P81" i="63"/>
  <c r="X81" i="63"/>
  <c r="U108" i="63"/>
  <c r="P50" i="63"/>
  <c r="X50" i="63"/>
  <c r="AE41" i="63"/>
  <c r="P109" i="63"/>
  <c r="X105" i="63"/>
  <c r="P105" i="63"/>
  <c r="R77" i="63"/>
  <c r="W77" i="63"/>
  <c r="U77" i="63"/>
  <c r="T77" i="63"/>
  <c r="L27" i="63"/>
  <c r="S27" i="63" s="1"/>
  <c r="I27" i="63"/>
  <c r="F27" i="63"/>
  <c r="Q34" i="63"/>
  <c r="V34" i="63"/>
  <c r="Q97" i="63"/>
  <c r="V97" i="63"/>
  <c r="V50" i="63"/>
  <c r="Q50" i="63"/>
  <c r="F54" i="63"/>
  <c r="L54" i="63"/>
  <c r="S54" i="63" s="1"/>
  <c r="I54" i="63"/>
  <c r="V2" i="63"/>
  <c r="Q2" i="63"/>
  <c r="L95" i="63"/>
  <c r="S95" i="63" s="1"/>
  <c r="I95" i="63"/>
  <c r="F95" i="63"/>
  <c r="G106" i="63"/>
  <c r="H106" i="63" s="1"/>
  <c r="O106" i="63"/>
  <c r="Q72" i="63"/>
  <c r="V72" i="63"/>
  <c r="O105" i="63"/>
  <c r="O98" i="63"/>
  <c r="T98" i="63" s="1"/>
  <c r="G98" i="63"/>
  <c r="H98" i="63" s="1"/>
  <c r="L111" i="63"/>
  <c r="S111" i="63" s="1"/>
  <c r="I111" i="63"/>
  <c r="F111" i="63"/>
  <c r="F52" i="63"/>
  <c r="I52" i="63"/>
  <c r="L52" i="63"/>
  <c r="S52" i="63" s="1"/>
  <c r="X56" i="63"/>
  <c r="P56" i="63"/>
  <c r="Q84" i="63"/>
  <c r="V84" i="63"/>
  <c r="AE39" i="63"/>
  <c r="AE68" i="63"/>
  <c r="AE83" i="63"/>
  <c r="G2" i="63"/>
  <c r="H2" i="63" s="1"/>
  <c r="O2" i="63"/>
  <c r="G121" i="63"/>
  <c r="H121" i="63" s="1"/>
  <c r="O121" i="63"/>
  <c r="T121" i="63" s="1"/>
  <c r="V23" i="63"/>
  <c r="Q23" i="63"/>
  <c r="V37" i="63"/>
  <c r="Q37" i="63"/>
  <c r="L139" i="63"/>
  <c r="S139" i="63" s="1"/>
  <c r="O93" i="63"/>
  <c r="U93" i="63" s="1"/>
  <c r="Q110" i="63"/>
  <c r="V110" i="63"/>
  <c r="P98" i="63"/>
  <c r="X98" i="63"/>
  <c r="V46" i="63"/>
  <c r="Q88" i="63"/>
  <c r="V88" i="63"/>
  <c r="AE111" i="63"/>
  <c r="X41" i="63"/>
  <c r="P41" i="63"/>
  <c r="V16" i="63"/>
  <c r="Q16" i="63"/>
  <c r="AE52" i="63"/>
  <c r="V3" i="63"/>
  <c r="O68" i="63"/>
  <c r="G68" i="63"/>
  <c r="H68" i="63" s="1"/>
  <c r="L83" i="63"/>
  <c r="S83" i="63" s="1"/>
  <c r="F83" i="63"/>
  <c r="I83" i="63"/>
  <c r="AE58" i="63"/>
  <c r="P58" i="63"/>
  <c r="X58" i="63"/>
  <c r="O28" i="63"/>
  <c r="T28" i="63" s="1"/>
  <c r="P23" i="63"/>
  <c r="X23" i="63"/>
  <c r="O6" i="63"/>
  <c r="G6" i="63"/>
  <c r="H6" i="63" s="1"/>
  <c r="P128" i="63"/>
  <c r="X128" i="63"/>
  <c r="O134" i="63"/>
  <c r="T134" i="63" s="1"/>
  <c r="F134" i="63"/>
  <c r="G134" i="63"/>
  <c r="H134" i="63" s="1"/>
  <c r="I100" i="63"/>
  <c r="F100" i="63"/>
  <c r="L100" i="63"/>
  <c r="S100" i="63" s="1"/>
  <c r="X106" i="63"/>
  <c r="P106" i="63"/>
  <c r="AE94" i="63"/>
  <c r="AE137" i="63"/>
  <c r="AE86" i="63"/>
  <c r="P112" i="63"/>
  <c r="X112" i="63"/>
  <c r="O112" i="63"/>
  <c r="L110" i="63"/>
  <c r="W110" i="63" s="1"/>
  <c r="I110" i="63"/>
  <c r="F110" i="63"/>
  <c r="U110" i="63" s="1"/>
  <c r="L98" i="63"/>
  <c r="S98" i="63" s="1"/>
  <c r="I98" i="63"/>
  <c r="F98" i="63"/>
  <c r="X88" i="63"/>
  <c r="P88" i="63"/>
  <c r="X43" i="63"/>
  <c r="P43" i="63"/>
  <c r="I12" i="63"/>
  <c r="F12" i="63"/>
  <c r="U12" i="63" s="1"/>
  <c r="L12" i="63"/>
  <c r="R12" i="63" s="1"/>
  <c r="W17" i="63"/>
  <c r="R17" i="63"/>
  <c r="P17" i="63"/>
  <c r="X17" i="63"/>
  <c r="F16" i="63"/>
  <c r="U16" i="63" s="1"/>
  <c r="L16" i="63"/>
  <c r="S16" i="63" s="1"/>
  <c r="I16" i="63"/>
  <c r="V124" i="63"/>
  <c r="Q124" i="63"/>
  <c r="G59" i="63"/>
  <c r="H59" i="63" s="1"/>
  <c r="O59" i="63"/>
  <c r="AE124" i="63"/>
  <c r="G52" i="63"/>
  <c r="H52" i="63" s="1"/>
  <c r="O52" i="63"/>
  <c r="T52" i="63" s="1"/>
  <c r="Q69" i="63"/>
  <c r="V69" i="63"/>
  <c r="O8" i="63"/>
  <c r="T8" i="63" s="1"/>
  <c r="L119" i="63"/>
  <c r="S119" i="63" s="1"/>
  <c r="F119" i="63"/>
  <c r="I119" i="63"/>
  <c r="AE63" i="63"/>
  <c r="I123" i="63"/>
  <c r="F123" i="63"/>
  <c r="U123" i="63" s="1"/>
  <c r="L123" i="63"/>
  <c r="S123" i="63" s="1"/>
  <c r="G123" i="63"/>
  <c r="H123" i="63" s="1"/>
  <c r="W120" i="63"/>
  <c r="R120" i="63"/>
  <c r="U120" i="63"/>
  <c r="O115" i="63"/>
  <c r="T115" i="63" s="1"/>
  <c r="G115" i="63"/>
  <c r="H115" i="63" s="1"/>
  <c r="L22" i="63"/>
  <c r="S22" i="63" s="1"/>
  <c r="F22" i="63"/>
  <c r="I22" i="63"/>
  <c r="AE115" i="63"/>
  <c r="I90" i="63"/>
  <c r="F90" i="63"/>
  <c r="L90" i="63"/>
  <c r="S90" i="63" s="1"/>
  <c r="P35" i="63"/>
  <c r="X35" i="63"/>
  <c r="O35" i="63"/>
  <c r="W47" i="63"/>
  <c r="R47" i="63"/>
  <c r="Q96" i="63"/>
  <c r="V96" i="63"/>
  <c r="U47" i="63"/>
  <c r="G19" i="63"/>
  <c r="H19" i="63" s="1"/>
  <c r="O19" i="63"/>
  <c r="U44" i="63"/>
  <c r="T57" i="63"/>
  <c r="L31" i="63"/>
  <c r="I31" i="63"/>
  <c r="F31" i="63"/>
  <c r="G31" i="63"/>
  <c r="H31" i="63" s="1"/>
  <c r="Q102" i="63"/>
  <c r="V102" i="63"/>
  <c r="U38" i="63"/>
  <c r="T38" i="63"/>
  <c r="X38" i="63"/>
  <c r="P38" i="63"/>
  <c r="O67" i="63"/>
  <c r="T67" i="63" s="1"/>
  <c r="G67" i="63"/>
  <c r="H67" i="63" s="1"/>
  <c r="R84" i="63"/>
  <c r="W84" i="63"/>
  <c r="V59" i="63"/>
  <c r="Q59" i="63"/>
  <c r="P32" i="63"/>
  <c r="X32" i="63"/>
  <c r="U26" i="63"/>
  <c r="O119" i="63"/>
  <c r="G119" i="63"/>
  <c r="H119" i="63" s="1"/>
  <c r="W133" i="63"/>
  <c r="R133" i="63"/>
  <c r="X131" i="63"/>
  <c r="P131" i="63"/>
  <c r="V135" i="63"/>
  <c r="Q135" i="63"/>
  <c r="P102" i="63"/>
  <c r="X102" i="63"/>
  <c r="O11" i="63"/>
  <c r="T11" i="63" s="1"/>
  <c r="P11" i="63"/>
  <c r="G11" i="63"/>
  <c r="H11" i="63" s="1"/>
  <c r="AE43" i="63"/>
  <c r="X9" i="63"/>
  <c r="P9" i="63"/>
  <c r="F109" i="63"/>
  <c r="V7" i="63"/>
  <c r="Q7" i="63"/>
  <c r="W104" i="63"/>
  <c r="R104" i="63"/>
  <c r="P91" i="63"/>
  <c r="X91" i="63"/>
  <c r="T94" i="63"/>
  <c r="V94" i="63"/>
  <c r="U94" i="63"/>
  <c r="Q94" i="63"/>
  <c r="Q104" i="63"/>
  <c r="V104" i="63"/>
  <c r="Q140" i="63"/>
  <c r="V140" i="63"/>
  <c r="G95" i="63"/>
  <c r="H95" i="63" s="1"/>
  <c r="F88" i="63"/>
  <c r="L88" i="63"/>
  <c r="S88" i="63" s="1"/>
  <c r="I88" i="63"/>
  <c r="U113" i="63"/>
  <c r="G83" i="63"/>
  <c r="H83" i="63" s="1"/>
  <c r="O83" i="63"/>
  <c r="T83" i="63" s="1"/>
  <c r="F63" i="63"/>
  <c r="I63" i="63"/>
  <c r="L63" i="63"/>
  <c r="S63" i="63" s="1"/>
  <c r="AE140" i="63"/>
  <c r="O43" i="63"/>
  <c r="T43" i="63" s="1"/>
  <c r="G43" i="63"/>
  <c r="H43" i="63" s="1"/>
  <c r="O45" i="63"/>
  <c r="O66" i="63"/>
  <c r="T66" i="63" s="1"/>
  <c r="G66" i="63"/>
  <c r="H66" i="63" s="1"/>
  <c r="F106" i="63"/>
  <c r="P119" i="63"/>
  <c r="X119" i="63"/>
  <c r="P63" i="63"/>
  <c r="X63" i="63"/>
  <c r="G7" i="63"/>
  <c r="H7" i="63" s="1"/>
  <c r="O7" i="63"/>
  <c r="AE23" i="63"/>
  <c r="G54" i="63"/>
  <c r="H54" i="63" s="1"/>
  <c r="O91" i="63"/>
  <c r="F91" i="63"/>
  <c r="G91" i="63"/>
  <c r="H91" i="63" s="1"/>
  <c r="V36" i="63"/>
  <c r="Q36" i="63"/>
  <c r="V11" i="63"/>
  <c r="Q11" i="63"/>
  <c r="AE87" i="63"/>
  <c r="O9" i="63"/>
  <c r="T9" i="63" s="1"/>
  <c r="G9" i="63"/>
  <c r="H9" i="63" s="1"/>
  <c r="O92" i="63"/>
  <c r="U92" i="63" s="1"/>
  <c r="P92" i="63"/>
  <c r="X92" i="63"/>
  <c r="X59" i="63"/>
  <c r="P59" i="63"/>
  <c r="X121" i="63"/>
  <c r="P121" i="63"/>
  <c r="AE24" i="63"/>
  <c r="P68" i="63"/>
  <c r="V136" i="63"/>
  <c r="U136" i="63"/>
  <c r="Q136" i="63"/>
  <c r="AE91" i="63"/>
  <c r="U57" i="63"/>
  <c r="I135" i="63"/>
  <c r="L135" i="63"/>
  <c r="F135" i="63"/>
  <c r="U135" i="63" s="1"/>
  <c r="R138" i="63"/>
  <c r="W138" i="63"/>
  <c r="O41" i="63"/>
  <c r="V99" i="63"/>
  <c r="Q99" i="63"/>
  <c r="G64" i="63"/>
  <c r="H64" i="63" s="1"/>
  <c r="O64" i="63"/>
  <c r="T64" i="63" s="1"/>
  <c r="P64" i="63"/>
  <c r="L102" i="63"/>
  <c r="S102" i="63" s="1"/>
  <c r="I102" i="63"/>
  <c r="F102" i="63"/>
  <c r="AE36" i="63"/>
  <c r="AE79" i="63"/>
  <c r="I45" i="63"/>
  <c r="L45" i="63"/>
  <c r="S45" i="63" s="1"/>
  <c r="F45" i="63"/>
  <c r="P73" i="63"/>
  <c r="L96" i="63"/>
  <c r="S96" i="63" s="1"/>
  <c r="F96" i="63"/>
  <c r="I96" i="63"/>
  <c r="X97" i="63"/>
  <c r="P97" i="63"/>
  <c r="O131" i="63"/>
  <c r="V47" i="63"/>
  <c r="Q47" i="63"/>
  <c r="Q66" i="63"/>
  <c r="V66" i="63"/>
  <c r="U53" i="63"/>
  <c r="G21" i="63"/>
  <c r="H21" i="63" s="1"/>
  <c r="I67" i="63"/>
  <c r="F67" i="63"/>
  <c r="L67" i="63"/>
  <c r="S67" i="63" s="1"/>
  <c r="Q115" i="63"/>
  <c r="V115" i="63"/>
  <c r="AE59" i="63"/>
  <c r="L56" i="63"/>
  <c r="S56" i="63" s="1"/>
  <c r="I56" i="63"/>
  <c r="F56" i="63"/>
  <c r="AE130" i="63"/>
  <c r="F29" i="63"/>
  <c r="Q63" i="63"/>
  <c r="V63" i="63"/>
  <c r="L107" i="63"/>
  <c r="O90" i="63"/>
  <c r="G90" i="63"/>
  <c r="H90" i="63" s="1"/>
  <c r="O61" i="63"/>
  <c r="U61" i="63" s="1"/>
  <c r="G61" i="63"/>
  <c r="H61" i="63" s="1"/>
  <c r="O82" i="63"/>
  <c r="T82" i="63" s="1"/>
  <c r="G82" i="63"/>
  <c r="H82" i="63" s="1"/>
  <c r="O56" i="63"/>
  <c r="T56" i="63" s="1"/>
  <c r="G56" i="63"/>
  <c r="H56" i="63" s="1"/>
  <c r="V130" i="63"/>
  <c r="Q130" i="63"/>
  <c r="V4" i="63"/>
  <c r="Q4" i="63"/>
  <c r="V56" i="63"/>
  <c r="Q56" i="63"/>
  <c r="X6" i="63"/>
  <c r="P6" i="63"/>
  <c r="X4" i="63"/>
  <c r="P4" i="63"/>
  <c r="Q24" i="63"/>
  <c r="V24" i="63"/>
  <c r="P111" i="63"/>
  <c r="X111" i="63"/>
  <c r="X82" i="63"/>
  <c r="P82" i="63"/>
  <c r="R80" i="63"/>
  <c r="W80" i="63"/>
  <c r="G33" i="63"/>
  <c r="H33" i="63" s="1"/>
  <c r="O33" i="63"/>
  <c r="T33" i="63" s="1"/>
  <c r="P33" i="63"/>
  <c r="O111" i="63"/>
  <c r="T111" i="63" s="1"/>
  <c r="G111" i="63"/>
  <c r="H111" i="63" s="1"/>
  <c r="V86" i="63"/>
  <c r="Q86" i="63"/>
  <c r="G78" i="63"/>
  <c r="H78" i="63" s="1"/>
  <c r="F78" i="63"/>
  <c r="O78" i="63"/>
  <c r="T78" i="63" s="1"/>
  <c r="X135" i="63"/>
  <c r="P135" i="63"/>
  <c r="W38" i="63"/>
  <c r="R38" i="63"/>
  <c r="V43" i="63"/>
  <c r="Q43" i="63"/>
  <c r="L32" i="63"/>
  <c r="S32" i="63" s="1"/>
  <c r="I32" i="63"/>
  <c r="F32" i="63"/>
  <c r="L69" i="63"/>
  <c r="S69" i="63" s="1"/>
  <c r="I69" i="63"/>
  <c r="F69" i="63"/>
  <c r="F68" i="63"/>
  <c r="L68" i="63"/>
  <c r="S68" i="63" s="1"/>
  <c r="I68" i="63"/>
  <c r="P2" i="63"/>
  <c r="X2" i="63"/>
  <c r="P134" i="63"/>
  <c r="X134" i="63"/>
  <c r="G50" i="63"/>
  <c r="H50" i="63" s="1"/>
  <c r="O50" i="63"/>
  <c r="T50" i="63" s="1"/>
  <c r="P84" i="63"/>
  <c r="X84" i="63"/>
  <c r="T113" i="63"/>
  <c r="V32" i="63"/>
  <c r="Q32" i="63"/>
  <c r="S60" i="63"/>
  <c r="L24" i="63"/>
  <c r="S24" i="63" s="1"/>
  <c r="I24" i="63"/>
  <c r="F24" i="63"/>
  <c r="O54" i="63"/>
  <c r="L129" i="63"/>
  <c r="S129" i="63" s="1"/>
  <c r="I129" i="63"/>
  <c r="G129" i="63"/>
  <c r="H129" i="63" s="1"/>
  <c r="F129" i="63"/>
  <c r="X133" i="63"/>
  <c r="U133" i="63"/>
  <c r="T133" i="63"/>
  <c r="P133" i="63"/>
  <c r="P49" i="63"/>
  <c r="X49" i="63"/>
  <c r="T49" i="63"/>
  <c r="AE102" i="63"/>
  <c r="Q74" i="63"/>
  <c r="V74" i="63"/>
  <c r="O3" i="63"/>
  <c r="G3" i="63"/>
  <c r="H3" i="63" s="1"/>
  <c r="I43" i="63"/>
  <c r="F43" i="63"/>
  <c r="L43" i="63"/>
  <c r="S43" i="63" s="1"/>
  <c r="L9" i="63"/>
  <c r="S9" i="63" s="1"/>
  <c r="I9" i="63"/>
  <c r="F9" i="63"/>
  <c r="X15" i="63"/>
  <c r="P15" i="63"/>
  <c r="O117" i="63"/>
  <c r="T117" i="63" s="1"/>
  <c r="Q52" i="63"/>
  <c r="V52" i="63"/>
  <c r="T84" i="63"/>
  <c r="V121" i="63"/>
  <c r="Q121" i="63"/>
  <c r="AE88" i="63"/>
  <c r="V13" i="63"/>
  <c r="Q13" i="63"/>
  <c r="O13" i="63"/>
  <c r="U60" i="63"/>
  <c r="Q134" i="63"/>
  <c r="V134" i="63"/>
  <c r="G62" i="63"/>
  <c r="H62" i="63" s="1"/>
  <c r="F62" i="63"/>
  <c r="U62" i="63" s="1"/>
  <c r="L62" i="63"/>
  <c r="S62" i="63" s="1"/>
  <c r="I62" i="63"/>
  <c r="G125" i="63"/>
  <c r="H125" i="63" s="1"/>
  <c r="P125" i="63"/>
  <c r="O125" i="63"/>
  <c r="T125" i="63" s="1"/>
  <c r="Q139" i="63"/>
  <c r="G102" i="63"/>
  <c r="H102" i="63" s="1"/>
  <c r="O102" i="63"/>
  <c r="P140" i="63"/>
  <c r="X140" i="63"/>
  <c r="O140" i="63"/>
  <c r="U65" i="63"/>
  <c r="F11" i="63"/>
  <c r="G96" i="63"/>
  <c r="H96" i="63" s="1"/>
  <c r="O96" i="63"/>
  <c r="P66" i="63"/>
  <c r="X66" i="63"/>
  <c r="X115" i="63"/>
  <c r="P115" i="63"/>
  <c r="V119" i="63"/>
  <c r="Q119" i="63"/>
  <c r="G63" i="63"/>
  <c r="H63" i="63" s="1"/>
  <c r="O63" i="63"/>
  <c r="T63" i="63" s="1"/>
  <c r="T104" i="63"/>
  <c r="L4" i="63"/>
  <c r="S4" i="63" s="1"/>
  <c r="I4" i="63"/>
  <c r="F4" i="63"/>
  <c r="X55" i="63"/>
  <c r="P55" i="63"/>
  <c r="O122" i="63"/>
  <c r="F125" i="63"/>
  <c r="L125" i="63"/>
  <c r="S125" i="63" s="1"/>
  <c r="I125" i="63"/>
  <c r="O99" i="63"/>
  <c r="T99" i="63" s="1"/>
  <c r="G99" i="63"/>
  <c r="H99" i="63" s="1"/>
  <c r="G79" i="63"/>
  <c r="H79" i="63" s="1"/>
  <c r="O79" i="63"/>
  <c r="T79" i="63" s="1"/>
  <c r="G74" i="63"/>
  <c r="H74" i="63" s="1"/>
  <c r="O74" i="63"/>
  <c r="U74" i="63" s="1"/>
  <c r="Q87" i="63"/>
  <c r="V87" i="63"/>
  <c r="O87" i="63"/>
  <c r="T62" i="63"/>
  <c r="P5" i="63"/>
  <c r="U138" i="63"/>
  <c r="G72" i="63"/>
  <c r="H72" i="63" s="1"/>
  <c r="Q38" i="63"/>
  <c r="V38" i="63"/>
  <c r="AE92" i="63"/>
  <c r="AE97" i="63"/>
  <c r="AE82" i="63"/>
  <c r="P3" i="63"/>
  <c r="AE66" i="63"/>
  <c r="O21" i="63"/>
  <c r="T21" i="63" s="1"/>
  <c r="L59" i="63"/>
  <c r="S59" i="63" s="1"/>
  <c r="I59" i="63"/>
  <c r="F59" i="63"/>
  <c r="AE54" i="63"/>
  <c r="F5" i="63"/>
  <c r="AA107" i="57"/>
  <c r="AD107" i="57"/>
  <c r="AC73" i="57"/>
  <c r="AB108" i="57"/>
  <c r="AA74" i="57"/>
  <c r="D135" i="57"/>
  <c r="I135" i="57" s="1"/>
  <c r="Z61" i="57"/>
  <c r="E125" i="57"/>
  <c r="J51" i="57"/>
  <c r="X51" i="57" s="1"/>
  <c r="Z63" i="57"/>
  <c r="AC101" i="57"/>
  <c r="Z35" i="57"/>
  <c r="AB75" i="57"/>
  <c r="AD125" i="57"/>
  <c r="AC35" i="57"/>
  <c r="Z64" i="57"/>
  <c r="Z103" i="57"/>
  <c r="E119" i="57"/>
  <c r="N15" i="57"/>
  <c r="AD35" i="57"/>
  <c r="AA65" i="57"/>
  <c r="AC77" i="57"/>
  <c r="AA103" i="57"/>
  <c r="AD126" i="57"/>
  <c r="D125" i="57"/>
  <c r="F26" i="57"/>
  <c r="AA6" i="57"/>
  <c r="AB36" i="57"/>
  <c r="AD65" i="57"/>
  <c r="AD77" i="57"/>
  <c r="AB103" i="57"/>
  <c r="Z133" i="57"/>
  <c r="D20" i="57"/>
  <c r="I20" i="57" s="1"/>
  <c r="N94" i="57"/>
  <c r="E107" i="57"/>
  <c r="AC107" i="57"/>
  <c r="Z107" i="57"/>
  <c r="D107" i="57"/>
  <c r="B87" i="57"/>
  <c r="AC74" i="57"/>
  <c r="AC96" i="57"/>
  <c r="E97" i="57"/>
  <c r="Z74" i="57"/>
  <c r="AA97" i="57"/>
  <c r="N66" i="57"/>
  <c r="Q66" i="57" s="1"/>
  <c r="AA58" i="57"/>
  <c r="AA100" i="57"/>
  <c r="AA120" i="57"/>
  <c r="D97" i="57"/>
  <c r="E28" i="57"/>
  <c r="AB74" i="57"/>
  <c r="AC100" i="57"/>
  <c r="AB120" i="57"/>
  <c r="AD74" i="57"/>
  <c r="AA121" i="57"/>
  <c r="E91" i="57"/>
  <c r="AA63" i="57"/>
  <c r="AA102" i="57"/>
  <c r="K15" i="57"/>
  <c r="Z77" i="57"/>
  <c r="AD6" i="57"/>
  <c r="Z38" i="57"/>
  <c r="AD66" i="57"/>
  <c r="AC103" i="57"/>
  <c r="AA133" i="57"/>
  <c r="D123" i="57"/>
  <c r="I123" i="57" s="1"/>
  <c r="D15" i="57"/>
  <c r="E116" i="57"/>
  <c r="Z90" i="57"/>
  <c r="AC108" i="57"/>
  <c r="N21" i="57"/>
  <c r="AD21" i="57"/>
  <c r="AC90" i="57"/>
  <c r="N34" i="57"/>
  <c r="V34" i="57" s="1"/>
  <c r="N42" i="57"/>
  <c r="N53" i="57"/>
  <c r="Z80" i="57"/>
  <c r="AD90" i="57"/>
  <c r="AA109" i="57"/>
  <c r="AA80" i="57"/>
  <c r="Z91" i="57"/>
  <c r="AB109" i="57"/>
  <c r="D119" i="57"/>
  <c r="J70" i="57"/>
  <c r="N81" i="57"/>
  <c r="AB26" i="57"/>
  <c r="AC80" i="57"/>
  <c r="AB93" i="57"/>
  <c r="AD109" i="57"/>
  <c r="AA123" i="57"/>
  <c r="F41" i="57"/>
  <c r="E80" i="57"/>
  <c r="N102" i="57"/>
  <c r="AA61" i="57"/>
  <c r="AD80" i="57"/>
  <c r="Z112" i="57"/>
  <c r="Z123" i="57"/>
  <c r="D116" i="57"/>
  <c r="I116" i="57" s="1"/>
  <c r="D90" i="57"/>
  <c r="E109" i="57"/>
  <c r="Z42" i="57"/>
  <c r="AB61" i="57"/>
  <c r="AB81" i="57"/>
  <c r="AA112" i="57"/>
  <c r="AD123" i="57"/>
  <c r="D115" i="57"/>
  <c r="I115" i="57" s="1"/>
  <c r="E108" i="57"/>
  <c r="E21" i="57"/>
  <c r="J103" i="57"/>
  <c r="AC7" i="57"/>
  <c r="Z44" i="57"/>
  <c r="AC61" i="57"/>
  <c r="AB105" i="57"/>
  <c r="AB112" i="57"/>
  <c r="E131" i="57"/>
  <c r="E69" i="57"/>
  <c r="J27" i="57"/>
  <c r="K45" i="57"/>
  <c r="N103" i="57"/>
  <c r="N113" i="57"/>
  <c r="AD7" i="57"/>
  <c r="AC44" i="57"/>
  <c r="AD61" i="57"/>
  <c r="Z83" i="57"/>
  <c r="AC94" i="57"/>
  <c r="AD112" i="57"/>
  <c r="AB125" i="57"/>
  <c r="E68" i="57"/>
  <c r="AB8" i="57"/>
  <c r="Z30" i="57"/>
  <c r="AD44" i="57"/>
  <c r="AD73" i="57"/>
  <c r="AD94" i="57"/>
  <c r="AA106" i="57"/>
  <c r="AD113" i="57"/>
  <c r="D35" i="57"/>
  <c r="I35" i="57" s="1"/>
  <c r="E64" i="57"/>
  <c r="F64" i="57" s="1"/>
  <c r="AD34" i="57"/>
  <c r="J90" i="57"/>
  <c r="AD108" i="57"/>
  <c r="AC120" i="57"/>
  <c r="D100" i="57"/>
  <c r="G100" i="57" s="1"/>
  <c r="H100" i="57" s="1"/>
  <c r="AB80" i="57"/>
  <c r="D42" i="57"/>
  <c r="I42" i="57" s="1"/>
  <c r="AD8" i="57"/>
  <c r="D109" i="57"/>
  <c r="I109" i="57" s="1"/>
  <c r="D108" i="57"/>
  <c r="I108" i="57" s="1"/>
  <c r="E61" i="57"/>
  <c r="Z127" i="57"/>
  <c r="D75" i="57"/>
  <c r="D30" i="57"/>
  <c r="AD96" i="57"/>
  <c r="AC115" i="57"/>
  <c r="E52" i="57"/>
  <c r="N3" i="57"/>
  <c r="AB32" i="57"/>
  <c r="AA21" i="57"/>
  <c r="AB90" i="57"/>
  <c r="J42" i="57"/>
  <c r="J80" i="57"/>
  <c r="AD68" i="57"/>
  <c r="Z109" i="57"/>
  <c r="AD120" i="57"/>
  <c r="M80" i="57"/>
  <c r="AC121" i="57"/>
  <c r="K43" i="57"/>
  <c r="AC109" i="57"/>
  <c r="AD121" i="57"/>
  <c r="D80" i="57"/>
  <c r="AC9" i="57"/>
  <c r="AC31" i="57"/>
  <c r="Z115" i="57"/>
  <c r="E102" i="57"/>
  <c r="F102" i="57" s="1"/>
  <c r="J3" i="57"/>
  <c r="J31" i="57"/>
  <c r="AA12" i="57"/>
  <c r="AA127" i="57"/>
  <c r="D131" i="57"/>
  <c r="I131" i="57" s="1"/>
  <c r="AD87" i="57"/>
  <c r="Z116" i="57"/>
  <c r="AC127" i="57"/>
  <c r="E123" i="57"/>
  <c r="N64" i="57"/>
  <c r="AC32" i="57"/>
  <c r="AC53" i="57"/>
  <c r="AD75" i="57"/>
  <c r="Z87" i="57"/>
  <c r="Z97" i="57"/>
  <c r="AB119" i="57"/>
  <c r="AC131" i="57"/>
  <c r="D69" i="57"/>
  <c r="D21" i="57"/>
  <c r="I21" i="57" s="1"/>
  <c r="E121" i="57"/>
  <c r="E95" i="57"/>
  <c r="M32" i="57"/>
  <c r="K97" i="57"/>
  <c r="AD32" i="57"/>
  <c r="AA55" i="57"/>
  <c r="Z68" i="57"/>
  <c r="Z75" i="57"/>
  <c r="AA99" i="57"/>
  <c r="Z108" i="57"/>
  <c r="Z120" i="57"/>
  <c r="AD131" i="57"/>
  <c r="D127" i="57"/>
  <c r="I127" i="57" s="1"/>
  <c r="D103" i="57"/>
  <c r="I103" i="57" s="1"/>
  <c r="D68" i="57"/>
  <c r="I68" i="57" s="1"/>
  <c r="L92" i="57"/>
  <c r="S92" i="57" s="1"/>
  <c r="F104" i="57"/>
  <c r="L36" i="57"/>
  <c r="S36" i="57" s="1"/>
  <c r="G106" i="57"/>
  <c r="H106" i="57" s="1"/>
  <c r="Q128" i="57"/>
  <c r="N10" i="57"/>
  <c r="N70" i="57"/>
  <c r="Q70" i="57" s="1"/>
  <c r="K111" i="57"/>
  <c r="AA32" i="57"/>
  <c r="AB77" i="57"/>
  <c r="AA88" i="57"/>
  <c r="Z101" i="57"/>
  <c r="AB121" i="57"/>
  <c r="D81" i="57"/>
  <c r="I81" i="57" s="1"/>
  <c r="D63" i="57"/>
  <c r="E78" i="57"/>
  <c r="K3" i="57"/>
  <c r="J32" i="57"/>
  <c r="L32" i="57" s="1"/>
  <c r="K51" i="57"/>
  <c r="J66" i="57"/>
  <c r="M116" i="57"/>
  <c r="G112" i="57"/>
  <c r="H112" i="57" s="1"/>
  <c r="D78" i="57"/>
  <c r="I78" i="57" s="1"/>
  <c r="M46" i="57"/>
  <c r="N52" i="57"/>
  <c r="J78" i="57"/>
  <c r="Z37" i="57"/>
  <c r="AA28" i="57"/>
  <c r="AA37" i="57"/>
  <c r="AC49" i="57"/>
  <c r="AA57" i="57"/>
  <c r="AB63" i="57"/>
  <c r="Z111" i="57"/>
  <c r="D111" i="57"/>
  <c r="F92" i="57"/>
  <c r="E70" i="57"/>
  <c r="E49" i="57"/>
  <c r="K28" i="57"/>
  <c r="AC78" i="57"/>
  <c r="N28" i="57"/>
  <c r="J106" i="57"/>
  <c r="Z10" i="57"/>
  <c r="AD20" i="57"/>
  <c r="AD28" i="57"/>
  <c r="Z34" i="57"/>
  <c r="D121" i="57"/>
  <c r="I121" i="57" s="1"/>
  <c r="D28" i="57"/>
  <c r="J63" i="57"/>
  <c r="K69" i="57"/>
  <c r="AC46" i="57"/>
  <c r="AA19" i="57"/>
  <c r="AA64" i="57"/>
  <c r="AA70" i="57"/>
  <c r="AA40" i="57"/>
  <c r="Z124" i="57"/>
  <c r="L44" i="57"/>
  <c r="S44" i="57" s="1"/>
  <c r="E88" i="57"/>
  <c r="F88" i="57" s="1"/>
  <c r="E66" i="57"/>
  <c r="K63" i="57"/>
  <c r="Q63" i="57" s="1"/>
  <c r="M69" i="57"/>
  <c r="B105" i="57"/>
  <c r="Z78" i="57"/>
  <c r="AA2" i="57"/>
  <c r="AA10" i="57"/>
  <c r="AA34" i="57"/>
  <c r="AC60" i="57"/>
  <c r="AB64" i="57"/>
  <c r="AB70" i="57"/>
  <c r="AB78" i="57"/>
  <c r="B40" i="57"/>
  <c r="AB34" i="57"/>
  <c r="AB40" i="57"/>
  <c r="AD64" i="57"/>
  <c r="AC70" i="57"/>
  <c r="AD78" i="57"/>
  <c r="D70" i="57"/>
  <c r="G40" i="57"/>
  <c r="H40" i="57" s="1"/>
  <c r="N30" i="57"/>
  <c r="M34" i="57"/>
  <c r="X34" i="57" s="1"/>
  <c r="N69" i="57"/>
  <c r="N80" i="57"/>
  <c r="G117" i="57"/>
  <c r="H117" i="57" s="1"/>
  <c r="G86" i="57"/>
  <c r="H86" i="57" s="1"/>
  <c r="B120" i="57"/>
  <c r="Z121" i="57"/>
  <c r="D66" i="57"/>
  <c r="I66" i="57" s="1"/>
  <c r="E81" i="57"/>
  <c r="N31" i="57"/>
  <c r="M70" i="57"/>
  <c r="J111" i="57"/>
  <c r="AF70" i="57"/>
  <c r="AF120" i="57"/>
  <c r="V92" i="57"/>
  <c r="Q92" i="57"/>
  <c r="Z73" i="57"/>
  <c r="Z139" i="57"/>
  <c r="E43" i="57"/>
  <c r="N68" i="57"/>
  <c r="AF64" i="57"/>
  <c r="AF112" i="57"/>
  <c r="Z16" i="57"/>
  <c r="AA73" i="57"/>
  <c r="AB139" i="57"/>
  <c r="D27" i="57"/>
  <c r="G41" i="57"/>
  <c r="H41" i="57" s="1"/>
  <c r="E27" i="57"/>
  <c r="E82" i="57"/>
  <c r="J82" i="57"/>
  <c r="J115" i="57"/>
  <c r="AF66" i="57"/>
  <c r="AF116" i="57"/>
  <c r="N78" i="57"/>
  <c r="N82" i="57"/>
  <c r="AF68" i="57"/>
  <c r="AF118" i="57"/>
  <c r="I41" i="57"/>
  <c r="AC83" i="57"/>
  <c r="AB133" i="57"/>
  <c r="D83" i="57"/>
  <c r="I83" i="57" s="1"/>
  <c r="D22" i="57"/>
  <c r="I22" i="57" s="1"/>
  <c r="E75" i="57"/>
  <c r="G57" i="57"/>
  <c r="H57" i="57" s="1"/>
  <c r="F38" i="57"/>
  <c r="E22" i="57"/>
  <c r="K16" i="57"/>
  <c r="J22" i="57"/>
  <c r="K27" i="57"/>
  <c r="K99" i="57"/>
  <c r="K103" i="57"/>
  <c r="AF74" i="57"/>
  <c r="AC133" i="57"/>
  <c r="D99" i="57"/>
  <c r="I99" i="57" s="1"/>
  <c r="E73" i="57"/>
  <c r="N16" i="57"/>
  <c r="K22" i="57"/>
  <c r="M39" i="57"/>
  <c r="N99" i="57"/>
  <c r="AF78" i="57"/>
  <c r="AF124" i="57"/>
  <c r="Z22" i="57"/>
  <c r="D139" i="57"/>
  <c r="E19" i="57"/>
  <c r="M22" i="57"/>
  <c r="M35" i="57"/>
  <c r="N39" i="57"/>
  <c r="J43" i="57"/>
  <c r="J67" i="57"/>
  <c r="K80" i="57"/>
  <c r="M107" i="57"/>
  <c r="M128" i="57"/>
  <c r="AF128" i="57"/>
  <c r="D16" i="57"/>
  <c r="I16" i="57" s="1"/>
  <c r="E16" i="57"/>
  <c r="N22" i="57"/>
  <c r="N67" i="57"/>
  <c r="N140" i="57"/>
  <c r="AF84" i="57"/>
  <c r="AF130" i="57"/>
  <c r="N32" i="57"/>
  <c r="Q32" i="57" s="1"/>
  <c r="M118" i="57"/>
  <c r="AF28" i="57"/>
  <c r="AF94" i="57"/>
  <c r="AD83" i="57"/>
  <c r="AA39" i="57"/>
  <c r="E32" i="57"/>
  <c r="G32" i="57" s="1"/>
  <c r="H32" i="57" s="1"/>
  <c r="G13" i="57"/>
  <c r="H13" i="57" s="1"/>
  <c r="J19" i="57"/>
  <c r="J68" i="57"/>
  <c r="M95" i="57"/>
  <c r="K109" i="57"/>
  <c r="AF32" i="57"/>
  <c r="AF102" i="57"/>
  <c r="AF136" i="57"/>
  <c r="AB39" i="57"/>
  <c r="K33" i="57"/>
  <c r="K68" i="57"/>
  <c r="K81" i="57"/>
  <c r="M92" i="57"/>
  <c r="M119" i="57"/>
  <c r="AF108" i="57"/>
  <c r="AF138" i="57"/>
  <c r="Z39" i="57"/>
  <c r="D6" i="57"/>
  <c r="I6" i="57" s="1"/>
  <c r="E30" i="57"/>
  <c r="E3" i="57"/>
  <c r="F3" i="57" s="1"/>
  <c r="M8" i="57"/>
  <c r="K64" i="57"/>
  <c r="M81" i="57"/>
  <c r="AF50" i="57"/>
  <c r="AF140" i="57"/>
  <c r="G104" i="57"/>
  <c r="H104" i="57" s="1"/>
  <c r="F57" i="57"/>
  <c r="F34" i="57"/>
  <c r="I104" i="57"/>
  <c r="L120" i="57"/>
  <c r="S120" i="57" s="1"/>
  <c r="F117" i="57"/>
  <c r="G94" i="57"/>
  <c r="H94" i="57" s="1"/>
  <c r="G34" i="57"/>
  <c r="H34" i="57" s="1"/>
  <c r="G71" i="57"/>
  <c r="H71" i="57" s="1"/>
  <c r="G26" i="57"/>
  <c r="H26" i="57" s="1"/>
  <c r="F77" i="57"/>
  <c r="L117" i="57"/>
  <c r="S117" i="57" s="1"/>
  <c r="G10" i="57"/>
  <c r="H10" i="57" s="1"/>
  <c r="F87" i="57"/>
  <c r="F106" i="57"/>
  <c r="L41" i="57"/>
  <c r="S41" i="57" s="1"/>
  <c r="P94" i="57"/>
  <c r="F93" i="57"/>
  <c r="L84" i="57"/>
  <c r="S84" i="57" s="1"/>
  <c r="F40" i="57"/>
  <c r="B112" i="57"/>
  <c r="B57" i="57"/>
  <c r="B44" i="57"/>
  <c r="M126" i="57"/>
  <c r="N126" i="57"/>
  <c r="V126" i="57" s="1"/>
  <c r="AF126" i="57"/>
  <c r="AC126" i="57"/>
  <c r="Z126" i="57"/>
  <c r="M137" i="57"/>
  <c r="AF137" i="57"/>
  <c r="N137" i="57"/>
  <c r="E137" i="57"/>
  <c r="AA137" i="57"/>
  <c r="Z2" i="57"/>
  <c r="Z11" i="57"/>
  <c r="AA46" i="57"/>
  <c r="Z54" i="57"/>
  <c r="AA62" i="57"/>
  <c r="G93" i="57"/>
  <c r="H93" i="57" s="1"/>
  <c r="AB96" i="57"/>
  <c r="B124" i="57"/>
  <c r="D132" i="57"/>
  <c r="I132" i="57" s="1"/>
  <c r="E54" i="57"/>
  <c r="G38" i="57"/>
  <c r="H38" i="57" s="1"/>
  <c r="M7" i="57"/>
  <c r="AF7" i="57"/>
  <c r="E7" i="57"/>
  <c r="K7" i="57"/>
  <c r="AB7" i="57"/>
  <c r="J7" i="57"/>
  <c r="M16" i="57"/>
  <c r="AF16" i="57"/>
  <c r="AF21" i="57"/>
  <c r="AB21" i="57"/>
  <c r="K21" i="57"/>
  <c r="J21" i="57"/>
  <c r="L26" i="57"/>
  <c r="S26" i="57" s="1"/>
  <c r="AF45" i="57"/>
  <c r="N45" i="57"/>
  <c r="E45" i="57"/>
  <c r="P45" i="57" s="1"/>
  <c r="J45" i="57"/>
  <c r="X45" i="57" s="1"/>
  <c r="D45" i="57"/>
  <c r="AF57" i="57"/>
  <c r="AC57" i="57"/>
  <c r="N57" i="57"/>
  <c r="V57" i="57" s="1"/>
  <c r="N76" i="57"/>
  <c r="Q76" i="57" s="1"/>
  <c r="E76" i="57"/>
  <c r="AF76" i="57"/>
  <c r="D76" i="57"/>
  <c r="I76" i="57" s="1"/>
  <c r="B94" i="57"/>
  <c r="E8" i="57"/>
  <c r="AF8" i="57"/>
  <c r="AC8" i="57"/>
  <c r="J8" i="57"/>
  <c r="M11" i="57"/>
  <c r="N71" i="57"/>
  <c r="V71" i="57" s="1"/>
  <c r="AF71" i="57"/>
  <c r="B71" i="57"/>
  <c r="M71" i="57"/>
  <c r="X71" i="57" s="1"/>
  <c r="AF117" i="57"/>
  <c r="N117" i="57"/>
  <c r="AA9" i="57"/>
  <c r="AD29" i="57"/>
  <c r="AB49" i="57"/>
  <c r="AA71" i="57"/>
  <c r="B93" i="57"/>
  <c r="D89" i="57"/>
  <c r="E96" i="57"/>
  <c r="G96" i="57" s="1"/>
  <c r="H96" i="57" s="1"/>
  <c r="E18" i="57"/>
  <c r="K8" i="57"/>
  <c r="N12" i="57"/>
  <c r="AF12" i="57"/>
  <c r="AD12" i="57"/>
  <c r="Z12" i="57"/>
  <c r="M17" i="57"/>
  <c r="AF17" i="57"/>
  <c r="N17" i="57"/>
  <c r="E17" i="57"/>
  <c r="AC17" i="57"/>
  <c r="N46" i="57"/>
  <c r="AF46" i="57"/>
  <c r="K46" i="57"/>
  <c r="AB46" i="57"/>
  <c r="J46" i="57"/>
  <c r="D46" i="57"/>
  <c r="I46" i="57" s="1"/>
  <c r="M52" i="57"/>
  <c r="K52" i="57"/>
  <c r="AF52" i="57"/>
  <c r="M58" i="57"/>
  <c r="J58" i="57"/>
  <c r="N58" i="57"/>
  <c r="D58" i="57"/>
  <c r="AF58" i="57"/>
  <c r="AC58" i="57"/>
  <c r="M85" i="57"/>
  <c r="AF85" i="57"/>
  <c r="E85" i="57"/>
  <c r="M91" i="57"/>
  <c r="P91" i="57" s="1"/>
  <c r="N91" i="57"/>
  <c r="K91" i="57"/>
  <c r="AF91" i="57"/>
  <c r="J91" i="57"/>
  <c r="D91" i="57"/>
  <c r="N100" i="57"/>
  <c r="AF100" i="57"/>
  <c r="Z100" i="57"/>
  <c r="N104" i="57"/>
  <c r="AF104" i="57"/>
  <c r="B104" i="57"/>
  <c r="AD104" i="57"/>
  <c r="AB6" i="57"/>
  <c r="AA17" i="57"/>
  <c r="AC71" i="57"/>
  <c r="AA91" i="57"/>
  <c r="Z117" i="57"/>
  <c r="AA126" i="57"/>
  <c r="Z132" i="57"/>
  <c r="F86" i="57"/>
  <c r="L86" i="57"/>
  <c r="S86" i="57" s="1"/>
  <c r="D12" i="57"/>
  <c r="I12" i="57" s="1"/>
  <c r="N8" i="57"/>
  <c r="M19" i="57"/>
  <c r="AF19" i="57"/>
  <c r="K19" i="57"/>
  <c r="AB19" i="57"/>
  <c r="B47" i="57"/>
  <c r="AF47" i="57"/>
  <c r="K58" i="57"/>
  <c r="M65" i="57"/>
  <c r="P65" i="57" s="1"/>
  <c r="AF65" i="57"/>
  <c r="AC65" i="57"/>
  <c r="N65" i="57"/>
  <c r="K85" i="57"/>
  <c r="B92" i="57"/>
  <c r="AF92" i="57"/>
  <c r="AA92" i="57"/>
  <c r="M117" i="57"/>
  <c r="B136" i="57"/>
  <c r="N2" i="57"/>
  <c r="AB2" i="57"/>
  <c r="AF2" i="57"/>
  <c r="J11" i="57"/>
  <c r="AF11" i="57"/>
  <c r="AB11" i="57"/>
  <c r="M89" i="57"/>
  <c r="AF89" i="57"/>
  <c r="N89" i="57"/>
  <c r="B117" i="57"/>
  <c r="AF129" i="57"/>
  <c r="N129" i="57"/>
  <c r="M129" i="57"/>
  <c r="K129" i="57"/>
  <c r="J129" i="57"/>
  <c r="AD89" i="57"/>
  <c r="E9" i="57"/>
  <c r="M5" i="57"/>
  <c r="AF5" i="57"/>
  <c r="AC5" i="57"/>
  <c r="E20" i="57"/>
  <c r="N20" i="57"/>
  <c r="AF20" i="57"/>
  <c r="Z20" i="57"/>
  <c r="J23" i="57"/>
  <c r="AF23" i="57"/>
  <c r="M23" i="57"/>
  <c r="N44" i="57"/>
  <c r="AF44" i="57"/>
  <c r="AB44" i="57"/>
  <c r="M55" i="57"/>
  <c r="N55" i="57"/>
  <c r="AF55" i="57"/>
  <c r="K55" i="57"/>
  <c r="M79" i="57"/>
  <c r="AF79" i="57"/>
  <c r="K79" i="57"/>
  <c r="D79" i="57"/>
  <c r="Z23" i="57"/>
  <c r="Z104" i="57"/>
  <c r="D8" i="57"/>
  <c r="I8" i="57" s="1"/>
  <c r="E58" i="57"/>
  <c r="N5" i="57"/>
  <c r="J20" i="57"/>
  <c r="N24" i="57"/>
  <c r="AF24" i="57"/>
  <c r="M29" i="57"/>
  <c r="AF29" i="57"/>
  <c r="E29" i="57"/>
  <c r="Z29" i="57"/>
  <c r="N29" i="57"/>
  <c r="J55" i="57"/>
  <c r="N62" i="57"/>
  <c r="AC62" i="57"/>
  <c r="AF62" i="57"/>
  <c r="J75" i="57"/>
  <c r="AF75" i="57"/>
  <c r="M75" i="57"/>
  <c r="AC75" i="57"/>
  <c r="J79" i="57"/>
  <c r="L136" i="57"/>
  <c r="S136" i="57" s="1"/>
  <c r="N132" i="57"/>
  <c r="AF132" i="57"/>
  <c r="AA132" i="57"/>
  <c r="B133" i="57"/>
  <c r="M13" i="57"/>
  <c r="P13" i="57" s="1"/>
  <c r="AF13" i="57"/>
  <c r="K18" i="57"/>
  <c r="D18" i="57"/>
  <c r="AF18" i="57"/>
  <c r="N18" i="57"/>
  <c r="J18" i="57"/>
  <c r="AA13" i="57"/>
  <c r="AB18" i="57"/>
  <c r="AA89" i="57"/>
  <c r="AB132" i="57"/>
  <c r="D11" i="57"/>
  <c r="M4" i="57"/>
  <c r="AF4" i="57"/>
  <c r="K4" i="57"/>
  <c r="AF9" i="57"/>
  <c r="K9" i="57"/>
  <c r="N9" i="57"/>
  <c r="J59" i="57"/>
  <c r="AF59" i="57"/>
  <c r="M59" i="57"/>
  <c r="AB89" i="57"/>
  <c r="AC132" i="57"/>
  <c r="B130" i="57"/>
  <c r="E132" i="57"/>
  <c r="N4" i="57"/>
  <c r="J9" i="57"/>
  <c r="K54" i="57"/>
  <c r="J54" i="57"/>
  <c r="AF54" i="57"/>
  <c r="N54" i="57"/>
  <c r="AB54" i="57"/>
  <c r="AC54" i="57"/>
  <c r="M114" i="57"/>
  <c r="AC114" i="57"/>
  <c r="AF114" i="57"/>
  <c r="B114" i="57"/>
  <c r="N114" i="57"/>
  <c r="Q114" i="57" s="1"/>
  <c r="AD114" i="57"/>
  <c r="D9" i="57"/>
  <c r="I9" i="57" s="1"/>
  <c r="N96" i="57"/>
  <c r="AF96" i="57"/>
  <c r="AA96" i="57"/>
  <c r="M37" i="57"/>
  <c r="P37" i="57" s="1"/>
  <c r="AF37" i="57"/>
  <c r="M49" i="57"/>
  <c r="AF49" i="57"/>
  <c r="Z49" i="57"/>
  <c r="J56" i="57"/>
  <c r="AF56" i="57"/>
  <c r="AD56" i="57"/>
  <c r="M56" i="57"/>
  <c r="E56" i="57"/>
  <c r="F56" i="57" s="1"/>
  <c r="AA56" i="57"/>
  <c r="K56" i="57"/>
  <c r="N79" i="57"/>
  <c r="B39" i="57"/>
  <c r="B128" i="57"/>
  <c r="B140" i="57"/>
  <c r="B10" i="57"/>
  <c r="Z4" i="57"/>
  <c r="AA20" i="57"/>
  <c r="AC23" i="57"/>
  <c r="B126" i="57"/>
  <c r="D23" i="57"/>
  <c r="I23" i="57" s="1"/>
  <c r="E129" i="57"/>
  <c r="E89" i="57"/>
  <c r="E5" i="57"/>
  <c r="K6" i="57"/>
  <c r="N6" i="57"/>
  <c r="Z6" i="57"/>
  <c r="AF6" i="57"/>
  <c r="K20" i="57"/>
  <c r="B34" i="57"/>
  <c r="AA4" i="57"/>
  <c r="Z8" i="57"/>
  <c r="AB20" i="57"/>
  <c r="AD23" i="57"/>
  <c r="Z96" i="57"/>
  <c r="AC104" i="57"/>
  <c r="B138" i="57"/>
  <c r="B13" i="57"/>
  <c r="D59" i="57"/>
  <c r="L38" i="57"/>
  <c r="S38" i="57" s="1"/>
  <c r="D4" i="57"/>
  <c r="E55" i="57"/>
  <c r="E4" i="57"/>
  <c r="J6" i="57"/>
  <c r="M20" i="57"/>
  <c r="M44" i="57"/>
  <c r="N56" i="57"/>
  <c r="N75" i="57"/>
  <c r="M125" i="57"/>
  <c r="P125" i="57" s="1"/>
  <c r="AF125" i="57"/>
  <c r="N14" i="57"/>
  <c r="M25" i="57"/>
  <c r="P25" i="57" s="1"/>
  <c r="AF25" i="57"/>
  <c r="AF33" i="57"/>
  <c r="N36" i="57"/>
  <c r="M40" i="57"/>
  <c r="O40" i="57" s="1"/>
  <c r="AD14" i="57"/>
  <c r="Z40" i="57"/>
  <c r="Z88" i="57"/>
  <c r="AC111" i="57"/>
  <c r="B113" i="57"/>
  <c r="B101" i="57"/>
  <c r="E111" i="57"/>
  <c r="E42" i="57"/>
  <c r="AF15" i="57"/>
  <c r="N26" i="57"/>
  <c r="Q26" i="57" s="1"/>
  <c r="K30" i="57"/>
  <c r="J33" i="57"/>
  <c r="N60" i="57"/>
  <c r="N72" i="57"/>
  <c r="M90" i="57"/>
  <c r="N90" i="57"/>
  <c r="K90" i="57"/>
  <c r="M93" i="57"/>
  <c r="N98" i="57"/>
  <c r="N106" i="57"/>
  <c r="V106" i="57" s="1"/>
  <c r="M106" i="57"/>
  <c r="N125" i="57"/>
  <c r="AF10" i="57"/>
  <c r="AF26" i="57"/>
  <c r="AF82" i="57"/>
  <c r="AF90" i="57"/>
  <c r="AF98" i="57"/>
  <c r="AF106" i="57"/>
  <c r="AA82" i="57"/>
  <c r="AD88" i="57"/>
  <c r="Z93" i="57"/>
  <c r="AD101" i="57"/>
  <c r="L114" i="57"/>
  <c r="S114" i="57" s="1"/>
  <c r="M10" i="57"/>
  <c r="M15" i="57"/>
  <c r="M27" i="57"/>
  <c r="AF27" i="57"/>
  <c r="M31" i="57"/>
  <c r="K31" i="57"/>
  <c r="AF31" i="57"/>
  <c r="N33" i="57"/>
  <c r="N38" i="57"/>
  <c r="M41" i="57"/>
  <c r="N41" i="57"/>
  <c r="AF41" i="57"/>
  <c r="M53" i="57"/>
  <c r="AF53" i="57"/>
  <c r="M63" i="57"/>
  <c r="AF63" i="57"/>
  <c r="M67" i="57"/>
  <c r="K67" i="57"/>
  <c r="AF67" i="57"/>
  <c r="N86" i="57"/>
  <c r="V86" i="57" s="1"/>
  <c r="M121" i="57"/>
  <c r="AF121" i="57"/>
  <c r="J131" i="57"/>
  <c r="X131" i="57" s="1"/>
  <c r="AF131" i="57"/>
  <c r="AF36" i="57"/>
  <c r="AF60" i="57"/>
  <c r="K42" i="57"/>
  <c r="N48" i="57"/>
  <c r="M82" i="57"/>
  <c r="K82" i="57"/>
  <c r="J95" i="57"/>
  <c r="AF95" i="57"/>
  <c r="M101" i="57"/>
  <c r="X101" i="57" s="1"/>
  <c r="AF101" i="57"/>
  <c r="M133" i="57"/>
  <c r="AF133" i="57"/>
  <c r="AF14" i="57"/>
  <c r="AF22" i="57"/>
  <c r="AF30" i="57"/>
  <c r="AF38" i="57"/>
  <c r="AF86" i="57"/>
  <c r="Z14" i="57"/>
  <c r="AB25" i="57"/>
  <c r="AD36" i="57"/>
  <c r="AA125" i="57"/>
  <c r="D82" i="57"/>
  <c r="I82" i="57" s="1"/>
  <c r="D48" i="57"/>
  <c r="AF3" i="57"/>
  <c r="J35" i="57"/>
  <c r="AF35" i="57"/>
  <c r="M43" i="57"/>
  <c r="AF43" i="57"/>
  <c r="N51" i="57"/>
  <c r="AF51" i="57"/>
  <c r="J83" i="57"/>
  <c r="M83" i="57"/>
  <c r="P83" i="57" s="1"/>
  <c r="AF83" i="57"/>
  <c r="N88" i="57"/>
  <c r="K88" i="57"/>
  <c r="AF93" i="57"/>
  <c r="AF111" i="57"/>
  <c r="N111" i="57"/>
  <c r="AF40" i="57"/>
  <c r="AF48" i="57"/>
  <c r="AF72" i="57"/>
  <c r="AF88" i="57"/>
  <c r="L93" i="57"/>
  <c r="S93" i="57" s="1"/>
  <c r="Q112" i="57"/>
  <c r="K115" i="57"/>
  <c r="K118" i="57"/>
  <c r="J123" i="57"/>
  <c r="N138" i="57"/>
  <c r="V138" i="57" s="1"/>
  <c r="AF39" i="57"/>
  <c r="AF61" i="57"/>
  <c r="AF69" i="57"/>
  <c r="AF73" i="57"/>
  <c r="AF77" i="57"/>
  <c r="AF81" i="57"/>
  <c r="AF87" i="57"/>
  <c r="AF97" i="57"/>
  <c r="AF99" i="57"/>
  <c r="AF103" i="57"/>
  <c r="AF105" i="57"/>
  <c r="AF107" i="57"/>
  <c r="AF109" i="57"/>
  <c r="AF113" i="57"/>
  <c r="AF115" i="57"/>
  <c r="AF119" i="57"/>
  <c r="AF123" i="57"/>
  <c r="AF127" i="57"/>
  <c r="AF135" i="57"/>
  <c r="AF139" i="57"/>
  <c r="N77" i="57"/>
  <c r="V77" i="57" s="1"/>
  <c r="M87" i="57"/>
  <c r="X87" i="57" s="1"/>
  <c r="J102" i="57"/>
  <c r="J116" i="57"/>
  <c r="N118" i="57"/>
  <c r="M123" i="57"/>
  <c r="J127" i="57"/>
  <c r="K135" i="57"/>
  <c r="N87" i="57"/>
  <c r="J99" i="57"/>
  <c r="K102" i="57"/>
  <c r="K116" i="57"/>
  <c r="N123" i="57"/>
  <c r="Q123" i="57" s="1"/>
  <c r="N135" i="57"/>
  <c r="M130" i="57"/>
  <c r="M99" i="57"/>
  <c r="M105" i="57"/>
  <c r="X105" i="57" s="1"/>
  <c r="B77" i="57"/>
  <c r="B41" i="57"/>
  <c r="D67" i="57"/>
  <c r="F67" i="57" s="1"/>
  <c r="D55" i="57"/>
  <c r="D43" i="57"/>
  <c r="D31" i="57"/>
  <c r="D19" i="57"/>
  <c r="D7" i="57"/>
  <c r="E134" i="57"/>
  <c r="E122" i="57"/>
  <c r="E110" i="57"/>
  <c r="E98" i="57"/>
  <c r="E74" i="57"/>
  <c r="E62" i="57"/>
  <c r="E50" i="57"/>
  <c r="E14" i="57"/>
  <c r="E2" i="57"/>
  <c r="J4" i="57"/>
  <c r="M6" i="57"/>
  <c r="K11" i="57"/>
  <c r="N13" i="57"/>
  <c r="Q13" i="57" s="1"/>
  <c r="J16" i="57"/>
  <c r="M18" i="57"/>
  <c r="K23" i="57"/>
  <c r="N25" i="57"/>
  <c r="J28" i="57"/>
  <c r="M30" i="57"/>
  <c r="X30" i="57" s="1"/>
  <c r="K35" i="57"/>
  <c r="N37" i="57"/>
  <c r="M42" i="57"/>
  <c r="N49" i="57"/>
  <c r="J52" i="57"/>
  <c r="M54" i="57"/>
  <c r="K59" i="57"/>
  <c r="N61" i="57"/>
  <c r="J64" i="57"/>
  <c r="X64" i="57" s="1"/>
  <c r="M66" i="57"/>
  <c r="N73" i="57"/>
  <c r="J76" i="57"/>
  <c r="M78" i="57"/>
  <c r="K83" i="57"/>
  <c r="N85" i="57"/>
  <c r="J88" i="57"/>
  <c r="K95" i="57"/>
  <c r="N97" i="57"/>
  <c r="J100" i="57"/>
  <c r="K107" i="57"/>
  <c r="N109" i="57"/>
  <c r="K119" i="57"/>
  <c r="N121" i="57"/>
  <c r="K131" i="57"/>
  <c r="N133" i="57"/>
  <c r="Z134" i="57"/>
  <c r="F125" i="57"/>
  <c r="G101" i="57"/>
  <c r="H101" i="57" s="1"/>
  <c r="D65" i="57"/>
  <c r="D53" i="57"/>
  <c r="D29" i="57"/>
  <c r="D17" i="57"/>
  <c r="D5" i="57"/>
  <c r="E72" i="57"/>
  <c r="G72" i="57" s="1"/>
  <c r="H72" i="57" s="1"/>
  <c r="E60" i="57"/>
  <c r="E48" i="57"/>
  <c r="E24" i="57"/>
  <c r="E12" i="57"/>
  <c r="J2" i="57"/>
  <c r="N11" i="57"/>
  <c r="J14" i="57"/>
  <c r="N23" i="57"/>
  <c r="N35" i="57"/>
  <c r="N47" i="57"/>
  <c r="V47" i="57" s="1"/>
  <c r="J50" i="57"/>
  <c r="N59" i="57"/>
  <c r="J62" i="57"/>
  <c r="J74" i="57"/>
  <c r="M76" i="57"/>
  <c r="N83" i="57"/>
  <c r="M88" i="57"/>
  <c r="N95" i="57"/>
  <c r="J98" i="57"/>
  <c r="M100" i="57"/>
  <c r="P100" i="57" s="1"/>
  <c r="N107" i="57"/>
  <c r="J110" i="57"/>
  <c r="M112" i="57"/>
  <c r="P112" i="57" s="1"/>
  <c r="N119" i="57"/>
  <c r="J122" i="57"/>
  <c r="M124" i="57"/>
  <c r="X124" i="57" s="1"/>
  <c r="N131" i="57"/>
  <c r="J134" i="57"/>
  <c r="M136" i="57"/>
  <c r="O136" i="57" s="1"/>
  <c r="AA134" i="57"/>
  <c r="B86" i="57"/>
  <c r="B38" i="57"/>
  <c r="B26" i="57"/>
  <c r="E59" i="57"/>
  <c r="E35" i="57"/>
  <c r="E23" i="57"/>
  <c r="E11" i="57"/>
  <c r="K2" i="57"/>
  <c r="K14" i="57"/>
  <c r="K50" i="57"/>
  <c r="V50" i="57" s="1"/>
  <c r="K62" i="57"/>
  <c r="K74" i="57"/>
  <c r="V74" i="57" s="1"/>
  <c r="K98" i="57"/>
  <c r="K110" i="57"/>
  <c r="K122" i="57"/>
  <c r="K134" i="57"/>
  <c r="J139" i="57"/>
  <c r="AB134" i="57"/>
  <c r="F130" i="57"/>
  <c r="F94" i="57"/>
  <c r="M2" i="57"/>
  <c r="J12" i="57"/>
  <c r="M14" i="57"/>
  <c r="J24" i="57"/>
  <c r="M26" i="57"/>
  <c r="X26" i="57" s="1"/>
  <c r="M38" i="57"/>
  <c r="J48" i="57"/>
  <c r="M50" i="57"/>
  <c r="J60" i="57"/>
  <c r="M62" i="57"/>
  <c r="J72" i="57"/>
  <c r="M74" i="57"/>
  <c r="M86" i="57"/>
  <c r="J96" i="57"/>
  <c r="L96" i="57" s="1"/>
  <c r="M98" i="57"/>
  <c r="J108" i="57"/>
  <c r="M110" i="57"/>
  <c r="M122" i="57"/>
  <c r="K127" i="57"/>
  <c r="Q127" i="57" s="1"/>
  <c r="J132" i="57"/>
  <c r="M134" i="57"/>
  <c r="K139" i="57"/>
  <c r="AC134" i="57"/>
  <c r="L140" i="57"/>
  <c r="S140" i="57" s="1"/>
  <c r="B84" i="57"/>
  <c r="B36" i="57"/>
  <c r="D134" i="57"/>
  <c r="I134" i="57" s="1"/>
  <c r="D122" i="57"/>
  <c r="I122" i="57" s="1"/>
  <c r="D110" i="57"/>
  <c r="D98" i="57"/>
  <c r="D74" i="57"/>
  <c r="I74" i="57" s="1"/>
  <c r="D62" i="57"/>
  <c r="I62" i="57" s="1"/>
  <c r="D50" i="57"/>
  <c r="D14" i="57"/>
  <c r="I14" i="57" s="1"/>
  <c r="D2" i="57"/>
  <c r="J5" i="57"/>
  <c r="K12" i="57"/>
  <c r="J17" i="57"/>
  <c r="K24" i="57"/>
  <c r="J29" i="57"/>
  <c r="K48" i="57"/>
  <c r="J53" i="57"/>
  <c r="K60" i="57"/>
  <c r="J65" i="57"/>
  <c r="J89" i="57"/>
  <c r="K108" i="57"/>
  <c r="V108" i="57" s="1"/>
  <c r="N110" i="57"/>
  <c r="M115" i="57"/>
  <c r="N122" i="57"/>
  <c r="J125" i="57"/>
  <c r="M127" i="57"/>
  <c r="O127" i="57" s="1"/>
  <c r="K132" i="57"/>
  <c r="N134" i="57"/>
  <c r="J137" i="57"/>
  <c r="M139" i="57"/>
  <c r="AA110" i="57"/>
  <c r="I114" i="57"/>
  <c r="Z122" i="57"/>
  <c r="AD134" i="57"/>
  <c r="D73" i="57"/>
  <c r="D61" i="57"/>
  <c r="I61" i="57" s="1"/>
  <c r="D49" i="57"/>
  <c r="I49" i="57" s="1"/>
  <c r="D37" i="57"/>
  <c r="D25" i="57"/>
  <c r="K5" i="57"/>
  <c r="M12" i="57"/>
  <c r="K17" i="57"/>
  <c r="M24" i="57"/>
  <c r="K29" i="57"/>
  <c r="M36" i="57"/>
  <c r="M48" i="57"/>
  <c r="K53" i="57"/>
  <c r="M60" i="57"/>
  <c r="K65" i="57"/>
  <c r="M72" i="57"/>
  <c r="M84" i="57"/>
  <c r="P84" i="57" s="1"/>
  <c r="K89" i="57"/>
  <c r="M96" i="57"/>
  <c r="M108" i="57"/>
  <c r="M120" i="57"/>
  <c r="K125" i="57"/>
  <c r="M132" i="57"/>
  <c r="K137" i="57"/>
  <c r="Z110" i="57"/>
  <c r="AA122" i="57"/>
  <c r="J135" i="57"/>
  <c r="AC110" i="57"/>
  <c r="AD110" i="57"/>
  <c r="J25" i="57"/>
  <c r="J37" i="57"/>
  <c r="J49" i="57"/>
  <c r="J61" i="57"/>
  <c r="J73" i="57"/>
  <c r="J85" i="57"/>
  <c r="J97" i="57"/>
  <c r="J109" i="57"/>
  <c r="J121" i="57"/>
  <c r="K25" i="57"/>
  <c r="K37" i="57"/>
  <c r="K49" i="57"/>
  <c r="K61" i="57"/>
  <c r="K73" i="57"/>
  <c r="F36" i="57"/>
  <c r="G130" i="57"/>
  <c r="H130" i="57" s="1"/>
  <c r="I84" i="57"/>
  <c r="G77" i="57"/>
  <c r="H77" i="57" s="1"/>
  <c r="L138" i="57"/>
  <c r="S138" i="57" s="1"/>
  <c r="G36" i="57"/>
  <c r="H36" i="57" s="1"/>
  <c r="I3" i="57"/>
  <c r="AD2" i="57"/>
  <c r="AB5" i="57"/>
  <c r="AA5" i="57"/>
  <c r="Z5" i="57"/>
  <c r="P6" i="57"/>
  <c r="AD11" i="57"/>
  <c r="AD4" i="57"/>
  <c r="AD13" i="57"/>
  <c r="Z15" i="57"/>
  <c r="AD16" i="57"/>
  <c r="Z18" i="57"/>
  <c r="AC6" i="57"/>
  <c r="AC10" i="57"/>
  <c r="L13" i="57"/>
  <c r="AB24" i="57"/>
  <c r="Z27" i="57"/>
  <c r="AA30" i="57"/>
  <c r="AD30" i="57"/>
  <c r="AC30" i="57"/>
  <c r="AD33" i="57"/>
  <c r="AC34" i="57"/>
  <c r="AD37" i="57"/>
  <c r="AC37" i="57"/>
  <c r="AB37" i="57"/>
  <c r="AD41" i="57"/>
  <c r="AC43" i="57"/>
  <c r="I44" i="57"/>
  <c r="AA45" i="57"/>
  <c r="AD47" i="57"/>
  <c r="Z19" i="57"/>
  <c r="AC19" i="57"/>
  <c r="Z9" i="57"/>
  <c r="AD15" i="57"/>
  <c r="AC15" i="57"/>
  <c r="AB15" i="57"/>
  <c r="AA18" i="57"/>
  <c r="AC18" i="57"/>
  <c r="AA27" i="57"/>
  <c r="AD38" i="57"/>
  <c r="Q40" i="57"/>
  <c r="V40" i="57"/>
  <c r="AB45" i="57"/>
  <c r="AD50" i="57"/>
  <c r="AB53" i="57"/>
  <c r="AA53" i="57"/>
  <c r="Z53" i="57"/>
  <c r="AC4" i="57"/>
  <c r="AB4" i="57"/>
  <c r="L10" i="57"/>
  <c r="S10" i="57" s="1"/>
  <c r="AC13" i="57"/>
  <c r="AC24" i="57"/>
  <c r="AD3" i="57"/>
  <c r="AC3" i="57"/>
  <c r="F10" i="57"/>
  <c r="AC12" i="57"/>
  <c r="F13" i="57"/>
  <c r="AD18" i="57"/>
  <c r="Z21" i="57"/>
  <c r="AC21" i="57"/>
  <c r="Z25" i="57"/>
  <c r="I26" i="57"/>
  <c r="AB27" i="57"/>
  <c r="AA31" i="57"/>
  <c r="AC40" i="57"/>
  <c r="AC45" i="57"/>
  <c r="AD48" i="57"/>
  <c r="AC48" i="57"/>
  <c r="AB48" i="57"/>
  <c r="AA48" i="57"/>
  <c r="Z48" i="57"/>
  <c r="AD9" i="57"/>
  <c r="AB9" i="57"/>
  <c r="AD24" i="57"/>
  <c r="AA25" i="57"/>
  <c r="AD39" i="57"/>
  <c r="AB41" i="57"/>
  <c r="AC41" i="57"/>
  <c r="AD27" i="57"/>
  <c r="V32" i="57"/>
  <c r="AC25" i="57"/>
  <c r="I40" i="57"/>
  <c r="AB60" i="57"/>
  <c r="Z13" i="57"/>
  <c r="AB17" i="57"/>
  <c r="AD17" i="57"/>
  <c r="AB23" i="57"/>
  <c r="AA23" i="57"/>
  <c r="Z31" i="57"/>
  <c r="AD31" i="57"/>
  <c r="L34" i="57"/>
  <c r="S34" i="57" s="1"/>
  <c r="I34" i="57"/>
  <c r="F39" i="57"/>
  <c r="I39" i="57"/>
  <c r="Z43" i="57"/>
  <c r="AD43" i="57"/>
  <c r="G39" i="57"/>
  <c r="H39" i="57" s="1"/>
  <c r="AA47" i="57"/>
  <c r="AC11" i="57"/>
  <c r="AA33" i="57"/>
  <c r="F44" i="57"/>
  <c r="Z47" i="57"/>
  <c r="AC50" i="57"/>
  <c r="AB50" i="57"/>
  <c r="AA50" i="57"/>
  <c r="Z50" i="57"/>
  <c r="I58" i="57"/>
  <c r="AA16" i="57"/>
  <c r="AB16" i="57"/>
  <c r="AA22" i="57"/>
  <c r="AC22" i="57"/>
  <c r="Z24" i="57"/>
  <c r="AB33" i="57"/>
  <c r="AB38" i="57"/>
  <c r="L39" i="57"/>
  <c r="S39" i="57" s="1"/>
  <c r="AA43" i="57"/>
  <c r="G44" i="57"/>
  <c r="H44" i="57" s="1"/>
  <c r="AD45" i="57"/>
  <c r="L47" i="57"/>
  <c r="S47" i="57" s="1"/>
  <c r="G47" i="57"/>
  <c r="H47" i="57" s="1"/>
  <c r="F47" i="57"/>
  <c r="AB47" i="57"/>
  <c r="AC52" i="57"/>
  <c r="Z52" i="57"/>
  <c r="AD52" i="57"/>
  <c r="AB52" i="57"/>
  <c r="AA52" i="57"/>
  <c r="AA60" i="57"/>
  <c r="AD60" i="57"/>
  <c r="Z60" i="57"/>
  <c r="AD19" i="57"/>
  <c r="AB10" i="57"/>
  <c r="AD22" i="57"/>
  <c r="AA24" i="57"/>
  <c r="AD26" i="57"/>
  <c r="AC33" i="57"/>
  <c r="I36" i="57"/>
  <c r="AC38" i="57"/>
  <c r="L40" i="57"/>
  <c r="S40" i="57" s="1"/>
  <c r="AD40" i="57"/>
  <c r="AA41" i="57"/>
  <c r="AB43" i="57"/>
  <c r="Z45" i="57"/>
  <c r="AC47" i="57"/>
  <c r="AD53" i="57"/>
  <c r="AD59" i="57"/>
  <c r="Z59" i="57"/>
  <c r="AC59" i="57"/>
  <c r="AB59" i="57"/>
  <c r="AA59" i="57"/>
  <c r="Z7" i="57"/>
  <c r="AA7" i="57"/>
  <c r="AB29" i="57"/>
  <c r="AA29" i="57"/>
  <c r="Z36" i="57"/>
  <c r="I56" i="57"/>
  <c r="AD58" i="57"/>
  <c r="AA66" i="57"/>
  <c r="AC66" i="57"/>
  <c r="AB66" i="57"/>
  <c r="Z66" i="57"/>
  <c r="AD67" i="57"/>
  <c r="Z79" i="57"/>
  <c r="AD79" i="57"/>
  <c r="AC79" i="57"/>
  <c r="AA79" i="57"/>
  <c r="AB79" i="57"/>
  <c r="Z28" i="57"/>
  <c r="AA36" i="57"/>
  <c r="I72" i="57"/>
  <c r="AA42" i="57"/>
  <c r="AB42" i="57"/>
  <c r="AC42" i="57"/>
  <c r="G54" i="57"/>
  <c r="H54" i="57" s="1"/>
  <c r="Z55" i="57"/>
  <c r="L57" i="57"/>
  <c r="S57" i="57" s="1"/>
  <c r="AA35" i="57"/>
  <c r="AD42" i="57"/>
  <c r="AD46" i="57"/>
  <c r="F54" i="57"/>
  <c r="AB58" i="57"/>
  <c r="I57" i="57"/>
  <c r="Z67" i="57"/>
  <c r="AA67" i="57"/>
  <c r="AB69" i="57"/>
  <c r="AD69" i="57"/>
  <c r="AA69" i="57"/>
  <c r="AC69" i="57"/>
  <c r="Z69" i="57"/>
  <c r="AB67" i="57"/>
  <c r="AD51" i="57"/>
  <c r="AA54" i="57"/>
  <c r="AD54" i="57"/>
  <c r="AC67" i="57"/>
  <c r="F84" i="57"/>
  <c r="G84" i="57"/>
  <c r="H84" i="57" s="1"/>
  <c r="AD81" i="57"/>
  <c r="Z81" i="57"/>
  <c r="AA81" i="57"/>
  <c r="Q84" i="57"/>
  <c r="V84" i="57"/>
  <c r="F71" i="57"/>
  <c r="L71" i="57"/>
  <c r="S71" i="57" s="1"/>
  <c r="AC76" i="57"/>
  <c r="AD76" i="57"/>
  <c r="AA76" i="57"/>
  <c r="Z76" i="57"/>
  <c r="AC81" i="57"/>
  <c r="Z85" i="57"/>
  <c r="AD85" i="57"/>
  <c r="AB85" i="57"/>
  <c r="AA85" i="57"/>
  <c r="AC85" i="57"/>
  <c r="Z57" i="57"/>
  <c r="AD57" i="57"/>
  <c r="AB65" i="57"/>
  <c r="Z65" i="57"/>
  <c r="AB73" i="57"/>
  <c r="AB76" i="57"/>
  <c r="I80" i="57"/>
  <c r="I75" i="57"/>
  <c r="Z71" i="57"/>
  <c r="AD71" i="57"/>
  <c r="L77" i="57"/>
  <c r="S77" i="57" s="1"/>
  <c r="AA84" i="57"/>
  <c r="AC84" i="57"/>
  <c r="AB84" i="57"/>
  <c r="Z84" i="57"/>
  <c r="AD84" i="57"/>
  <c r="AA49" i="57"/>
  <c r="AB62" i="57"/>
  <c r="AD62" i="57"/>
  <c r="AC64" i="57"/>
  <c r="AD70" i="57"/>
  <c r="AA78" i="57"/>
  <c r="X92" i="57"/>
  <c r="P92" i="57"/>
  <c r="O92" i="57"/>
  <c r="AE86" i="57"/>
  <c r="AD92" i="57"/>
  <c r="AD98" i="57"/>
  <c r="AC98" i="57"/>
  <c r="AB98" i="57"/>
  <c r="AA98" i="57"/>
  <c r="Z98" i="57"/>
  <c r="Z102" i="57"/>
  <c r="AD102" i="57"/>
  <c r="AC102" i="57"/>
  <c r="AB102" i="57"/>
  <c r="L87" i="57"/>
  <c r="S87" i="57" s="1"/>
  <c r="I87" i="57"/>
  <c r="AD93" i="57"/>
  <c r="I88" i="57"/>
  <c r="Z92" i="57"/>
  <c r="I96" i="57"/>
  <c r="AA87" i="57"/>
  <c r="AC89" i="57"/>
  <c r="I94" i="57"/>
  <c r="L94" i="57"/>
  <c r="S94" i="57" s="1"/>
  <c r="AA95" i="57"/>
  <c r="AB87" i="57"/>
  <c r="I93" i="57"/>
  <c r="Z95" i="57"/>
  <c r="AA93" i="57"/>
  <c r="Q100" i="57"/>
  <c r="V100" i="57"/>
  <c r="AB83" i="57"/>
  <c r="AA83" i="57"/>
  <c r="P87" i="57"/>
  <c r="AB92" i="57"/>
  <c r="AC93" i="57"/>
  <c r="AD63" i="57"/>
  <c r="AC63" i="57"/>
  <c r="AA77" i="57"/>
  <c r="AC92" i="57"/>
  <c r="G87" i="57"/>
  <c r="H87" i="57" s="1"/>
  <c r="G102" i="57"/>
  <c r="H102" i="57" s="1"/>
  <c r="AA75" i="57"/>
  <c r="AC82" i="57"/>
  <c r="Z82" i="57"/>
  <c r="AD82" i="57"/>
  <c r="AC88" i="57"/>
  <c r="AC91" i="57"/>
  <c r="AB91" i="57"/>
  <c r="I101" i="57"/>
  <c r="F101" i="57"/>
  <c r="L101" i="57"/>
  <c r="S101" i="57" s="1"/>
  <c r="AC99" i="57"/>
  <c r="Z99" i="57"/>
  <c r="AD99" i="57"/>
  <c r="AB99" i="57"/>
  <c r="X104" i="57"/>
  <c r="P104" i="57"/>
  <c r="AD106" i="57"/>
  <c r="AA90" i="57"/>
  <c r="G92" i="57"/>
  <c r="H92" i="57" s="1"/>
  <c r="AB94" i="57"/>
  <c r="AD97" i="57"/>
  <c r="AC97" i="57"/>
  <c r="AB97" i="57"/>
  <c r="AA101" i="57"/>
  <c r="I102" i="57"/>
  <c r="AD105" i="57"/>
  <c r="AC105" i="57"/>
  <c r="AA105" i="57"/>
  <c r="Z105" i="57"/>
  <c r="AB118" i="57"/>
  <c r="AA118" i="57"/>
  <c r="AD118" i="57"/>
  <c r="AC118" i="57"/>
  <c r="Z113" i="57"/>
  <c r="AC113" i="57"/>
  <c r="AB113" i="57"/>
  <c r="AA113" i="57"/>
  <c r="G121" i="57"/>
  <c r="H121" i="57" s="1"/>
  <c r="AD111" i="57"/>
  <c r="AB111" i="57"/>
  <c r="AA111" i="57"/>
  <c r="AD116" i="57"/>
  <c r="AC116" i="57"/>
  <c r="AA116" i="57"/>
  <c r="AB116" i="57"/>
  <c r="Z118" i="57"/>
  <c r="AB101" i="57"/>
  <c r="AA108" i="57"/>
  <c r="I112" i="57"/>
  <c r="F112" i="57"/>
  <c r="G120" i="57"/>
  <c r="H120" i="57" s="1"/>
  <c r="Q106" i="57"/>
  <c r="F120" i="57"/>
  <c r="G125" i="57"/>
  <c r="H125" i="57" s="1"/>
  <c r="F128" i="57"/>
  <c r="I128" i="57"/>
  <c r="L128" i="57"/>
  <c r="S128" i="57" s="1"/>
  <c r="G128" i="57"/>
  <c r="H128" i="57" s="1"/>
  <c r="L104" i="57"/>
  <c r="S104" i="57" s="1"/>
  <c r="AB107" i="57"/>
  <c r="AA114" i="57"/>
  <c r="AC119" i="57"/>
  <c r="AA124" i="57"/>
  <c r="AC124" i="57"/>
  <c r="Q124" i="57"/>
  <c r="AB124" i="57"/>
  <c r="AD124" i="57"/>
  <c r="AB100" i="57"/>
  <c r="AD100" i="57"/>
  <c r="AD115" i="57"/>
  <c r="AB115" i="57"/>
  <c r="AA115" i="57"/>
  <c r="F133" i="57"/>
  <c r="L133" i="57"/>
  <c r="S133" i="57" s="1"/>
  <c r="I133" i="57"/>
  <c r="G114" i="57"/>
  <c r="H114" i="57" s="1"/>
  <c r="I126" i="57"/>
  <c r="L126" i="57"/>
  <c r="S126" i="57" s="1"/>
  <c r="F126" i="57"/>
  <c r="F114" i="57"/>
  <c r="AC122" i="57"/>
  <c r="AD122" i="57"/>
  <c r="AB122" i="57"/>
  <c r="V128" i="57"/>
  <c r="V124" i="57"/>
  <c r="AC130" i="57"/>
  <c r="AB130" i="57"/>
  <c r="AA130" i="57"/>
  <c r="AD130" i="57"/>
  <c r="Z130" i="57"/>
  <c r="AB135" i="57"/>
  <c r="AD135" i="57"/>
  <c r="AA135" i="57"/>
  <c r="Z135" i="57"/>
  <c r="AC135" i="57"/>
  <c r="AA119" i="57"/>
  <c r="Z119" i="57"/>
  <c r="AD119" i="57"/>
  <c r="AA104" i="57"/>
  <c r="V112" i="57"/>
  <c r="G126" i="57"/>
  <c r="H126" i="57" s="1"/>
  <c r="AA136" i="57"/>
  <c r="AD136" i="57"/>
  <c r="AC136" i="57"/>
  <c r="AB136" i="57"/>
  <c r="Z136" i="57"/>
  <c r="AB110" i="57"/>
  <c r="Z128" i="57"/>
  <c r="L130" i="57"/>
  <c r="S130" i="57" s="1"/>
  <c r="AB127" i="57"/>
  <c r="G133" i="57"/>
  <c r="H133" i="57" s="1"/>
  <c r="AD129" i="57"/>
  <c r="AC129" i="57"/>
  <c r="AB129" i="57"/>
  <c r="AA129" i="57"/>
  <c r="Z129" i="57"/>
  <c r="AD128" i="57"/>
  <c r="AC128" i="57"/>
  <c r="AB128" i="57"/>
  <c r="AA128" i="57"/>
  <c r="I125" i="57"/>
  <c r="AD127" i="57"/>
  <c r="AC112" i="57"/>
  <c r="AC117" i="57"/>
  <c r="AB117" i="57"/>
  <c r="AA117" i="57"/>
  <c r="AB123" i="57"/>
  <c r="AC123" i="57"/>
  <c r="Z125" i="57"/>
  <c r="AB131" i="57"/>
  <c r="AA131" i="57"/>
  <c r="Z131" i="57"/>
  <c r="I136" i="57"/>
  <c r="F136" i="57"/>
  <c r="Z137" i="57"/>
  <c r="AD137" i="57"/>
  <c r="AC137" i="57"/>
  <c r="AB137" i="57"/>
  <c r="AA139" i="57"/>
  <c r="Z140" i="57"/>
  <c r="G136" i="57"/>
  <c r="H136" i="57" s="1"/>
  <c r="AC139" i="57"/>
  <c r="AB140" i="57"/>
  <c r="F138" i="57"/>
  <c r="AD139" i="57"/>
  <c r="AC140" i="57"/>
  <c r="G138" i="57"/>
  <c r="H138" i="57" s="1"/>
  <c r="F140" i="57"/>
  <c r="AD140" i="57"/>
  <c r="G140" i="57"/>
  <c r="H140" i="57" s="1"/>
  <c r="I138" i="57"/>
  <c r="D9" i="19"/>
  <c r="I9" i="19" s="1"/>
  <c r="D10" i="19"/>
  <c r="I10" i="19" s="1"/>
  <c r="D13" i="19"/>
  <c r="I13" i="19" s="1"/>
  <c r="D16" i="19"/>
  <c r="I16" i="19" s="1"/>
  <c r="D22" i="19"/>
  <c r="I22" i="19" s="1"/>
  <c r="D23" i="19"/>
  <c r="I23" i="19" s="1"/>
  <c r="D26" i="19"/>
  <c r="I26" i="19" s="1"/>
  <c r="D27" i="19"/>
  <c r="I27" i="19" s="1"/>
  <c r="D28" i="19"/>
  <c r="I28" i="19" s="1"/>
  <c r="D34" i="19"/>
  <c r="I34" i="19" s="1"/>
  <c r="D36" i="19"/>
  <c r="I36" i="19" s="1"/>
  <c r="D37" i="19"/>
  <c r="I37" i="19" s="1"/>
  <c r="D38" i="19"/>
  <c r="I38" i="19" s="1"/>
  <c r="D39" i="19"/>
  <c r="I39" i="19" s="1"/>
  <c r="D40" i="19"/>
  <c r="I40" i="19" s="1"/>
  <c r="D41" i="19"/>
  <c r="I41" i="19" s="1"/>
  <c r="D42" i="19"/>
  <c r="I42" i="19" s="1"/>
  <c r="D43" i="19"/>
  <c r="I43" i="19" s="1"/>
  <c r="D44" i="19"/>
  <c r="I44" i="19" s="1"/>
  <c r="D46" i="19"/>
  <c r="I46" i="19" s="1"/>
  <c r="D47" i="19"/>
  <c r="I47" i="19" s="1"/>
  <c r="D50" i="19"/>
  <c r="I50" i="19" s="1"/>
  <c r="D54" i="19"/>
  <c r="I54" i="19" s="1"/>
  <c r="D55" i="19"/>
  <c r="I55" i="19" s="1"/>
  <c r="D57" i="19"/>
  <c r="I57" i="19" s="1"/>
  <c r="D64" i="19"/>
  <c r="I64" i="19" s="1"/>
  <c r="D67" i="19"/>
  <c r="I67" i="19" s="1"/>
  <c r="D71" i="19"/>
  <c r="I71" i="19" s="1"/>
  <c r="D77" i="19"/>
  <c r="I77" i="19" s="1"/>
  <c r="D78" i="19"/>
  <c r="I78" i="19" s="1"/>
  <c r="D81" i="19"/>
  <c r="I81" i="19" s="1"/>
  <c r="D83" i="19"/>
  <c r="I83" i="19" s="1"/>
  <c r="D84" i="19"/>
  <c r="I84" i="19" s="1"/>
  <c r="D86" i="19"/>
  <c r="I86" i="19" s="1"/>
  <c r="D87" i="19"/>
  <c r="I87" i="19" s="1"/>
  <c r="D89" i="19"/>
  <c r="I89" i="19" s="1"/>
  <c r="D92" i="19"/>
  <c r="I92" i="19" s="1"/>
  <c r="D93" i="19"/>
  <c r="I93" i="19" s="1"/>
  <c r="D94" i="19"/>
  <c r="I94" i="19" s="1"/>
  <c r="D101" i="19"/>
  <c r="I101" i="19" s="1"/>
  <c r="D102" i="19"/>
  <c r="I102" i="19" s="1"/>
  <c r="D103" i="19"/>
  <c r="I103" i="19" s="1"/>
  <c r="D106" i="19"/>
  <c r="I106" i="19" s="1"/>
  <c r="D107" i="19"/>
  <c r="I107" i="19" s="1"/>
  <c r="D109" i="19"/>
  <c r="I109" i="19" s="1"/>
  <c r="D114" i="19"/>
  <c r="I114" i="19" s="1"/>
  <c r="D115" i="19"/>
  <c r="I115" i="19" s="1"/>
  <c r="D116" i="19"/>
  <c r="I116" i="19" s="1"/>
  <c r="D117" i="19"/>
  <c r="I117" i="19" s="1"/>
  <c r="D119" i="19"/>
  <c r="I119" i="19" s="1"/>
  <c r="D120" i="19"/>
  <c r="I120" i="19" s="1"/>
  <c r="D122" i="19"/>
  <c r="I122" i="19" s="1"/>
  <c r="D123" i="19"/>
  <c r="I123" i="19" s="1"/>
  <c r="D126" i="19"/>
  <c r="I126" i="19" s="1"/>
  <c r="D127" i="19"/>
  <c r="I127" i="19" s="1"/>
  <c r="D128" i="19"/>
  <c r="I128" i="19" s="1"/>
  <c r="D130" i="19"/>
  <c r="I130" i="19" s="1"/>
  <c r="D131" i="19"/>
  <c r="I131" i="19" s="1"/>
  <c r="D132" i="19"/>
  <c r="I132" i="19" s="1"/>
  <c r="D133" i="19"/>
  <c r="I133" i="19" s="1"/>
  <c r="D134" i="19"/>
  <c r="I134" i="19" s="1"/>
  <c r="D135" i="19"/>
  <c r="I135" i="19" s="1"/>
  <c r="D136" i="19"/>
  <c r="I136" i="19" s="1"/>
  <c r="D138" i="19"/>
  <c r="I138" i="19" s="1"/>
  <c r="D140" i="19"/>
  <c r="I140" i="19" s="1"/>
  <c r="K4" i="19"/>
  <c r="K9" i="19"/>
  <c r="K10" i="19"/>
  <c r="K13" i="19"/>
  <c r="K16" i="19"/>
  <c r="K22" i="19"/>
  <c r="K23" i="19"/>
  <c r="K26" i="19"/>
  <c r="K27" i="19"/>
  <c r="K28" i="19"/>
  <c r="K32" i="19"/>
  <c r="K34" i="19"/>
  <c r="K36" i="19"/>
  <c r="K37" i="19"/>
  <c r="K38" i="19"/>
  <c r="K39" i="19"/>
  <c r="K40" i="19"/>
  <c r="K41" i="19"/>
  <c r="K42" i="19"/>
  <c r="K43" i="19"/>
  <c r="K44" i="19"/>
  <c r="K46" i="19"/>
  <c r="K47" i="19"/>
  <c r="K50" i="19"/>
  <c r="K54" i="19"/>
  <c r="K55" i="19"/>
  <c r="K57" i="19"/>
  <c r="K64" i="19"/>
  <c r="K67" i="19"/>
  <c r="K71" i="19"/>
  <c r="K77" i="19"/>
  <c r="K78" i="19"/>
  <c r="K81" i="19"/>
  <c r="K83" i="19"/>
  <c r="K84" i="19"/>
  <c r="K86" i="19"/>
  <c r="K87" i="19"/>
  <c r="K89" i="19"/>
  <c r="K92" i="19"/>
  <c r="K93" i="19"/>
  <c r="K94" i="19"/>
  <c r="K96" i="19"/>
  <c r="K97" i="19"/>
  <c r="K101" i="19"/>
  <c r="K102" i="19"/>
  <c r="K103" i="19"/>
  <c r="K104" i="19"/>
  <c r="K106" i="19"/>
  <c r="K107" i="19"/>
  <c r="K109" i="19"/>
  <c r="K113" i="19"/>
  <c r="K114" i="19"/>
  <c r="K115" i="19"/>
  <c r="K116" i="19"/>
  <c r="K117" i="19"/>
  <c r="K119" i="19"/>
  <c r="K120" i="19"/>
  <c r="K122" i="19"/>
  <c r="K123" i="19"/>
  <c r="K126" i="19"/>
  <c r="K127" i="19"/>
  <c r="K128" i="19"/>
  <c r="K130" i="19"/>
  <c r="K131" i="19"/>
  <c r="K132" i="19"/>
  <c r="K133" i="19"/>
  <c r="K134" i="19"/>
  <c r="K135" i="19"/>
  <c r="K136" i="19"/>
  <c r="K138" i="19"/>
  <c r="K140" i="19"/>
  <c r="J4" i="19"/>
  <c r="J9" i="19"/>
  <c r="J10" i="19"/>
  <c r="J13" i="19"/>
  <c r="J16" i="19"/>
  <c r="J22" i="19"/>
  <c r="J23" i="19"/>
  <c r="J26" i="19"/>
  <c r="J27" i="19"/>
  <c r="J28" i="19"/>
  <c r="J34" i="19"/>
  <c r="J36" i="19"/>
  <c r="J37" i="19"/>
  <c r="J38" i="19"/>
  <c r="J39" i="19"/>
  <c r="J40" i="19"/>
  <c r="J41" i="19"/>
  <c r="J42" i="19"/>
  <c r="J43" i="19"/>
  <c r="J44" i="19"/>
  <c r="J46" i="19"/>
  <c r="J47" i="19"/>
  <c r="J50" i="19"/>
  <c r="J54" i="19"/>
  <c r="J55" i="19"/>
  <c r="J57" i="19"/>
  <c r="J64" i="19"/>
  <c r="J67" i="19"/>
  <c r="J71" i="19"/>
  <c r="J77" i="19"/>
  <c r="J78" i="19"/>
  <c r="J81" i="19"/>
  <c r="J83" i="19"/>
  <c r="J84" i="19"/>
  <c r="J86" i="19"/>
  <c r="J87" i="19"/>
  <c r="J89" i="19"/>
  <c r="J92" i="19"/>
  <c r="J93" i="19"/>
  <c r="J94" i="19"/>
  <c r="J101" i="19"/>
  <c r="J102" i="19"/>
  <c r="J103" i="19"/>
  <c r="J106" i="19"/>
  <c r="J107" i="19"/>
  <c r="J109" i="19"/>
  <c r="J114" i="19"/>
  <c r="J115" i="19"/>
  <c r="J116" i="19"/>
  <c r="J117" i="19"/>
  <c r="J119" i="19"/>
  <c r="J120" i="19"/>
  <c r="J122" i="19"/>
  <c r="J123" i="19"/>
  <c r="J126" i="19"/>
  <c r="J127" i="19"/>
  <c r="J128" i="19"/>
  <c r="J130" i="19"/>
  <c r="J131" i="19"/>
  <c r="J132" i="19"/>
  <c r="J133" i="19"/>
  <c r="J134" i="19"/>
  <c r="J135" i="19"/>
  <c r="J136" i="19"/>
  <c r="J138" i="19"/>
  <c r="J140" i="19"/>
  <c r="E4" i="19"/>
  <c r="D3" i="16"/>
  <c r="D4" i="16"/>
  <c r="D5" i="16"/>
  <c r="D6" i="16"/>
  <c r="D7" i="16"/>
  <c r="D8" i="16"/>
  <c r="D9" i="16"/>
  <c r="D10" i="16"/>
  <c r="D11" i="16"/>
  <c r="D12"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B3" i="19"/>
  <c r="B5" i="19"/>
  <c r="B6" i="19"/>
  <c r="B7" i="19"/>
  <c r="B8" i="19"/>
  <c r="B11" i="19"/>
  <c r="B12" i="19"/>
  <c r="B14" i="19"/>
  <c r="B15" i="19"/>
  <c r="B17" i="19"/>
  <c r="B18" i="19"/>
  <c r="B19" i="19"/>
  <c r="B20" i="19"/>
  <c r="B21" i="19"/>
  <c r="B24" i="19"/>
  <c r="B25" i="19"/>
  <c r="B29" i="19"/>
  <c r="B30" i="19"/>
  <c r="B31" i="19"/>
  <c r="B32" i="19"/>
  <c r="B33" i="19"/>
  <c r="B35" i="19"/>
  <c r="B45" i="19"/>
  <c r="B48" i="19"/>
  <c r="B49" i="19"/>
  <c r="B51" i="19"/>
  <c r="B52" i="19"/>
  <c r="B53" i="19"/>
  <c r="B56" i="19"/>
  <c r="B58" i="19"/>
  <c r="B59" i="19"/>
  <c r="B60" i="19"/>
  <c r="B61" i="19"/>
  <c r="B62" i="19"/>
  <c r="B63" i="19"/>
  <c r="B65" i="19"/>
  <c r="B66" i="19"/>
  <c r="B68" i="19"/>
  <c r="B69" i="19"/>
  <c r="B70" i="19"/>
  <c r="B72" i="19"/>
  <c r="B73" i="19"/>
  <c r="B74" i="19"/>
  <c r="B75" i="19"/>
  <c r="B76" i="19"/>
  <c r="B79" i="19"/>
  <c r="B80" i="19"/>
  <c r="B82" i="19"/>
  <c r="B85" i="19"/>
  <c r="B88" i="19"/>
  <c r="B90" i="19"/>
  <c r="B91" i="19"/>
  <c r="B95" i="19"/>
  <c r="B96" i="19"/>
  <c r="B97" i="19"/>
  <c r="B98" i="19"/>
  <c r="B99" i="19"/>
  <c r="B100" i="19"/>
  <c r="B104" i="19"/>
  <c r="B105" i="19"/>
  <c r="B108" i="19"/>
  <c r="B110" i="19"/>
  <c r="B111" i="19"/>
  <c r="B112" i="19"/>
  <c r="B113" i="19"/>
  <c r="B118" i="19"/>
  <c r="B121" i="19"/>
  <c r="B124" i="19"/>
  <c r="B125" i="19"/>
  <c r="B129" i="19"/>
  <c r="B137" i="19"/>
  <c r="B139" i="19"/>
  <c r="A3" i="19"/>
  <c r="AA3" i="19" s="1"/>
  <c r="A4" i="19"/>
  <c r="AA4" i="19" s="1"/>
  <c r="A5" i="19"/>
  <c r="AD5" i="19" s="1"/>
  <c r="A6" i="19"/>
  <c r="AD6" i="19" s="1"/>
  <c r="A7" i="19"/>
  <c r="AH7" i="19" s="1"/>
  <c r="A8" i="19"/>
  <c r="A9" i="19"/>
  <c r="A10" i="19"/>
  <c r="AF10" i="19" s="1"/>
  <c r="A11" i="19"/>
  <c r="A12" i="19"/>
  <c r="AC12" i="19" s="1"/>
  <c r="A13" i="19"/>
  <c r="AB13" i="19" s="1"/>
  <c r="A14" i="19"/>
  <c r="AF14" i="19" s="1"/>
  <c r="A15" i="19"/>
  <c r="AF15" i="19" s="1"/>
  <c r="A16" i="19"/>
  <c r="AF16" i="19" s="1"/>
  <c r="A17" i="19"/>
  <c r="AB17" i="19" s="1"/>
  <c r="A18" i="19"/>
  <c r="AD18" i="19" s="1"/>
  <c r="A19" i="19"/>
  <c r="AH19" i="19" s="1"/>
  <c r="A20" i="19"/>
  <c r="A21" i="19"/>
  <c r="A22" i="19"/>
  <c r="A23" i="19"/>
  <c r="A24" i="19"/>
  <c r="AK24" i="19" s="1"/>
  <c r="A25" i="19"/>
  <c r="AK25" i="19" s="1"/>
  <c r="A26" i="19"/>
  <c r="AF26" i="19" s="1"/>
  <c r="A27" i="19"/>
  <c r="AB27" i="19" s="1"/>
  <c r="A28" i="19"/>
  <c r="AF28" i="19" s="1"/>
  <c r="A29" i="19"/>
  <c r="Z29" i="19" s="1"/>
  <c r="A30" i="19"/>
  <c r="AB30" i="19" s="1"/>
  <c r="A31" i="19"/>
  <c r="AC31" i="19" s="1"/>
  <c r="A32" i="19"/>
  <c r="A33" i="19"/>
  <c r="A34" i="19"/>
  <c r="AF34" i="19" s="1"/>
  <c r="A35" i="19"/>
  <c r="A36" i="19"/>
  <c r="AI36" i="19" s="1"/>
  <c r="A37" i="19"/>
  <c r="AI37" i="19" s="1"/>
  <c r="A38" i="19"/>
  <c r="AF38" i="19" s="1"/>
  <c r="A39" i="19"/>
  <c r="AF39" i="19" s="1"/>
  <c r="A40" i="19"/>
  <c r="AF40" i="19" s="1"/>
  <c r="A41" i="19"/>
  <c r="Z41" i="19" s="1"/>
  <c r="A42" i="19"/>
  <c r="AF42" i="19" s="1"/>
  <c r="A43" i="19"/>
  <c r="AC43" i="19" s="1"/>
  <c r="A44" i="19"/>
  <c r="A45" i="19"/>
  <c r="A46" i="19"/>
  <c r="A47" i="19"/>
  <c r="A48" i="19"/>
  <c r="AC48" i="19" s="1"/>
  <c r="A49" i="19"/>
  <c r="AD49" i="19" s="1"/>
  <c r="A50" i="19"/>
  <c r="AF50" i="19" s="1"/>
  <c r="A51" i="19"/>
  <c r="AF51" i="19" s="1"/>
  <c r="A52" i="19"/>
  <c r="AF52" i="19" s="1"/>
  <c r="A53" i="19"/>
  <c r="AB53" i="19" s="1"/>
  <c r="A54" i="19"/>
  <c r="AF54" i="19" s="1"/>
  <c r="A55" i="19"/>
  <c r="A56" i="19"/>
  <c r="A57" i="19"/>
  <c r="A58" i="19"/>
  <c r="AF58" i="19" s="1"/>
  <c r="A59" i="19"/>
  <c r="A60" i="19"/>
  <c r="AG60" i="19" s="1"/>
  <c r="A61" i="19"/>
  <c r="AG61" i="19" s="1"/>
  <c r="A62" i="19"/>
  <c r="AF62" i="19" s="1"/>
  <c r="A63" i="19"/>
  <c r="AF63" i="19" s="1"/>
  <c r="A64" i="19"/>
  <c r="AF64" i="19" s="1"/>
  <c r="A65" i="19"/>
  <c r="AD65" i="19" s="1"/>
  <c r="A66" i="19"/>
  <c r="AD66" i="19" s="1"/>
  <c r="A67" i="19"/>
  <c r="AJ67" i="19" s="1"/>
  <c r="A68" i="19"/>
  <c r="A69" i="19"/>
  <c r="A70" i="19"/>
  <c r="A71" i="19"/>
  <c r="A72" i="19"/>
  <c r="AF72" i="19" s="1"/>
  <c r="A73" i="19"/>
  <c r="AF73" i="19" s="1"/>
  <c r="A74" i="19"/>
  <c r="AF74" i="19" s="1"/>
  <c r="A75" i="19"/>
  <c r="AF75" i="19" s="1"/>
  <c r="A76" i="19"/>
  <c r="AF76" i="19" s="1"/>
  <c r="A77" i="19"/>
  <c r="AB77" i="19" s="1"/>
  <c r="A78" i="19"/>
  <c r="AH78" i="19" s="1"/>
  <c r="A79" i="19"/>
  <c r="AC79" i="19" s="1"/>
  <c r="A80" i="19"/>
  <c r="A81" i="19"/>
  <c r="A82" i="19"/>
  <c r="AF82" i="19" s="1"/>
  <c r="A83" i="19"/>
  <c r="A84" i="19"/>
  <c r="AF84" i="19" s="1"/>
  <c r="A85" i="19"/>
  <c r="AF85" i="19" s="1"/>
  <c r="A86" i="19"/>
  <c r="AF86" i="19" s="1"/>
  <c r="A87" i="19"/>
  <c r="AF87" i="19" s="1"/>
  <c r="A88" i="19"/>
  <c r="AF88" i="19" s="1"/>
  <c r="A89" i="19"/>
  <c r="AB89" i="19" s="1"/>
  <c r="A90" i="19"/>
  <c r="AF90" i="19" s="1"/>
  <c r="A91" i="19"/>
  <c r="AH91" i="19" s="1"/>
  <c r="A92" i="19"/>
  <c r="A93" i="19"/>
  <c r="A94" i="19"/>
  <c r="A95" i="19"/>
  <c r="A96" i="19"/>
  <c r="AC96" i="19" s="1"/>
  <c r="A97" i="19"/>
  <c r="AD97" i="19" s="1"/>
  <c r="A98" i="19"/>
  <c r="AF98" i="19" s="1"/>
  <c r="A99" i="19"/>
  <c r="AF99" i="19" s="1"/>
  <c r="A100" i="19"/>
  <c r="AF100" i="19" s="1"/>
  <c r="A101" i="19"/>
  <c r="AB101" i="19" s="1"/>
  <c r="A102" i="19"/>
  <c r="AF102" i="19" s="1"/>
  <c r="A103" i="19"/>
  <c r="A104" i="19"/>
  <c r="A105" i="19"/>
  <c r="A106" i="19"/>
  <c r="AF106" i="19" s="1"/>
  <c r="A107" i="19"/>
  <c r="A108" i="19"/>
  <c r="AI108" i="19" s="1"/>
  <c r="A109" i="19"/>
  <c r="AI109" i="19" s="1"/>
  <c r="A110" i="19"/>
  <c r="AF110" i="19" s="1"/>
  <c r="A111" i="19"/>
  <c r="AF111" i="19" s="1"/>
  <c r="A112" i="19"/>
  <c r="AF112" i="19" s="1"/>
  <c r="A113" i="19"/>
  <c r="AB113" i="19" s="1"/>
  <c r="A114" i="19"/>
  <c r="AD114" i="19" s="1"/>
  <c r="A115" i="19"/>
  <c r="A116" i="19"/>
  <c r="A117" i="19"/>
  <c r="A118" i="19"/>
  <c r="A119" i="19"/>
  <c r="A120" i="19"/>
  <c r="AG120" i="19" s="1"/>
  <c r="A121" i="19"/>
  <c r="AG121" i="19" s="1"/>
  <c r="A122" i="19"/>
  <c r="AF122" i="19" s="1"/>
  <c r="A123" i="19"/>
  <c r="AF123" i="19" s="1"/>
  <c r="A124" i="19"/>
  <c r="AF124" i="19" s="1"/>
  <c r="A125" i="19"/>
  <c r="AD125" i="19" s="1"/>
  <c r="A126" i="19"/>
  <c r="AF126" i="19" s="1"/>
  <c r="A127" i="19"/>
  <c r="AC127" i="19" s="1"/>
  <c r="A128" i="19"/>
  <c r="A129" i="19"/>
  <c r="A130" i="19"/>
  <c r="AF130" i="19" s="1"/>
  <c r="A131" i="19"/>
  <c r="A132" i="19"/>
  <c r="AG132" i="19" s="1"/>
  <c r="A133" i="19"/>
  <c r="AG133" i="19" s="1"/>
  <c r="A134" i="19"/>
  <c r="AF134" i="19" s="1"/>
  <c r="A135" i="19"/>
  <c r="AF135" i="19" s="1"/>
  <c r="A136" i="19"/>
  <c r="AF136" i="19" s="1"/>
  <c r="A137" i="19"/>
  <c r="AB137" i="19" s="1"/>
  <c r="A138" i="19"/>
  <c r="AJ138" i="19" s="1"/>
  <c r="A139" i="19"/>
  <c r="AJ139" i="19" s="1"/>
  <c r="A140" i="19"/>
  <c r="E9" i="19"/>
  <c r="E10" i="19"/>
  <c r="E13" i="19"/>
  <c r="E16" i="19"/>
  <c r="E22" i="19"/>
  <c r="E23" i="19"/>
  <c r="E26" i="19"/>
  <c r="E27" i="19"/>
  <c r="G27" i="19" s="1"/>
  <c r="H27" i="19" s="1"/>
  <c r="E28" i="19"/>
  <c r="E34" i="19"/>
  <c r="E36" i="19"/>
  <c r="E37" i="19"/>
  <c r="E38" i="19"/>
  <c r="E39" i="19"/>
  <c r="E40" i="19"/>
  <c r="E41" i="19"/>
  <c r="E42" i="19"/>
  <c r="E43" i="19"/>
  <c r="E44" i="19"/>
  <c r="E46" i="19"/>
  <c r="E47" i="19"/>
  <c r="E50" i="19"/>
  <c r="E54" i="19"/>
  <c r="E55" i="19"/>
  <c r="E57" i="19"/>
  <c r="E64" i="19"/>
  <c r="E67" i="19"/>
  <c r="E71" i="19"/>
  <c r="E77" i="19"/>
  <c r="E78" i="19"/>
  <c r="E81" i="19"/>
  <c r="E83" i="19"/>
  <c r="E84" i="19"/>
  <c r="E86" i="19"/>
  <c r="E87" i="19"/>
  <c r="E89" i="19"/>
  <c r="E92" i="19"/>
  <c r="E93" i="19"/>
  <c r="E94" i="19"/>
  <c r="E101" i="19"/>
  <c r="G101" i="19" s="1"/>
  <c r="H101" i="19" s="1"/>
  <c r="E102" i="19"/>
  <c r="E103" i="19"/>
  <c r="E106" i="19"/>
  <c r="E107" i="19"/>
  <c r="E109" i="19"/>
  <c r="E114" i="19"/>
  <c r="E115" i="19"/>
  <c r="E116" i="19"/>
  <c r="E117" i="19"/>
  <c r="E119" i="19"/>
  <c r="E120" i="19"/>
  <c r="E122" i="19"/>
  <c r="E123" i="19"/>
  <c r="E126" i="19"/>
  <c r="E127" i="19"/>
  <c r="E128" i="19"/>
  <c r="E130" i="19"/>
  <c r="E131" i="19"/>
  <c r="E132" i="19"/>
  <c r="E133" i="19"/>
  <c r="E134" i="19"/>
  <c r="E135" i="19"/>
  <c r="E136" i="19"/>
  <c r="E138" i="19"/>
  <c r="G138" i="19" s="1"/>
  <c r="H138" i="19" s="1"/>
  <c r="E140" i="19"/>
  <c r="C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B2" i="19"/>
  <c r="K2" i="19"/>
  <c r="R135" i="63" l="1"/>
  <c r="W53" i="63"/>
  <c r="U88" i="63"/>
  <c r="W108" i="63"/>
  <c r="W20" i="63"/>
  <c r="R20" i="63"/>
  <c r="U80" i="63"/>
  <c r="X37" i="57"/>
  <c r="U15" i="63"/>
  <c r="W46" i="63"/>
  <c r="G15" i="57"/>
  <c r="H15" i="57" s="1"/>
  <c r="U42" i="63"/>
  <c r="W42" i="63"/>
  <c r="G135" i="57"/>
  <c r="H135" i="57" s="1"/>
  <c r="T132" i="63"/>
  <c r="U31" i="63"/>
  <c r="F135" i="57"/>
  <c r="G75" i="57"/>
  <c r="H75" i="57" s="1"/>
  <c r="W31" i="63"/>
  <c r="U19" i="63"/>
  <c r="G26" i="19"/>
  <c r="H26" i="19" s="1"/>
  <c r="W71" i="63"/>
  <c r="R71" i="63"/>
  <c r="W30" i="63"/>
  <c r="U100" i="63"/>
  <c r="Y127" i="63"/>
  <c r="U139" i="63"/>
  <c r="R65" i="63"/>
  <c r="W49" i="63"/>
  <c r="AE51" i="57"/>
  <c r="W65" i="63"/>
  <c r="Y65" i="63" s="1"/>
  <c r="R118" i="63"/>
  <c r="R49" i="63"/>
  <c r="O63" i="57"/>
  <c r="T63" i="57" s="1"/>
  <c r="G20" i="57"/>
  <c r="H20" i="57" s="1"/>
  <c r="U118" i="63"/>
  <c r="W118" i="63"/>
  <c r="U71" i="63"/>
  <c r="Y71" i="63" s="1"/>
  <c r="R127" i="63"/>
  <c r="U89" i="63"/>
  <c r="F66" i="57"/>
  <c r="W25" i="63"/>
  <c r="Y25" i="63" s="1"/>
  <c r="U122" i="63"/>
  <c r="R85" i="63"/>
  <c r="R46" i="63"/>
  <c r="G80" i="57"/>
  <c r="H80" i="57" s="1"/>
  <c r="W72" i="63"/>
  <c r="U101" i="63"/>
  <c r="L23" i="57"/>
  <c r="S23" i="57" s="1"/>
  <c r="U46" i="63"/>
  <c r="Y46" i="63" s="1"/>
  <c r="AE72" i="57"/>
  <c r="AE44" i="57"/>
  <c r="F81" i="57"/>
  <c r="U18" i="63"/>
  <c r="G64" i="19"/>
  <c r="H64" i="19" s="1"/>
  <c r="X112" i="57"/>
  <c r="W18" i="63"/>
  <c r="Q57" i="57"/>
  <c r="L119" i="57"/>
  <c r="S119" i="57" s="1"/>
  <c r="U70" i="63"/>
  <c r="U119" i="63"/>
  <c r="W70" i="63"/>
  <c r="R70" i="63"/>
  <c r="AE14" i="57"/>
  <c r="U7" i="63"/>
  <c r="W101" i="63"/>
  <c r="AE138" i="57"/>
  <c r="W15" i="63"/>
  <c r="X13" i="57"/>
  <c r="T30" i="63"/>
  <c r="U55" i="63"/>
  <c r="R103" i="63"/>
  <c r="W103" i="63"/>
  <c r="Y103" i="63" s="1"/>
  <c r="U30" i="63"/>
  <c r="R30" i="63"/>
  <c r="W14" i="63"/>
  <c r="R55" i="63"/>
  <c r="R40" i="63"/>
  <c r="W128" i="63"/>
  <c r="T128" i="63"/>
  <c r="Y80" i="63"/>
  <c r="R128" i="63"/>
  <c r="R89" i="63"/>
  <c r="V45" i="57"/>
  <c r="U37" i="63"/>
  <c r="U49" i="63"/>
  <c r="W55" i="63"/>
  <c r="W40" i="63"/>
  <c r="R108" i="63"/>
  <c r="R101" i="63"/>
  <c r="W89" i="63"/>
  <c r="U116" i="63"/>
  <c r="L3" i="57"/>
  <c r="S3" i="57" s="1"/>
  <c r="G109" i="57"/>
  <c r="H109" i="57" s="1"/>
  <c r="G116" i="57"/>
  <c r="H116" i="57" s="1"/>
  <c r="Q82" i="57"/>
  <c r="P70" i="57"/>
  <c r="Q28" i="57"/>
  <c r="F75" i="57"/>
  <c r="Q58" i="57"/>
  <c r="L80" i="57"/>
  <c r="S80" i="57" s="1"/>
  <c r="U58" i="63"/>
  <c r="V20" i="57"/>
  <c r="F107" i="57"/>
  <c r="F27" i="57"/>
  <c r="Q81" i="57"/>
  <c r="F97" i="57"/>
  <c r="U114" i="63"/>
  <c r="F21" i="57"/>
  <c r="V3" i="57"/>
  <c r="Y138" i="63"/>
  <c r="AE68" i="57"/>
  <c r="AE103" i="57"/>
  <c r="AE120" i="57"/>
  <c r="AE80" i="57"/>
  <c r="T61" i="63"/>
  <c r="Y77" i="63"/>
  <c r="U95" i="63"/>
  <c r="U9" i="63"/>
  <c r="R132" i="63"/>
  <c r="W132" i="63"/>
  <c r="U76" i="63"/>
  <c r="U96" i="63"/>
  <c r="Y120" i="63"/>
  <c r="Y53" i="63"/>
  <c r="U40" i="63"/>
  <c r="Y44" i="63"/>
  <c r="Y133" i="63"/>
  <c r="Y94" i="63"/>
  <c r="T119" i="63"/>
  <c r="U68" i="63"/>
  <c r="Y47" i="63"/>
  <c r="U125" i="63"/>
  <c r="R14" i="63"/>
  <c r="U59" i="63"/>
  <c r="U102" i="63"/>
  <c r="U14" i="63"/>
  <c r="U10" i="63"/>
  <c r="Y26" i="63"/>
  <c r="R75" i="63"/>
  <c r="W36" i="63"/>
  <c r="Y36" i="63" s="1"/>
  <c r="U75" i="63"/>
  <c r="R36" i="63"/>
  <c r="R62" i="63"/>
  <c r="W10" i="63"/>
  <c r="W75" i="63"/>
  <c r="W62" i="63"/>
  <c r="Y62" i="63" s="1"/>
  <c r="R10" i="63"/>
  <c r="U56" i="63"/>
  <c r="U66" i="63"/>
  <c r="T124" i="63"/>
  <c r="W16" i="63"/>
  <c r="Y16" i="63" s="1"/>
  <c r="S15" i="63"/>
  <c r="U98" i="63"/>
  <c r="T68" i="63"/>
  <c r="R16" i="63"/>
  <c r="R15" i="63"/>
  <c r="U91" i="63"/>
  <c r="U121" i="63"/>
  <c r="U34" i="63"/>
  <c r="R25" i="63"/>
  <c r="U43" i="63"/>
  <c r="U54" i="63"/>
  <c r="U85" i="63"/>
  <c r="R42" i="63"/>
  <c r="R114" i="63"/>
  <c r="U48" i="63"/>
  <c r="U32" i="63"/>
  <c r="R72" i="63"/>
  <c r="U129" i="63"/>
  <c r="U81" i="63"/>
  <c r="Y108" i="63"/>
  <c r="S42" i="63"/>
  <c r="Y42" i="63" s="1"/>
  <c r="W85" i="63"/>
  <c r="U69" i="63"/>
  <c r="W114" i="63"/>
  <c r="S31" i="63"/>
  <c r="U73" i="63"/>
  <c r="Y57" i="63"/>
  <c r="W95" i="63"/>
  <c r="U4" i="63"/>
  <c r="R95" i="63"/>
  <c r="T91" i="63"/>
  <c r="R116" i="63"/>
  <c r="T54" i="63"/>
  <c r="S12" i="63"/>
  <c r="R139" i="63"/>
  <c r="W88" i="63"/>
  <c r="Y88" i="63" s="1"/>
  <c r="Y126" i="63"/>
  <c r="Y136" i="63"/>
  <c r="R31" i="63"/>
  <c r="U137" i="63"/>
  <c r="W116" i="63"/>
  <c r="Y72" i="63"/>
  <c r="Y104" i="63"/>
  <c r="Y113" i="63"/>
  <c r="W139" i="63"/>
  <c r="W12" i="63"/>
  <c r="R88" i="63"/>
  <c r="U2" i="63"/>
  <c r="Y20" i="63"/>
  <c r="T81" i="63"/>
  <c r="Y60" i="63"/>
  <c r="U6" i="63"/>
  <c r="Y84" i="63"/>
  <c r="U90" i="63"/>
  <c r="S18" i="63"/>
  <c r="Y38" i="63"/>
  <c r="R21" i="63"/>
  <c r="W21" i="63"/>
  <c r="W140" i="63"/>
  <c r="R140" i="63"/>
  <c r="R115" i="63"/>
  <c r="W115" i="63"/>
  <c r="R131" i="63"/>
  <c r="W131" i="63"/>
  <c r="W35" i="63"/>
  <c r="R35" i="63"/>
  <c r="T35" i="63"/>
  <c r="R29" i="63"/>
  <c r="W29" i="63"/>
  <c r="R98" i="63"/>
  <c r="W98" i="63"/>
  <c r="W51" i="63"/>
  <c r="R51" i="63"/>
  <c r="U51" i="63"/>
  <c r="R93" i="63"/>
  <c r="W93" i="63"/>
  <c r="W23" i="63"/>
  <c r="R23" i="63"/>
  <c r="W97" i="63"/>
  <c r="R97" i="63"/>
  <c r="T140" i="63"/>
  <c r="R50" i="63"/>
  <c r="W50" i="63"/>
  <c r="R48" i="63"/>
  <c r="T93" i="63"/>
  <c r="W134" i="63"/>
  <c r="R134" i="63"/>
  <c r="R68" i="63"/>
  <c r="W68" i="63"/>
  <c r="R105" i="63"/>
  <c r="W105" i="63"/>
  <c r="R130" i="63"/>
  <c r="W130" i="63"/>
  <c r="R86" i="63"/>
  <c r="W86" i="63"/>
  <c r="T97" i="63"/>
  <c r="R63" i="63"/>
  <c r="W63" i="63"/>
  <c r="R102" i="63"/>
  <c r="W102" i="63"/>
  <c r="W48" i="63"/>
  <c r="W112" i="63"/>
  <c r="R112" i="63"/>
  <c r="U112" i="63"/>
  <c r="T112" i="63"/>
  <c r="W76" i="63"/>
  <c r="R76" i="63"/>
  <c r="W22" i="63"/>
  <c r="R22" i="63"/>
  <c r="T102" i="63"/>
  <c r="R91" i="63"/>
  <c r="W91" i="63"/>
  <c r="R43" i="63"/>
  <c r="W43" i="63"/>
  <c r="W119" i="63"/>
  <c r="R119" i="63"/>
  <c r="W123" i="63"/>
  <c r="Y123" i="63" s="1"/>
  <c r="R123" i="63"/>
  <c r="W52" i="63"/>
  <c r="R52" i="63"/>
  <c r="U105" i="63"/>
  <c r="U35" i="63"/>
  <c r="T22" i="63"/>
  <c r="U97" i="63"/>
  <c r="R83" i="63"/>
  <c r="W83" i="63"/>
  <c r="W27" i="63"/>
  <c r="R27" i="63"/>
  <c r="W37" i="63"/>
  <c r="R37" i="63"/>
  <c r="R66" i="63"/>
  <c r="W66" i="63"/>
  <c r="U27" i="63"/>
  <c r="R79" i="63"/>
  <c r="W79" i="63"/>
  <c r="W13" i="63"/>
  <c r="R13" i="63"/>
  <c r="W82" i="63"/>
  <c r="R82" i="63"/>
  <c r="W45" i="63"/>
  <c r="R45" i="63"/>
  <c r="S110" i="63"/>
  <c r="Y110" i="63" s="1"/>
  <c r="T29" i="63"/>
  <c r="T37" i="63"/>
  <c r="U13" i="63"/>
  <c r="W8" i="63"/>
  <c r="R8" i="63"/>
  <c r="R3" i="63"/>
  <c r="W3" i="63"/>
  <c r="U3" i="63"/>
  <c r="W129" i="63"/>
  <c r="R129" i="63"/>
  <c r="R111" i="63"/>
  <c r="W111" i="63"/>
  <c r="W64" i="63"/>
  <c r="U64" i="63"/>
  <c r="R64" i="63"/>
  <c r="W106" i="63"/>
  <c r="R106" i="63"/>
  <c r="Y17" i="63"/>
  <c r="W4" i="63"/>
  <c r="R4" i="63"/>
  <c r="W99" i="63"/>
  <c r="R99" i="63"/>
  <c r="U99" i="63"/>
  <c r="T3" i="63"/>
  <c r="U134" i="63"/>
  <c r="T6" i="63"/>
  <c r="T105" i="63"/>
  <c r="U23" i="63"/>
  <c r="W125" i="63"/>
  <c r="R125" i="63"/>
  <c r="W54" i="63"/>
  <c r="R54" i="63"/>
  <c r="W33" i="63"/>
  <c r="R33" i="63"/>
  <c r="U33" i="63"/>
  <c r="R61" i="63"/>
  <c r="W61" i="63"/>
  <c r="U52" i="63"/>
  <c r="T106" i="63"/>
  <c r="R69" i="63"/>
  <c r="W69" i="63"/>
  <c r="R58" i="63"/>
  <c r="W58" i="63"/>
  <c r="U82" i="63"/>
  <c r="W100" i="63"/>
  <c r="Y100" i="63" s="1"/>
  <c r="W24" i="63"/>
  <c r="R24" i="63"/>
  <c r="W78" i="63"/>
  <c r="R78" i="63"/>
  <c r="U78" i="63"/>
  <c r="R74" i="63"/>
  <c r="W74" i="63"/>
  <c r="W56" i="63"/>
  <c r="R56" i="63"/>
  <c r="T74" i="63"/>
  <c r="W124" i="63"/>
  <c r="R124" i="63"/>
  <c r="U140" i="63"/>
  <c r="W59" i="63"/>
  <c r="R59" i="63"/>
  <c r="R100" i="63"/>
  <c r="R90" i="63"/>
  <c r="W90" i="63"/>
  <c r="R41" i="63"/>
  <c r="W41" i="63"/>
  <c r="W7" i="63"/>
  <c r="R7" i="63"/>
  <c r="T45" i="63"/>
  <c r="W5" i="63"/>
  <c r="R5" i="63"/>
  <c r="U5" i="63"/>
  <c r="R73" i="63"/>
  <c r="W73" i="63"/>
  <c r="U24" i="63"/>
  <c r="T90" i="63"/>
  <c r="T7" i="63"/>
  <c r="U41" i="63"/>
  <c r="T131" i="63"/>
  <c r="W117" i="63"/>
  <c r="R117" i="63"/>
  <c r="U117" i="63"/>
  <c r="W107" i="63"/>
  <c r="R107" i="63"/>
  <c r="S107" i="63"/>
  <c r="W19" i="63"/>
  <c r="R19" i="63"/>
  <c r="W28" i="63"/>
  <c r="R28" i="63"/>
  <c r="U28" i="63"/>
  <c r="R18" i="63"/>
  <c r="T86" i="63"/>
  <c r="U8" i="63"/>
  <c r="T137" i="63"/>
  <c r="W87" i="63"/>
  <c r="R87" i="63"/>
  <c r="T87" i="63"/>
  <c r="U87" i="63"/>
  <c r="R96" i="63"/>
  <c r="W96" i="63"/>
  <c r="U106" i="63"/>
  <c r="U45" i="63"/>
  <c r="S135" i="63"/>
  <c r="W92" i="63"/>
  <c r="R92" i="63"/>
  <c r="T92" i="63"/>
  <c r="U63" i="63"/>
  <c r="R11" i="63"/>
  <c r="W11" i="63"/>
  <c r="U11" i="63"/>
  <c r="W2" i="63"/>
  <c r="R2" i="63"/>
  <c r="W32" i="63"/>
  <c r="R32" i="63"/>
  <c r="R110" i="63"/>
  <c r="R34" i="63"/>
  <c r="W34" i="63"/>
  <c r="W81" i="63"/>
  <c r="R81" i="63"/>
  <c r="U86" i="63"/>
  <c r="W67" i="63"/>
  <c r="R67" i="63"/>
  <c r="W9" i="63"/>
  <c r="R9" i="63"/>
  <c r="U83" i="63"/>
  <c r="W39" i="63"/>
  <c r="R39" i="63"/>
  <c r="T39" i="63"/>
  <c r="U21" i="63"/>
  <c r="R6" i="63"/>
  <c r="W6" i="63"/>
  <c r="T13" i="63"/>
  <c r="U131" i="63"/>
  <c r="T59" i="63"/>
  <c r="T41" i="63"/>
  <c r="U79" i="63"/>
  <c r="U29" i="63"/>
  <c r="W135" i="63"/>
  <c r="U67" i="63"/>
  <c r="W121" i="63"/>
  <c r="R121" i="63"/>
  <c r="U115" i="63"/>
  <c r="W137" i="63"/>
  <c r="R137" i="63"/>
  <c r="W109" i="63"/>
  <c r="R109" i="63"/>
  <c r="U109" i="63"/>
  <c r="R122" i="63"/>
  <c r="W122" i="63"/>
  <c r="T122" i="63"/>
  <c r="T19" i="63"/>
  <c r="U130" i="63"/>
  <c r="T96" i="63"/>
  <c r="U22" i="63"/>
  <c r="T2" i="63"/>
  <c r="U111" i="63"/>
  <c r="T24" i="63"/>
  <c r="U50" i="63"/>
  <c r="AE96" i="57"/>
  <c r="G107" i="57"/>
  <c r="H107" i="57" s="1"/>
  <c r="G28" i="57"/>
  <c r="H28" i="57" s="1"/>
  <c r="AE46" i="57"/>
  <c r="X11" i="57"/>
  <c r="I107" i="57"/>
  <c r="L121" i="57"/>
  <c r="S121" i="57" s="1"/>
  <c r="Q12" i="57"/>
  <c r="V54" i="57"/>
  <c r="L75" i="57"/>
  <c r="S75" i="57" s="1"/>
  <c r="F80" i="57"/>
  <c r="G3" i="57"/>
  <c r="H3" i="57" s="1"/>
  <c r="L91" i="57"/>
  <c r="S91" i="57" s="1"/>
  <c r="V129" i="57"/>
  <c r="P137" i="57"/>
  <c r="G56" i="57"/>
  <c r="H56" i="57" s="1"/>
  <c r="X125" i="57"/>
  <c r="X43" i="57"/>
  <c r="G66" i="57"/>
  <c r="H66" i="57" s="1"/>
  <c r="V114" i="57"/>
  <c r="L82" i="57"/>
  <c r="S82" i="57" s="1"/>
  <c r="AE104" i="57"/>
  <c r="I97" i="57"/>
  <c r="Q126" i="57"/>
  <c r="O64" i="57"/>
  <c r="T64" i="57" s="1"/>
  <c r="V69" i="57"/>
  <c r="G97" i="57"/>
  <c r="H97" i="57" s="1"/>
  <c r="O36" i="57"/>
  <c r="T36" i="57" s="1"/>
  <c r="AE74" i="57"/>
  <c r="Q45" i="57"/>
  <c r="AE107" i="57"/>
  <c r="G64" i="57"/>
  <c r="H64" i="57" s="1"/>
  <c r="AE61" i="57"/>
  <c r="L109" i="57"/>
  <c r="S109" i="57" s="1"/>
  <c r="O109" i="57"/>
  <c r="T109" i="57" s="1"/>
  <c r="F7" i="57"/>
  <c r="L15" i="57"/>
  <c r="S15" i="57" s="1"/>
  <c r="L97" i="57"/>
  <c r="S97" i="57" s="1"/>
  <c r="L107" i="57"/>
  <c r="S107" i="57" s="1"/>
  <c r="F121" i="57"/>
  <c r="I15" i="57"/>
  <c r="X137" i="57"/>
  <c r="F42" i="57"/>
  <c r="F22" i="57"/>
  <c r="L27" i="57"/>
  <c r="S27" i="57" s="1"/>
  <c r="L90" i="57"/>
  <c r="S90" i="57" s="1"/>
  <c r="F116" i="57"/>
  <c r="F131" i="57"/>
  <c r="F99" i="57"/>
  <c r="Q103" i="57"/>
  <c r="F108" i="57"/>
  <c r="P96" i="57"/>
  <c r="AE126" i="57"/>
  <c r="G131" i="57"/>
  <c r="H131" i="57" s="1"/>
  <c r="Q56" i="57"/>
  <c r="F15" i="57"/>
  <c r="P89" i="57"/>
  <c r="X22" i="57"/>
  <c r="V53" i="57"/>
  <c r="V51" i="57"/>
  <c r="G127" i="57"/>
  <c r="H127" i="57" s="1"/>
  <c r="O74" i="57"/>
  <c r="T74" i="57" s="1"/>
  <c r="G132" i="57"/>
  <c r="H132" i="57" s="1"/>
  <c r="V80" i="57"/>
  <c r="G68" i="57"/>
  <c r="H68" i="57" s="1"/>
  <c r="G21" i="57"/>
  <c r="H21" i="57" s="1"/>
  <c r="F132" i="57"/>
  <c r="G108" i="57"/>
  <c r="H108" i="57" s="1"/>
  <c r="P71" i="57"/>
  <c r="AE35" i="57"/>
  <c r="AE20" i="57"/>
  <c r="AE133" i="57"/>
  <c r="AE121" i="57"/>
  <c r="L76" i="57"/>
  <c r="S76" i="57" s="1"/>
  <c r="Q3" i="57"/>
  <c r="AE32" i="57"/>
  <c r="X70" i="57"/>
  <c r="P131" i="57"/>
  <c r="AE55" i="57"/>
  <c r="Q68" i="57"/>
  <c r="G119" i="57"/>
  <c r="H119" i="57" s="1"/>
  <c r="F123" i="57"/>
  <c r="F90" i="57"/>
  <c r="Q5" i="57"/>
  <c r="X66" i="57"/>
  <c r="G91" i="57"/>
  <c r="H91" i="57" s="1"/>
  <c r="G123" i="57"/>
  <c r="H123" i="57" s="1"/>
  <c r="AE109" i="57"/>
  <c r="I90" i="57"/>
  <c r="P64" i="57"/>
  <c r="F32" i="57"/>
  <c r="G35" i="57"/>
  <c r="H35" i="57" s="1"/>
  <c r="F127" i="57"/>
  <c r="F119" i="57"/>
  <c r="G103" i="57"/>
  <c r="H103" i="57" s="1"/>
  <c r="AE39" i="57"/>
  <c r="O34" i="57"/>
  <c r="T34" i="57" s="1"/>
  <c r="O78" i="57"/>
  <c r="T78" i="57" s="1"/>
  <c r="L115" i="57"/>
  <c r="S115" i="57" s="1"/>
  <c r="F109" i="57"/>
  <c r="Q80" i="57"/>
  <c r="G115" i="57"/>
  <c r="H115" i="57" s="1"/>
  <c r="G83" i="57"/>
  <c r="H83" i="57" s="1"/>
  <c r="Q17" i="57"/>
  <c r="V2" i="57"/>
  <c r="P109" i="57"/>
  <c r="AE94" i="57"/>
  <c r="F83" i="57"/>
  <c r="I27" i="57"/>
  <c r="L42" i="57"/>
  <c r="S42" i="57" s="1"/>
  <c r="U40" i="57"/>
  <c r="G90" i="57"/>
  <c r="H90" i="57" s="1"/>
  <c r="S32" i="57"/>
  <c r="L43" i="57"/>
  <c r="S43" i="57" s="1"/>
  <c r="P49" i="57"/>
  <c r="G88" i="57"/>
  <c r="H88" i="57" s="1"/>
  <c r="V81" i="57"/>
  <c r="V56" i="57"/>
  <c r="I119" i="57"/>
  <c r="L83" i="57"/>
  <c r="S83" i="57" s="1"/>
  <c r="G18" i="57"/>
  <c r="H18" i="57" s="1"/>
  <c r="AE88" i="57"/>
  <c r="F115" i="57"/>
  <c r="AE78" i="57"/>
  <c r="AE26" i="57"/>
  <c r="P66" i="57"/>
  <c r="AE112" i="57"/>
  <c r="AE70" i="57"/>
  <c r="AE28" i="57"/>
  <c r="X19" i="57"/>
  <c r="AE114" i="57"/>
  <c r="O66" i="57"/>
  <c r="T66" i="57" s="1"/>
  <c r="Q61" i="57"/>
  <c r="L106" i="57"/>
  <c r="S106" i="57" s="1"/>
  <c r="G122" i="19"/>
  <c r="H122" i="19" s="1"/>
  <c r="AE2" i="57"/>
  <c r="L81" i="57"/>
  <c r="S81" i="57" s="1"/>
  <c r="F73" i="57"/>
  <c r="G42" i="57"/>
  <c r="H42" i="57" s="1"/>
  <c r="P34" i="57"/>
  <c r="AE125" i="57"/>
  <c r="AE89" i="57"/>
  <c r="O4" i="57"/>
  <c r="T4" i="57" s="1"/>
  <c r="G44" i="19"/>
  <c r="H44" i="19" s="1"/>
  <c r="F103" i="57"/>
  <c r="P101" i="57"/>
  <c r="G23" i="57"/>
  <c r="H23" i="57" s="1"/>
  <c r="AE90" i="57"/>
  <c r="F96" i="57"/>
  <c r="X65" i="57"/>
  <c r="X31" i="57"/>
  <c r="G39" i="19"/>
  <c r="H39" i="19" s="1"/>
  <c r="AE108" i="57"/>
  <c r="AE73" i="57"/>
  <c r="AE106" i="57"/>
  <c r="AE64" i="57"/>
  <c r="V82" i="57"/>
  <c r="V76" i="57"/>
  <c r="AE12" i="57"/>
  <c r="F58" i="57"/>
  <c r="O54" i="57"/>
  <c r="T54" i="57" s="1"/>
  <c r="X90" i="57"/>
  <c r="L66" i="57"/>
  <c r="S66" i="57" s="1"/>
  <c r="Q34" i="57"/>
  <c r="AE77" i="57"/>
  <c r="F68" i="57"/>
  <c r="O108" i="57"/>
  <c r="T108" i="57" s="1"/>
  <c r="AE34" i="57"/>
  <c r="AE49" i="57"/>
  <c r="AE8" i="57"/>
  <c r="O112" i="57"/>
  <c r="U112" i="57" s="1"/>
  <c r="V109" i="57"/>
  <c r="F35" i="57"/>
  <c r="Q109" i="57"/>
  <c r="X17" i="57"/>
  <c r="V26" i="57"/>
  <c r="P17" i="57"/>
  <c r="O106" i="57"/>
  <c r="O55" i="57"/>
  <c r="G46" i="57"/>
  <c r="H46" i="57" s="1"/>
  <c r="O65" i="57"/>
  <c r="T65" i="57" s="1"/>
  <c r="V68" i="57"/>
  <c r="F46" i="57"/>
  <c r="L4" i="57"/>
  <c r="S4" i="57" s="1"/>
  <c r="L46" i="57"/>
  <c r="S46" i="57" s="1"/>
  <c r="P90" i="57"/>
  <c r="Q86" i="57"/>
  <c r="O70" i="57"/>
  <c r="T70" i="57" s="1"/>
  <c r="O46" i="57"/>
  <c r="G58" i="57"/>
  <c r="H58" i="57" s="1"/>
  <c r="Q65" i="57"/>
  <c r="O42" i="57"/>
  <c r="F12" i="57"/>
  <c r="L131" i="57"/>
  <c r="S131" i="57" s="1"/>
  <c r="G62" i="57"/>
  <c r="H62" i="57" s="1"/>
  <c r="O29" i="57"/>
  <c r="T29" i="57" s="1"/>
  <c r="O58" i="57"/>
  <c r="T58" i="57" s="1"/>
  <c r="L33" i="57"/>
  <c r="S33" i="57" s="1"/>
  <c r="X25" i="57"/>
  <c r="G8" i="57"/>
  <c r="H8" i="57" s="1"/>
  <c r="X49" i="57"/>
  <c r="V115" i="57"/>
  <c r="L68" i="57"/>
  <c r="S68" i="57" s="1"/>
  <c r="L21" i="57"/>
  <c r="S21" i="57" s="1"/>
  <c r="F89" i="57"/>
  <c r="P22" i="57"/>
  <c r="L103" i="57"/>
  <c r="S103" i="57" s="1"/>
  <c r="X6" i="57"/>
  <c r="V103" i="57"/>
  <c r="X14" i="57"/>
  <c r="P46" i="57"/>
  <c r="G81" i="57"/>
  <c r="H81" i="57" s="1"/>
  <c r="Q115" i="57"/>
  <c r="X46" i="57"/>
  <c r="G89" i="57"/>
  <c r="H89" i="57" s="1"/>
  <c r="F9" i="57"/>
  <c r="G27" i="57"/>
  <c r="H27" i="57" s="1"/>
  <c r="L132" i="57"/>
  <c r="S132" i="57" s="1"/>
  <c r="X29" i="57"/>
  <c r="O27" i="57"/>
  <c r="U27" i="57" s="1"/>
  <c r="P40" i="57"/>
  <c r="I89" i="57"/>
  <c r="X88" i="57"/>
  <c r="F6" i="57"/>
  <c r="X40" i="57"/>
  <c r="O91" i="57"/>
  <c r="T91" i="57" s="1"/>
  <c r="G16" i="57"/>
  <c r="H16" i="57" s="1"/>
  <c r="G78" i="57"/>
  <c r="H78" i="57" s="1"/>
  <c r="Q71" i="57"/>
  <c r="I28" i="57"/>
  <c r="O71" i="57"/>
  <c r="T71" i="57" s="1"/>
  <c r="V64" i="57"/>
  <c r="V63" i="57"/>
  <c r="L28" i="57"/>
  <c r="S28" i="57" s="1"/>
  <c r="O62" i="57"/>
  <c r="T62" i="57" s="1"/>
  <c r="V88" i="57"/>
  <c r="F78" i="57"/>
  <c r="Q64" i="57"/>
  <c r="L8" i="57"/>
  <c r="S8" i="57" s="1"/>
  <c r="F16" i="57"/>
  <c r="L9" i="57"/>
  <c r="S9" i="57" s="1"/>
  <c r="L64" i="57"/>
  <c r="S64" i="57" s="1"/>
  <c r="V28" i="57"/>
  <c r="P43" i="57"/>
  <c r="G17" i="57"/>
  <c r="H17" i="57" s="1"/>
  <c r="F28" i="57"/>
  <c r="L16" i="57"/>
  <c r="S16" i="57" s="1"/>
  <c r="L78" i="57"/>
  <c r="S78" i="57" s="1"/>
  <c r="P55" i="57"/>
  <c r="O89" i="57"/>
  <c r="T89" i="57" s="1"/>
  <c r="F20" i="57"/>
  <c r="L54" i="57"/>
  <c r="S54" i="57" s="1"/>
  <c r="P29" i="57"/>
  <c r="Q54" i="57"/>
  <c r="G6" i="57"/>
  <c r="H6" i="57" s="1"/>
  <c r="F55" i="57"/>
  <c r="I18" i="57"/>
  <c r="F18" i="57"/>
  <c r="F62" i="57"/>
  <c r="AE6" i="57"/>
  <c r="X83" i="57"/>
  <c r="O125" i="57"/>
  <c r="U125" i="57" s="1"/>
  <c r="L22" i="57"/>
  <c r="S22" i="57" s="1"/>
  <c r="X2" i="57"/>
  <c r="P14" i="57"/>
  <c r="G22" i="57"/>
  <c r="H22" i="57" s="1"/>
  <c r="L56" i="57"/>
  <c r="S56" i="57" s="1"/>
  <c r="P35" i="57"/>
  <c r="G9" i="57"/>
  <c r="H9" i="57" s="1"/>
  <c r="L102" i="57"/>
  <c r="S102" i="57" s="1"/>
  <c r="AE75" i="57"/>
  <c r="O35" i="57"/>
  <c r="T35" i="57" s="1"/>
  <c r="G122" i="57"/>
  <c r="H122" i="57" s="1"/>
  <c r="G55" i="57"/>
  <c r="H55" i="57" s="1"/>
  <c r="L49" i="57"/>
  <c r="S49" i="57" s="1"/>
  <c r="X122" i="57"/>
  <c r="V23" i="57"/>
  <c r="G134" i="57"/>
  <c r="H134" i="57" s="1"/>
  <c r="L116" i="57"/>
  <c r="S116" i="57" s="1"/>
  <c r="P88" i="57"/>
  <c r="L127" i="57"/>
  <c r="S127" i="57" s="1"/>
  <c r="X108" i="57"/>
  <c r="AE93" i="57"/>
  <c r="G49" i="57"/>
  <c r="H49" i="57" s="1"/>
  <c r="P108" i="57"/>
  <c r="X62" i="57"/>
  <c r="G74" i="57"/>
  <c r="H74" i="57" s="1"/>
  <c r="F110" i="57"/>
  <c r="F134" i="57"/>
  <c r="AE132" i="57"/>
  <c r="P62" i="57"/>
  <c r="X109" i="57"/>
  <c r="X54" i="57"/>
  <c r="V17" i="57"/>
  <c r="AE117" i="57"/>
  <c r="AE3" i="57"/>
  <c r="AE37" i="57"/>
  <c r="AE134" i="57"/>
  <c r="AE56" i="57"/>
  <c r="AE110" i="57"/>
  <c r="P122" i="57"/>
  <c r="I73" i="57"/>
  <c r="X4" i="57"/>
  <c r="L89" i="57"/>
  <c r="S89" i="57" s="1"/>
  <c r="F50" i="57"/>
  <c r="L122" i="57"/>
  <c r="S122" i="57" s="1"/>
  <c r="O123" i="57"/>
  <c r="T123" i="57" s="1"/>
  <c r="AE11" i="57"/>
  <c r="Q53" i="57"/>
  <c r="O88" i="57"/>
  <c r="U88" i="57" s="1"/>
  <c r="G67" i="57"/>
  <c r="H67" i="57" s="1"/>
  <c r="AE58" i="57"/>
  <c r="AE23" i="57"/>
  <c r="AE21" i="57"/>
  <c r="O6" i="57"/>
  <c r="T6" i="57" s="1"/>
  <c r="L74" i="57"/>
  <c r="S74" i="57" s="1"/>
  <c r="AE97" i="57"/>
  <c r="V61" i="57"/>
  <c r="P2" i="57"/>
  <c r="I110" i="57"/>
  <c r="V123" i="57"/>
  <c r="G73" i="57"/>
  <c r="H73" i="57" s="1"/>
  <c r="P54" i="57"/>
  <c r="V13" i="57"/>
  <c r="Q50" i="57"/>
  <c r="X72" i="57"/>
  <c r="L134" i="57"/>
  <c r="S134" i="57" s="1"/>
  <c r="L108" i="57"/>
  <c r="O84" i="57"/>
  <c r="T84" i="57" s="1"/>
  <c r="AE13" i="57"/>
  <c r="V127" i="57"/>
  <c r="O96" i="57"/>
  <c r="O26" i="57"/>
  <c r="T26" i="57" s="1"/>
  <c r="S96" i="57"/>
  <c r="X12" i="57"/>
  <c r="L20" i="57"/>
  <c r="S20" i="57" s="1"/>
  <c r="G110" i="57"/>
  <c r="H110" i="57" s="1"/>
  <c r="P63" i="57"/>
  <c r="X63" i="57"/>
  <c r="I91" i="57"/>
  <c r="F91" i="57"/>
  <c r="L123" i="57"/>
  <c r="S123" i="57" s="1"/>
  <c r="Q20" i="57"/>
  <c r="F122" i="57"/>
  <c r="L110" i="57"/>
  <c r="S110" i="57" s="1"/>
  <c r="O12" i="57"/>
  <c r="T12" i="57" s="1"/>
  <c r="L72" i="57"/>
  <c r="S72" i="57" s="1"/>
  <c r="L125" i="57"/>
  <c r="S125" i="57" s="1"/>
  <c r="X100" i="57"/>
  <c r="P72" i="57"/>
  <c r="Q77" i="57"/>
  <c r="O23" i="57"/>
  <c r="W23" i="57" s="1"/>
  <c r="Q2" i="57"/>
  <c r="P12" i="57"/>
  <c r="L6" i="57"/>
  <c r="S6" i="57" s="1"/>
  <c r="F8" i="57"/>
  <c r="P10" i="57"/>
  <c r="X10" i="57"/>
  <c r="P75" i="57"/>
  <c r="X75" i="57"/>
  <c r="V44" i="57"/>
  <c r="Q44" i="57"/>
  <c r="AE54" i="57"/>
  <c r="G14" i="57"/>
  <c r="H14" i="57" s="1"/>
  <c r="G4" i="57"/>
  <c r="H4" i="57" s="1"/>
  <c r="P4" i="57"/>
  <c r="V117" i="57"/>
  <c r="Q117" i="57"/>
  <c r="L14" i="57"/>
  <c r="S14" i="57" s="1"/>
  <c r="AE22" i="57"/>
  <c r="P106" i="57"/>
  <c r="X106" i="57"/>
  <c r="AE38" i="57"/>
  <c r="AE119" i="57"/>
  <c r="F72" i="57"/>
  <c r="F74" i="57"/>
  <c r="AE41" i="57"/>
  <c r="F23" i="57"/>
  <c r="F14" i="57"/>
  <c r="G12" i="57"/>
  <c r="H12" i="57" s="1"/>
  <c r="L135" i="57"/>
  <c r="S135" i="57" s="1"/>
  <c r="Q138" i="57"/>
  <c r="F4" i="57"/>
  <c r="U4" i="57" s="1"/>
  <c r="I4" i="57"/>
  <c r="Q8" i="57"/>
  <c r="V8" i="57"/>
  <c r="AE100" i="57"/>
  <c r="P30" i="57"/>
  <c r="Q108" i="57"/>
  <c r="AE45" i="57"/>
  <c r="L55" i="57"/>
  <c r="S55" i="57" s="1"/>
  <c r="AE62" i="57"/>
  <c r="I55" i="57"/>
  <c r="O17" i="57"/>
  <c r="T17" i="57" s="1"/>
  <c r="X84" i="57"/>
  <c r="O30" i="57"/>
  <c r="T30" i="57" s="1"/>
  <c r="Q47" i="57"/>
  <c r="O100" i="57"/>
  <c r="T100" i="57" s="1"/>
  <c r="V65" i="57"/>
  <c r="F49" i="57"/>
  <c r="AE66" i="57"/>
  <c r="AE10" i="57"/>
  <c r="X55" i="57"/>
  <c r="X91" i="57"/>
  <c r="V46" i="57"/>
  <c r="Q46" i="57"/>
  <c r="AE76" i="57"/>
  <c r="AE15" i="57"/>
  <c r="AE5" i="57"/>
  <c r="L37" i="57"/>
  <c r="S37" i="57" s="1"/>
  <c r="I37" i="57"/>
  <c r="G37" i="57"/>
  <c r="H37" i="57" s="1"/>
  <c r="F37" i="57"/>
  <c r="Q23" i="57"/>
  <c r="X89" i="57"/>
  <c r="AE92" i="57"/>
  <c r="AE29" i="57"/>
  <c r="AE16" i="57"/>
  <c r="AE31" i="57"/>
  <c r="AE17" i="57"/>
  <c r="AE40" i="57"/>
  <c r="AE84" i="57"/>
  <c r="AE42" i="57"/>
  <c r="AE33" i="57"/>
  <c r="AE30" i="57"/>
  <c r="L7" i="57"/>
  <c r="S7" i="57" s="1"/>
  <c r="G7" i="57"/>
  <c r="H7" i="57" s="1"/>
  <c r="I7" i="57"/>
  <c r="O13" i="57"/>
  <c r="T13" i="57" s="1"/>
  <c r="AE122" i="57"/>
  <c r="AE24" i="57"/>
  <c r="X74" i="57"/>
  <c r="P74" i="57"/>
  <c r="V12" i="57"/>
  <c r="AE124" i="57"/>
  <c r="AE129" i="57"/>
  <c r="AE111" i="57"/>
  <c r="AE101" i="57"/>
  <c r="AE91" i="57"/>
  <c r="AE63" i="57"/>
  <c r="AE4" i="57"/>
  <c r="P26" i="57"/>
  <c r="I50" i="57"/>
  <c r="L50" i="57"/>
  <c r="S50" i="57" s="1"/>
  <c r="I43" i="57"/>
  <c r="F43" i="57"/>
  <c r="G43" i="57"/>
  <c r="H43" i="57" s="1"/>
  <c r="Q74" i="57"/>
  <c r="X78" i="57"/>
  <c r="P78" i="57"/>
  <c r="AE127" i="57"/>
  <c r="AE113" i="57"/>
  <c r="G50" i="57"/>
  <c r="H50" i="57" s="1"/>
  <c r="L67" i="57"/>
  <c r="S67" i="57" s="1"/>
  <c r="I67" i="57"/>
  <c r="AE139" i="57"/>
  <c r="AE118" i="57"/>
  <c r="AE116" i="57"/>
  <c r="X96" i="57"/>
  <c r="V121" i="57"/>
  <c r="Q121" i="57"/>
  <c r="AE115" i="57"/>
  <c r="V134" i="57"/>
  <c r="Q134" i="57"/>
  <c r="W136" i="57"/>
  <c r="R136" i="57"/>
  <c r="Q130" i="57"/>
  <c r="V130" i="57"/>
  <c r="X115" i="57"/>
  <c r="P115" i="57"/>
  <c r="O115" i="57"/>
  <c r="T115" i="57" s="1"/>
  <c r="P107" i="57"/>
  <c r="O107" i="57"/>
  <c r="X107" i="57"/>
  <c r="X140" i="57"/>
  <c r="P140" i="57"/>
  <c r="O140" i="57"/>
  <c r="U140" i="57" s="1"/>
  <c r="X133" i="57"/>
  <c r="P133" i="57"/>
  <c r="Q132" i="57"/>
  <c r="V132" i="57"/>
  <c r="X132" i="57"/>
  <c r="P132" i="57"/>
  <c r="AE123" i="57"/>
  <c r="X119" i="57"/>
  <c r="P119" i="57"/>
  <c r="V135" i="57"/>
  <c r="Q135" i="57"/>
  <c r="AE130" i="57"/>
  <c r="O104" i="57"/>
  <c r="U104" i="57" s="1"/>
  <c r="I124" i="57"/>
  <c r="F124" i="57"/>
  <c r="L124" i="57"/>
  <c r="S124" i="57" s="1"/>
  <c r="V113" i="57"/>
  <c r="Q113" i="57"/>
  <c r="V94" i="57"/>
  <c r="Q94" i="57"/>
  <c r="AE95" i="57"/>
  <c r="L99" i="57"/>
  <c r="S99" i="57" s="1"/>
  <c r="X93" i="57"/>
  <c r="P93" i="57"/>
  <c r="O93" i="57"/>
  <c r="AE65" i="57"/>
  <c r="X57" i="57"/>
  <c r="P57" i="57"/>
  <c r="O57" i="57"/>
  <c r="T57" i="57" s="1"/>
  <c r="X81" i="57"/>
  <c r="P81" i="57"/>
  <c r="O81" i="57"/>
  <c r="U81" i="57" s="1"/>
  <c r="V70" i="57"/>
  <c r="V66" i="57"/>
  <c r="V36" i="57"/>
  <c r="Q36" i="57"/>
  <c r="L29" i="57"/>
  <c r="I29" i="57"/>
  <c r="F29" i="57"/>
  <c r="G11" i="57"/>
  <c r="H11" i="57" s="1"/>
  <c r="O11" i="57"/>
  <c r="AE60" i="57"/>
  <c r="V58" i="57"/>
  <c r="AE43" i="57"/>
  <c r="L5" i="57"/>
  <c r="S5" i="57" s="1"/>
  <c r="F5" i="57"/>
  <c r="I5" i="57"/>
  <c r="W40" i="57"/>
  <c r="R40" i="57"/>
  <c r="X126" i="57"/>
  <c r="P126" i="57"/>
  <c r="O126" i="57"/>
  <c r="U126" i="57" s="1"/>
  <c r="Q133" i="57"/>
  <c r="V133" i="57"/>
  <c r="V120" i="57"/>
  <c r="Q120" i="57"/>
  <c r="X120" i="57"/>
  <c r="P120" i="57"/>
  <c r="AE140" i="57"/>
  <c r="U136" i="57"/>
  <c r="V110" i="57"/>
  <c r="Q110" i="57"/>
  <c r="X110" i="57"/>
  <c r="P110" i="57"/>
  <c r="O110" i="57"/>
  <c r="O124" i="57"/>
  <c r="T124" i="57" s="1"/>
  <c r="P124" i="57"/>
  <c r="G124" i="57"/>
  <c r="H124" i="57" s="1"/>
  <c r="O105" i="57"/>
  <c r="T105" i="57" s="1"/>
  <c r="G105" i="57"/>
  <c r="H105" i="57" s="1"/>
  <c r="F118" i="57"/>
  <c r="L118" i="57"/>
  <c r="S118" i="57" s="1"/>
  <c r="I118" i="57"/>
  <c r="O90" i="57"/>
  <c r="O94" i="57"/>
  <c r="U94" i="57" s="1"/>
  <c r="V93" i="57"/>
  <c r="Q93" i="57"/>
  <c r="AE57" i="57"/>
  <c r="O80" i="57"/>
  <c r="T80" i="57" s="1"/>
  <c r="O76" i="57"/>
  <c r="T76" i="57" s="1"/>
  <c r="G76" i="57"/>
  <c r="H76" i="57" s="1"/>
  <c r="L69" i="57"/>
  <c r="S69" i="57" s="1"/>
  <c r="I69" i="57"/>
  <c r="F69" i="57"/>
  <c r="L73" i="57"/>
  <c r="S73" i="57" s="1"/>
  <c r="Q60" i="57"/>
  <c r="V60" i="57"/>
  <c r="X52" i="57"/>
  <c r="P52" i="57"/>
  <c r="G29" i="57"/>
  <c r="H29" i="57" s="1"/>
  <c r="L35" i="57"/>
  <c r="S35" i="57" s="1"/>
  <c r="G31" i="57"/>
  <c r="H31" i="57" s="1"/>
  <c r="O31" i="57"/>
  <c r="T31" i="57" s="1"/>
  <c r="V41" i="57"/>
  <c r="Q41" i="57"/>
  <c r="X35" i="57"/>
  <c r="Q38" i="57"/>
  <c r="V38" i="57"/>
  <c r="V15" i="57"/>
  <c r="Q15" i="57"/>
  <c r="I19" i="57"/>
  <c r="L19" i="57"/>
  <c r="S19" i="57" s="1"/>
  <c r="F19" i="57"/>
  <c r="G5" i="57"/>
  <c r="H5" i="57" s="1"/>
  <c r="O5" i="57"/>
  <c r="O22" i="57"/>
  <c r="V104" i="57"/>
  <c r="Q104" i="57"/>
  <c r="P138" i="57"/>
  <c r="X138" i="57"/>
  <c r="X134" i="57"/>
  <c r="P134" i="57"/>
  <c r="O134" i="57"/>
  <c r="T134" i="57" s="1"/>
  <c r="X121" i="57"/>
  <c r="P121" i="57"/>
  <c r="V140" i="57"/>
  <c r="Q140" i="57"/>
  <c r="O130" i="57"/>
  <c r="U130" i="57" s="1"/>
  <c r="P103" i="57"/>
  <c r="X103" i="57"/>
  <c r="Q119" i="57"/>
  <c r="V119" i="57"/>
  <c r="F111" i="57"/>
  <c r="I111" i="57"/>
  <c r="L111" i="57"/>
  <c r="S111" i="57" s="1"/>
  <c r="X99" i="57"/>
  <c r="P99" i="57"/>
  <c r="Q88" i="57"/>
  <c r="P105" i="57"/>
  <c r="O103" i="57"/>
  <c r="P77" i="57"/>
  <c r="X77" i="57"/>
  <c r="O77" i="57"/>
  <c r="U77" i="57" s="1"/>
  <c r="Q78" i="57"/>
  <c r="V78" i="57"/>
  <c r="L65" i="57"/>
  <c r="S65" i="57" s="1"/>
  <c r="G65" i="57"/>
  <c r="H65" i="57" s="1"/>
  <c r="F65" i="57"/>
  <c r="I65" i="57"/>
  <c r="AE81" i="57"/>
  <c r="AE69" i="57"/>
  <c r="X69" i="57"/>
  <c r="P69" i="57"/>
  <c r="P28" i="57"/>
  <c r="O28" i="57"/>
  <c r="T28" i="57" s="1"/>
  <c r="X28" i="57"/>
  <c r="V14" i="57"/>
  <c r="Q14" i="57"/>
  <c r="O14" i="57"/>
  <c r="X59" i="57"/>
  <c r="P59" i="57"/>
  <c r="V10" i="57"/>
  <c r="Q10" i="57"/>
  <c r="AE50" i="57"/>
  <c r="Q31" i="57"/>
  <c r="V31" i="57"/>
  <c r="Q4" i="57"/>
  <c r="V4" i="57"/>
  <c r="O53" i="57"/>
  <c r="T53" i="57" s="1"/>
  <c r="G53" i="57"/>
  <c r="H53" i="57" s="1"/>
  <c r="AE27" i="57"/>
  <c r="P18" i="57"/>
  <c r="X18" i="57"/>
  <c r="G2" i="57"/>
  <c r="H2" i="57" s="1"/>
  <c r="O2" i="57"/>
  <c r="L12" i="57"/>
  <c r="S12" i="57" s="1"/>
  <c r="T40" i="57"/>
  <c r="X127" i="57"/>
  <c r="P127" i="57"/>
  <c r="P98" i="57"/>
  <c r="X98" i="57"/>
  <c r="V95" i="57"/>
  <c r="Q95" i="57"/>
  <c r="O32" i="57"/>
  <c r="T32" i="57" s="1"/>
  <c r="X32" i="57"/>
  <c r="P32" i="57"/>
  <c r="Q42" i="57"/>
  <c r="V42" i="57"/>
  <c r="Q52" i="57"/>
  <c r="V52" i="57"/>
  <c r="Q16" i="57"/>
  <c r="V16" i="57"/>
  <c r="P53" i="57"/>
  <c r="X53" i="57"/>
  <c r="I24" i="57"/>
  <c r="L24" i="57"/>
  <c r="S24" i="57" s="1"/>
  <c r="F24" i="57"/>
  <c r="AE48" i="57"/>
  <c r="X21" i="57"/>
  <c r="P21" i="57"/>
  <c r="V6" i="57"/>
  <c r="Q6" i="57"/>
  <c r="V5" i="57"/>
  <c r="T127" i="57"/>
  <c r="Q99" i="57"/>
  <c r="V99" i="57"/>
  <c r="X95" i="57"/>
  <c r="P95" i="57"/>
  <c r="F63" i="57"/>
  <c r="L63" i="57"/>
  <c r="S63" i="57" s="1"/>
  <c r="I63" i="57"/>
  <c r="Q83" i="57"/>
  <c r="V83" i="57"/>
  <c r="O83" i="57"/>
  <c r="Q87" i="57"/>
  <c r="V87" i="57"/>
  <c r="O87" i="57"/>
  <c r="T87" i="57" s="1"/>
  <c r="X73" i="57"/>
  <c r="P73" i="57"/>
  <c r="P20" i="57"/>
  <c r="X20" i="57"/>
  <c r="X85" i="57"/>
  <c r="P85" i="57"/>
  <c r="P76" i="57"/>
  <c r="X76" i="57"/>
  <c r="V59" i="57"/>
  <c r="Q59" i="57"/>
  <c r="X39" i="57"/>
  <c r="P39" i="57"/>
  <c r="F25" i="57"/>
  <c r="L25" i="57"/>
  <c r="S25" i="57" s="1"/>
  <c r="I25" i="57"/>
  <c r="P50" i="57"/>
  <c r="X50" i="57"/>
  <c r="O50" i="57"/>
  <c r="Q51" i="57"/>
  <c r="Q9" i="57"/>
  <c r="V9" i="57"/>
  <c r="P41" i="57"/>
  <c r="X41" i="57"/>
  <c r="F100" i="57"/>
  <c r="L100" i="57"/>
  <c r="I100" i="57"/>
  <c r="P117" i="57"/>
  <c r="O117" i="57"/>
  <c r="U117" i="57" s="1"/>
  <c r="X117" i="57"/>
  <c r="P129" i="57"/>
  <c r="X129" i="57"/>
  <c r="X136" i="57"/>
  <c r="P136" i="57"/>
  <c r="Q122" i="57"/>
  <c r="V122" i="57"/>
  <c r="V96" i="57"/>
  <c r="Q96" i="57"/>
  <c r="O120" i="57"/>
  <c r="T120" i="57" s="1"/>
  <c r="I113" i="57"/>
  <c r="F113" i="57"/>
  <c r="L113" i="57"/>
  <c r="S113" i="57" s="1"/>
  <c r="X111" i="57"/>
  <c r="P111" i="57"/>
  <c r="P118" i="57"/>
  <c r="X118" i="57"/>
  <c r="Q90" i="57"/>
  <c r="V90" i="57"/>
  <c r="V101" i="57"/>
  <c r="Q101" i="57"/>
  <c r="X82" i="57"/>
  <c r="P82" i="57"/>
  <c r="AE83" i="57"/>
  <c r="AE102" i="57"/>
  <c r="X8" i="57"/>
  <c r="P8" i="57"/>
  <c r="F51" i="57"/>
  <c r="I51" i="57"/>
  <c r="L51" i="57"/>
  <c r="S51" i="57" s="1"/>
  <c r="G79" i="57"/>
  <c r="H79" i="57" s="1"/>
  <c r="O79" i="57"/>
  <c r="T79" i="57" s="1"/>
  <c r="O69" i="57"/>
  <c r="T69" i="57" s="1"/>
  <c r="G69" i="57"/>
  <c r="H69" i="57" s="1"/>
  <c r="O61" i="57"/>
  <c r="T61" i="57" s="1"/>
  <c r="F61" i="57"/>
  <c r="G61" i="57"/>
  <c r="H61" i="57" s="1"/>
  <c r="X7" i="57"/>
  <c r="O7" i="57"/>
  <c r="T7" i="57" s="1"/>
  <c r="P7" i="57"/>
  <c r="I52" i="57"/>
  <c r="L52" i="57"/>
  <c r="S52" i="57" s="1"/>
  <c r="F52" i="57"/>
  <c r="G33" i="57"/>
  <c r="H33" i="57" s="1"/>
  <c r="O33" i="57"/>
  <c r="F17" i="57"/>
  <c r="L17" i="57"/>
  <c r="S17" i="57" s="1"/>
  <c r="I17" i="57"/>
  <c r="G24" i="57"/>
  <c r="H24" i="57" s="1"/>
  <c r="O24" i="57"/>
  <c r="Q24" i="57"/>
  <c r="V24" i="57"/>
  <c r="F53" i="57"/>
  <c r="I53" i="57"/>
  <c r="L53" i="57"/>
  <c r="S53" i="57" s="1"/>
  <c r="G19" i="57"/>
  <c r="H19" i="57" s="1"/>
  <c r="O19" i="57"/>
  <c r="P15" i="57"/>
  <c r="X15" i="57"/>
  <c r="P3" i="57"/>
  <c r="X3" i="57"/>
  <c r="O10" i="57"/>
  <c r="O3" i="57"/>
  <c r="P97" i="57"/>
  <c r="X97" i="57"/>
  <c r="AE82" i="57"/>
  <c r="X102" i="57"/>
  <c r="P102" i="57"/>
  <c r="O102" i="57"/>
  <c r="O51" i="57"/>
  <c r="T51" i="57" s="1"/>
  <c r="G51" i="57"/>
  <c r="H51" i="57" s="1"/>
  <c r="V79" i="57"/>
  <c r="Q79" i="57"/>
  <c r="Q7" i="57"/>
  <c r="V7" i="57"/>
  <c r="G25" i="57"/>
  <c r="H25" i="57" s="1"/>
  <c r="O25" i="57"/>
  <c r="P48" i="57"/>
  <c r="X48" i="57"/>
  <c r="X33" i="57"/>
  <c r="P33" i="57"/>
  <c r="I11" i="57"/>
  <c r="F11" i="57"/>
  <c r="L11" i="57"/>
  <c r="S11" i="57" s="1"/>
  <c r="F2" i="57"/>
  <c r="I2" i="57"/>
  <c r="L2" i="57"/>
  <c r="S2" i="57" s="1"/>
  <c r="O20" i="57"/>
  <c r="O43" i="57"/>
  <c r="X86" i="57"/>
  <c r="P86" i="57"/>
  <c r="O86" i="57"/>
  <c r="Q116" i="57"/>
  <c r="V116" i="57"/>
  <c r="I85" i="57"/>
  <c r="F85" i="57"/>
  <c r="L85" i="57"/>
  <c r="S85" i="57" s="1"/>
  <c r="AE137" i="57"/>
  <c r="AE131" i="57"/>
  <c r="F129" i="57"/>
  <c r="I129" i="57"/>
  <c r="L129" i="57"/>
  <c r="S129" i="57" s="1"/>
  <c r="O122" i="57"/>
  <c r="V111" i="57"/>
  <c r="Q111" i="57"/>
  <c r="AE105" i="57"/>
  <c r="AE99" i="57"/>
  <c r="O82" i="57"/>
  <c r="T82" i="57" s="1"/>
  <c r="G82" i="57"/>
  <c r="H82" i="57" s="1"/>
  <c r="O97" i="57"/>
  <c r="U97" i="57" s="1"/>
  <c r="L95" i="57"/>
  <c r="S95" i="57" s="1"/>
  <c r="F95" i="57"/>
  <c r="I95" i="57"/>
  <c r="Q98" i="57"/>
  <c r="V98" i="57"/>
  <c r="V35" i="57"/>
  <c r="Q35" i="57"/>
  <c r="P79" i="57"/>
  <c r="X79" i="57"/>
  <c r="AE79" i="57"/>
  <c r="L61" i="57"/>
  <c r="S61" i="57" s="1"/>
  <c r="AE36" i="57"/>
  <c r="AE7" i="57"/>
  <c r="AE59" i="57"/>
  <c r="Q37" i="57"/>
  <c r="V37" i="57"/>
  <c r="O48" i="57"/>
  <c r="T48" i="57" s="1"/>
  <c r="G48" i="57"/>
  <c r="H48" i="57" s="1"/>
  <c r="X60" i="57"/>
  <c r="P60" i="57"/>
  <c r="X27" i="57"/>
  <c r="P27" i="57"/>
  <c r="X9" i="57"/>
  <c r="P9" i="57"/>
  <c r="O9" i="57"/>
  <c r="V18" i="57"/>
  <c r="Q18" i="57"/>
  <c r="AE9" i="57"/>
  <c r="V39" i="57"/>
  <c r="Q39" i="57"/>
  <c r="P5" i="57"/>
  <c r="X5" i="57"/>
  <c r="L18" i="57"/>
  <c r="S18" i="57" s="1"/>
  <c r="S13" i="57"/>
  <c r="O21" i="57"/>
  <c r="X116" i="57"/>
  <c r="P116" i="57"/>
  <c r="O116" i="57"/>
  <c r="T116" i="57" s="1"/>
  <c r="W109" i="57"/>
  <c r="R109" i="57"/>
  <c r="AE136" i="57"/>
  <c r="AE135" i="57"/>
  <c r="O121" i="57"/>
  <c r="Q97" i="57"/>
  <c r="V97" i="57"/>
  <c r="O119" i="57"/>
  <c r="X80" i="57"/>
  <c r="P80" i="57"/>
  <c r="V91" i="57"/>
  <c r="Q91" i="57"/>
  <c r="W92" i="57"/>
  <c r="R92" i="57"/>
  <c r="V62" i="57"/>
  <c r="Q62" i="57"/>
  <c r="O85" i="57"/>
  <c r="G85" i="57"/>
  <c r="H85" i="57" s="1"/>
  <c r="Q85" i="57"/>
  <c r="V85" i="57"/>
  <c r="F82" i="57"/>
  <c r="X42" i="57"/>
  <c r="P42" i="57"/>
  <c r="P36" i="57"/>
  <c r="X36" i="57"/>
  <c r="L59" i="57"/>
  <c r="S59" i="57" s="1"/>
  <c r="F59" i="57"/>
  <c r="I59" i="57"/>
  <c r="AE52" i="57"/>
  <c r="X16" i="57"/>
  <c r="P16" i="57"/>
  <c r="O16" i="57"/>
  <c r="AE47" i="57"/>
  <c r="O73" i="57"/>
  <c r="T73" i="57" s="1"/>
  <c r="X23" i="57"/>
  <c r="P23" i="57"/>
  <c r="V25" i="57"/>
  <c r="Q25" i="57"/>
  <c r="L62" i="57"/>
  <c r="X47" i="57"/>
  <c r="P47" i="57"/>
  <c r="O47" i="57"/>
  <c r="G59" i="57"/>
  <c r="H59" i="57" s="1"/>
  <c r="O59" i="57"/>
  <c r="Q48" i="57"/>
  <c r="V48" i="57"/>
  <c r="V33" i="57"/>
  <c r="Q33" i="57"/>
  <c r="X38" i="57"/>
  <c r="P38" i="57"/>
  <c r="O38" i="57"/>
  <c r="U38" i="57" s="1"/>
  <c r="P24" i="57"/>
  <c r="X24" i="57"/>
  <c r="AE18" i="57"/>
  <c r="O39" i="57"/>
  <c r="O18" i="57"/>
  <c r="O15" i="57"/>
  <c r="Q102" i="57"/>
  <c r="V102" i="57"/>
  <c r="F98" i="57"/>
  <c r="L98" i="57"/>
  <c r="S98" i="57" s="1"/>
  <c r="I98" i="57"/>
  <c r="X113" i="57"/>
  <c r="P113" i="57"/>
  <c r="G113" i="57"/>
  <c r="H113" i="57" s="1"/>
  <c r="O113" i="57"/>
  <c r="Q118" i="57"/>
  <c r="V118" i="57"/>
  <c r="Q105" i="57"/>
  <c r="V105" i="57"/>
  <c r="P68" i="57"/>
  <c r="X68" i="57"/>
  <c r="G95" i="57"/>
  <c r="H95" i="57" s="1"/>
  <c r="O95" i="57"/>
  <c r="AE98" i="57"/>
  <c r="AE85" i="57"/>
  <c r="Q73" i="57"/>
  <c r="V73" i="57"/>
  <c r="O68" i="57"/>
  <c r="T68" i="57" s="1"/>
  <c r="V67" i="57"/>
  <c r="Q67" i="57"/>
  <c r="I79" i="57"/>
  <c r="L79" i="57"/>
  <c r="S79" i="57" s="1"/>
  <c r="F79" i="57"/>
  <c r="Q69" i="57"/>
  <c r="I60" i="57"/>
  <c r="F60" i="57"/>
  <c r="L60" i="57"/>
  <c r="S60" i="57" s="1"/>
  <c r="L45" i="57"/>
  <c r="S45" i="57" s="1"/>
  <c r="F45" i="57"/>
  <c r="I45" i="57"/>
  <c r="V11" i="57"/>
  <c r="Q11" i="57"/>
  <c r="Q30" i="57"/>
  <c r="V30" i="57"/>
  <c r="O8" i="57"/>
  <c r="V139" i="57"/>
  <c r="Q139" i="57"/>
  <c r="G139" i="57"/>
  <c r="H139" i="57" s="1"/>
  <c r="O139" i="57"/>
  <c r="T139" i="57" s="1"/>
  <c r="O138" i="57"/>
  <c r="U138" i="57" s="1"/>
  <c r="V137" i="57"/>
  <c r="Q137" i="57"/>
  <c r="Q131" i="57"/>
  <c r="V131" i="57"/>
  <c r="V125" i="57"/>
  <c r="Q125" i="57"/>
  <c r="O131" i="57"/>
  <c r="AE128" i="57"/>
  <c r="V136" i="57"/>
  <c r="Q136" i="57"/>
  <c r="I137" i="57"/>
  <c r="F137" i="57"/>
  <c r="L137" i="57"/>
  <c r="S137" i="57" s="1"/>
  <c r="P123" i="57"/>
  <c r="X123" i="57"/>
  <c r="G129" i="57"/>
  <c r="H129" i="57" s="1"/>
  <c r="O129" i="57"/>
  <c r="T129" i="57" s="1"/>
  <c r="O133" i="57"/>
  <c r="T133" i="57" s="1"/>
  <c r="Q129" i="57"/>
  <c r="Q107" i="57"/>
  <c r="V107" i="57"/>
  <c r="O111" i="57"/>
  <c r="G111" i="57"/>
  <c r="H111" i="57" s="1"/>
  <c r="O118" i="57"/>
  <c r="G118" i="57"/>
  <c r="H118" i="57" s="1"/>
  <c r="X56" i="57"/>
  <c r="P56" i="57"/>
  <c r="O56" i="57"/>
  <c r="T56" i="57" s="1"/>
  <c r="O99" i="57"/>
  <c r="G99" i="57"/>
  <c r="H99" i="57" s="1"/>
  <c r="V75" i="57"/>
  <c r="O75" i="57"/>
  <c r="U75" i="57" s="1"/>
  <c r="Q75" i="57"/>
  <c r="L88" i="57"/>
  <c r="S88" i="57" s="1"/>
  <c r="U92" i="57"/>
  <c r="AE71" i="57"/>
  <c r="Q72" i="57"/>
  <c r="V72" i="57"/>
  <c r="O72" i="57"/>
  <c r="AE67" i="57"/>
  <c r="X67" i="57"/>
  <c r="P67" i="57"/>
  <c r="O67" i="57"/>
  <c r="F76" i="57"/>
  <c r="G60" i="57"/>
  <c r="H60" i="57" s="1"/>
  <c r="O60" i="57"/>
  <c r="V22" i="57"/>
  <c r="Q22" i="57"/>
  <c r="P61" i="57"/>
  <c r="I48" i="57"/>
  <c r="L48" i="57"/>
  <c r="S48" i="57" s="1"/>
  <c r="F48" i="57"/>
  <c r="AE25" i="57"/>
  <c r="AE53" i="57"/>
  <c r="V19" i="57"/>
  <c r="Q19" i="57"/>
  <c r="P19" i="57"/>
  <c r="P11" i="57"/>
  <c r="V89" i="57"/>
  <c r="Q89" i="57"/>
  <c r="T136" i="57"/>
  <c r="X139" i="57"/>
  <c r="P139" i="57"/>
  <c r="L139" i="57"/>
  <c r="S139" i="57" s="1"/>
  <c r="F139" i="57"/>
  <c r="I139" i="57"/>
  <c r="G137" i="57"/>
  <c r="H137" i="57" s="1"/>
  <c r="O137" i="57"/>
  <c r="U127" i="57"/>
  <c r="X128" i="57"/>
  <c r="P128" i="57"/>
  <c r="O128" i="57"/>
  <c r="U128" i="57" s="1"/>
  <c r="O132" i="57"/>
  <c r="T132" i="57" s="1"/>
  <c r="P135" i="57"/>
  <c r="X135" i="57"/>
  <c r="O135" i="57"/>
  <c r="P130" i="57"/>
  <c r="X130" i="57"/>
  <c r="X114" i="57"/>
  <c r="P114" i="57"/>
  <c r="O114" i="57"/>
  <c r="L112" i="57"/>
  <c r="S112" i="57" s="1"/>
  <c r="L105" i="57"/>
  <c r="S105" i="57" s="1"/>
  <c r="I105" i="57"/>
  <c r="F105" i="57"/>
  <c r="X44" i="57"/>
  <c r="P44" i="57"/>
  <c r="O44" i="57"/>
  <c r="U44" i="57" s="1"/>
  <c r="O101" i="57"/>
  <c r="U101" i="57" s="1"/>
  <c r="AE87" i="57"/>
  <c r="G98" i="57"/>
  <c r="H98" i="57" s="1"/>
  <c r="O98" i="57"/>
  <c r="T98" i="57" s="1"/>
  <c r="T92" i="57"/>
  <c r="F70" i="57"/>
  <c r="I70" i="57"/>
  <c r="L70" i="57"/>
  <c r="V49" i="57"/>
  <c r="Q49" i="57"/>
  <c r="O49" i="57"/>
  <c r="G70" i="57"/>
  <c r="H70" i="57" s="1"/>
  <c r="G63" i="57"/>
  <c r="H63" i="57" s="1"/>
  <c r="V55" i="57"/>
  <c r="Q55" i="57"/>
  <c r="P58" i="57"/>
  <c r="X58" i="57"/>
  <c r="V29" i="57"/>
  <c r="Q29" i="57"/>
  <c r="O52" i="57"/>
  <c r="T52" i="57" s="1"/>
  <c r="G52" i="57"/>
  <c r="H52" i="57" s="1"/>
  <c r="G45" i="57"/>
  <c r="H45" i="57" s="1"/>
  <c r="O45" i="57"/>
  <c r="T45" i="57" s="1"/>
  <c r="F33" i="57"/>
  <c r="L58" i="57"/>
  <c r="W58" i="57" s="1"/>
  <c r="Q43" i="57"/>
  <c r="V43" i="57"/>
  <c r="F31" i="57"/>
  <c r="L31" i="57"/>
  <c r="S31" i="57" s="1"/>
  <c r="I31" i="57"/>
  <c r="O41" i="57"/>
  <c r="U41" i="57" s="1"/>
  <c r="X61" i="57"/>
  <c r="O37" i="57"/>
  <c r="V27" i="57"/>
  <c r="Q27" i="57"/>
  <c r="P51" i="57"/>
  <c r="AE19" i="57"/>
  <c r="L30" i="57"/>
  <c r="I30" i="57"/>
  <c r="G30" i="57"/>
  <c r="H30" i="57" s="1"/>
  <c r="F30" i="57"/>
  <c r="Q21" i="57"/>
  <c r="V21" i="57"/>
  <c r="P31" i="57"/>
  <c r="G135" i="19"/>
  <c r="H135" i="19" s="1"/>
  <c r="G38" i="19"/>
  <c r="H38" i="19" s="1"/>
  <c r="G134" i="19"/>
  <c r="H134" i="19" s="1"/>
  <c r="G92" i="19"/>
  <c r="H92" i="19" s="1"/>
  <c r="E17" i="19"/>
  <c r="G136" i="19"/>
  <c r="H136" i="19" s="1"/>
  <c r="G40" i="19"/>
  <c r="H40" i="19" s="1"/>
  <c r="G13" i="19"/>
  <c r="H13" i="19" s="1"/>
  <c r="AF89" i="19"/>
  <c r="AA88" i="19"/>
  <c r="AD126" i="19"/>
  <c r="AF77" i="19"/>
  <c r="AA76" i="19"/>
  <c r="AD78" i="19"/>
  <c r="AF65" i="19"/>
  <c r="AA64" i="19"/>
  <c r="AD29" i="19"/>
  <c r="AF53" i="19"/>
  <c r="AA52" i="19"/>
  <c r="AG96" i="19"/>
  <c r="AF41" i="19"/>
  <c r="AA40" i="19"/>
  <c r="AG24" i="19"/>
  <c r="AF29" i="19"/>
  <c r="AA28" i="19"/>
  <c r="AH90" i="19"/>
  <c r="AF17" i="19"/>
  <c r="AA16" i="19"/>
  <c r="AH18" i="19"/>
  <c r="AF4" i="19"/>
  <c r="AI84" i="19"/>
  <c r="AF137" i="19"/>
  <c r="AA136" i="19"/>
  <c r="AB37" i="19"/>
  <c r="AI12" i="19"/>
  <c r="AF125" i="19"/>
  <c r="AA124" i="19"/>
  <c r="AC132" i="19"/>
  <c r="AJ78" i="19"/>
  <c r="AF113" i="19"/>
  <c r="AA112" i="19"/>
  <c r="AC84" i="19"/>
  <c r="AJ6" i="19"/>
  <c r="AF101" i="19"/>
  <c r="AA100" i="19"/>
  <c r="AC36" i="19"/>
  <c r="AK72" i="19"/>
  <c r="M118" i="19"/>
  <c r="AJ118" i="19"/>
  <c r="AH118" i="19"/>
  <c r="AD118" i="19"/>
  <c r="AK118" i="19"/>
  <c r="AI118" i="19"/>
  <c r="AG118" i="19"/>
  <c r="AC118" i="19"/>
  <c r="M94" i="19"/>
  <c r="AJ94" i="19"/>
  <c r="AH94" i="19"/>
  <c r="AD94" i="19"/>
  <c r="AK94" i="19"/>
  <c r="AI94" i="19"/>
  <c r="AG94" i="19"/>
  <c r="AC94" i="19"/>
  <c r="M70" i="19"/>
  <c r="AJ70" i="19"/>
  <c r="AH70" i="19"/>
  <c r="AD70" i="19"/>
  <c r="AK70" i="19"/>
  <c r="AI70" i="19"/>
  <c r="AG70" i="19"/>
  <c r="AC70" i="19"/>
  <c r="M46" i="19"/>
  <c r="AJ46" i="19"/>
  <c r="AH46" i="19"/>
  <c r="AD46" i="19"/>
  <c r="AB46" i="19"/>
  <c r="AK46" i="19"/>
  <c r="AI46" i="19"/>
  <c r="AG46" i="19"/>
  <c r="AC46" i="19"/>
  <c r="M22" i="19"/>
  <c r="X22" i="19" s="1"/>
  <c r="AJ22" i="19"/>
  <c r="AH22" i="19"/>
  <c r="AD22" i="19"/>
  <c r="AB22" i="19"/>
  <c r="AK22" i="19"/>
  <c r="AI22" i="19"/>
  <c r="AG22" i="19"/>
  <c r="AC22" i="19"/>
  <c r="Z130" i="19"/>
  <c r="Z106" i="19"/>
  <c r="Z94" i="19"/>
  <c r="Z82" i="19"/>
  <c r="Z70" i="19"/>
  <c r="Z58" i="19"/>
  <c r="Z34" i="19"/>
  <c r="Z22" i="19"/>
  <c r="Z10" i="19"/>
  <c r="AB130" i="19"/>
  <c r="AB118" i="19"/>
  <c r="AB106" i="19"/>
  <c r="AB94" i="19"/>
  <c r="AB82" i="19"/>
  <c r="AB70" i="19"/>
  <c r="AB58" i="19"/>
  <c r="M131" i="19"/>
  <c r="P131" i="19" s="1"/>
  <c r="AJ131" i="19"/>
  <c r="AH131" i="19"/>
  <c r="AD131" i="19"/>
  <c r="AK131" i="19"/>
  <c r="AI131" i="19"/>
  <c r="AG131" i="19"/>
  <c r="M119" i="19"/>
  <c r="AJ119" i="19"/>
  <c r="AH119" i="19"/>
  <c r="AD119" i="19"/>
  <c r="AK119" i="19"/>
  <c r="AI119" i="19"/>
  <c r="AG119" i="19"/>
  <c r="M107" i="19"/>
  <c r="X107" i="19" s="1"/>
  <c r="AJ107" i="19"/>
  <c r="AH107" i="19"/>
  <c r="AD107" i="19"/>
  <c r="AK107" i="19"/>
  <c r="AI107" i="19"/>
  <c r="AG107" i="19"/>
  <c r="K95" i="19"/>
  <c r="AJ95" i="19"/>
  <c r="AH95" i="19"/>
  <c r="AD95" i="19"/>
  <c r="AK95" i="19"/>
  <c r="AI95" i="19"/>
  <c r="AG95" i="19"/>
  <c r="M83" i="19"/>
  <c r="AJ83" i="19"/>
  <c r="AH83" i="19"/>
  <c r="AD83" i="19"/>
  <c r="AK83" i="19"/>
  <c r="AI83" i="19"/>
  <c r="AG83" i="19"/>
  <c r="M71" i="19"/>
  <c r="X71" i="19" s="1"/>
  <c r="AJ71" i="19"/>
  <c r="AH71" i="19"/>
  <c r="AD71" i="19"/>
  <c r="AK71" i="19"/>
  <c r="AI71" i="19"/>
  <c r="AG71" i="19"/>
  <c r="K59" i="19"/>
  <c r="AJ59" i="19"/>
  <c r="AH59" i="19"/>
  <c r="AD59" i="19"/>
  <c r="AK59" i="19"/>
  <c r="AI59" i="19"/>
  <c r="AG59" i="19"/>
  <c r="M47" i="19"/>
  <c r="AJ47" i="19"/>
  <c r="AH47" i="19"/>
  <c r="AD47" i="19"/>
  <c r="AB47" i="19"/>
  <c r="AK47" i="19"/>
  <c r="AI47" i="19"/>
  <c r="AG47" i="19"/>
  <c r="K35" i="19"/>
  <c r="AJ35" i="19"/>
  <c r="AH35" i="19"/>
  <c r="AD35" i="19"/>
  <c r="AB35" i="19"/>
  <c r="AK35" i="19"/>
  <c r="AI35" i="19"/>
  <c r="AG35" i="19"/>
  <c r="M23" i="19"/>
  <c r="X23" i="19" s="1"/>
  <c r="AJ23" i="19"/>
  <c r="AH23" i="19"/>
  <c r="AD23" i="19"/>
  <c r="AB23" i="19"/>
  <c r="AK23" i="19"/>
  <c r="AI23" i="19"/>
  <c r="AG23" i="19"/>
  <c r="K11" i="19"/>
  <c r="AJ11" i="19"/>
  <c r="AH11" i="19"/>
  <c r="AD11" i="19"/>
  <c r="AB11" i="19"/>
  <c r="AK11" i="19"/>
  <c r="AI11" i="19"/>
  <c r="AG11" i="19"/>
  <c r="AF138" i="19"/>
  <c r="AF114" i="19"/>
  <c r="AF78" i="19"/>
  <c r="AF66" i="19"/>
  <c r="AF30" i="19"/>
  <c r="AF18" i="19"/>
  <c r="AF6" i="19"/>
  <c r="Z131" i="19"/>
  <c r="Z119" i="19"/>
  <c r="Z107" i="19"/>
  <c r="Z95" i="19"/>
  <c r="Z83" i="19"/>
  <c r="Z71" i="19"/>
  <c r="Z59" i="19"/>
  <c r="Z47" i="19"/>
  <c r="Z35" i="19"/>
  <c r="Z23" i="19"/>
  <c r="Z11" i="19"/>
  <c r="AA137" i="19"/>
  <c r="AA125" i="19"/>
  <c r="AA113" i="19"/>
  <c r="AA101" i="19"/>
  <c r="AA89" i="19"/>
  <c r="AA77" i="19"/>
  <c r="AA65" i="19"/>
  <c r="AA53" i="19"/>
  <c r="AA41" i="19"/>
  <c r="AA29" i="19"/>
  <c r="AA17" i="19"/>
  <c r="AA5" i="19"/>
  <c r="AB131" i="19"/>
  <c r="AB119" i="19"/>
  <c r="AB107" i="19"/>
  <c r="AB95" i="19"/>
  <c r="AB83" i="19"/>
  <c r="AB71" i="19"/>
  <c r="AB59" i="19"/>
  <c r="AB39" i="19"/>
  <c r="AC139" i="19"/>
  <c r="AC91" i="19"/>
  <c r="AD133" i="19"/>
  <c r="AD85" i="19"/>
  <c r="AD30" i="19"/>
  <c r="AG97" i="19"/>
  <c r="AG25" i="19"/>
  <c r="AI85" i="19"/>
  <c r="AI13" i="19"/>
  <c r="AJ79" i="19"/>
  <c r="AJ7" i="19"/>
  <c r="AK73" i="19"/>
  <c r="Z118" i="19"/>
  <c r="Z46" i="19"/>
  <c r="E5" i="19"/>
  <c r="AJ129" i="19"/>
  <c r="AH129" i="19"/>
  <c r="AD129" i="19"/>
  <c r="AK129" i="19"/>
  <c r="AI129" i="19"/>
  <c r="AG129" i="19"/>
  <c r="AC129" i="19"/>
  <c r="M117" i="19"/>
  <c r="AJ117" i="19"/>
  <c r="AH117" i="19"/>
  <c r="AD117" i="19"/>
  <c r="AK117" i="19"/>
  <c r="AI117" i="19"/>
  <c r="AG117" i="19"/>
  <c r="AC117" i="19"/>
  <c r="AJ105" i="19"/>
  <c r="AH105" i="19"/>
  <c r="AD105" i="19"/>
  <c r="AK105" i="19"/>
  <c r="AI105" i="19"/>
  <c r="AG105" i="19"/>
  <c r="AC105" i="19"/>
  <c r="M93" i="19"/>
  <c r="X93" i="19" s="1"/>
  <c r="AJ93" i="19"/>
  <c r="AH93" i="19"/>
  <c r="AD93" i="19"/>
  <c r="AK93" i="19"/>
  <c r="AI93" i="19"/>
  <c r="AG93" i="19"/>
  <c r="AC93" i="19"/>
  <c r="M81" i="19"/>
  <c r="AJ81" i="19"/>
  <c r="AH81" i="19"/>
  <c r="AD81" i="19"/>
  <c r="AK81" i="19"/>
  <c r="AI81" i="19"/>
  <c r="AG81" i="19"/>
  <c r="AC81" i="19"/>
  <c r="AJ69" i="19"/>
  <c r="AH69" i="19"/>
  <c r="AD69" i="19"/>
  <c r="AK69" i="19"/>
  <c r="AI69" i="19"/>
  <c r="AG69" i="19"/>
  <c r="AC69" i="19"/>
  <c r="M57" i="19"/>
  <c r="AJ57" i="19"/>
  <c r="AH57" i="19"/>
  <c r="AD57" i="19"/>
  <c r="AK57" i="19"/>
  <c r="AI57" i="19"/>
  <c r="AG57" i="19"/>
  <c r="AC57" i="19"/>
  <c r="AJ45" i="19"/>
  <c r="AH45" i="19"/>
  <c r="AD45" i="19"/>
  <c r="AB45" i="19"/>
  <c r="AK45" i="19"/>
  <c r="AI45" i="19"/>
  <c r="AG45" i="19"/>
  <c r="AC45" i="19"/>
  <c r="AJ33" i="19"/>
  <c r="AH33" i="19"/>
  <c r="AD33" i="19"/>
  <c r="AB33" i="19"/>
  <c r="AK33" i="19"/>
  <c r="AI33" i="19"/>
  <c r="AG33" i="19"/>
  <c r="AC33" i="19"/>
  <c r="AJ21" i="19"/>
  <c r="AH21" i="19"/>
  <c r="AD21" i="19"/>
  <c r="AB21" i="19"/>
  <c r="AK21" i="19"/>
  <c r="AI21" i="19"/>
  <c r="AG21" i="19"/>
  <c r="AC21" i="19"/>
  <c r="M9" i="19"/>
  <c r="X9" i="19" s="1"/>
  <c r="AJ9" i="19"/>
  <c r="AH9" i="19"/>
  <c r="AD9" i="19"/>
  <c r="AB9" i="19"/>
  <c r="AK9" i="19"/>
  <c r="AI9" i="19"/>
  <c r="AG9" i="19"/>
  <c r="AC9" i="19"/>
  <c r="AF3" i="19"/>
  <c r="Z129" i="19"/>
  <c r="Z117" i="19"/>
  <c r="Z105" i="19"/>
  <c r="Z93" i="19"/>
  <c r="Z81" i="19"/>
  <c r="Z69" i="19"/>
  <c r="Z57" i="19"/>
  <c r="Z45" i="19"/>
  <c r="Z33" i="19"/>
  <c r="Z21" i="19"/>
  <c r="Z9" i="19"/>
  <c r="AA135" i="19"/>
  <c r="AA123" i="19"/>
  <c r="AA111" i="19"/>
  <c r="AA99" i="19"/>
  <c r="AA87" i="19"/>
  <c r="AA75" i="19"/>
  <c r="AA63" i="19"/>
  <c r="AA51" i="19"/>
  <c r="AA39" i="19"/>
  <c r="AA27" i="19"/>
  <c r="AA15" i="19"/>
  <c r="AB129" i="19"/>
  <c r="AB117" i="19"/>
  <c r="AB105" i="19"/>
  <c r="AB93" i="19"/>
  <c r="AB81" i="19"/>
  <c r="AB69" i="19"/>
  <c r="AB57" i="19"/>
  <c r="AC131" i="19"/>
  <c r="AC83" i="19"/>
  <c r="AC35" i="19"/>
  <c r="AD77" i="19"/>
  <c r="AG85" i="19"/>
  <c r="AG13" i="19"/>
  <c r="AH79" i="19"/>
  <c r="AI73" i="19"/>
  <c r="AK133" i="19"/>
  <c r="AK61" i="19"/>
  <c r="M140" i="19"/>
  <c r="AD140" i="19"/>
  <c r="AK140" i="19"/>
  <c r="AI140" i="19"/>
  <c r="AG140" i="19"/>
  <c r="AC140" i="19"/>
  <c r="AJ140" i="19"/>
  <c r="AH140" i="19"/>
  <c r="M128" i="19"/>
  <c r="AD128" i="19"/>
  <c r="AK128" i="19"/>
  <c r="AI128" i="19"/>
  <c r="AG128" i="19"/>
  <c r="AC128" i="19"/>
  <c r="AJ128" i="19"/>
  <c r="AH128" i="19"/>
  <c r="M116" i="19"/>
  <c r="X116" i="19" s="1"/>
  <c r="AD116" i="19"/>
  <c r="AK116" i="19"/>
  <c r="AI116" i="19"/>
  <c r="AG116" i="19"/>
  <c r="AC116" i="19"/>
  <c r="AJ116" i="19"/>
  <c r="AH116" i="19"/>
  <c r="D104" i="19"/>
  <c r="I104" i="19" s="1"/>
  <c r="AD104" i="19"/>
  <c r="AK104" i="19"/>
  <c r="AI104" i="19"/>
  <c r="AG104" i="19"/>
  <c r="AC104" i="19"/>
  <c r="AJ104" i="19"/>
  <c r="AH104" i="19"/>
  <c r="M92" i="19"/>
  <c r="X92" i="19" s="1"/>
  <c r="AD92" i="19"/>
  <c r="AK92" i="19"/>
  <c r="AI92" i="19"/>
  <c r="AG92" i="19"/>
  <c r="AC92" i="19"/>
  <c r="AJ92" i="19"/>
  <c r="AH92" i="19"/>
  <c r="D80" i="19"/>
  <c r="I80" i="19" s="1"/>
  <c r="AD80" i="19"/>
  <c r="AK80" i="19"/>
  <c r="AI80" i="19"/>
  <c r="AG80" i="19"/>
  <c r="AC80" i="19"/>
  <c r="AJ80" i="19"/>
  <c r="AH80" i="19"/>
  <c r="D68" i="19"/>
  <c r="I68" i="19" s="1"/>
  <c r="AD68" i="19"/>
  <c r="AK68" i="19"/>
  <c r="AI68" i="19"/>
  <c r="AG68" i="19"/>
  <c r="AC68" i="19"/>
  <c r="AJ68" i="19"/>
  <c r="AH68" i="19"/>
  <c r="D56" i="19"/>
  <c r="I56" i="19" s="1"/>
  <c r="AD56" i="19"/>
  <c r="AK56" i="19"/>
  <c r="AI56" i="19"/>
  <c r="AG56" i="19"/>
  <c r="AC56" i="19"/>
  <c r="AJ56" i="19"/>
  <c r="AH56" i="19"/>
  <c r="M44" i="19"/>
  <c r="X44" i="19" s="1"/>
  <c r="AD44" i="19"/>
  <c r="AB44" i="19"/>
  <c r="AK44" i="19"/>
  <c r="AI44" i="19"/>
  <c r="AG44" i="19"/>
  <c r="AC44" i="19"/>
  <c r="AJ44" i="19"/>
  <c r="AH44" i="19"/>
  <c r="D32" i="19"/>
  <c r="I32" i="19" s="1"/>
  <c r="AD32" i="19"/>
  <c r="AB32" i="19"/>
  <c r="AK32" i="19"/>
  <c r="AI32" i="19"/>
  <c r="AG32" i="19"/>
  <c r="AC32" i="19"/>
  <c r="AJ32" i="19"/>
  <c r="AH32" i="19"/>
  <c r="D20" i="19"/>
  <c r="I20" i="19" s="1"/>
  <c r="AD20" i="19"/>
  <c r="AB20" i="19"/>
  <c r="AK20" i="19"/>
  <c r="AI20" i="19"/>
  <c r="AG20" i="19"/>
  <c r="AC20" i="19"/>
  <c r="AJ20" i="19"/>
  <c r="AH20" i="19"/>
  <c r="D8" i="19"/>
  <c r="I8" i="19" s="1"/>
  <c r="AD8" i="19"/>
  <c r="AB8" i="19"/>
  <c r="AK8" i="19"/>
  <c r="AI8" i="19"/>
  <c r="AG8" i="19"/>
  <c r="AC8" i="19"/>
  <c r="AJ8" i="19"/>
  <c r="AH8" i="19"/>
  <c r="AF27" i="19"/>
  <c r="Z140" i="19"/>
  <c r="Z128" i="19"/>
  <c r="Z116" i="19"/>
  <c r="Z104" i="19"/>
  <c r="Z92" i="19"/>
  <c r="Z80" i="19"/>
  <c r="Z68" i="19"/>
  <c r="Z56" i="19"/>
  <c r="Z44" i="19"/>
  <c r="Z32" i="19"/>
  <c r="Z20" i="19"/>
  <c r="Z8" i="19"/>
  <c r="AA134" i="19"/>
  <c r="AA122" i="19"/>
  <c r="AA110" i="19"/>
  <c r="AA98" i="19"/>
  <c r="AA86" i="19"/>
  <c r="AA74" i="19"/>
  <c r="AA62" i="19"/>
  <c r="AA50" i="19"/>
  <c r="AA38" i="19"/>
  <c r="AA26" i="19"/>
  <c r="AA14" i="19"/>
  <c r="AB140" i="19"/>
  <c r="AB128" i="19"/>
  <c r="AB116" i="19"/>
  <c r="AB104" i="19"/>
  <c r="AB92" i="19"/>
  <c r="AB80" i="19"/>
  <c r="AB68" i="19"/>
  <c r="AB56" i="19"/>
  <c r="AB29" i="19"/>
  <c r="AD121" i="19"/>
  <c r="AD73" i="19"/>
  <c r="AD17" i="19"/>
  <c r="AG84" i="19"/>
  <c r="AG12" i="19"/>
  <c r="AH6" i="19"/>
  <c r="AI72" i="19"/>
  <c r="AJ66" i="19"/>
  <c r="AK132" i="19"/>
  <c r="AK60" i="19"/>
  <c r="D139" i="19"/>
  <c r="I139" i="19" s="1"/>
  <c r="AK139" i="19"/>
  <c r="AI139" i="19"/>
  <c r="AG139" i="19"/>
  <c r="AD139" i="19"/>
  <c r="M127" i="19"/>
  <c r="AK127" i="19"/>
  <c r="AI127" i="19"/>
  <c r="AG127" i="19"/>
  <c r="AD127" i="19"/>
  <c r="M115" i="19"/>
  <c r="X115" i="19" s="1"/>
  <c r="AK115" i="19"/>
  <c r="AI115" i="19"/>
  <c r="AG115" i="19"/>
  <c r="AD115" i="19"/>
  <c r="M103" i="19"/>
  <c r="X103" i="19" s="1"/>
  <c r="AK103" i="19"/>
  <c r="AI103" i="19"/>
  <c r="AG103" i="19"/>
  <c r="AD103" i="19"/>
  <c r="D91" i="19"/>
  <c r="I91" i="19" s="1"/>
  <c r="AK91" i="19"/>
  <c r="AI91" i="19"/>
  <c r="AG91" i="19"/>
  <c r="AD91" i="19"/>
  <c r="D79" i="19"/>
  <c r="I79" i="19" s="1"/>
  <c r="AK79" i="19"/>
  <c r="AI79" i="19"/>
  <c r="AG79" i="19"/>
  <c r="AD79" i="19"/>
  <c r="M67" i="19"/>
  <c r="X67" i="19" s="1"/>
  <c r="AK67" i="19"/>
  <c r="AI67" i="19"/>
  <c r="AG67" i="19"/>
  <c r="AD67" i="19"/>
  <c r="M55" i="19"/>
  <c r="AK55" i="19"/>
  <c r="AI55" i="19"/>
  <c r="AG55" i="19"/>
  <c r="AD55" i="19"/>
  <c r="M43" i="19"/>
  <c r="AK43" i="19"/>
  <c r="AI43" i="19"/>
  <c r="AG43" i="19"/>
  <c r="AD43" i="19"/>
  <c r="AB43" i="19"/>
  <c r="D31" i="19"/>
  <c r="I31" i="19" s="1"/>
  <c r="AK31" i="19"/>
  <c r="AI31" i="19"/>
  <c r="AG31" i="19"/>
  <c r="AD31" i="19"/>
  <c r="AB31" i="19"/>
  <c r="D19" i="19"/>
  <c r="I19" i="19" s="1"/>
  <c r="AK19" i="19"/>
  <c r="AI19" i="19"/>
  <c r="AG19" i="19"/>
  <c r="AD19" i="19"/>
  <c r="AB19" i="19"/>
  <c r="D7" i="19"/>
  <c r="I7" i="19" s="1"/>
  <c r="AK7" i="19"/>
  <c r="AI7" i="19"/>
  <c r="AG7" i="19"/>
  <c r="AD7" i="19"/>
  <c r="AB7" i="19"/>
  <c r="Z139" i="19"/>
  <c r="Z127" i="19"/>
  <c r="Z115" i="19"/>
  <c r="Z103" i="19"/>
  <c r="Z91" i="19"/>
  <c r="Z79" i="19"/>
  <c r="Z67" i="19"/>
  <c r="Z55" i="19"/>
  <c r="Z43" i="19"/>
  <c r="Z31" i="19"/>
  <c r="Z19" i="19"/>
  <c r="Z7" i="19"/>
  <c r="AA133" i="19"/>
  <c r="AA121" i="19"/>
  <c r="AA109" i="19"/>
  <c r="AA97" i="19"/>
  <c r="AA85" i="19"/>
  <c r="AA73" i="19"/>
  <c r="AA61" i="19"/>
  <c r="AA49" i="19"/>
  <c r="AA37" i="19"/>
  <c r="AA25" i="19"/>
  <c r="AA13" i="19"/>
  <c r="AB139" i="19"/>
  <c r="AB127" i="19"/>
  <c r="AB115" i="19"/>
  <c r="AB103" i="19"/>
  <c r="AB91" i="19"/>
  <c r="AB79" i="19"/>
  <c r="AB67" i="19"/>
  <c r="AB55" i="19"/>
  <c r="AC120" i="19"/>
  <c r="AC72" i="19"/>
  <c r="AC24" i="19"/>
  <c r="AG73" i="19"/>
  <c r="AH139" i="19"/>
  <c r="AH67" i="19"/>
  <c r="AI133" i="19"/>
  <c r="AI61" i="19"/>
  <c r="AJ127" i="19"/>
  <c r="AJ55" i="19"/>
  <c r="AK121" i="19"/>
  <c r="AK49" i="19"/>
  <c r="M138" i="19"/>
  <c r="P138" i="19" s="1"/>
  <c r="AK138" i="19"/>
  <c r="AI138" i="19"/>
  <c r="AG138" i="19"/>
  <c r="AC138" i="19"/>
  <c r="M126" i="19"/>
  <c r="X126" i="19" s="1"/>
  <c r="AK126" i="19"/>
  <c r="AI126" i="19"/>
  <c r="AG126" i="19"/>
  <c r="AC126" i="19"/>
  <c r="M114" i="19"/>
  <c r="AK114" i="19"/>
  <c r="AI114" i="19"/>
  <c r="AG114" i="19"/>
  <c r="AC114" i="19"/>
  <c r="M102" i="19"/>
  <c r="AK102" i="19"/>
  <c r="AI102" i="19"/>
  <c r="AG102" i="19"/>
  <c r="AC102" i="19"/>
  <c r="D90" i="19"/>
  <c r="I90" i="19" s="1"/>
  <c r="AK90" i="19"/>
  <c r="AI90" i="19"/>
  <c r="AG90" i="19"/>
  <c r="AC90" i="19"/>
  <c r="M78" i="19"/>
  <c r="X78" i="19" s="1"/>
  <c r="AK78" i="19"/>
  <c r="AI78" i="19"/>
  <c r="AG78" i="19"/>
  <c r="AC78" i="19"/>
  <c r="D66" i="19"/>
  <c r="I66" i="19" s="1"/>
  <c r="AK66" i="19"/>
  <c r="AI66" i="19"/>
  <c r="AG66" i="19"/>
  <c r="AC66" i="19"/>
  <c r="M54" i="19"/>
  <c r="P54" i="19" s="1"/>
  <c r="AK54" i="19"/>
  <c r="AI54" i="19"/>
  <c r="AG54" i="19"/>
  <c r="AC54" i="19"/>
  <c r="M42" i="19"/>
  <c r="X42" i="19" s="1"/>
  <c r="AK42" i="19"/>
  <c r="AI42" i="19"/>
  <c r="AG42" i="19"/>
  <c r="AC42" i="19"/>
  <c r="D30" i="19"/>
  <c r="I30" i="19" s="1"/>
  <c r="AK30" i="19"/>
  <c r="AI30" i="19"/>
  <c r="AG30" i="19"/>
  <c r="AC30" i="19"/>
  <c r="D18" i="19"/>
  <c r="I18" i="19" s="1"/>
  <c r="AK18" i="19"/>
  <c r="AI18" i="19"/>
  <c r="AG18" i="19"/>
  <c r="AC18" i="19"/>
  <c r="D6" i="19"/>
  <c r="I6" i="19" s="1"/>
  <c r="AK6" i="19"/>
  <c r="AI6" i="19"/>
  <c r="AG6" i="19"/>
  <c r="AC6" i="19"/>
  <c r="AF133" i="19"/>
  <c r="AF121" i="19"/>
  <c r="AF109" i="19"/>
  <c r="AF97" i="19"/>
  <c r="AF61" i="19"/>
  <c r="AF49" i="19"/>
  <c r="AF37" i="19"/>
  <c r="AF25" i="19"/>
  <c r="AF13" i="19"/>
  <c r="Z138" i="19"/>
  <c r="Z126" i="19"/>
  <c r="Z114" i="19"/>
  <c r="Z102" i="19"/>
  <c r="Z90" i="19"/>
  <c r="Z78" i="19"/>
  <c r="Z66" i="19"/>
  <c r="Z54" i="19"/>
  <c r="Z42" i="19"/>
  <c r="Z30" i="19"/>
  <c r="Z18" i="19"/>
  <c r="Z6" i="19"/>
  <c r="AA132" i="19"/>
  <c r="AA120" i="19"/>
  <c r="AA108" i="19"/>
  <c r="AA96" i="19"/>
  <c r="AA84" i="19"/>
  <c r="AA72" i="19"/>
  <c r="AA60" i="19"/>
  <c r="AA48" i="19"/>
  <c r="AA36" i="19"/>
  <c r="AA24" i="19"/>
  <c r="AA12" i="19"/>
  <c r="AB138" i="19"/>
  <c r="AB126" i="19"/>
  <c r="AB114" i="19"/>
  <c r="AB102" i="19"/>
  <c r="AB90" i="19"/>
  <c r="AB78" i="19"/>
  <c r="AB66" i="19"/>
  <c r="AB54" i="19"/>
  <c r="AB25" i="19"/>
  <c r="AC119" i="19"/>
  <c r="AC71" i="19"/>
  <c r="AC23" i="19"/>
  <c r="AD113" i="19"/>
  <c r="AG72" i="19"/>
  <c r="AH138" i="19"/>
  <c r="AH66" i="19"/>
  <c r="AI132" i="19"/>
  <c r="AI60" i="19"/>
  <c r="AJ126" i="19"/>
  <c r="AJ54" i="19"/>
  <c r="AK120" i="19"/>
  <c r="AK48" i="19"/>
  <c r="J125" i="19"/>
  <c r="AK125" i="19"/>
  <c r="AI125" i="19"/>
  <c r="AG125" i="19"/>
  <c r="AC125" i="19"/>
  <c r="AJ125" i="19"/>
  <c r="AH125" i="19"/>
  <c r="J65" i="19"/>
  <c r="AK65" i="19"/>
  <c r="AI65" i="19"/>
  <c r="AG65" i="19"/>
  <c r="AC65" i="19"/>
  <c r="AJ65" i="19"/>
  <c r="AH65" i="19"/>
  <c r="J5" i="19"/>
  <c r="AK5" i="19"/>
  <c r="AI5" i="19"/>
  <c r="AG5" i="19"/>
  <c r="AC5" i="19"/>
  <c r="AF5" i="19"/>
  <c r="AJ5" i="19"/>
  <c r="AH5" i="19"/>
  <c r="AF132" i="19"/>
  <c r="AF120" i="19"/>
  <c r="AF108" i="19"/>
  <c r="AF96" i="19"/>
  <c r="AF60" i="19"/>
  <c r="AF48" i="19"/>
  <c r="AF36" i="19"/>
  <c r="AF24" i="19"/>
  <c r="AF12" i="19"/>
  <c r="Z137" i="19"/>
  <c r="Z125" i="19"/>
  <c r="Z113" i="19"/>
  <c r="Z101" i="19"/>
  <c r="Z89" i="19"/>
  <c r="Z77" i="19"/>
  <c r="Z65" i="19"/>
  <c r="Z53" i="19"/>
  <c r="Z17" i="19"/>
  <c r="Z5" i="19"/>
  <c r="AA131" i="19"/>
  <c r="AA119" i="19"/>
  <c r="AA107" i="19"/>
  <c r="AA95" i="19"/>
  <c r="AA83" i="19"/>
  <c r="AA71" i="19"/>
  <c r="AA59" i="19"/>
  <c r="AA47" i="19"/>
  <c r="AA35" i="19"/>
  <c r="AA23" i="19"/>
  <c r="AA11" i="19"/>
  <c r="AB125" i="19"/>
  <c r="AB65" i="19"/>
  <c r="AB18" i="19"/>
  <c r="AC115" i="19"/>
  <c r="AC67" i="19"/>
  <c r="AC19" i="19"/>
  <c r="AD109" i="19"/>
  <c r="AD61" i="19"/>
  <c r="AH127" i="19"/>
  <c r="AH55" i="19"/>
  <c r="AI121" i="19"/>
  <c r="AI49" i="19"/>
  <c r="AJ115" i="19"/>
  <c r="AJ43" i="19"/>
  <c r="AK109" i="19"/>
  <c r="AK37" i="19"/>
  <c r="M101" i="19"/>
  <c r="P101" i="19" s="1"/>
  <c r="AK101" i="19"/>
  <c r="AI101" i="19"/>
  <c r="AG101" i="19"/>
  <c r="AC101" i="19"/>
  <c r="AJ101" i="19"/>
  <c r="AH101" i="19"/>
  <c r="M77" i="19"/>
  <c r="P77" i="19" s="1"/>
  <c r="AK77" i="19"/>
  <c r="AI77" i="19"/>
  <c r="AG77" i="19"/>
  <c r="AC77" i="19"/>
  <c r="AJ77" i="19"/>
  <c r="AH77" i="19"/>
  <c r="J53" i="19"/>
  <c r="AK53" i="19"/>
  <c r="AI53" i="19"/>
  <c r="AG53" i="19"/>
  <c r="AC53" i="19"/>
  <c r="AJ53" i="19"/>
  <c r="AH53" i="19"/>
  <c r="M136" i="19"/>
  <c r="X136" i="19" s="1"/>
  <c r="AK136" i="19"/>
  <c r="AI136" i="19"/>
  <c r="AG136" i="19"/>
  <c r="AC136" i="19"/>
  <c r="AJ136" i="19"/>
  <c r="AH136" i="19"/>
  <c r="AD136" i="19"/>
  <c r="J124" i="19"/>
  <c r="AK124" i="19"/>
  <c r="AI124" i="19"/>
  <c r="AG124" i="19"/>
  <c r="AC124" i="19"/>
  <c r="AJ124" i="19"/>
  <c r="AH124" i="19"/>
  <c r="AD124" i="19"/>
  <c r="J112" i="19"/>
  <c r="AK112" i="19"/>
  <c r="AI112" i="19"/>
  <c r="AG112" i="19"/>
  <c r="AC112" i="19"/>
  <c r="AJ112" i="19"/>
  <c r="AH112" i="19"/>
  <c r="AD112" i="19"/>
  <c r="J100" i="19"/>
  <c r="AK100" i="19"/>
  <c r="AI100" i="19"/>
  <c r="AG100" i="19"/>
  <c r="AC100" i="19"/>
  <c r="AJ100" i="19"/>
  <c r="AH100" i="19"/>
  <c r="AD100" i="19"/>
  <c r="J88" i="19"/>
  <c r="AK88" i="19"/>
  <c r="AI88" i="19"/>
  <c r="AG88" i="19"/>
  <c r="AC88" i="19"/>
  <c r="AJ88" i="19"/>
  <c r="AH88" i="19"/>
  <c r="AD88" i="19"/>
  <c r="J76" i="19"/>
  <c r="AK76" i="19"/>
  <c r="AI76" i="19"/>
  <c r="AG76" i="19"/>
  <c r="AC76" i="19"/>
  <c r="AJ76" i="19"/>
  <c r="AH76" i="19"/>
  <c r="AD76" i="19"/>
  <c r="M64" i="19"/>
  <c r="X64" i="19" s="1"/>
  <c r="AK64" i="19"/>
  <c r="AI64" i="19"/>
  <c r="AG64" i="19"/>
  <c r="AC64" i="19"/>
  <c r="AJ64" i="19"/>
  <c r="AH64" i="19"/>
  <c r="AD64" i="19"/>
  <c r="J52" i="19"/>
  <c r="AK52" i="19"/>
  <c r="AI52" i="19"/>
  <c r="AG52" i="19"/>
  <c r="AC52" i="19"/>
  <c r="AJ52" i="19"/>
  <c r="AH52" i="19"/>
  <c r="AD52" i="19"/>
  <c r="M40" i="19"/>
  <c r="AK40" i="19"/>
  <c r="AI40" i="19"/>
  <c r="AG40" i="19"/>
  <c r="AC40" i="19"/>
  <c r="AJ40" i="19"/>
  <c r="AH40" i="19"/>
  <c r="AD40" i="19"/>
  <c r="AB40" i="19"/>
  <c r="M28" i="19"/>
  <c r="AK28" i="19"/>
  <c r="AI28" i="19"/>
  <c r="AG28" i="19"/>
  <c r="AC28" i="19"/>
  <c r="AJ28" i="19"/>
  <c r="AH28" i="19"/>
  <c r="AD28" i="19"/>
  <c r="AB28" i="19"/>
  <c r="M16" i="19"/>
  <c r="AK16" i="19"/>
  <c r="AI16" i="19"/>
  <c r="AG16" i="19"/>
  <c r="AC16" i="19"/>
  <c r="AJ16" i="19"/>
  <c r="AH16" i="19"/>
  <c r="AD16" i="19"/>
  <c r="AB16" i="19"/>
  <c r="AK4" i="19"/>
  <c r="AI4" i="19"/>
  <c r="AG4" i="19"/>
  <c r="AC4" i="19"/>
  <c r="AJ4" i="19"/>
  <c r="AH4" i="19"/>
  <c r="AD4" i="19"/>
  <c r="AB4" i="19"/>
  <c r="AF131" i="19"/>
  <c r="AF119" i="19"/>
  <c r="AF107" i="19"/>
  <c r="AF95" i="19"/>
  <c r="AF83" i="19"/>
  <c r="AF71" i="19"/>
  <c r="AF59" i="19"/>
  <c r="AF47" i="19"/>
  <c r="AF35" i="19"/>
  <c r="AF23" i="19"/>
  <c r="AF11" i="19"/>
  <c r="Z136" i="19"/>
  <c r="Z124" i="19"/>
  <c r="Z112" i="19"/>
  <c r="Z100" i="19"/>
  <c r="Z88" i="19"/>
  <c r="Z76" i="19"/>
  <c r="Z64" i="19"/>
  <c r="Z52" i="19"/>
  <c r="Z40" i="19"/>
  <c r="Z28" i="19"/>
  <c r="Z16" i="19"/>
  <c r="Z4" i="19"/>
  <c r="AA130" i="19"/>
  <c r="AA118" i="19"/>
  <c r="AA106" i="19"/>
  <c r="AA94" i="19"/>
  <c r="AA82" i="19"/>
  <c r="AA70" i="19"/>
  <c r="AA58" i="19"/>
  <c r="AA46" i="19"/>
  <c r="AA34" i="19"/>
  <c r="AA22" i="19"/>
  <c r="AA10" i="19"/>
  <c r="AB136" i="19"/>
  <c r="AB124" i="19"/>
  <c r="AB112" i="19"/>
  <c r="AB100" i="19"/>
  <c r="AB88" i="19"/>
  <c r="AB76" i="19"/>
  <c r="AB64" i="19"/>
  <c r="AB52" i="19"/>
  <c r="AC108" i="19"/>
  <c r="AC60" i="19"/>
  <c r="AD102" i="19"/>
  <c r="AD54" i="19"/>
  <c r="AH126" i="19"/>
  <c r="AH54" i="19"/>
  <c r="AI120" i="19"/>
  <c r="AI48" i="19"/>
  <c r="AJ114" i="19"/>
  <c r="AJ42" i="19"/>
  <c r="AK108" i="19"/>
  <c r="AK36" i="19"/>
  <c r="J113" i="19"/>
  <c r="AK113" i="19"/>
  <c r="AI113" i="19"/>
  <c r="AG113" i="19"/>
  <c r="AC113" i="19"/>
  <c r="AJ113" i="19"/>
  <c r="AH113" i="19"/>
  <c r="M89" i="19"/>
  <c r="P89" i="19" s="1"/>
  <c r="AK89" i="19"/>
  <c r="AI89" i="19"/>
  <c r="AG89" i="19"/>
  <c r="AC89" i="19"/>
  <c r="AJ89" i="19"/>
  <c r="AH89" i="19"/>
  <c r="M41" i="19"/>
  <c r="AK41" i="19"/>
  <c r="AI41" i="19"/>
  <c r="AG41" i="19"/>
  <c r="AC41" i="19"/>
  <c r="AJ41" i="19"/>
  <c r="AH41" i="19"/>
  <c r="E113" i="19"/>
  <c r="M135" i="19"/>
  <c r="AK135" i="19"/>
  <c r="AI135" i="19"/>
  <c r="AG135" i="19"/>
  <c r="AC135" i="19"/>
  <c r="AJ135" i="19"/>
  <c r="AH135" i="19"/>
  <c r="AD135" i="19"/>
  <c r="M123" i="19"/>
  <c r="P123" i="19" s="1"/>
  <c r="AK123" i="19"/>
  <c r="AI123" i="19"/>
  <c r="AG123" i="19"/>
  <c r="AC123" i="19"/>
  <c r="AJ123" i="19"/>
  <c r="AH123" i="19"/>
  <c r="AD123" i="19"/>
  <c r="K111" i="19"/>
  <c r="AK111" i="19"/>
  <c r="AI111" i="19"/>
  <c r="AG111" i="19"/>
  <c r="AC111" i="19"/>
  <c r="AJ111" i="19"/>
  <c r="AH111" i="19"/>
  <c r="AD111" i="19"/>
  <c r="K99" i="19"/>
  <c r="AK99" i="19"/>
  <c r="AI99" i="19"/>
  <c r="AG99" i="19"/>
  <c r="AC99" i="19"/>
  <c r="AJ99" i="19"/>
  <c r="AH99" i="19"/>
  <c r="AD99" i="19"/>
  <c r="M87" i="19"/>
  <c r="AK87" i="19"/>
  <c r="AI87" i="19"/>
  <c r="AG87" i="19"/>
  <c r="AC87" i="19"/>
  <c r="AJ87" i="19"/>
  <c r="AH87" i="19"/>
  <c r="AD87" i="19"/>
  <c r="K75" i="19"/>
  <c r="AK75" i="19"/>
  <c r="AI75" i="19"/>
  <c r="AG75" i="19"/>
  <c r="AC75" i="19"/>
  <c r="AJ75" i="19"/>
  <c r="AH75" i="19"/>
  <c r="AD75" i="19"/>
  <c r="K63" i="19"/>
  <c r="AK63" i="19"/>
  <c r="AI63" i="19"/>
  <c r="AG63" i="19"/>
  <c r="AC63" i="19"/>
  <c r="AJ63" i="19"/>
  <c r="AH63" i="19"/>
  <c r="AD63" i="19"/>
  <c r="K51" i="19"/>
  <c r="AK51" i="19"/>
  <c r="AI51" i="19"/>
  <c r="AG51" i="19"/>
  <c r="AC51" i="19"/>
  <c r="AJ51" i="19"/>
  <c r="AH51" i="19"/>
  <c r="AD51" i="19"/>
  <c r="M39" i="19"/>
  <c r="AK39" i="19"/>
  <c r="AI39" i="19"/>
  <c r="AG39" i="19"/>
  <c r="AC39" i="19"/>
  <c r="AJ39" i="19"/>
  <c r="AH39" i="19"/>
  <c r="AD39" i="19"/>
  <c r="M27" i="19"/>
  <c r="P27" i="19" s="1"/>
  <c r="AK27" i="19"/>
  <c r="AI27" i="19"/>
  <c r="AG27" i="19"/>
  <c r="AC27" i="19"/>
  <c r="AJ27" i="19"/>
  <c r="AH27" i="19"/>
  <c r="AD27" i="19"/>
  <c r="K15" i="19"/>
  <c r="AK15" i="19"/>
  <c r="AI15" i="19"/>
  <c r="AG15" i="19"/>
  <c r="AC15" i="19"/>
  <c r="AJ15" i="19"/>
  <c r="AH15" i="19"/>
  <c r="AD15" i="19"/>
  <c r="K3" i="19"/>
  <c r="AK3" i="19"/>
  <c r="AI3" i="19"/>
  <c r="AG3" i="19"/>
  <c r="AC3" i="19"/>
  <c r="AJ3" i="19"/>
  <c r="AH3" i="19"/>
  <c r="AD3" i="19"/>
  <c r="AB3" i="19"/>
  <c r="AF118" i="19"/>
  <c r="AF94" i="19"/>
  <c r="AF70" i="19"/>
  <c r="AF46" i="19"/>
  <c r="AF22" i="19"/>
  <c r="Z135" i="19"/>
  <c r="Z123" i="19"/>
  <c r="Z111" i="19"/>
  <c r="Z99" i="19"/>
  <c r="Z87" i="19"/>
  <c r="Z75" i="19"/>
  <c r="Z63" i="19"/>
  <c r="Z51" i="19"/>
  <c r="Z39" i="19"/>
  <c r="Z27" i="19"/>
  <c r="Z15" i="19"/>
  <c r="Z3" i="19"/>
  <c r="AA129" i="19"/>
  <c r="AA117" i="19"/>
  <c r="AA105" i="19"/>
  <c r="AA93" i="19"/>
  <c r="AA81" i="19"/>
  <c r="AA69" i="19"/>
  <c r="AA57" i="19"/>
  <c r="AA45" i="19"/>
  <c r="AA33" i="19"/>
  <c r="AA21" i="19"/>
  <c r="AA9" i="19"/>
  <c r="AB135" i="19"/>
  <c r="AB123" i="19"/>
  <c r="AB111" i="19"/>
  <c r="AB99" i="19"/>
  <c r="AB87" i="19"/>
  <c r="AB75" i="19"/>
  <c r="AB63" i="19"/>
  <c r="AB51" i="19"/>
  <c r="AB15" i="19"/>
  <c r="AC107" i="19"/>
  <c r="AC59" i="19"/>
  <c r="AC11" i="19"/>
  <c r="AD101" i="19"/>
  <c r="AD53" i="19"/>
  <c r="AG49" i="19"/>
  <c r="AH115" i="19"/>
  <c r="AH43" i="19"/>
  <c r="AJ103" i="19"/>
  <c r="AJ31" i="19"/>
  <c r="AK97" i="19"/>
  <c r="M130" i="19"/>
  <c r="AJ130" i="19"/>
  <c r="AH130" i="19"/>
  <c r="AD130" i="19"/>
  <c r="AK130" i="19"/>
  <c r="AI130" i="19"/>
  <c r="AG130" i="19"/>
  <c r="AC130" i="19"/>
  <c r="M106" i="19"/>
  <c r="X106" i="19" s="1"/>
  <c r="AJ106" i="19"/>
  <c r="AH106" i="19"/>
  <c r="AD106" i="19"/>
  <c r="AK106" i="19"/>
  <c r="AI106" i="19"/>
  <c r="AG106" i="19"/>
  <c r="AC106" i="19"/>
  <c r="M82" i="19"/>
  <c r="AJ82" i="19"/>
  <c r="AH82" i="19"/>
  <c r="AD82" i="19"/>
  <c r="AK82" i="19"/>
  <c r="AI82" i="19"/>
  <c r="AG82" i="19"/>
  <c r="AC82" i="19"/>
  <c r="M58" i="19"/>
  <c r="AJ58" i="19"/>
  <c r="AH58" i="19"/>
  <c r="AD58" i="19"/>
  <c r="AK58" i="19"/>
  <c r="AI58" i="19"/>
  <c r="AG58" i="19"/>
  <c r="AC58" i="19"/>
  <c r="M34" i="19"/>
  <c r="AJ34" i="19"/>
  <c r="AH34" i="19"/>
  <c r="AD34" i="19"/>
  <c r="AB34" i="19"/>
  <c r="AK34" i="19"/>
  <c r="AI34" i="19"/>
  <c r="AG34" i="19"/>
  <c r="AC34" i="19"/>
  <c r="M10" i="19"/>
  <c r="AJ10" i="19"/>
  <c r="AH10" i="19"/>
  <c r="AD10" i="19"/>
  <c r="AB10" i="19"/>
  <c r="AK10" i="19"/>
  <c r="AI10" i="19"/>
  <c r="AG10" i="19"/>
  <c r="AC10" i="19"/>
  <c r="J29" i="19"/>
  <c r="AK29" i="19"/>
  <c r="AI29" i="19"/>
  <c r="AG29" i="19"/>
  <c r="AC29" i="19"/>
  <c r="AJ29" i="19"/>
  <c r="AH29" i="19"/>
  <c r="E65" i="19"/>
  <c r="M134" i="19"/>
  <c r="AC134" i="19"/>
  <c r="AJ134" i="19"/>
  <c r="AH134" i="19"/>
  <c r="AD134" i="19"/>
  <c r="AK134" i="19"/>
  <c r="AI134" i="19"/>
  <c r="AG134" i="19"/>
  <c r="M122" i="19"/>
  <c r="AC122" i="19"/>
  <c r="AJ122" i="19"/>
  <c r="AH122" i="19"/>
  <c r="AD122" i="19"/>
  <c r="AK122" i="19"/>
  <c r="AI122" i="19"/>
  <c r="AG122" i="19"/>
  <c r="K110" i="19"/>
  <c r="AC110" i="19"/>
  <c r="AJ110" i="19"/>
  <c r="AH110" i="19"/>
  <c r="AD110" i="19"/>
  <c r="AK110" i="19"/>
  <c r="AI110" i="19"/>
  <c r="AG110" i="19"/>
  <c r="K98" i="19"/>
  <c r="AC98" i="19"/>
  <c r="AJ98" i="19"/>
  <c r="AH98" i="19"/>
  <c r="AD98" i="19"/>
  <c r="AK98" i="19"/>
  <c r="AI98" i="19"/>
  <c r="AG98" i="19"/>
  <c r="M86" i="19"/>
  <c r="AC86" i="19"/>
  <c r="AJ86" i="19"/>
  <c r="AH86" i="19"/>
  <c r="AD86" i="19"/>
  <c r="AK86" i="19"/>
  <c r="AI86" i="19"/>
  <c r="AG86" i="19"/>
  <c r="K74" i="19"/>
  <c r="AC74" i="19"/>
  <c r="AJ74" i="19"/>
  <c r="AH74" i="19"/>
  <c r="AD74" i="19"/>
  <c r="AK74" i="19"/>
  <c r="AI74" i="19"/>
  <c r="AG74" i="19"/>
  <c r="K62" i="19"/>
  <c r="AC62" i="19"/>
  <c r="AJ62" i="19"/>
  <c r="AH62" i="19"/>
  <c r="AD62" i="19"/>
  <c r="AK62" i="19"/>
  <c r="AI62" i="19"/>
  <c r="AG62" i="19"/>
  <c r="M50" i="19"/>
  <c r="AC50" i="19"/>
  <c r="AJ50" i="19"/>
  <c r="AH50" i="19"/>
  <c r="AD50" i="19"/>
  <c r="AB50" i="19"/>
  <c r="AK50" i="19"/>
  <c r="AI50" i="19"/>
  <c r="AG50" i="19"/>
  <c r="M38" i="19"/>
  <c r="AC38" i="19"/>
  <c r="AJ38" i="19"/>
  <c r="AH38" i="19"/>
  <c r="AD38" i="19"/>
  <c r="AB38" i="19"/>
  <c r="AK38" i="19"/>
  <c r="AI38" i="19"/>
  <c r="AG38" i="19"/>
  <c r="M26" i="19"/>
  <c r="X26" i="19" s="1"/>
  <c r="AC26" i="19"/>
  <c r="AJ26" i="19"/>
  <c r="AH26" i="19"/>
  <c r="AD26" i="19"/>
  <c r="AB26" i="19"/>
  <c r="AK26" i="19"/>
  <c r="AI26" i="19"/>
  <c r="AG26" i="19"/>
  <c r="K14" i="19"/>
  <c r="AC14" i="19"/>
  <c r="AJ14" i="19"/>
  <c r="AH14" i="19"/>
  <c r="AD14" i="19"/>
  <c r="AB14" i="19"/>
  <c r="AK14" i="19"/>
  <c r="AI14" i="19"/>
  <c r="AG14" i="19"/>
  <c r="AF129" i="19"/>
  <c r="AF117" i="19"/>
  <c r="AF105" i="19"/>
  <c r="AF93" i="19"/>
  <c r="AF81" i="19"/>
  <c r="AF69" i="19"/>
  <c r="AF57" i="19"/>
  <c r="AF45" i="19"/>
  <c r="AF33" i="19"/>
  <c r="AF21" i="19"/>
  <c r="AF9" i="19"/>
  <c r="Z134" i="19"/>
  <c r="Z122" i="19"/>
  <c r="Z110" i="19"/>
  <c r="Z98" i="19"/>
  <c r="Z86" i="19"/>
  <c r="Z74" i="19"/>
  <c r="Z62" i="19"/>
  <c r="Z50" i="19"/>
  <c r="Z38" i="19"/>
  <c r="Z26" i="19"/>
  <c r="Z14" i="19"/>
  <c r="AA140" i="19"/>
  <c r="AA128" i="19"/>
  <c r="AA116" i="19"/>
  <c r="AA104" i="19"/>
  <c r="AA92" i="19"/>
  <c r="AA80" i="19"/>
  <c r="AA68" i="19"/>
  <c r="AA56" i="19"/>
  <c r="AA44" i="19"/>
  <c r="AA32" i="19"/>
  <c r="AA20" i="19"/>
  <c r="AA8" i="19"/>
  <c r="AB134" i="19"/>
  <c r="AB122" i="19"/>
  <c r="AB110" i="19"/>
  <c r="AB98" i="19"/>
  <c r="AB86" i="19"/>
  <c r="AB74" i="19"/>
  <c r="AB62" i="19"/>
  <c r="AB49" i="19"/>
  <c r="AC103" i="19"/>
  <c r="AC55" i="19"/>
  <c r="AC7" i="19"/>
  <c r="AG48" i="19"/>
  <c r="AH114" i="19"/>
  <c r="AH42" i="19"/>
  <c r="AJ102" i="19"/>
  <c r="AJ30" i="19"/>
  <c r="AK96" i="19"/>
  <c r="J137" i="19"/>
  <c r="AK137" i="19"/>
  <c r="AI137" i="19"/>
  <c r="AG137" i="19"/>
  <c r="AC137" i="19"/>
  <c r="AJ137" i="19"/>
  <c r="AH137" i="19"/>
  <c r="J17" i="19"/>
  <c r="AK17" i="19"/>
  <c r="AI17" i="19"/>
  <c r="AG17" i="19"/>
  <c r="AC17" i="19"/>
  <c r="AJ17" i="19"/>
  <c r="AH17" i="19"/>
  <c r="E53" i="19"/>
  <c r="M133" i="19"/>
  <c r="X133" i="19" s="1"/>
  <c r="AJ133" i="19"/>
  <c r="AH133" i="19"/>
  <c r="AC133" i="19"/>
  <c r="K121" i="19"/>
  <c r="AJ121" i="19"/>
  <c r="AH121" i="19"/>
  <c r="AC121" i="19"/>
  <c r="M109" i="19"/>
  <c r="X109" i="19" s="1"/>
  <c r="AJ109" i="19"/>
  <c r="AH109" i="19"/>
  <c r="AC109" i="19"/>
  <c r="M97" i="19"/>
  <c r="AJ97" i="19"/>
  <c r="AH97" i="19"/>
  <c r="AC97" i="19"/>
  <c r="K85" i="19"/>
  <c r="AJ85" i="19"/>
  <c r="AH85" i="19"/>
  <c r="AC85" i="19"/>
  <c r="K73" i="19"/>
  <c r="AJ73" i="19"/>
  <c r="AH73" i="19"/>
  <c r="AC73" i="19"/>
  <c r="K61" i="19"/>
  <c r="AJ61" i="19"/>
  <c r="AH61" i="19"/>
  <c r="AC61" i="19"/>
  <c r="K49" i="19"/>
  <c r="AJ49" i="19"/>
  <c r="AH49" i="19"/>
  <c r="AC49" i="19"/>
  <c r="M37" i="19"/>
  <c r="AJ37" i="19"/>
  <c r="AH37" i="19"/>
  <c r="AD37" i="19"/>
  <c r="AC37" i="19"/>
  <c r="K25" i="19"/>
  <c r="AJ25" i="19"/>
  <c r="AH25" i="19"/>
  <c r="AD25" i="19"/>
  <c r="AC25" i="19"/>
  <c r="M13" i="19"/>
  <c r="AJ13" i="19"/>
  <c r="AH13" i="19"/>
  <c r="AD13" i="19"/>
  <c r="AC13" i="19"/>
  <c r="AF140" i="19"/>
  <c r="AF128" i="19"/>
  <c r="AF116" i="19"/>
  <c r="AF104" i="19"/>
  <c r="AF92" i="19"/>
  <c r="AF80" i="19"/>
  <c r="AF68" i="19"/>
  <c r="AF56" i="19"/>
  <c r="AF44" i="19"/>
  <c r="AF32" i="19"/>
  <c r="AF20" i="19"/>
  <c r="AF8" i="19"/>
  <c r="Z133" i="19"/>
  <c r="Z121" i="19"/>
  <c r="Z109" i="19"/>
  <c r="Z97" i="19"/>
  <c r="Z85" i="19"/>
  <c r="Z73" i="19"/>
  <c r="Z61" i="19"/>
  <c r="Z49" i="19"/>
  <c r="Z37" i="19"/>
  <c r="Z25" i="19"/>
  <c r="Z13" i="19"/>
  <c r="AA139" i="19"/>
  <c r="AA127" i="19"/>
  <c r="AA115" i="19"/>
  <c r="AA103" i="19"/>
  <c r="AA91" i="19"/>
  <c r="AA79" i="19"/>
  <c r="AA67" i="19"/>
  <c r="AA55" i="19"/>
  <c r="AA43" i="19"/>
  <c r="AA31" i="19"/>
  <c r="AA19" i="19"/>
  <c r="AA7" i="19"/>
  <c r="AB133" i="19"/>
  <c r="AB121" i="19"/>
  <c r="AB109" i="19"/>
  <c r="AB97" i="19"/>
  <c r="AB85" i="19"/>
  <c r="AB73" i="19"/>
  <c r="AB61" i="19"/>
  <c r="AB42" i="19"/>
  <c r="AB6" i="19"/>
  <c r="AD138" i="19"/>
  <c r="AD90" i="19"/>
  <c r="AD42" i="19"/>
  <c r="AG109" i="19"/>
  <c r="AG37" i="19"/>
  <c r="AH103" i="19"/>
  <c r="AH31" i="19"/>
  <c r="AI97" i="19"/>
  <c r="AI25" i="19"/>
  <c r="AJ91" i="19"/>
  <c r="AJ19" i="19"/>
  <c r="AK85" i="19"/>
  <c r="AK13" i="19"/>
  <c r="M132" i="19"/>
  <c r="AJ132" i="19"/>
  <c r="AH132" i="19"/>
  <c r="AD132" i="19"/>
  <c r="M120" i="19"/>
  <c r="AJ120" i="19"/>
  <c r="AH120" i="19"/>
  <c r="AD120" i="19"/>
  <c r="K108" i="19"/>
  <c r="AJ108" i="19"/>
  <c r="AH108" i="19"/>
  <c r="AD108" i="19"/>
  <c r="M96" i="19"/>
  <c r="AJ96" i="19"/>
  <c r="AH96" i="19"/>
  <c r="AD96" i="19"/>
  <c r="M84" i="19"/>
  <c r="AJ84" i="19"/>
  <c r="AH84" i="19"/>
  <c r="AD84" i="19"/>
  <c r="K72" i="19"/>
  <c r="AJ72" i="19"/>
  <c r="AH72" i="19"/>
  <c r="AD72" i="19"/>
  <c r="K60" i="19"/>
  <c r="AJ60" i="19"/>
  <c r="AH60" i="19"/>
  <c r="AD60" i="19"/>
  <c r="K48" i="19"/>
  <c r="AJ48" i="19"/>
  <c r="AH48" i="19"/>
  <c r="AD48" i="19"/>
  <c r="AB48" i="19"/>
  <c r="M36" i="19"/>
  <c r="X36" i="19" s="1"/>
  <c r="AJ36" i="19"/>
  <c r="AH36" i="19"/>
  <c r="AD36" i="19"/>
  <c r="AB36" i="19"/>
  <c r="K24" i="19"/>
  <c r="AJ24" i="19"/>
  <c r="AH24" i="19"/>
  <c r="AD24" i="19"/>
  <c r="AB24" i="19"/>
  <c r="K12" i="19"/>
  <c r="AJ12" i="19"/>
  <c r="AH12" i="19"/>
  <c r="AD12" i="19"/>
  <c r="AB12" i="19"/>
  <c r="AF139" i="19"/>
  <c r="AF127" i="19"/>
  <c r="AF115" i="19"/>
  <c r="AF103" i="19"/>
  <c r="AF91" i="19"/>
  <c r="AF79" i="19"/>
  <c r="AF67" i="19"/>
  <c r="AF55" i="19"/>
  <c r="AF43" i="19"/>
  <c r="AF31" i="19"/>
  <c r="AF19" i="19"/>
  <c r="AF7" i="19"/>
  <c r="Z132" i="19"/>
  <c r="Z120" i="19"/>
  <c r="Z108" i="19"/>
  <c r="Z96" i="19"/>
  <c r="Z84" i="19"/>
  <c r="Z72" i="19"/>
  <c r="Z60" i="19"/>
  <c r="Z48" i="19"/>
  <c r="Z36" i="19"/>
  <c r="Z24" i="19"/>
  <c r="Z12" i="19"/>
  <c r="AA138" i="19"/>
  <c r="AA126" i="19"/>
  <c r="AA114" i="19"/>
  <c r="AA102" i="19"/>
  <c r="AA90" i="19"/>
  <c r="AA78" i="19"/>
  <c r="AA66" i="19"/>
  <c r="AA54" i="19"/>
  <c r="AA42" i="19"/>
  <c r="AA30" i="19"/>
  <c r="AA18" i="19"/>
  <c r="AA6" i="19"/>
  <c r="AB132" i="19"/>
  <c r="AB120" i="19"/>
  <c r="AB108" i="19"/>
  <c r="AB96" i="19"/>
  <c r="AB84" i="19"/>
  <c r="AB72" i="19"/>
  <c r="AB60" i="19"/>
  <c r="AB41" i="19"/>
  <c r="AB5" i="19"/>
  <c r="AC95" i="19"/>
  <c r="AC47" i="19"/>
  <c r="AD137" i="19"/>
  <c r="AD89" i="19"/>
  <c r="AD41" i="19"/>
  <c r="AG108" i="19"/>
  <c r="AG36" i="19"/>
  <c r="AH102" i="19"/>
  <c r="AH30" i="19"/>
  <c r="AI96" i="19"/>
  <c r="AI24" i="19"/>
  <c r="AJ90" i="19"/>
  <c r="AJ18" i="19"/>
  <c r="AK84" i="19"/>
  <c r="AK12" i="19"/>
  <c r="AG2" i="19"/>
  <c r="AH2" i="19"/>
  <c r="AJ2" i="19"/>
  <c r="AI2" i="19"/>
  <c r="AK2" i="19"/>
  <c r="AC2" i="19"/>
  <c r="Z2" i="19"/>
  <c r="AB2" i="19"/>
  <c r="AD2" i="19"/>
  <c r="AA2" i="19"/>
  <c r="AF2" i="19"/>
  <c r="G77" i="19"/>
  <c r="H77" i="19" s="1"/>
  <c r="G123" i="19"/>
  <c r="H123" i="19" s="1"/>
  <c r="G102" i="19"/>
  <c r="H102" i="19" s="1"/>
  <c r="G42" i="19"/>
  <c r="H42" i="19" s="1"/>
  <c r="E90" i="19"/>
  <c r="N22" i="19"/>
  <c r="G109" i="19"/>
  <c r="H109" i="19" s="1"/>
  <c r="G84" i="19"/>
  <c r="H84" i="19" s="1"/>
  <c r="G28" i="19"/>
  <c r="H28" i="19" s="1"/>
  <c r="G126" i="19"/>
  <c r="H126" i="19" s="1"/>
  <c r="G78" i="19"/>
  <c r="H78" i="19" s="1"/>
  <c r="E66" i="19"/>
  <c r="L27" i="19"/>
  <c r="S27" i="19" s="1"/>
  <c r="E18" i="19"/>
  <c r="E137" i="19"/>
  <c r="N10" i="19"/>
  <c r="N94" i="19"/>
  <c r="N82" i="19"/>
  <c r="N70" i="19"/>
  <c r="G89" i="19"/>
  <c r="H89" i="19" s="1"/>
  <c r="G37" i="19"/>
  <c r="H37" i="19" s="1"/>
  <c r="G87" i="19"/>
  <c r="H87" i="19" s="1"/>
  <c r="G54" i="19"/>
  <c r="H54" i="19" s="1"/>
  <c r="G36" i="19"/>
  <c r="H36" i="19" s="1"/>
  <c r="L136" i="19"/>
  <c r="S136" i="19" s="1"/>
  <c r="E125" i="19"/>
  <c r="L117" i="19"/>
  <c r="S117" i="19" s="1"/>
  <c r="L47" i="19"/>
  <c r="S47" i="19" s="1"/>
  <c r="L135" i="19"/>
  <c r="S135" i="19" s="1"/>
  <c r="L39" i="19"/>
  <c r="S39" i="19" s="1"/>
  <c r="L57" i="19"/>
  <c r="S57" i="19" s="1"/>
  <c r="L9" i="19"/>
  <c r="S9" i="19" s="1"/>
  <c r="L81" i="19"/>
  <c r="S81" i="19" s="1"/>
  <c r="L87" i="19"/>
  <c r="S87" i="19" s="1"/>
  <c r="L140" i="19"/>
  <c r="S140" i="19" s="1"/>
  <c r="L102" i="19"/>
  <c r="S102" i="19" s="1"/>
  <c r="K139" i="19"/>
  <c r="L138" i="19"/>
  <c r="S138" i="19" s="1"/>
  <c r="L41" i="19"/>
  <c r="S41" i="19" s="1"/>
  <c r="L67" i="19"/>
  <c r="S67" i="19" s="1"/>
  <c r="L93" i="19"/>
  <c r="S93" i="19" s="1"/>
  <c r="M113" i="19"/>
  <c r="L133" i="19"/>
  <c r="S133" i="19" s="1"/>
  <c r="L116" i="19"/>
  <c r="S116" i="19" s="1"/>
  <c r="M125" i="19"/>
  <c r="L28" i="19"/>
  <c r="S28" i="19" s="1"/>
  <c r="L134" i="19"/>
  <c r="S134" i="19" s="1"/>
  <c r="L94" i="19"/>
  <c r="S94" i="19" s="1"/>
  <c r="L71" i="19"/>
  <c r="S71" i="19" s="1"/>
  <c r="L42" i="19"/>
  <c r="S42" i="19" s="1"/>
  <c r="L22" i="19"/>
  <c r="S22" i="19" s="1"/>
  <c r="J96" i="19"/>
  <c r="J72" i="19"/>
  <c r="L92" i="19"/>
  <c r="S92" i="19" s="1"/>
  <c r="D14" i="19"/>
  <c r="I14" i="19" s="1"/>
  <c r="J24" i="19"/>
  <c r="K7" i="19"/>
  <c r="L131" i="19"/>
  <c r="S131" i="19" s="1"/>
  <c r="L114" i="19"/>
  <c r="S114" i="19" s="1"/>
  <c r="L89" i="19"/>
  <c r="S89" i="19" s="1"/>
  <c r="D62" i="19"/>
  <c r="I62" i="19" s="1"/>
  <c r="L13" i="19"/>
  <c r="S13" i="19" s="1"/>
  <c r="K31" i="19"/>
  <c r="L130" i="19"/>
  <c r="S130" i="19" s="1"/>
  <c r="D110" i="19"/>
  <c r="I110" i="19" s="1"/>
  <c r="L38" i="19"/>
  <c r="S38" i="19" s="1"/>
  <c r="L10" i="19"/>
  <c r="S10" i="19" s="1"/>
  <c r="B101" i="19"/>
  <c r="M65" i="19"/>
  <c r="L64" i="19"/>
  <c r="S64" i="19" s="1"/>
  <c r="K79" i="19"/>
  <c r="L128" i="19"/>
  <c r="S128" i="19" s="1"/>
  <c r="L109" i="19"/>
  <c r="S109" i="19" s="1"/>
  <c r="L86" i="19"/>
  <c r="S86" i="19" s="1"/>
  <c r="L37" i="19"/>
  <c r="S37" i="19" s="1"/>
  <c r="B4" i="19"/>
  <c r="M53" i="19"/>
  <c r="J60" i="19"/>
  <c r="L40" i="19"/>
  <c r="S40" i="19" s="1"/>
  <c r="L16" i="19"/>
  <c r="S16" i="19" s="1"/>
  <c r="L127" i="19"/>
  <c r="S127" i="19" s="1"/>
  <c r="L107" i="19"/>
  <c r="S107" i="19" s="1"/>
  <c r="L84" i="19"/>
  <c r="S84" i="19" s="1"/>
  <c r="L54" i="19"/>
  <c r="S54" i="19" s="1"/>
  <c r="L36" i="19"/>
  <c r="S36" i="19" s="1"/>
  <c r="D2" i="19"/>
  <c r="I2" i="19" s="1"/>
  <c r="L126" i="19"/>
  <c r="S126" i="19" s="1"/>
  <c r="L106" i="19"/>
  <c r="S106" i="19" s="1"/>
  <c r="L83" i="19"/>
  <c r="S83" i="19" s="1"/>
  <c r="L50" i="19"/>
  <c r="S50" i="19" s="1"/>
  <c r="L34" i="19"/>
  <c r="S34" i="19" s="1"/>
  <c r="G41" i="19"/>
  <c r="H41" i="19" s="1"/>
  <c r="M29" i="19"/>
  <c r="J108" i="19"/>
  <c r="J12" i="19"/>
  <c r="G16" i="19"/>
  <c r="H16" i="19" s="1"/>
  <c r="M17" i="19"/>
  <c r="L122" i="19"/>
  <c r="S122" i="19" s="1"/>
  <c r="L78" i="19"/>
  <c r="S78" i="19" s="1"/>
  <c r="L46" i="19"/>
  <c r="S46" i="19" s="1"/>
  <c r="M5" i="19"/>
  <c r="K91" i="19"/>
  <c r="K19" i="19"/>
  <c r="L101" i="19"/>
  <c r="S101" i="19" s="1"/>
  <c r="L77" i="19"/>
  <c r="S77" i="19" s="1"/>
  <c r="L44" i="19"/>
  <c r="S44" i="19" s="1"/>
  <c r="L26" i="19"/>
  <c r="S26" i="19" s="1"/>
  <c r="N93" i="19"/>
  <c r="M137" i="19"/>
  <c r="L123" i="19"/>
  <c r="S123" i="19" s="1"/>
  <c r="J48" i="19"/>
  <c r="L119" i="19"/>
  <c r="S119" i="19" s="1"/>
  <c r="D98" i="19"/>
  <c r="I98" i="19" s="1"/>
  <c r="D74" i="19"/>
  <c r="I74" i="19" s="1"/>
  <c r="L23" i="19"/>
  <c r="S23" i="19" s="1"/>
  <c r="L103" i="19"/>
  <c r="S103" i="19" s="1"/>
  <c r="L120" i="19"/>
  <c r="S120" i="19" s="1"/>
  <c r="L43" i="19"/>
  <c r="S43" i="19" s="1"/>
  <c r="G133" i="19"/>
  <c r="H133" i="19" s="1"/>
  <c r="M129" i="19"/>
  <c r="D129" i="19"/>
  <c r="I129" i="19" s="1"/>
  <c r="J129" i="19"/>
  <c r="K129" i="19"/>
  <c r="M105" i="19"/>
  <c r="D105" i="19"/>
  <c r="I105" i="19" s="1"/>
  <c r="J105" i="19"/>
  <c r="N105" i="19"/>
  <c r="K105" i="19"/>
  <c r="M69" i="19"/>
  <c r="D69" i="19"/>
  <c r="I69" i="19" s="1"/>
  <c r="J69" i="19"/>
  <c r="N69" i="19"/>
  <c r="K69" i="19"/>
  <c r="M45" i="19"/>
  <c r="D45" i="19"/>
  <c r="I45" i="19" s="1"/>
  <c r="J45" i="19"/>
  <c r="K45" i="19"/>
  <c r="M33" i="19"/>
  <c r="D33" i="19"/>
  <c r="I33" i="19" s="1"/>
  <c r="J33" i="19"/>
  <c r="N33" i="19"/>
  <c r="K33" i="19"/>
  <c r="M21" i="19"/>
  <c r="D21" i="19"/>
  <c r="I21" i="19" s="1"/>
  <c r="J21" i="19"/>
  <c r="N21" i="19"/>
  <c r="K21" i="19"/>
  <c r="G131" i="19"/>
  <c r="H131" i="19" s="1"/>
  <c r="G114" i="19"/>
  <c r="H114" i="19" s="1"/>
  <c r="G86" i="19"/>
  <c r="H86" i="19" s="1"/>
  <c r="G50" i="19"/>
  <c r="H50" i="19" s="1"/>
  <c r="G34" i="19"/>
  <c r="H34" i="19" s="1"/>
  <c r="L132" i="19"/>
  <c r="S132" i="19" s="1"/>
  <c r="L115" i="19"/>
  <c r="S115" i="19" s="1"/>
  <c r="G116" i="19"/>
  <c r="H116" i="19" s="1"/>
  <c r="L55" i="19"/>
  <c r="S55" i="19" s="1"/>
  <c r="B9" i="19"/>
  <c r="M104" i="19"/>
  <c r="M80" i="19"/>
  <c r="M68" i="19"/>
  <c r="M56" i="19"/>
  <c r="M32" i="19"/>
  <c r="M20" i="19"/>
  <c r="M8" i="19"/>
  <c r="J111" i="19"/>
  <c r="J99" i="19"/>
  <c r="J75" i="19"/>
  <c r="J63" i="19"/>
  <c r="J51" i="19"/>
  <c r="J15" i="19"/>
  <c r="J3" i="19"/>
  <c r="K118" i="19"/>
  <c r="K82" i="19"/>
  <c r="K70" i="19"/>
  <c r="K58" i="19"/>
  <c r="G132" i="19"/>
  <c r="H132" i="19" s="1"/>
  <c r="G119" i="19"/>
  <c r="H119" i="19" s="1"/>
  <c r="G107" i="19"/>
  <c r="H107" i="19" s="1"/>
  <c r="G83" i="19"/>
  <c r="H83" i="19" s="1"/>
  <c r="G71" i="19"/>
  <c r="H71" i="19" s="1"/>
  <c r="G47" i="19"/>
  <c r="H47" i="19" s="1"/>
  <c r="G23" i="19"/>
  <c r="H23" i="19" s="1"/>
  <c r="D137" i="19"/>
  <c r="I137" i="19" s="1"/>
  <c r="D125" i="19"/>
  <c r="I125" i="19" s="1"/>
  <c r="D113" i="19"/>
  <c r="I113" i="19" s="1"/>
  <c r="D65" i="19"/>
  <c r="I65" i="19" s="1"/>
  <c r="D53" i="19"/>
  <c r="I53" i="19" s="1"/>
  <c r="D29" i="19"/>
  <c r="I29" i="19" s="1"/>
  <c r="D17" i="19"/>
  <c r="I17" i="19" s="1"/>
  <c r="D5" i="19"/>
  <c r="I5" i="19" s="1"/>
  <c r="M139" i="19"/>
  <c r="M91" i="19"/>
  <c r="M79" i="19"/>
  <c r="M31" i="19"/>
  <c r="M19" i="19"/>
  <c r="M7" i="19"/>
  <c r="J110" i="19"/>
  <c r="J98" i="19"/>
  <c r="J74" i="19"/>
  <c r="J62" i="19"/>
  <c r="J14" i="19"/>
  <c r="J2" i="19"/>
  <c r="G106" i="19"/>
  <c r="H106" i="19" s="1"/>
  <c r="G94" i="19"/>
  <c r="H94" i="19" s="1"/>
  <c r="G46" i="19"/>
  <c r="H46" i="19" s="1"/>
  <c r="G22" i="19"/>
  <c r="H22" i="19" s="1"/>
  <c r="G10" i="19"/>
  <c r="H10" i="19" s="1"/>
  <c r="D124" i="19"/>
  <c r="I124" i="19" s="1"/>
  <c r="D112" i="19"/>
  <c r="I112" i="19" s="1"/>
  <c r="D100" i="19"/>
  <c r="I100" i="19" s="1"/>
  <c r="D88" i="19"/>
  <c r="I88" i="19" s="1"/>
  <c r="D76" i="19"/>
  <c r="I76" i="19" s="1"/>
  <c r="D52" i="19"/>
  <c r="I52" i="19" s="1"/>
  <c r="D4" i="19"/>
  <c r="I4" i="19" s="1"/>
  <c r="D2" i="16"/>
  <c r="M90" i="19"/>
  <c r="M66" i="19"/>
  <c r="M30" i="19"/>
  <c r="M18" i="19"/>
  <c r="M6" i="19"/>
  <c r="J121" i="19"/>
  <c r="J97" i="19"/>
  <c r="J85" i="19"/>
  <c r="J73" i="19"/>
  <c r="J61" i="19"/>
  <c r="J49" i="19"/>
  <c r="J25" i="19"/>
  <c r="K80" i="19"/>
  <c r="K68" i="19"/>
  <c r="K56" i="19"/>
  <c r="K20" i="19"/>
  <c r="K8" i="19"/>
  <c r="G130" i="19"/>
  <c r="H130" i="19" s="1"/>
  <c r="G117" i="19"/>
  <c r="H117" i="19" s="1"/>
  <c r="G93" i="19"/>
  <c r="H93" i="19" s="1"/>
  <c r="G81" i="19"/>
  <c r="H81" i="19" s="1"/>
  <c r="G57" i="19"/>
  <c r="H57" i="19" s="1"/>
  <c r="G9" i="19"/>
  <c r="H9" i="19" s="1"/>
  <c r="D111" i="19"/>
  <c r="I111" i="19" s="1"/>
  <c r="D99" i="19"/>
  <c r="I99" i="19" s="1"/>
  <c r="D75" i="19"/>
  <c r="I75" i="19" s="1"/>
  <c r="D63" i="19"/>
  <c r="I63" i="19" s="1"/>
  <c r="D51" i="19"/>
  <c r="I51" i="19" s="1"/>
  <c r="D15" i="19"/>
  <c r="I15" i="19" s="1"/>
  <c r="D3" i="19"/>
  <c r="I3" i="19" s="1"/>
  <c r="M124" i="19"/>
  <c r="M112" i="19"/>
  <c r="M100" i="19"/>
  <c r="M88" i="19"/>
  <c r="M76" i="19"/>
  <c r="M52" i="19"/>
  <c r="M4" i="19"/>
  <c r="J95" i="19"/>
  <c r="J59" i="19"/>
  <c r="J35" i="19"/>
  <c r="J11" i="19"/>
  <c r="K90" i="19"/>
  <c r="K66" i="19"/>
  <c r="K30" i="19"/>
  <c r="K18" i="19"/>
  <c r="K6" i="19"/>
  <c r="G140" i="19"/>
  <c r="H140" i="19" s="1"/>
  <c r="G128" i="19"/>
  <c r="H128" i="19" s="1"/>
  <c r="G115" i="19"/>
  <c r="H115" i="19" s="1"/>
  <c r="G103" i="19"/>
  <c r="H103" i="19" s="1"/>
  <c r="G67" i="19"/>
  <c r="H67" i="19" s="1"/>
  <c r="G55" i="19"/>
  <c r="H55" i="19" s="1"/>
  <c r="G43" i="19"/>
  <c r="H43" i="19" s="1"/>
  <c r="D121" i="19"/>
  <c r="I121" i="19" s="1"/>
  <c r="D97" i="19"/>
  <c r="I97" i="19" s="1"/>
  <c r="D85" i="19"/>
  <c r="I85" i="19" s="1"/>
  <c r="D73" i="19"/>
  <c r="I73" i="19" s="1"/>
  <c r="D61" i="19"/>
  <c r="I61" i="19" s="1"/>
  <c r="D49" i="19"/>
  <c r="I49" i="19" s="1"/>
  <c r="D25" i="19"/>
  <c r="I25" i="19" s="1"/>
  <c r="M111" i="19"/>
  <c r="M99" i="19"/>
  <c r="M75" i="19"/>
  <c r="M63" i="19"/>
  <c r="M51" i="19"/>
  <c r="M15" i="19"/>
  <c r="M3" i="19"/>
  <c r="J118" i="19"/>
  <c r="X118" i="19" s="1"/>
  <c r="J82" i="19"/>
  <c r="J70" i="19"/>
  <c r="J58" i="19"/>
  <c r="K137" i="19"/>
  <c r="K125" i="19"/>
  <c r="K65" i="19"/>
  <c r="K53" i="19"/>
  <c r="K29" i="19"/>
  <c r="K17" i="19"/>
  <c r="K5" i="19"/>
  <c r="G127" i="19"/>
  <c r="H127" i="19" s="1"/>
  <c r="G120" i="19"/>
  <c r="H120" i="19" s="1"/>
  <c r="D108" i="19"/>
  <c r="I108" i="19" s="1"/>
  <c r="D96" i="19"/>
  <c r="I96" i="19" s="1"/>
  <c r="D72" i="19"/>
  <c r="I72" i="19" s="1"/>
  <c r="D60" i="19"/>
  <c r="I60" i="19" s="1"/>
  <c r="D48" i="19"/>
  <c r="I48" i="19" s="1"/>
  <c r="D24" i="19"/>
  <c r="I24" i="19" s="1"/>
  <c r="D12" i="19"/>
  <c r="I12" i="19" s="1"/>
  <c r="M110" i="19"/>
  <c r="M98" i="19"/>
  <c r="M74" i="19"/>
  <c r="M62" i="19"/>
  <c r="M14" i="19"/>
  <c r="M2" i="19"/>
  <c r="K124" i="19"/>
  <c r="K112" i="19"/>
  <c r="K100" i="19"/>
  <c r="K88" i="19"/>
  <c r="K76" i="19"/>
  <c r="K52" i="19"/>
  <c r="D95" i="19"/>
  <c r="I95" i="19" s="1"/>
  <c r="D59" i="19"/>
  <c r="I59" i="19" s="1"/>
  <c r="D35" i="19"/>
  <c r="I35" i="19" s="1"/>
  <c r="D11" i="19"/>
  <c r="I11" i="19" s="1"/>
  <c r="M121" i="19"/>
  <c r="M85" i="19"/>
  <c r="M73" i="19"/>
  <c r="M61" i="19"/>
  <c r="M49" i="19"/>
  <c r="M25" i="19"/>
  <c r="J104" i="19"/>
  <c r="L104" i="19" s="1"/>
  <c r="J80" i="19"/>
  <c r="J68" i="19"/>
  <c r="J56" i="19"/>
  <c r="J32" i="19"/>
  <c r="J20" i="19"/>
  <c r="J8" i="19"/>
  <c r="D118" i="19"/>
  <c r="I118" i="19" s="1"/>
  <c r="D82" i="19"/>
  <c r="I82" i="19" s="1"/>
  <c r="D70" i="19"/>
  <c r="I70" i="19" s="1"/>
  <c r="D58" i="19"/>
  <c r="I58" i="19" s="1"/>
  <c r="B37" i="19"/>
  <c r="M108" i="19"/>
  <c r="M72" i="19"/>
  <c r="M60" i="19"/>
  <c r="M48" i="19"/>
  <c r="M24" i="19"/>
  <c r="M12" i="19"/>
  <c r="J139" i="19"/>
  <c r="J91" i="19"/>
  <c r="J79" i="19"/>
  <c r="J31" i="19"/>
  <c r="J19" i="19"/>
  <c r="J7" i="19"/>
  <c r="M95" i="19"/>
  <c r="M59" i="19"/>
  <c r="M35" i="19"/>
  <c r="M11" i="19"/>
  <c r="J90" i="19"/>
  <c r="J66" i="19"/>
  <c r="J30" i="19"/>
  <c r="J18" i="19"/>
  <c r="J6" i="19"/>
  <c r="D13" i="16"/>
  <c r="B138" i="19"/>
  <c r="B126" i="19"/>
  <c r="B114" i="19"/>
  <c r="B102" i="19"/>
  <c r="B89" i="19"/>
  <c r="B50" i="19"/>
  <c r="B36" i="19"/>
  <c r="B136" i="19"/>
  <c r="B87" i="19"/>
  <c r="B135" i="19"/>
  <c r="B123" i="19"/>
  <c r="B86" i="19"/>
  <c r="B134" i="19"/>
  <c r="B122" i="19"/>
  <c r="B44" i="19"/>
  <c r="B133" i="19"/>
  <c r="B109" i="19"/>
  <c r="B84" i="19"/>
  <c r="B43" i="19"/>
  <c r="B16" i="19"/>
  <c r="B132" i="19"/>
  <c r="B120" i="19"/>
  <c r="B42" i="19"/>
  <c r="B131" i="19"/>
  <c r="B119" i="19"/>
  <c r="B107" i="19"/>
  <c r="B81" i="19"/>
  <c r="B55" i="19"/>
  <c r="B41" i="19"/>
  <c r="B28" i="19"/>
  <c r="B130" i="19"/>
  <c r="B106" i="19"/>
  <c r="B93" i="19"/>
  <c r="B67" i="19"/>
  <c r="B54" i="19"/>
  <c r="B40" i="19"/>
  <c r="B27" i="19"/>
  <c r="B13" i="19"/>
  <c r="B117" i="19"/>
  <c r="B92" i="19"/>
  <c r="B39" i="19"/>
  <c r="B26" i="19"/>
  <c r="B140" i="19"/>
  <c r="B128" i="19"/>
  <c r="B116" i="19"/>
  <c r="B78" i="19"/>
  <c r="B38" i="19"/>
  <c r="B127" i="19"/>
  <c r="B115" i="19"/>
  <c r="B103" i="19"/>
  <c r="B77" i="19"/>
  <c r="B64" i="19"/>
  <c r="B83" i="19"/>
  <c r="B71" i="19"/>
  <c r="B47" i="19"/>
  <c r="B23" i="19"/>
  <c r="B94" i="19"/>
  <c r="B46" i="19"/>
  <c r="B34" i="19"/>
  <c r="B22" i="19"/>
  <c r="B10" i="19"/>
  <c r="B57" i="19"/>
  <c r="X140" i="19"/>
  <c r="N136" i="19"/>
  <c r="N99" i="19"/>
  <c r="E99" i="19"/>
  <c r="N3" i="19"/>
  <c r="E3" i="19"/>
  <c r="N134" i="19"/>
  <c r="N122" i="19"/>
  <c r="N110" i="19"/>
  <c r="E110" i="19"/>
  <c r="N98" i="19"/>
  <c r="E98" i="19"/>
  <c r="N86" i="19"/>
  <c r="N74" i="19"/>
  <c r="E74" i="19"/>
  <c r="N62" i="19"/>
  <c r="E62" i="19"/>
  <c r="N50" i="19"/>
  <c r="N38" i="19"/>
  <c r="N26" i="19"/>
  <c r="N14" i="19"/>
  <c r="E14" i="19"/>
  <c r="N2" i="19"/>
  <c r="E2" i="19"/>
  <c r="N9" i="19"/>
  <c r="N81" i="19"/>
  <c r="N112" i="19"/>
  <c r="E112" i="19"/>
  <c r="N63" i="19"/>
  <c r="E63" i="19"/>
  <c r="N133" i="19"/>
  <c r="E121" i="19"/>
  <c r="N121" i="19"/>
  <c r="N109" i="19"/>
  <c r="E97" i="19"/>
  <c r="N97" i="19"/>
  <c r="E85" i="19"/>
  <c r="N85" i="19"/>
  <c r="E73" i="19"/>
  <c r="N73" i="19"/>
  <c r="E61" i="19"/>
  <c r="N61" i="19"/>
  <c r="E49" i="19"/>
  <c r="N49" i="19"/>
  <c r="N37" i="19"/>
  <c r="E25" i="19"/>
  <c r="N25" i="19"/>
  <c r="N13" i="19"/>
  <c r="N100" i="19"/>
  <c r="E100" i="19"/>
  <c r="N16" i="19"/>
  <c r="N87" i="19"/>
  <c r="N132" i="19"/>
  <c r="N120" i="19"/>
  <c r="E108" i="19"/>
  <c r="N108" i="19"/>
  <c r="E96" i="19"/>
  <c r="N96" i="19"/>
  <c r="Q96" i="19" s="1"/>
  <c r="N84" i="19"/>
  <c r="E72" i="19"/>
  <c r="N72" i="19"/>
  <c r="E60" i="19"/>
  <c r="N60" i="19"/>
  <c r="E48" i="19"/>
  <c r="N48" i="19"/>
  <c r="N36" i="19"/>
  <c r="E24" i="19"/>
  <c r="N24" i="19"/>
  <c r="E12" i="19"/>
  <c r="N12" i="19"/>
  <c r="N124" i="19"/>
  <c r="E124" i="19"/>
  <c r="N40" i="19"/>
  <c r="N51" i="19"/>
  <c r="E51" i="19"/>
  <c r="N131" i="19"/>
  <c r="N119" i="19"/>
  <c r="N107" i="19"/>
  <c r="E95" i="19"/>
  <c r="N95" i="19"/>
  <c r="N83" i="19"/>
  <c r="N71" i="19"/>
  <c r="E59" i="19"/>
  <c r="N59" i="19"/>
  <c r="N47" i="19"/>
  <c r="E35" i="19"/>
  <c r="N35" i="19"/>
  <c r="N23" i="19"/>
  <c r="E11" i="19"/>
  <c r="N11" i="19"/>
  <c r="N123" i="19"/>
  <c r="E118" i="19"/>
  <c r="E82" i="19"/>
  <c r="E70" i="19"/>
  <c r="E58" i="19"/>
  <c r="X46" i="19"/>
  <c r="N64" i="19"/>
  <c r="N75" i="19"/>
  <c r="E75" i="19"/>
  <c r="N15" i="19"/>
  <c r="E15" i="19"/>
  <c r="E129" i="19"/>
  <c r="E105" i="19"/>
  <c r="X81" i="19"/>
  <c r="E69" i="19"/>
  <c r="E45" i="19"/>
  <c r="E33" i="19"/>
  <c r="E21" i="19"/>
  <c r="N34" i="19"/>
  <c r="N106" i="19"/>
  <c r="N76" i="19"/>
  <c r="E76" i="19"/>
  <c r="N4" i="19"/>
  <c r="Q4" i="19" s="1"/>
  <c r="N140" i="19"/>
  <c r="N128" i="19"/>
  <c r="N116" i="19"/>
  <c r="N104" i="19"/>
  <c r="E104" i="19"/>
  <c r="N92" i="19"/>
  <c r="N80" i="19"/>
  <c r="E80" i="19"/>
  <c r="N68" i="19"/>
  <c r="E68" i="19"/>
  <c r="N56" i="19"/>
  <c r="E56" i="19"/>
  <c r="N44" i="19"/>
  <c r="N32" i="19"/>
  <c r="Q32" i="19" s="1"/>
  <c r="E32" i="19"/>
  <c r="N20" i="19"/>
  <c r="E20" i="19"/>
  <c r="N8" i="19"/>
  <c r="E8" i="19"/>
  <c r="N45" i="19"/>
  <c r="N117" i="19"/>
  <c r="N28" i="19"/>
  <c r="E139" i="19"/>
  <c r="N139" i="19"/>
  <c r="N127" i="19"/>
  <c r="N115" i="19"/>
  <c r="N103" i="19"/>
  <c r="E91" i="19"/>
  <c r="N91" i="19"/>
  <c r="E79" i="19"/>
  <c r="N79" i="19"/>
  <c r="N67" i="19"/>
  <c r="N55" i="19"/>
  <c r="N43" i="19"/>
  <c r="X43" i="19"/>
  <c r="E31" i="19"/>
  <c r="N31" i="19"/>
  <c r="E19" i="19"/>
  <c r="N19" i="19"/>
  <c r="E7" i="19"/>
  <c r="N7" i="19"/>
  <c r="N46" i="19"/>
  <c r="N118" i="19"/>
  <c r="N52" i="19"/>
  <c r="E52" i="19"/>
  <c r="N135" i="19"/>
  <c r="N27" i="19"/>
  <c r="N138" i="19"/>
  <c r="N126" i="19"/>
  <c r="N114" i="19"/>
  <c r="N102" i="19"/>
  <c r="N90" i="19"/>
  <c r="N78" i="19"/>
  <c r="N66" i="19"/>
  <c r="N54" i="19"/>
  <c r="N42" i="19"/>
  <c r="N30" i="19"/>
  <c r="N18" i="19"/>
  <c r="N6" i="19"/>
  <c r="E30" i="19"/>
  <c r="N57" i="19"/>
  <c r="N129" i="19"/>
  <c r="N88" i="19"/>
  <c r="E88" i="19"/>
  <c r="N111" i="19"/>
  <c r="Q111" i="19" s="1"/>
  <c r="E111" i="19"/>
  <c r="N39" i="19"/>
  <c r="N137" i="19"/>
  <c r="N125" i="19"/>
  <c r="N113" i="19"/>
  <c r="Q113" i="19" s="1"/>
  <c r="N101" i="19"/>
  <c r="N89" i="19"/>
  <c r="N77" i="19"/>
  <c r="N65" i="19"/>
  <c r="N53" i="19"/>
  <c r="N41" i="19"/>
  <c r="X41" i="19"/>
  <c r="N29" i="19"/>
  <c r="N17" i="19"/>
  <c r="N5" i="19"/>
  <c r="E29" i="19"/>
  <c r="E6" i="19"/>
  <c r="N58" i="19"/>
  <c r="N130" i="19"/>
  <c r="P126" i="19"/>
  <c r="P93" i="19"/>
  <c r="P140" i="19"/>
  <c r="F23" i="19"/>
  <c r="F22" i="19"/>
  <c r="F103" i="19"/>
  <c r="F114" i="19"/>
  <c r="F87" i="19"/>
  <c r="F134" i="19"/>
  <c r="F132" i="19"/>
  <c r="F120" i="19"/>
  <c r="F39" i="19"/>
  <c r="F119" i="19"/>
  <c r="F47" i="19"/>
  <c r="F130" i="19"/>
  <c r="F94" i="19"/>
  <c r="F10" i="19"/>
  <c r="F117" i="19"/>
  <c r="F9" i="19"/>
  <c r="F128" i="19"/>
  <c r="F44" i="19"/>
  <c r="F127" i="19"/>
  <c r="F115" i="19"/>
  <c r="F67" i="19"/>
  <c r="F55" i="19"/>
  <c r="F43" i="19"/>
  <c r="F102" i="19"/>
  <c r="F42" i="19"/>
  <c r="F41" i="19"/>
  <c r="F135" i="19"/>
  <c r="F86" i="19"/>
  <c r="F38" i="19"/>
  <c r="T23" i="57" l="1"/>
  <c r="U36" i="57"/>
  <c r="W36" i="57"/>
  <c r="R36" i="57"/>
  <c r="Y121" i="63"/>
  <c r="Y132" i="63"/>
  <c r="Y31" i="63"/>
  <c r="U107" i="57"/>
  <c r="Y49" i="63"/>
  <c r="Y58" i="63"/>
  <c r="Y101" i="63"/>
  <c r="R108" i="57"/>
  <c r="Y118" i="63"/>
  <c r="Y73" i="63"/>
  <c r="U63" i="57"/>
  <c r="Y95" i="63"/>
  <c r="U8" i="57"/>
  <c r="Y89" i="63"/>
  <c r="Y61" i="63"/>
  <c r="Y128" i="63"/>
  <c r="Y124" i="63"/>
  <c r="Y18" i="63"/>
  <c r="Y130" i="63"/>
  <c r="Y116" i="63"/>
  <c r="Y30" i="63"/>
  <c r="R54" i="57"/>
  <c r="Y76" i="63"/>
  <c r="Y70" i="63"/>
  <c r="U111" i="57"/>
  <c r="U30" i="57"/>
  <c r="U64" i="57"/>
  <c r="Y115" i="63"/>
  <c r="Y55" i="63"/>
  <c r="U66" i="57"/>
  <c r="R74" i="57"/>
  <c r="Y14" i="63"/>
  <c r="Y9" i="63"/>
  <c r="R23" i="57"/>
  <c r="W74" i="57"/>
  <c r="Y119" i="63"/>
  <c r="Y15" i="63"/>
  <c r="Y19" i="63"/>
  <c r="Y45" i="63"/>
  <c r="Y39" i="63"/>
  <c r="Y43" i="63"/>
  <c r="Y114" i="63"/>
  <c r="Y68" i="63"/>
  <c r="Y32" i="63"/>
  <c r="Y69" i="63"/>
  <c r="Y125" i="63"/>
  <c r="U42" i="57"/>
  <c r="Y59" i="63"/>
  <c r="Y40" i="63"/>
  <c r="W55" i="57"/>
  <c r="R46" i="57"/>
  <c r="Y33" i="63"/>
  <c r="Y99" i="63"/>
  <c r="Y10" i="63"/>
  <c r="Y85" i="63"/>
  <c r="Y109" i="63"/>
  <c r="Y51" i="63"/>
  <c r="Y50" i="63"/>
  <c r="Y11" i="63"/>
  <c r="Y78" i="63"/>
  <c r="Y97" i="63"/>
  <c r="Y122" i="63"/>
  <c r="Y28" i="63"/>
  <c r="Y23" i="63"/>
  <c r="Y79" i="63"/>
  <c r="Y12" i="63"/>
  <c r="Y56" i="63"/>
  <c r="Y129" i="63"/>
  <c r="Y5" i="63"/>
  <c r="Y98" i="63"/>
  <c r="Y112" i="63"/>
  <c r="Y137" i="63"/>
  <c r="Y48" i="63"/>
  <c r="Y35" i="63"/>
  <c r="Y75" i="63"/>
  <c r="Y21" i="63"/>
  <c r="Y54" i="63"/>
  <c r="Y102" i="63"/>
  <c r="Y67" i="63"/>
  <c r="Y24" i="63"/>
  <c r="Y91" i="63"/>
  <c r="Y105" i="63"/>
  <c r="Y82" i="63"/>
  <c r="Y111" i="63"/>
  <c r="Y81" i="63"/>
  <c r="Y66" i="63"/>
  <c r="Y27" i="63"/>
  <c r="Y117" i="63"/>
  <c r="Y2" i="63"/>
  <c r="Y41" i="63"/>
  <c r="Y34" i="63"/>
  <c r="Y7" i="63"/>
  <c r="Y4" i="63"/>
  <c r="Y96" i="63"/>
  <c r="Y90" i="63"/>
  <c r="Y106" i="63"/>
  <c r="Y37" i="63"/>
  <c r="Y52" i="63"/>
  <c r="Y22" i="63"/>
  <c r="Y8" i="63"/>
  <c r="Y74" i="63"/>
  <c r="Y86" i="63"/>
  <c r="Y64" i="63"/>
  <c r="Y6" i="63"/>
  <c r="Y63" i="63"/>
  <c r="Y83" i="63"/>
  <c r="Y134" i="63"/>
  <c r="Y29" i="63"/>
  <c r="Y140" i="63"/>
  <c r="Y92" i="63"/>
  <c r="Y107" i="63"/>
  <c r="Y93" i="63"/>
  <c r="Y135" i="63"/>
  <c r="Y131" i="63"/>
  <c r="Y13" i="63"/>
  <c r="Y3" i="63"/>
  <c r="Y87" i="63"/>
  <c r="U55" i="57"/>
  <c r="U14" i="57"/>
  <c r="R66" i="57"/>
  <c r="U58" i="57"/>
  <c r="U49" i="57"/>
  <c r="T42" i="57"/>
  <c r="S108" i="57"/>
  <c r="R34" i="57"/>
  <c r="U22" i="57"/>
  <c r="U121" i="57"/>
  <c r="T27" i="57"/>
  <c r="R62" i="57"/>
  <c r="W34" i="57"/>
  <c r="U99" i="57"/>
  <c r="U90" i="57"/>
  <c r="W66" i="57"/>
  <c r="R27" i="57"/>
  <c r="U62" i="57"/>
  <c r="U131" i="57"/>
  <c r="R106" i="57"/>
  <c r="U103" i="57"/>
  <c r="U74" i="57"/>
  <c r="T130" i="57"/>
  <c r="W4" i="57"/>
  <c r="Y4" i="57" s="1"/>
  <c r="U109" i="57"/>
  <c r="Y109" i="57" s="1"/>
  <c r="U106" i="57"/>
  <c r="U83" i="57"/>
  <c r="R4" i="57"/>
  <c r="U119" i="57"/>
  <c r="W54" i="57"/>
  <c r="R71" i="57"/>
  <c r="U89" i="57"/>
  <c r="W70" i="57"/>
  <c r="U118" i="57"/>
  <c r="U71" i="57"/>
  <c r="U12" i="57"/>
  <c r="L6" i="19"/>
  <c r="S6" i="19" s="1"/>
  <c r="L18" i="19"/>
  <c r="S18" i="19" s="1"/>
  <c r="T112" i="57"/>
  <c r="U54" i="57"/>
  <c r="U78" i="57"/>
  <c r="U65" i="57"/>
  <c r="U6" i="57"/>
  <c r="T88" i="57"/>
  <c r="W78" i="57"/>
  <c r="W27" i="57"/>
  <c r="U29" i="57"/>
  <c r="R42" i="57"/>
  <c r="W71" i="57"/>
  <c r="T46" i="57"/>
  <c r="U70" i="57"/>
  <c r="U108" i="57"/>
  <c r="U91" i="57"/>
  <c r="W30" i="57"/>
  <c r="W64" i="57"/>
  <c r="Y64" i="57" s="1"/>
  <c r="T106" i="57"/>
  <c r="X35" i="19"/>
  <c r="X76" i="19"/>
  <c r="T55" i="57"/>
  <c r="U105" i="57"/>
  <c r="R78" i="57"/>
  <c r="R91" i="57"/>
  <c r="W42" i="57"/>
  <c r="W106" i="57"/>
  <c r="U20" i="57"/>
  <c r="R64" i="57"/>
  <c r="T125" i="57"/>
  <c r="Q35" i="19"/>
  <c r="L32" i="19"/>
  <c r="S32" i="19" s="1"/>
  <c r="W91" i="57"/>
  <c r="W29" i="57"/>
  <c r="U34" i="57"/>
  <c r="U96" i="57"/>
  <c r="U110" i="57"/>
  <c r="U32" i="57"/>
  <c r="T126" i="57"/>
  <c r="U46" i="57"/>
  <c r="W46" i="57"/>
  <c r="T96" i="57"/>
  <c r="R26" i="57"/>
  <c r="U26" i="57"/>
  <c r="W26" i="57"/>
  <c r="R96" i="57"/>
  <c r="T83" i="57"/>
  <c r="W96" i="57"/>
  <c r="Y40" i="57"/>
  <c r="R123" i="57"/>
  <c r="W108" i="57"/>
  <c r="U18" i="57"/>
  <c r="W84" i="57"/>
  <c r="W89" i="57"/>
  <c r="R127" i="57"/>
  <c r="W125" i="57"/>
  <c r="U2" i="57"/>
  <c r="R125" i="57"/>
  <c r="T119" i="57"/>
  <c r="U23" i="57"/>
  <c r="Y23" i="57" s="1"/>
  <c r="R84" i="57"/>
  <c r="U53" i="57"/>
  <c r="U100" i="57"/>
  <c r="U50" i="57"/>
  <c r="R63" i="57"/>
  <c r="U31" i="57"/>
  <c r="U84" i="57"/>
  <c r="T118" i="57"/>
  <c r="W127" i="57"/>
  <c r="Y127" i="57" s="1"/>
  <c r="W100" i="57"/>
  <c r="W65" i="57"/>
  <c r="U76" i="57"/>
  <c r="W123" i="57"/>
  <c r="U35" i="57"/>
  <c r="U123" i="57"/>
  <c r="U72" i="57"/>
  <c r="R55" i="57"/>
  <c r="U82" i="57"/>
  <c r="R6" i="57"/>
  <c r="U139" i="57"/>
  <c r="U24" i="57"/>
  <c r="T140" i="57"/>
  <c r="W6" i="57"/>
  <c r="U48" i="57"/>
  <c r="R89" i="57"/>
  <c r="U17" i="57"/>
  <c r="Y136" i="57"/>
  <c r="R13" i="57"/>
  <c r="W13" i="57"/>
  <c r="R65" i="57"/>
  <c r="U79" i="57"/>
  <c r="U13" i="57"/>
  <c r="S70" i="57"/>
  <c r="T38" i="57"/>
  <c r="T117" i="57"/>
  <c r="T104" i="57"/>
  <c r="T128" i="57"/>
  <c r="U56" i="57"/>
  <c r="U11" i="57"/>
  <c r="U137" i="57"/>
  <c r="U73" i="57"/>
  <c r="T20" i="57"/>
  <c r="Y92" i="57"/>
  <c r="Y36" i="57"/>
  <c r="T14" i="57"/>
  <c r="R88" i="57"/>
  <c r="W88" i="57"/>
  <c r="S100" i="57"/>
  <c r="S58" i="57"/>
  <c r="W63" i="57"/>
  <c r="Y63" i="57" s="1"/>
  <c r="S29" i="57"/>
  <c r="W98" i="57"/>
  <c r="R98" i="57"/>
  <c r="W47" i="57"/>
  <c r="R47" i="57"/>
  <c r="T47" i="57"/>
  <c r="R85" i="57"/>
  <c r="W85" i="57"/>
  <c r="R48" i="57"/>
  <c r="W48" i="57"/>
  <c r="R86" i="57"/>
  <c r="W86" i="57"/>
  <c r="R3" i="57"/>
  <c r="W3" i="57"/>
  <c r="R107" i="57"/>
  <c r="W107" i="57"/>
  <c r="W135" i="57"/>
  <c r="R135" i="57"/>
  <c r="T135" i="57"/>
  <c r="R60" i="57"/>
  <c r="W60" i="57"/>
  <c r="R133" i="57"/>
  <c r="W133" i="57"/>
  <c r="R95" i="57"/>
  <c r="W95" i="57"/>
  <c r="R113" i="57"/>
  <c r="W113" i="57"/>
  <c r="R16" i="57"/>
  <c r="W16" i="57"/>
  <c r="R9" i="57"/>
  <c r="W9" i="57"/>
  <c r="W82" i="57"/>
  <c r="R82" i="57"/>
  <c r="W25" i="57"/>
  <c r="R25" i="57"/>
  <c r="W10" i="57"/>
  <c r="R10" i="57"/>
  <c r="W33" i="57"/>
  <c r="R33" i="57"/>
  <c r="U33" i="57"/>
  <c r="W22" i="57"/>
  <c r="R22" i="57"/>
  <c r="W76" i="57"/>
  <c r="R76" i="57"/>
  <c r="R126" i="57"/>
  <c r="W126" i="57"/>
  <c r="U3" i="57"/>
  <c r="U87" i="57"/>
  <c r="T97" i="57"/>
  <c r="W52" i="57"/>
  <c r="R52" i="57"/>
  <c r="U135" i="57"/>
  <c r="T60" i="57"/>
  <c r="R75" i="57"/>
  <c r="W75" i="57"/>
  <c r="W118" i="57"/>
  <c r="R118" i="57"/>
  <c r="R129" i="57"/>
  <c r="W129" i="57"/>
  <c r="R138" i="57"/>
  <c r="W138" i="57"/>
  <c r="S62" i="57"/>
  <c r="U47" i="57"/>
  <c r="R121" i="57"/>
  <c r="W121" i="57"/>
  <c r="W21" i="57"/>
  <c r="R21" i="57"/>
  <c r="U21" i="57"/>
  <c r="U86" i="57"/>
  <c r="R51" i="57"/>
  <c r="W51" i="57"/>
  <c r="U51" i="57"/>
  <c r="U113" i="57"/>
  <c r="W28" i="57"/>
  <c r="R28" i="57"/>
  <c r="U28" i="57"/>
  <c r="R112" i="57"/>
  <c r="R5" i="57"/>
  <c r="W5" i="57"/>
  <c r="R12" i="57"/>
  <c r="W80" i="57"/>
  <c r="R80" i="57"/>
  <c r="R115" i="57"/>
  <c r="W115" i="57"/>
  <c r="T22" i="57"/>
  <c r="W49" i="57"/>
  <c r="R49" i="57"/>
  <c r="T49" i="57"/>
  <c r="R137" i="57"/>
  <c r="W137" i="57"/>
  <c r="W139" i="57"/>
  <c r="R139" i="57"/>
  <c r="R68" i="57"/>
  <c r="W68" i="57"/>
  <c r="T95" i="57"/>
  <c r="T113" i="57"/>
  <c r="R15" i="57"/>
  <c r="W15" i="57"/>
  <c r="T16" i="57"/>
  <c r="U15" i="57"/>
  <c r="U9" i="57"/>
  <c r="U129" i="57"/>
  <c r="T25" i="57"/>
  <c r="T33" i="57"/>
  <c r="W61" i="57"/>
  <c r="R61" i="57"/>
  <c r="U61" i="57"/>
  <c r="W120" i="57"/>
  <c r="R120" i="57"/>
  <c r="W62" i="57"/>
  <c r="R32" i="57"/>
  <c r="W32" i="57"/>
  <c r="W53" i="57"/>
  <c r="R53" i="57"/>
  <c r="U10" i="57"/>
  <c r="R103" i="57"/>
  <c r="W103" i="57"/>
  <c r="R57" i="57"/>
  <c r="W57" i="57"/>
  <c r="U57" i="57"/>
  <c r="U115" i="57"/>
  <c r="U80" i="57"/>
  <c r="T75" i="57"/>
  <c r="W101" i="57"/>
  <c r="R101" i="57"/>
  <c r="T101" i="57"/>
  <c r="R114" i="57"/>
  <c r="W114" i="57"/>
  <c r="U114" i="57"/>
  <c r="T114" i="57"/>
  <c r="W111" i="57"/>
  <c r="R111" i="57"/>
  <c r="W18" i="57"/>
  <c r="R18" i="57"/>
  <c r="U16" i="57"/>
  <c r="T18" i="57"/>
  <c r="W102" i="57"/>
  <c r="R102" i="57"/>
  <c r="T102" i="57"/>
  <c r="U102" i="57"/>
  <c r="R24" i="57"/>
  <c r="W24" i="57"/>
  <c r="U25" i="57"/>
  <c r="T10" i="57"/>
  <c r="W112" i="57"/>
  <c r="T5" i="57"/>
  <c r="W12" i="57"/>
  <c r="U124" i="57"/>
  <c r="R44" i="57"/>
  <c r="W44" i="57"/>
  <c r="T137" i="57"/>
  <c r="W67" i="57"/>
  <c r="R67" i="57"/>
  <c r="T67" i="57"/>
  <c r="T111" i="57"/>
  <c r="U60" i="57"/>
  <c r="U68" i="57"/>
  <c r="R39" i="57"/>
  <c r="W39" i="57"/>
  <c r="T15" i="57"/>
  <c r="T24" i="57"/>
  <c r="W105" i="57"/>
  <c r="R105" i="57"/>
  <c r="R104" i="57"/>
  <c r="W104" i="57"/>
  <c r="T9" i="57"/>
  <c r="R37" i="57"/>
  <c r="W37" i="57"/>
  <c r="T37" i="57"/>
  <c r="W99" i="57"/>
  <c r="R99" i="57"/>
  <c r="R131" i="57"/>
  <c r="W131" i="57"/>
  <c r="T121" i="57"/>
  <c r="W43" i="57"/>
  <c r="R43" i="57"/>
  <c r="T43" i="57"/>
  <c r="R19" i="57"/>
  <c r="W19" i="57"/>
  <c r="T41" i="57"/>
  <c r="T21" i="57"/>
  <c r="T3" i="57"/>
  <c r="W134" i="57"/>
  <c r="R134" i="57"/>
  <c r="W94" i="57"/>
  <c r="R94" i="57"/>
  <c r="W11" i="57"/>
  <c r="R11" i="57"/>
  <c r="R35" i="57"/>
  <c r="U37" i="57"/>
  <c r="S30" i="57"/>
  <c r="T44" i="57"/>
  <c r="R132" i="57"/>
  <c r="W132" i="57"/>
  <c r="T99" i="57"/>
  <c r="W59" i="57"/>
  <c r="R59" i="57"/>
  <c r="U59" i="57"/>
  <c r="U95" i="57"/>
  <c r="W20" i="57"/>
  <c r="R20" i="57"/>
  <c r="T19" i="57"/>
  <c r="W69" i="57"/>
  <c r="R69" i="57"/>
  <c r="R117" i="57"/>
  <c r="W117" i="57"/>
  <c r="W50" i="57"/>
  <c r="R50" i="57"/>
  <c r="W87" i="57"/>
  <c r="R87" i="57"/>
  <c r="R58" i="57"/>
  <c r="R2" i="57"/>
  <c r="W2" i="57"/>
  <c r="U19" i="57"/>
  <c r="U69" i="57"/>
  <c r="R90" i="57"/>
  <c r="W90" i="57"/>
  <c r="U5" i="57"/>
  <c r="W93" i="57"/>
  <c r="R93" i="57"/>
  <c r="T93" i="57"/>
  <c r="T94" i="57"/>
  <c r="W35" i="57"/>
  <c r="W41" i="57"/>
  <c r="R41" i="57"/>
  <c r="W128" i="57"/>
  <c r="R128" i="57"/>
  <c r="W56" i="57"/>
  <c r="R56" i="57"/>
  <c r="T59" i="57"/>
  <c r="R17" i="57"/>
  <c r="W17" i="57"/>
  <c r="U52" i="57"/>
  <c r="W79" i="57"/>
  <c r="R79" i="57"/>
  <c r="U133" i="57"/>
  <c r="T50" i="57"/>
  <c r="T2" i="57"/>
  <c r="T103" i="57"/>
  <c r="R31" i="57"/>
  <c r="W31" i="57"/>
  <c r="R100" i="57"/>
  <c r="U120" i="57"/>
  <c r="T11" i="57"/>
  <c r="W140" i="57"/>
  <c r="R140" i="57"/>
  <c r="T90" i="57"/>
  <c r="T131" i="57"/>
  <c r="U43" i="57"/>
  <c r="R29" i="57"/>
  <c r="W8" i="57"/>
  <c r="R8" i="57"/>
  <c r="T8" i="57"/>
  <c r="W73" i="57"/>
  <c r="R73" i="57"/>
  <c r="W122" i="57"/>
  <c r="R122" i="57"/>
  <c r="T122" i="57"/>
  <c r="U122" i="57"/>
  <c r="T138" i="57"/>
  <c r="R70" i="57"/>
  <c r="R14" i="57"/>
  <c r="W14" i="57"/>
  <c r="W124" i="57"/>
  <c r="R124" i="57"/>
  <c r="U93" i="57"/>
  <c r="T107" i="57"/>
  <c r="R45" i="57"/>
  <c r="W45" i="57"/>
  <c r="U45" i="57"/>
  <c r="U98" i="57"/>
  <c r="R38" i="57"/>
  <c r="W38" i="57"/>
  <c r="R30" i="57"/>
  <c r="T39" i="57"/>
  <c r="R116" i="57"/>
  <c r="W116" i="57"/>
  <c r="U116" i="57"/>
  <c r="R97" i="57"/>
  <c r="W97" i="57"/>
  <c r="R7" i="57"/>
  <c r="W7" i="57"/>
  <c r="R83" i="57"/>
  <c r="W83" i="57"/>
  <c r="R77" i="57"/>
  <c r="W77" i="57"/>
  <c r="R110" i="57"/>
  <c r="W110" i="57"/>
  <c r="T110" i="57"/>
  <c r="W81" i="57"/>
  <c r="R81" i="57"/>
  <c r="U39" i="57"/>
  <c r="R72" i="57"/>
  <c r="W72" i="57"/>
  <c r="T72" i="57"/>
  <c r="T85" i="57"/>
  <c r="R119" i="57"/>
  <c r="W119" i="57"/>
  <c r="U132" i="57"/>
  <c r="U85" i="57"/>
  <c r="T86" i="57"/>
  <c r="U7" i="57"/>
  <c r="T77" i="57"/>
  <c r="W130" i="57"/>
  <c r="R130" i="57"/>
  <c r="T81" i="57"/>
  <c r="U67" i="57"/>
  <c r="U134" i="57"/>
  <c r="Q24" i="19"/>
  <c r="Q90" i="19"/>
  <c r="Q7" i="19"/>
  <c r="Q60" i="19"/>
  <c r="X97" i="19"/>
  <c r="Q45" i="19"/>
  <c r="Q51" i="19"/>
  <c r="AE22" i="19"/>
  <c r="Q65" i="19"/>
  <c r="Q139" i="19"/>
  <c r="AE67" i="19"/>
  <c r="L90" i="19"/>
  <c r="S90" i="19" s="1"/>
  <c r="G90" i="19"/>
  <c r="H90" i="19" s="1"/>
  <c r="AE103" i="19"/>
  <c r="P78" i="19"/>
  <c r="Q129" i="19"/>
  <c r="Q12" i="19"/>
  <c r="Q3" i="19"/>
  <c r="X138" i="19"/>
  <c r="Q25" i="19"/>
  <c r="Q58" i="19"/>
  <c r="X137" i="19"/>
  <c r="Q30" i="19"/>
  <c r="Q19" i="19"/>
  <c r="AE28" i="19"/>
  <c r="Q20" i="19"/>
  <c r="Q62" i="19"/>
  <c r="AE78" i="19"/>
  <c r="Q17" i="19"/>
  <c r="AE127" i="19"/>
  <c r="AE81" i="19"/>
  <c r="AE83" i="19"/>
  <c r="Q98" i="19"/>
  <c r="AE94" i="19"/>
  <c r="AE55" i="19"/>
  <c r="AE131" i="19"/>
  <c r="Q125" i="19"/>
  <c r="Q88" i="19"/>
  <c r="AE119" i="19"/>
  <c r="AE102" i="19"/>
  <c r="AE86" i="19"/>
  <c r="Q29" i="19"/>
  <c r="Q80" i="19"/>
  <c r="V70" i="19"/>
  <c r="V82" i="19"/>
  <c r="Q66" i="19"/>
  <c r="Q79" i="19"/>
  <c r="Q72" i="19"/>
  <c r="AE42" i="19"/>
  <c r="Q91" i="19"/>
  <c r="Q112" i="19"/>
  <c r="AE101" i="19"/>
  <c r="AE114" i="19"/>
  <c r="AE135" i="19"/>
  <c r="Q85" i="19"/>
  <c r="Q137" i="19"/>
  <c r="Q49" i="19"/>
  <c r="AE92" i="19"/>
  <c r="AE93" i="19"/>
  <c r="X82" i="19"/>
  <c r="Q108" i="19"/>
  <c r="Q48" i="19"/>
  <c r="Q59" i="19"/>
  <c r="AE122" i="19"/>
  <c r="AE115" i="19"/>
  <c r="AE44" i="19"/>
  <c r="AE128" i="19"/>
  <c r="AE75" i="19"/>
  <c r="AE23" i="19"/>
  <c r="AE130" i="19"/>
  <c r="AE16" i="19"/>
  <c r="AE107" i="19"/>
  <c r="AE108" i="19"/>
  <c r="AE120" i="19"/>
  <c r="AE13" i="19"/>
  <c r="AE10" i="19"/>
  <c r="AE89" i="19"/>
  <c r="AE38" i="19"/>
  <c r="AE36" i="19"/>
  <c r="AE41" i="19"/>
  <c r="AE54" i="19"/>
  <c r="AE26" i="19"/>
  <c r="AE27" i="19"/>
  <c r="AE123" i="19"/>
  <c r="AE40" i="19"/>
  <c r="AE4" i="19"/>
  <c r="AE126" i="19"/>
  <c r="AE132" i="19"/>
  <c r="AE138" i="19"/>
  <c r="AE43" i="19"/>
  <c r="AE116" i="19"/>
  <c r="AE9" i="19"/>
  <c r="AE57" i="19"/>
  <c r="L68" i="19"/>
  <c r="S68" i="19" s="1"/>
  <c r="X21" i="19"/>
  <c r="Q110" i="19"/>
  <c r="Q18" i="19"/>
  <c r="L30" i="19"/>
  <c r="S30" i="19" s="1"/>
  <c r="Q68" i="19"/>
  <c r="AE84" i="19"/>
  <c r="AE133" i="19"/>
  <c r="AE37" i="19"/>
  <c r="AE109" i="19"/>
  <c r="AE50" i="19"/>
  <c r="AE134" i="19"/>
  <c r="AE34" i="19"/>
  <c r="AE106" i="19"/>
  <c r="AE15" i="19"/>
  <c r="AE87" i="19"/>
  <c r="AE64" i="19"/>
  <c r="AE136" i="19"/>
  <c r="AE47" i="19"/>
  <c r="AE77" i="19"/>
  <c r="AE71" i="19"/>
  <c r="AE140" i="19"/>
  <c r="AE39" i="19"/>
  <c r="AE117" i="19"/>
  <c r="AE46" i="19"/>
  <c r="Q74" i="19"/>
  <c r="Q99" i="19"/>
  <c r="Q100" i="19"/>
  <c r="Q63" i="19"/>
  <c r="X27" i="19"/>
  <c r="AE5" i="19"/>
  <c r="Q8" i="19"/>
  <c r="X8" i="19"/>
  <c r="L66" i="19"/>
  <c r="S66" i="19" s="1"/>
  <c r="AE2" i="19"/>
  <c r="Q33" i="19"/>
  <c r="Q31" i="19"/>
  <c r="Q52" i="19"/>
  <c r="Q56" i="19"/>
  <c r="Q53" i="19"/>
  <c r="O126" i="19"/>
  <c r="R126" i="19" s="1"/>
  <c r="Q126" i="19"/>
  <c r="O55" i="19"/>
  <c r="R55" i="19" s="1"/>
  <c r="Q55" i="19"/>
  <c r="O103" i="19"/>
  <c r="R103" i="19" s="1"/>
  <c r="Q103" i="19"/>
  <c r="O140" i="19"/>
  <c r="R140" i="19" s="1"/>
  <c r="Q140" i="19"/>
  <c r="V64" i="19"/>
  <c r="Q64" i="19"/>
  <c r="O123" i="19"/>
  <c r="R123" i="19" s="1"/>
  <c r="Q123" i="19"/>
  <c r="O83" i="19"/>
  <c r="R83" i="19" s="1"/>
  <c r="Q83" i="19"/>
  <c r="O38" i="19"/>
  <c r="R38" i="19" s="1"/>
  <c r="Q38" i="19"/>
  <c r="L49" i="19"/>
  <c r="S49" i="19" s="1"/>
  <c r="L4" i="19"/>
  <c r="S4" i="19" s="1"/>
  <c r="G5" i="19"/>
  <c r="H5" i="19" s="1"/>
  <c r="V42" i="19"/>
  <c r="Q42" i="19"/>
  <c r="V138" i="19"/>
  <c r="Q138" i="19"/>
  <c r="V11" i="19"/>
  <c r="Q11" i="19"/>
  <c r="V95" i="19"/>
  <c r="Q95" i="19"/>
  <c r="O122" i="19"/>
  <c r="R122" i="19" s="1"/>
  <c r="Q122" i="19"/>
  <c r="L61" i="19"/>
  <c r="S61" i="19" s="1"/>
  <c r="G17" i="19"/>
  <c r="H17" i="19" s="1"/>
  <c r="O54" i="19"/>
  <c r="R54" i="19" s="1"/>
  <c r="Q54" i="19"/>
  <c r="V84" i="19"/>
  <c r="Q84" i="19"/>
  <c r="O50" i="19"/>
  <c r="R50" i="19" s="1"/>
  <c r="Q50" i="19"/>
  <c r="O134" i="19"/>
  <c r="R134" i="19" s="1"/>
  <c r="Q134" i="19"/>
  <c r="L73" i="19"/>
  <c r="S73" i="19" s="1"/>
  <c r="O77" i="19"/>
  <c r="R77" i="19" s="1"/>
  <c r="Q77" i="19"/>
  <c r="O27" i="19"/>
  <c r="Q27" i="19"/>
  <c r="O67" i="19"/>
  <c r="R67" i="19" s="1"/>
  <c r="Q67" i="19"/>
  <c r="O115" i="19"/>
  <c r="U115" i="19" s="1"/>
  <c r="Q115" i="19"/>
  <c r="V76" i="19"/>
  <c r="Q76" i="19"/>
  <c r="O23" i="19"/>
  <c r="T23" i="19" s="1"/>
  <c r="Q23" i="19"/>
  <c r="V107" i="19"/>
  <c r="Q107" i="19"/>
  <c r="O13" i="19"/>
  <c r="R13" i="19" s="1"/>
  <c r="Q13" i="19"/>
  <c r="V97" i="19"/>
  <c r="Q97" i="19"/>
  <c r="L85" i="19"/>
  <c r="S85" i="19" s="1"/>
  <c r="G53" i="19"/>
  <c r="H53" i="19" s="1"/>
  <c r="Q105" i="19"/>
  <c r="V89" i="19"/>
  <c r="Q89" i="19"/>
  <c r="V57" i="19"/>
  <c r="Q57" i="19"/>
  <c r="O135" i="19"/>
  <c r="R135" i="19" s="1"/>
  <c r="Q135" i="19"/>
  <c r="V106" i="19"/>
  <c r="Q106" i="19"/>
  <c r="O81" i="19"/>
  <c r="T81" i="19" s="1"/>
  <c r="Q81" i="19"/>
  <c r="L97" i="19"/>
  <c r="S97" i="19" s="1"/>
  <c r="G65" i="19"/>
  <c r="H65" i="19" s="1"/>
  <c r="Q70" i="19"/>
  <c r="O5" i="19"/>
  <c r="Q5" i="19"/>
  <c r="V101" i="19"/>
  <c r="Q101" i="19"/>
  <c r="V78" i="19"/>
  <c r="Q78" i="19"/>
  <c r="V127" i="19"/>
  <c r="Q127" i="19"/>
  <c r="V34" i="19"/>
  <c r="Q34" i="19"/>
  <c r="O119" i="19"/>
  <c r="R119" i="19" s="1"/>
  <c r="Q119" i="19"/>
  <c r="O9" i="19"/>
  <c r="R9" i="19" s="1"/>
  <c r="Q9" i="19"/>
  <c r="L113" i="19"/>
  <c r="S113" i="19" s="1"/>
  <c r="Q82" i="19"/>
  <c r="O22" i="19"/>
  <c r="R22" i="19" s="1"/>
  <c r="Q22" i="19"/>
  <c r="O92" i="19"/>
  <c r="R92" i="19" s="1"/>
  <c r="Q92" i="19"/>
  <c r="O131" i="19"/>
  <c r="R131" i="19" s="1"/>
  <c r="Q131" i="19"/>
  <c r="O36" i="19"/>
  <c r="T36" i="19" s="1"/>
  <c r="Q36" i="19"/>
  <c r="O37" i="19"/>
  <c r="R37" i="19" s="1"/>
  <c r="Q37" i="19"/>
  <c r="V109" i="19"/>
  <c r="Q109" i="19"/>
  <c r="O94" i="19"/>
  <c r="T94" i="19" s="1"/>
  <c r="Q94" i="19"/>
  <c r="Q6" i="19"/>
  <c r="V15" i="19"/>
  <c r="Q15" i="19"/>
  <c r="V47" i="19"/>
  <c r="Q47" i="19"/>
  <c r="O120" i="19"/>
  <c r="R120" i="19" s="1"/>
  <c r="Q120" i="19"/>
  <c r="V2" i="19"/>
  <c r="Q2" i="19"/>
  <c r="O86" i="19"/>
  <c r="Q86" i="19"/>
  <c r="O10" i="19"/>
  <c r="R10" i="19" s="1"/>
  <c r="Q10" i="19"/>
  <c r="V102" i="19"/>
  <c r="Q102" i="19"/>
  <c r="V118" i="19"/>
  <c r="Q118" i="19"/>
  <c r="V104" i="19"/>
  <c r="Q104" i="19"/>
  <c r="O132" i="19"/>
  <c r="R132" i="19" s="1"/>
  <c r="Q132" i="19"/>
  <c r="V121" i="19"/>
  <c r="Q121" i="19"/>
  <c r="O136" i="19"/>
  <c r="R136" i="19" s="1"/>
  <c r="Q136" i="19"/>
  <c r="Q21" i="19"/>
  <c r="O39" i="19"/>
  <c r="Q39" i="19"/>
  <c r="O46" i="19"/>
  <c r="R46" i="19" s="1"/>
  <c r="Q46" i="19"/>
  <c r="V28" i="19"/>
  <c r="Q28" i="19"/>
  <c r="V44" i="19"/>
  <c r="Q44" i="19"/>
  <c r="O116" i="19"/>
  <c r="R116" i="19" s="1"/>
  <c r="Q116" i="19"/>
  <c r="V75" i="19"/>
  <c r="Q75" i="19"/>
  <c r="O40" i="19"/>
  <c r="R40" i="19" s="1"/>
  <c r="Q40" i="19"/>
  <c r="V87" i="19"/>
  <c r="Q87" i="19"/>
  <c r="V61" i="19"/>
  <c r="Q61" i="19"/>
  <c r="V14" i="19"/>
  <c r="Q14" i="19"/>
  <c r="G18" i="19"/>
  <c r="H18" i="19" s="1"/>
  <c r="O130" i="19"/>
  <c r="R130" i="19" s="1"/>
  <c r="Q130" i="19"/>
  <c r="O114" i="19"/>
  <c r="R114" i="19" s="1"/>
  <c r="Q114" i="19"/>
  <c r="V43" i="19"/>
  <c r="Q43" i="19"/>
  <c r="O117" i="19"/>
  <c r="R117" i="19" s="1"/>
  <c r="Q117" i="19"/>
  <c r="O71" i="19"/>
  <c r="R71" i="19" s="1"/>
  <c r="Q71" i="19"/>
  <c r="V133" i="19"/>
  <c r="Q133" i="19"/>
  <c r="V26" i="19"/>
  <c r="Q26" i="19"/>
  <c r="Q69" i="19"/>
  <c r="O41" i="19"/>
  <c r="R41" i="19" s="1"/>
  <c r="Q41" i="19"/>
  <c r="O128" i="19"/>
  <c r="R128" i="19" s="1"/>
  <c r="Q128" i="19"/>
  <c r="Q124" i="19"/>
  <c r="V16" i="19"/>
  <c r="Q16" i="19"/>
  <c r="V73" i="19"/>
  <c r="Q73" i="19"/>
  <c r="O93" i="19"/>
  <c r="R93" i="19" s="1"/>
  <c r="Q93" i="19"/>
  <c r="G66" i="19"/>
  <c r="H66" i="19" s="1"/>
  <c r="S104" i="19"/>
  <c r="X3" i="19"/>
  <c r="X56" i="19"/>
  <c r="L60" i="19"/>
  <c r="S60" i="19" s="1"/>
  <c r="V22" i="19"/>
  <c r="L91" i="19"/>
  <c r="S91" i="19" s="1"/>
  <c r="O113" i="19"/>
  <c r="V90" i="19"/>
  <c r="V94" i="19"/>
  <c r="V129" i="19"/>
  <c r="V10" i="19"/>
  <c r="L48" i="19"/>
  <c r="S48" i="19" s="1"/>
  <c r="L96" i="19"/>
  <c r="S96" i="19" s="1"/>
  <c r="V105" i="19"/>
  <c r="L108" i="19"/>
  <c r="S108" i="19" s="1"/>
  <c r="X20" i="19"/>
  <c r="V79" i="19"/>
  <c r="V69" i="19"/>
  <c r="L63" i="19"/>
  <c r="S63" i="19" s="1"/>
  <c r="L31" i="19"/>
  <c r="S31" i="19" s="1"/>
  <c r="X98" i="19"/>
  <c r="X105" i="19"/>
  <c r="X85" i="19"/>
  <c r="X33" i="19"/>
  <c r="O125" i="19"/>
  <c r="L7" i="19"/>
  <c r="S7" i="19" s="1"/>
  <c r="V58" i="19"/>
  <c r="V18" i="19"/>
  <c r="X108" i="19"/>
  <c r="V6" i="19"/>
  <c r="V123" i="19"/>
  <c r="L79" i="19"/>
  <c r="S79" i="19" s="1"/>
  <c r="L70" i="19"/>
  <c r="S70" i="19" s="1"/>
  <c r="V33" i="19"/>
  <c r="X79" i="19"/>
  <c r="V93" i="19"/>
  <c r="L12" i="19"/>
  <c r="S12" i="19" s="1"/>
  <c r="V136" i="19"/>
  <c r="L82" i="19"/>
  <c r="S82" i="19" s="1"/>
  <c r="L62" i="19"/>
  <c r="S62" i="19" s="1"/>
  <c r="V88" i="19"/>
  <c r="L139" i="19"/>
  <c r="S139" i="19" s="1"/>
  <c r="F118" i="19"/>
  <c r="L20" i="19"/>
  <c r="S20" i="19" s="1"/>
  <c r="L80" i="19"/>
  <c r="S80" i="19" s="1"/>
  <c r="X104" i="19"/>
  <c r="L99" i="19"/>
  <c r="S99" i="19" s="1"/>
  <c r="X19" i="19"/>
  <c r="V52" i="19"/>
  <c r="O53" i="19"/>
  <c r="T53" i="19" s="1"/>
  <c r="L72" i="19"/>
  <c r="S72" i="19" s="1"/>
  <c r="X80" i="19"/>
  <c r="L110" i="19"/>
  <c r="S110" i="19" s="1"/>
  <c r="L56" i="19"/>
  <c r="S56" i="19" s="1"/>
  <c r="L59" i="19"/>
  <c r="S59" i="19" s="1"/>
  <c r="L3" i="19"/>
  <c r="S3" i="19" s="1"/>
  <c r="X139" i="19"/>
  <c r="X69" i="19"/>
  <c r="L21" i="19"/>
  <c r="S21" i="19" s="1"/>
  <c r="O137" i="19"/>
  <c r="T137" i="19" s="1"/>
  <c r="V140" i="19"/>
  <c r="X49" i="19"/>
  <c r="L2" i="19"/>
  <c r="S2" i="19" s="1"/>
  <c r="L14" i="19"/>
  <c r="S14" i="19" s="1"/>
  <c r="G2" i="19"/>
  <c r="H2" i="19" s="1"/>
  <c r="L118" i="19"/>
  <c r="S118" i="19" s="1"/>
  <c r="L8" i="19"/>
  <c r="S8" i="19" s="1"/>
  <c r="L74" i="19"/>
  <c r="S74" i="19" s="1"/>
  <c r="L11" i="19"/>
  <c r="S11" i="19" s="1"/>
  <c r="L98" i="19"/>
  <c r="S98" i="19" s="1"/>
  <c r="O17" i="19"/>
  <c r="V21" i="19"/>
  <c r="V100" i="19"/>
  <c r="O127" i="19"/>
  <c r="R127" i="19" s="1"/>
  <c r="L129" i="19"/>
  <c r="S129" i="19" s="1"/>
  <c r="X129" i="19"/>
  <c r="O18" i="19"/>
  <c r="L24" i="19"/>
  <c r="S24" i="19" s="1"/>
  <c r="L75" i="19"/>
  <c r="S75" i="19" s="1"/>
  <c r="O66" i="19"/>
  <c r="X31" i="19"/>
  <c r="O4" i="19"/>
  <c r="O90" i="19"/>
  <c r="X51" i="19"/>
  <c r="L19" i="19"/>
  <c r="S19" i="19" s="1"/>
  <c r="L58" i="19"/>
  <c r="S58" i="19" s="1"/>
  <c r="L111" i="19"/>
  <c r="S111" i="19" s="1"/>
  <c r="O104" i="19"/>
  <c r="G104" i="19"/>
  <c r="H104" i="19" s="1"/>
  <c r="G75" i="19"/>
  <c r="H75" i="19" s="1"/>
  <c r="O75" i="19"/>
  <c r="O58" i="19"/>
  <c r="G58" i="19"/>
  <c r="H58" i="19" s="1"/>
  <c r="G49" i="19"/>
  <c r="H49" i="19" s="1"/>
  <c r="O49" i="19"/>
  <c r="G3" i="19"/>
  <c r="H3" i="19" s="1"/>
  <c r="O3" i="19"/>
  <c r="G52" i="19"/>
  <c r="H52" i="19" s="1"/>
  <c r="O52" i="19"/>
  <c r="O7" i="19"/>
  <c r="G7" i="19"/>
  <c r="H7" i="19" s="1"/>
  <c r="O69" i="19"/>
  <c r="G69" i="19"/>
  <c r="H69" i="19" s="1"/>
  <c r="O11" i="19"/>
  <c r="G11" i="19"/>
  <c r="H11" i="19" s="1"/>
  <c r="G60" i="19"/>
  <c r="H60" i="19" s="1"/>
  <c r="O60" i="19"/>
  <c r="L15" i="19"/>
  <c r="S15" i="19" s="1"/>
  <c r="L125" i="19"/>
  <c r="S125" i="19" s="1"/>
  <c r="O47" i="19"/>
  <c r="R47" i="19" s="1"/>
  <c r="G6" i="19"/>
  <c r="H6" i="19" s="1"/>
  <c r="O6" i="19"/>
  <c r="V65" i="19"/>
  <c r="G111" i="19"/>
  <c r="H111" i="19" s="1"/>
  <c r="O111" i="19"/>
  <c r="T111" i="19" s="1"/>
  <c r="O70" i="19"/>
  <c r="G70" i="19"/>
  <c r="H70" i="19" s="1"/>
  <c r="O95" i="19"/>
  <c r="G95" i="19"/>
  <c r="H95" i="19" s="1"/>
  <c r="G14" i="19"/>
  <c r="H14" i="19" s="1"/>
  <c r="O14" i="19"/>
  <c r="L25" i="19"/>
  <c r="S25" i="19" s="1"/>
  <c r="L51" i="19"/>
  <c r="S51" i="19" s="1"/>
  <c r="O16" i="19"/>
  <c r="R16" i="19" s="1"/>
  <c r="L52" i="19"/>
  <c r="S52" i="19" s="1"/>
  <c r="L137" i="19"/>
  <c r="S137" i="19" s="1"/>
  <c r="O78" i="19"/>
  <c r="R78" i="19" s="1"/>
  <c r="L69" i="19"/>
  <c r="S69" i="19" s="1"/>
  <c r="G113" i="19"/>
  <c r="H113" i="19" s="1"/>
  <c r="G29" i="19"/>
  <c r="H29" i="19" s="1"/>
  <c r="O29" i="19"/>
  <c r="O56" i="19"/>
  <c r="G56" i="19"/>
  <c r="H56" i="19" s="1"/>
  <c r="G12" i="19"/>
  <c r="H12" i="19" s="1"/>
  <c r="O12" i="19"/>
  <c r="G61" i="19"/>
  <c r="H61" i="19" s="1"/>
  <c r="O61" i="19"/>
  <c r="G121" i="19"/>
  <c r="H121" i="19" s="1"/>
  <c r="O121" i="19"/>
  <c r="T121" i="19" s="1"/>
  <c r="G98" i="19"/>
  <c r="H98" i="19" s="1"/>
  <c r="O98" i="19"/>
  <c r="G99" i="19"/>
  <c r="H99" i="19" s="1"/>
  <c r="O99" i="19"/>
  <c r="L35" i="19"/>
  <c r="S35" i="19" s="1"/>
  <c r="O28" i="19"/>
  <c r="L76" i="19"/>
  <c r="S76" i="19" s="1"/>
  <c r="O65" i="19"/>
  <c r="T65" i="19" s="1"/>
  <c r="O102" i="19"/>
  <c r="R102" i="19" s="1"/>
  <c r="G125" i="19"/>
  <c r="H125" i="19" s="1"/>
  <c r="O57" i="19"/>
  <c r="R57" i="19" s="1"/>
  <c r="O19" i="19"/>
  <c r="G19" i="19"/>
  <c r="H19" i="19" s="1"/>
  <c r="O82" i="19"/>
  <c r="T82" i="19" s="1"/>
  <c r="G82" i="19"/>
  <c r="H82" i="19" s="1"/>
  <c r="G72" i="19"/>
  <c r="H72" i="19" s="1"/>
  <c r="O72" i="19"/>
  <c r="G100" i="19"/>
  <c r="H100" i="19" s="1"/>
  <c r="O100" i="19"/>
  <c r="O26" i="19"/>
  <c r="R26" i="19" s="1"/>
  <c r="L88" i="19"/>
  <c r="S88" i="19" s="1"/>
  <c r="O43" i="19"/>
  <c r="G88" i="19"/>
  <c r="H88" i="19" s="1"/>
  <c r="O88" i="19"/>
  <c r="O68" i="19"/>
  <c r="G68" i="19"/>
  <c r="H68" i="19" s="1"/>
  <c r="O21" i="19"/>
  <c r="G21" i="19"/>
  <c r="H21" i="19" s="1"/>
  <c r="O35" i="19"/>
  <c r="G35" i="19"/>
  <c r="H35" i="19" s="1"/>
  <c r="G24" i="19"/>
  <c r="H24" i="19" s="1"/>
  <c r="O24" i="19"/>
  <c r="G73" i="19"/>
  <c r="H73" i="19" s="1"/>
  <c r="O73" i="19"/>
  <c r="L95" i="19"/>
  <c r="S95" i="19" s="1"/>
  <c r="O64" i="19"/>
  <c r="R64" i="19" s="1"/>
  <c r="L100" i="19"/>
  <c r="S100" i="19" s="1"/>
  <c r="O89" i="19"/>
  <c r="R89" i="19" s="1"/>
  <c r="O138" i="19"/>
  <c r="O34" i="19"/>
  <c r="R34" i="19" s="1"/>
  <c r="L33" i="19"/>
  <c r="S33" i="19" s="1"/>
  <c r="X91" i="19"/>
  <c r="G63" i="19"/>
  <c r="H63" i="19" s="1"/>
  <c r="O63" i="19"/>
  <c r="G110" i="19"/>
  <c r="H110" i="19" s="1"/>
  <c r="O110" i="19"/>
  <c r="L112" i="19"/>
  <c r="S112" i="19" s="1"/>
  <c r="O101" i="19"/>
  <c r="O133" i="19"/>
  <c r="G4" i="19"/>
  <c r="H4" i="19" s="1"/>
  <c r="O79" i="19"/>
  <c r="G79" i="19"/>
  <c r="H79" i="19" s="1"/>
  <c r="O8" i="19"/>
  <c r="G8" i="19"/>
  <c r="H8" i="19" s="1"/>
  <c r="V4" i="19"/>
  <c r="O105" i="19"/>
  <c r="T105" i="19" s="1"/>
  <c r="G105" i="19"/>
  <c r="H105" i="19" s="1"/>
  <c r="G51" i="19"/>
  <c r="H51" i="19" s="1"/>
  <c r="O51" i="19"/>
  <c r="G96" i="19"/>
  <c r="H96" i="19" s="1"/>
  <c r="O96" i="19"/>
  <c r="G85" i="19"/>
  <c r="H85" i="19" s="1"/>
  <c r="O85" i="19"/>
  <c r="O84" i="19"/>
  <c r="R84" i="19" s="1"/>
  <c r="O109" i="19"/>
  <c r="L124" i="19"/>
  <c r="S124" i="19" s="1"/>
  <c r="L5" i="19"/>
  <c r="S5" i="19" s="1"/>
  <c r="X32" i="19"/>
  <c r="G137" i="19"/>
  <c r="H137" i="19" s="1"/>
  <c r="L105" i="19"/>
  <c r="S105" i="19" s="1"/>
  <c r="O31" i="19"/>
  <c r="T31" i="19" s="1"/>
  <c r="G31" i="19"/>
  <c r="H31" i="19" s="1"/>
  <c r="O80" i="19"/>
  <c r="G80" i="19"/>
  <c r="H80" i="19" s="1"/>
  <c r="G76" i="19"/>
  <c r="H76" i="19" s="1"/>
  <c r="O76" i="19"/>
  <c r="O33" i="19"/>
  <c r="G33" i="19"/>
  <c r="H33" i="19" s="1"/>
  <c r="O118" i="19"/>
  <c r="G118" i="19"/>
  <c r="H118" i="19" s="1"/>
  <c r="G112" i="19"/>
  <c r="H112" i="19" s="1"/>
  <c r="O112" i="19"/>
  <c r="L121" i="19"/>
  <c r="S121" i="19" s="1"/>
  <c r="L17" i="19"/>
  <c r="S17" i="19" s="1"/>
  <c r="O20" i="19"/>
  <c r="G20" i="19"/>
  <c r="H20" i="19" s="1"/>
  <c r="O129" i="19"/>
  <c r="G129" i="19"/>
  <c r="H129" i="19" s="1"/>
  <c r="O59" i="19"/>
  <c r="G59" i="19"/>
  <c r="H59" i="19" s="1"/>
  <c r="G108" i="19"/>
  <c r="H108" i="19" s="1"/>
  <c r="O108" i="19"/>
  <c r="G25" i="19"/>
  <c r="H25" i="19" s="1"/>
  <c r="O25" i="19"/>
  <c r="G62" i="19"/>
  <c r="H62" i="19" s="1"/>
  <c r="O62" i="19"/>
  <c r="L29" i="19"/>
  <c r="S29" i="19" s="1"/>
  <c r="X68" i="19"/>
  <c r="O44" i="19"/>
  <c r="R44" i="19" s="1"/>
  <c r="L45" i="19"/>
  <c r="S45" i="19" s="1"/>
  <c r="O87" i="19"/>
  <c r="R87" i="19" s="1"/>
  <c r="O91" i="19"/>
  <c r="T91" i="19" s="1"/>
  <c r="G91" i="19"/>
  <c r="H91" i="19" s="1"/>
  <c r="O139" i="19"/>
  <c r="G139" i="19"/>
  <c r="H139" i="19" s="1"/>
  <c r="O45" i="19"/>
  <c r="G45" i="19"/>
  <c r="H45" i="19" s="1"/>
  <c r="G15" i="19"/>
  <c r="H15" i="19" s="1"/>
  <c r="O15" i="19"/>
  <c r="G48" i="19"/>
  <c r="H48" i="19" s="1"/>
  <c r="O48" i="19"/>
  <c r="G97" i="19"/>
  <c r="H97" i="19" s="1"/>
  <c r="O97" i="19"/>
  <c r="L53" i="19"/>
  <c r="S53" i="19" s="1"/>
  <c r="O107" i="19"/>
  <c r="T107" i="19" s="1"/>
  <c r="G30" i="19"/>
  <c r="H30" i="19" s="1"/>
  <c r="O30" i="19"/>
  <c r="O32" i="19"/>
  <c r="G32" i="19"/>
  <c r="H32" i="19" s="1"/>
  <c r="G124" i="19"/>
  <c r="H124" i="19" s="1"/>
  <c r="O124" i="19"/>
  <c r="G74" i="19"/>
  <c r="H74" i="19" s="1"/>
  <c r="O74" i="19"/>
  <c r="L65" i="19"/>
  <c r="S65" i="19" s="1"/>
  <c r="O42" i="19"/>
  <c r="R42" i="19" s="1"/>
  <c r="O106" i="19"/>
  <c r="R106" i="19" s="1"/>
  <c r="V80" i="19"/>
  <c r="X84" i="19"/>
  <c r="X61" i="19"/>
  <c r="X28" i="19"/>
  <c r="X7" i="19"/>
  <c r="V29" i="19"/>
  <c r="X65" i="19"/>
  <c r="X101" i="19"/>
  <c r="X114" i="19"/>
  <c r="X130" i="19"/>
  <c r="V23" i="19"/>
  <c r="X83" i="19"/>
  <c r="X60" i="19"/>
  <c r="X37" i="19"/>
  <c r="V38" i="19"/>
  <c r="X122" i="19"/>
  <c r="V5" i="19"/>
  <c r="V137" i="19"/>
  <c r="X54" i="19"/>
  <c r="V114" i="19"/>
  <c r="V45" i="19"/>
  <c r="V8" i="19"/>
  <c r="X45" i="19"/>
  <c r="X58" i="19"/>
  <c r="X12" i="19"/>
  <c r="V72" i="19"/>
  <c r="X96" i="19"/>
  <c r="X100" i="19"/>
  <c r="X13" i="19"/>
  <c r="V49" i="19"/>
  <c r="X73" i="19"/>
  <c r="V74" i="19"/>
  <c r="V134" i="19"/>
  <c r="X113" i="19"/>
  <c r="X132" i="19"/>
  <c r="X134" i="19"/>
  <c r="V31" i="19"/>
  <c r="V77" i="19"/>
  <c r="X39" i="19"/>
  <c r="X117" i="19"/>
  <c r="V71" i="19"/>
  <c r="V85" i="19"/>
  <c r="X29" i="19"/>
  <c r="X125" i="19"/>
  <c r="X6" i="19"/>
  <c r="X52" i="19"/>
  <c r="V128" i="19"/>
  <c r="X5" i="19"/>
  <c r="V113" i="19"/>
  <c r="X88" i="19"/>
  <c r="X18" i="19"/>
  <c r="V126" i="19"/>
  <c r="X15" i="19"/>
  <c r="X34" i="19"/>
  <c r="X95" i="19"/>
  <c r="X131" i="19"/>
  <c r="V36" i="19"/>
  <c r="V60" i="19"/>
  <c r="V108" i="19"/>
  <c r="X99" i="19"/>
  <c r="V67" i="19"/>
  <c r="X124" i="19"/>
  <c r="V37" i="19"/>
  <c r="V112" i="19"/>
  <c r="V99" i="19"/>
  <c r="F92" i="19"/>
  <c r="V39" i="19"/>
  <c r="V7" i="19"/>
  <c r="V92" i="19"/>
  <c r="V130" i="19"/>
  <c r="V13" i="19"/>
  <c r="V81" i="19"/>
  <c r="X2" i="19"/>
  <c r="V86" i="19"/>
  <c r="V110" i="19"/>
  <c r="V103" i="19"/>
  <c r="V139" i="19"/>
  <c r="V56" i="19"/>
  <c r="V124" i="19"/>
  <c r="V9" i="19"/>
  <c r="V62" i="19"/>
  <c r="X86" i="19"/>
  <c r="X110" i="19"/>
  <c r="X17" i="19"/>
  <c r="V125" i="19"/>
  <c r="X30" i="19"/>
  <c r="V20" i="19"/>
  <c r="X4" i="19"/>
  <c r="V135" i="19"/>
  <c r="X57" i="19"/>
  <c r="X75" i="19"/>
  <c r="X11" i="19"/>
  <c r="V83" i="19"/>
  <c r="V24" i="19"/>
  <c r="V48" i="19"/>
  <c r="X87" i="19"/>
  <c r="X63" i="19"/>
  <c r="X128" i="19"/>
  <c r="X62" i="19"/>
  <c r="V41" i="19"/>
  <c r="X77" i="19"/>
  <c r="X111" i="19"/>
  <c r="V54" i="19"/>
  <c r="X90" i="19"/>
  <c r="X10" i="19"/>
  <c r="X94" i="19"/>
  <c r="X123" i="19"/>
  <c r="X47" i="19"/>
  <c r="V119" i="19"/>
  <c r="V51" i="19"/>
  <c r="V96" i="19"/>
  <c r="V120" i="19"/>
  <c r="X38" i="19"/>
  <c r="X55" i="19"/>
  <c r="V63" i="19"/>
  <c r="V17" i="19"/>
  <c r="X53" i="19"/>
  <c r="V111" i="19"/>
  <c r="V30" i="19"/>
  <c r="X66" i="19"/>
  <c r="V19" i="19"/>
  <c r="V115" i="19"/>
  <c r="V68" i="19"/>
  <c r="V59" i="19"/>
  <c r="X119" i="19"/>
  <c r="X40" i="19"/>
  <c r="X24" i="19"/>
  <c r="X48" i="19"/>
  <c r="X120" i="19"/>
  <c r="X127" i="19"/>
  <c r="V25" i="19"/>
  <c r="X121" i="19"/>
  <c r="X14" i="19"/>
  <c r="V122" i="19"/>
  <c r="V27" i="19"/>
  <c r="V46" i="19"/>
  <c r="V32" i="19"/>
  <c r="V98" i="19"/>
  <c r="V3" i="19"/>
  <c r="V55" i="19"/>
  <c r="V116" i="19"/>
  <c r="V131" i="19"/>
  <c r="X72" i="19"/>
  <c r="X16" i="19"/>
  <c r="X25" i="19"/>
  <c r="V50" i="19"/>
  <c r="V53" i="19"/>
  <c r="X89" i="19"/>
  <c r="V66" i="19"/>
  <c r="X102" i="19"/>
  <c r="X135" i="19"/>
  <c r="V91" i="19"/>
  <c r="V117" i="19"/>
  <c r="X70" i="19"/>
  <c r="V35" i="19"/>
  <c r="X59" i="19"/>
  <c r="V40" i="19"/>
  <c r="V12" i="19"/>
  <c r="V132" i="19"/>
  <c r="X112" i="19"/>
  <c r="X50" i="19"/>
  <c r="X74" i="19"/>
  <c r="AE95" i="19"/>
  <c r="AE68" i="19"/>
  <c r="AE33" i="19"/>
  <c r="AE48" i="19"/>
  <c r="AE104" i="19"/>
  <c r="AE112" i="19"/>
  <c r="AE56" i="19"/>
  <c r="AE59" i="19"/>
  <c r="AE8" i="19"/>
  <c r="AE76" i="19"/>
  <c r="AE100" i="19"/>
  <c r="AE124" i="19"/>
  <c r="AE97" i="19"/>
  <c r="AE105" i="19"/>
  <c r="AE98" i="19"/>
  <c r="AE121" i="19"/>
  <c r="AE82" i="19"/>
  <c r="AE110" i="19"/>
  <c r="AE113" i="19"/>
  <c r="AE65" i="19"/>
  <c r="AE125" i="19"/>
  <c r="AE45" i="19"/>
  <c r="AE137" i="19"/>
  <c r="AE90" i="19"/>
  <c r="AE18" i="19"/>
  <c r="AE99" i="19"/>
  <c r="AE111" i="19"/>
  <c r="AE88" i="19"/>
  <c r="AE91" i="19"/>
  <c r="AE96" i="19"/>
  <c r="AE74" i="19"/>
  <c r="AE29" i="19"/>
  <c r="AE66" i="19"/>
  <c r="AE17" i="19"/>
  <c r="AE19" i="19"/>
  <c r="AE60" i="19"/>
  <c r="AE11" i="19"/>
  <c r="AE118" i="19"/>
  <c r="AE49" i="19"/>
  <c r="AE31" i="19"/>
  <c r="AE69" i="19"/>
  <c r="AE20" i="19"/>
  <c r="AE61" i="19"/>
  <c r="AE12" i="19"/>
  <c r="AE129" i="19"/>
  <c r="AE51" i="19"/>
  <c r="AE3" i="19"/>
  <c r="AE79" i="19"/>
  <c r="AE32" i="19"/>
  <c r="AE70" i="19"/>
  <c r="AE21" i="19"/>
  <c r="AE62" i="19"/>
  <c r="AE14" i="19"/>
  <c r="AE139" i="19"/>
  <c r="AE52" i="19"/>
  <c r="AE72" i="19"/>
  <c r="AE24" i="19"/>
  <c r="AE53" i="19"/>
  <c r="AE6" i="19"/>
  <c r="AE80" i="19"/>
  <c r="AE30" i="19"/>
  <c r="AE73" i="19"/>
  <c r="AE25" i="19"/>
  <c r="AE63" i="19"/>
  <c r="AE58" i="19"/>
  <c r="AE7" i="19"/>
  <c r="AE85" i="19"/>
  <c r="AE35" i="19"/>
  <c r="P28" i="19"/>
  <c r="P38" i="19"/>
  <c r="P13" i="19"/>
  <c r="P23" i="19"/>
  <c r="P22" i="19"/>
  <c r="P9" i="19"/>
  <c r="P26" i="19"/>
  <c r="P128" i="19"/>
  <c r="P98" i="19"/>
  <c r="P4" i="19"/>
  <c r="P14" i="19"/>
  <c r="P106" i="19"/>
  <c r="P109" i="19"/>
  <c r="P117" i="19"/>
  <c r="P122" i="19"/>
  <c r="P107" i="19"/>
  <c r="P102" i="19"/>
  <c r="P10" i="19"/>
  <c r="P134" i="19"/>
  <c r="P81" i="19"/>
  <c r="P16" i="19"/>
  <c r="P94" i="19"/>
  <c r="P136" i="19"/>
  <c r="P120" i="19"/>
  <c r="P114" i="19"/>
  <c r="P64" i="19"/>
  <c r="P86" i="19"/>
  <c r="P116" i="19"/>
  <c r="P115" i="19"/>
  <c r="P57" i="19"/>
  <c r="P67" i="19"/>
  <c r="P41" i="19"/>
  <c r="P39" i="19"/>
  <c r="P127" i="19"/>
  <c r="P74" i="19"/>
  <c r="P84" i="19"/>
  <c r="P83" i="19"/>
  <c r="P44" i="19"/>
  <c r="P42" i="19"/>
  <c r="P130" i="19"/>
  <c r="P103" i="19"/>
  <c r="P87" i="19"/>
  <c r="P62" i="19"/>
  <c r="P71" i="19"/>
  <c r="P55" i="19"/>
  <c r="P92" i="19"/>
  <c r="P119" i="19"/>
  <c r="P45" i="19"/>
  <c r="P43" i="19"/>
  <c r="P135" i="19"/>
  <c r="P37" i="19"/>
  <c r="P36" i="19"/>
  <c r="P47" i="19"/>
  <c r="P46" i="19"/>
  <c r="P33" i="19"/>
  <c r="P132" i="19"/>
  <c r="P133" i="19"/>
  <c r="P40" i="19"/>
  <c r="P50" i="19"/>
  <c r="P34" i="19"/>
  <c r="P21" i="19"/>
  <c r="P59" i="19"/>
  <c r="P73" i="19"/>
  <c r="F18" i="19"/>
  <c r="F19" i="19"/>
  <c r="P69" i="19"/>
  <c r="F7" i="19"/>
  <c r="F31" i="19"/>
  <c r="F24" i="19"/>
  <c r="P17" i="19"/>
  <c r="P70" i="19"/>
  <c r="P75" i="19"/>
  <c r="O2" i="19"/>
  <c r="P53" i="19"/>
  <c r="P139" i="19"/>
  <c r="F105" i="19"/>
  <c r="P79" i="19"/>
  <c r="F95" i="19"/>
  <c r="P111" i="19"/>
  <c r="P100" i="19"/>
  <c r="P63" i="19"/>
  <c r="F113" i="19"/>
  <c r="F60" i="19"/>
  <c r="F129" i="19"/>
  <c r="F91" i="19"/>
  <c r="P35" i="19"/>
  <c r="F110" i="19"/>
  <c r="P80" i="19"/>
  <c r="F29" i="19"/>
  <c r="F48" i="19"/>
  <c r="P113" i="19"/>
  <c r="P5" i="19"/>
  <c r="P125" i="19"/>
  <c r="P85" i="19"/>
  <c r="P90" i="19"/>
  <c r="P61" i="19"/>
  <c r="P91" i="19"/>
  <c r="P30" i="19"/>
  <c r="P65" i="19"/>
  <c r="P2" i="19"/>
  <c r="P48" i="19"/>
  <c r="P108" i="19"/>
  <c r="P18" i="19"/>
  <c r="P52" i="19"/>
  <c r="P104" i="19"/>
  <c r="P24" i="19"/>
  <c r="P124" i="19"/>
  <c r="F11" i="19"/>
  <c r="P6" i="19"/>
  <c r="P58" i="19"/>
  <c r="P137" i="19"/>
  <c r="P12" i="19"/>
  <c r="P96" i="19"/>
  <c r="P95" i="19"/>
  <c r="P99" i="19"/>
  <c r="P129" i="19"/>
  <c r="P49" i="19"/>
  <c r="P88" i="19"/>
  <c r="P112" i="19"/>
  <c r="P76" i="19"/>
  <c r="P25" i="19"/>
  <c r="P32" i="19"/>
  <c r="P68" i="19"/>
  <c r="P66" i="19"/>
  <c r="P51" i="19"/>
  <c r="P56" i="19"/>
  <c r="P72" i="19"/>
  <c r="P20" i="19"/>
  <c r="P31" i="19"/>
  <c r="P15" i="19"/>
  <c r="P105" i="19"/>
  <c r="P60" i="19"/>
  <c r="P8" i="19"/>
  <c r="P19" i="19"/>
  <c r="P29" i="19"/>
  <c r="P3" i="19"/>
  <c r="P121" i="19"/>
  <c r="P97" i="19"/>
  <c r="P7" i="19"/>
  <c r="P82" i="19"/>
  <c r="P118" i="19"/>
  <c r="P11" i="19"/>
  <c r="P110" i="19"/>
  <c r="F75" i="19"/>
  <c r="F35" i="19"/>
  <c r="F53" i="19"/>
  <c r="F80" i="19"/>
  <c r="F59" i="19"/>
  <c r="F69" i="19"/>
  <c r="F79" i="19"/>
  <c r="F139" i="19"/>
  <c r="F111" i="19"/>
  <c r="F56" i="19"/>
  <c r="F73" i="19"/>
  <c r="F99" i="19"/>
  <c r="F85" i="19"/>
  <c r="F125" i="19"/>
  <c r="F27" i="19"/>
  <c r="F97" i="19"/>
  <c r="F96" i="19"/>
  <c r="F58" i="19"/>
  <c r="F45" i="19"/>
  <c r="F5" i="19"/>
  <c r="F122" i="19"/>
  <c r="F16" i="19"/>
  <c r="F70" i="19"/>
  <c r="F81" i="19"/>
  <c r="F121" i="19"/>
  <c r="F84" i="19"/>
  <c r="F82" i="19"/>
  <c r="F68" i="19"/>
  <c r="F126" i="19"/>
  <c r="F138" i="19"/>
  <c r="F40" i="19"/>
  <c r="F137" i="19"/>
  <c r="F28" i="19"/>
  <c r="F133" i="19"/>
  <c r="F106" i="19"/>
  <c r="F104" i="19"/>
  <c r="F6" i="19"/>
  <c r="F136" i="19"/>
  <c r="F36" i="19"/>
  <c r="F76" i="19"/>
  <c r="F112" i="19"/>
  <c r="F89" i="19"/>
  <c r="F17" i="19"/>
  <c r="F26" i="19"/>
  <c r="F52" i="19"/>
  <c r="F21" i="19"/>
  <c r="F20" i="19"/>
  <c r="F13" i="19"/>
  <c r="F124" i="19"/>
  <c r="F71" i="19"/>
  <c r="F116" i="19"/>
  <c r="F2" i="19"/>
  <c r="F123" i="19"/>
  <c r="F101" i="19"/>
  <c r="F54" i="19"/>
  <c r="F65" i="19"/>
  <c r="F51" i="19"/>
  <c r="F50" i="19"/>
  <c r="F109" i="19"/>
  <c r="F78" i="19"/>
  <c r="F57" i="19"/>
  <c r="F131" i="19"/>
  <c r="F93" i="19"/>
  <c r="F62" i="19"/>
  <c r="F25" i="19"/>
  <c r="F83" i="19"/>
  <c r="F4" i="19"/>
  <c r="F37" i="19"/>
  <c r="F64" i="19"/>
  <c r="F66" i="19"/>
  <c r="F3" i="19"/>
  <c r="F49" i="19"/>
  <c r="F72" i="19"/>
  <c r="F88" i="19"/>
  <c r="F8" i="19"/>
  <c r="F90" i="19"/>
  <c r="F63" i="19"/>
  <c r="F100" i="19"/>
  <c r="F74" i="19"/>
  <c r="F61" i="19"/>
  <c r="F32" i="19"/>
  <c r="F30" i="19"/>
  <c r="F15" i="19"/>
  <c r="F107" i="19"/>
  <c r="F98" i="19"/>
  <c r="F12" i="19"/>
  <c r="F46" i="19"/>
  <c r="F140" i="19"/>
  <c r="U140" i="19" s="1"/>
  <c r="F77" i="19"/>
  <c r="F108" i="19"/>
  <c r="F34" i="19"/>
  <c r="F33" i="19"/>
  <c r="F14" i="19"/>
  <c r="R6" i="19" l="1"/>
  <c r="Y111" i="57"/>
  <c r="Y12" i="57"/>
  <c r="Y66" i="57"/>
  <c r="Y74" i="57"/>
  <c r="Y89" i="57"/>
  <c r="Y55" i="57"/>
  <c r="Y117" i="57"/>
  <c r="U57" i="19"/>
  <c r="Y58" i="57"/>
  <c r="Y126" i="57"/>
  <c r="Y106" i="57"/>
  <c r="Y71" i="57"/>
  <c r="Y27" i="57"/>
  <c r="Y125" i="57"/>
  <c r="Y112" i="57"/>
  <c r="Y91" i="57"/>
  <c r="Y34" i="57"/>
  <c r="Y46" i="57"/>
  <c r="Y42" i="57"/>
  <c r="Y6" i="57"/>
  <c r="Y79" i="57"/>
  <c r="Y53" i="57"/>
  <c r="Y78" i="57"/>
  <c r="Y130" i="57"/>
  <c r="Y76" i="57"/>
  <c r="Y105" i="57"/>
  <c r="Y108" i="57"/>
  <c r="Y54" i="57"/>
  <c r="Y107" i="57"/>
  <c r="Y140" i="57"/>
  <c r="Y70" i="57"/>
  <c r="Y31" i="57"/>
  <c r="Y29" i="57"/>
  <c r="R32" i="19"/>
  <c r="R18" i="19"/>
  <c r="Y26" i="57"/>
  <c r="Y88" i="57"/>
  <c r="R75" i="19"/>
  <c r="Y98" i="57"/>
  <c r="Y30" i="57"/>
  <c r="Y32" i="57"/>
  <c r="Y48" i="57"/>
  <c r="Y118" i="57"/>
  <c r="Y65" i="57"/>
  <c r="Y83" i="57"/>
  <c r="Y82" i="57"/>
  <c r="Y73" i="57"/>
  <c r="Y123" i="57"/>
  <c r="Y96" i="57"/>
  <c r="Y84" i="57"/>
  <c r="Y38" i="57"/>
  <c r="Y35" i="57"/>
  <c r="Y120" i="57"/>
  <c r="Y113" i="57"/>
  <c r="Y56" i="57"/>
  <c r="Y119" i="57"/>
  <c r="Y17" i="57"/>
  <c r="Y104" i="57"/>
  <c r="Y134" i="57"/>
  <c r="Y138" i="57"/>
  <c r="Y137" i="57"/>
  <c r="Y94" i="57"/>
  <c r="Y21" i="57"/>
  <c r="Y44" i="57"/>
  <c r="Y131" i="57"/>
  <c r="Y100" i="57"/>
  <c r="Y13" i="57"/>
  <c r="Y75" i="57"/>
  <c r="Y7" i="57"/>
  <c r="Y86" i="57"/>
  <c r="Y129" i="57"/>
  <c r="Y3" i="57"/>
  <c r="Y14" i="57"/>
  <c r="Y68" i="57"/>
  <c r="Y80" i="57"/>
  <c r="Y128" i="57"/>
  <c r="Y133" i="57"/>
  <c r="Y51" i="57"/>
  <c r="Y77" i="57"/>
  <c r="Y49" i="57"/>
  <c r="Y103" i="57"/>
  <c r="Y20" i="57"/>
  <c r="Y81" i="57"/>
  <c r="Y61" i="57"/>
  <c r="Y116" i="57"/>
  <c r="Y60" i="57"/>
  <c r="Y5" i="57"/>
  <c r="Y10" i="57"/>
  <c r="Y22" i="57"/>
  <c r="Y69" i="57"/>
  <c r="Y90" i="57"/>
  <c r="Y132" i="57"/>
  <c r="Y11" i="57"/>
  <c r="Y59" i="57"/>
  <c r="Y15" i="57"/>
  <c r="Y124" i="57"/>
  <c r="Y18" i="57"/>
  <c r="Y45" i="57"/>
  <c r="Y2" i="57"/>
  <c r="Y19" i="57"/>
  <c r="Y41" i="57"/>
  <c r="Y28" i="57"/>
  <c r="Y135" i="57"/>
  <c r="Y57" i="57"/>
  <c r="Y9" i="57"/>
  <c r="Y95" i="57"/>
  <c r="Y87" i="57"/>
  <c r="Y52" i="57"/>
  <c r="Y121" i="57"/>
  <c r="Y33" i="57"/>
  <c r="Y99" i="57"/>
  <c r="Y25" i="57"/>
  <c r="Y85" i="57"/>
  <c r="Y8" i="57"/>
  <c r="Y24" i="57"/>
  <c r="Y101" i="57"/>
  <c r="Y72" i="57"/>
  <c r="Y114" i="57"/>
  <c r="Y97" i="57"/>
  <c r="Y47" i="57"/>
  <c r="Y102" i="57"/>
  <c r="Y50" i="57"/>
  <c r="Y37" i="57"/>
  <c r="Y110" i="57"/>
  <c r="Y122" i="57"/>
  <c r="Y16" i="57"/>
  <c r="Y43" i="57"/>
  <c r="Y93" i="57"/>
  <c r="Y115" i="57"/>
  <c r="Y39" i="57"/>
  <c r="Y67" i="57"/>
  <c r="Y62" i="57"/>
  <c r="U121" i="19"/>
  <c r="R129" i="19"/>
  <c r="R76" i="19"/>
  <c r="U37" i="19"/>
  <c r="U40" i="19"/>
  <c r="U107" i="19"/>
  <c r="U78" i="19"/>
  <c r="W134" i="19"/>
  <c r="T55" i="19"/>
  <c r="T38" i="19"/>
  <c r="T116" i="19"/>
  <c r="W132" i="19"/>
  <c r="U111" i="19"/>
  <c r="W117" i="19"/>
  <c r="U83" i="19"/>
  <c r="U17" i="19"/>
  <c r="U126" i="19"/>
  <c r="U95" i="19"/>
  <c r="R85" i="19"/>
  <c r="U75" i="19"/>
  <c r="W103" i="19"/>
  <c r="T103" i="19"/>
  <c r="W122" i="19"/>
  <c r="R72" i="19"/>
  <c r="R35" i="19"/>
  <c r="R68" i="19"/>
  <c r="T50" i="19"/>
  <c r="T126" i="19"/>
  <c r="R61" i="19"/>
  <c r="R56" i="19"/>
  <c r="R66" i="19"/>
  <c r="T122" i="19"/>
  <c r="U103" i="19"/>
  <c r="R98" i="19"/>
  <c r="R49" i="19"/>
  <c r="R2" i="19"/>
  <c r="R70" i="19"/>
  <c r="R73" i="19"/>
  <c r="R80" i="19"/>
  <c r="R24" i="19"/>
  <c r="R74" i="19"/>
  <c r="R48" i="19"/>
  <c r="R19" i="19"/>
  <c r="R62" i="19"/>
  <c r="R96" i="19"/>
  <c r="R21" i="19"/>
  <c r="R99" i="19"/>
  <c r="R118" i="19"/>
  <c r="R7" i="19"/>
  <c r="W131" i="19"/>
  <c r="R100" i="19"/>
  <c r="R12" i="19"/>
  <c r="R113" i="19"/>
  <c r="R124" i="19"/>
  <c r="R15" i="19"/>
  <c r="R60" i="19"/>
  <c r="R4" i="19"/>
  <c r="U45" i="19"/>
  <c r="R112" i="19"/>
  <c r="T131" i="19"/>
  <c r="T140" i="19"/>
  <c r="T13" i="19"/>
  <c r="R3" i="19"/>
  <c r="U22" i="19"/>
  <c r="U54" i="19"/>
  <c r="W123" i="19"/>
  <c r="T135" i="19"/>
  <c r="U123" i="19"/>
  <c r="W135" i="19"/>
  <c r="R25" i="19"/>
  <c r="U135" i="19"/>
  <c r="R139" i="19"/>
  <c r="T54" i="19"/>
  <c r="W113" i="19"/>
  <c r="U13" i="19"/>
  <c r="U97" i="19"/>
  <c r="R63" i="19"/>
  <c r="T66" i="19"/>
  <c r="R88" i="19"/>
  <c r="R11" i="19"/>
  <c r="U58" i="19"/>
  <c r="U128" i="19"/>
  <c r="U110" i="19"/>
  <c r="T120" i="19"/>
  <c r="U5" i="19"/>
  <c r="R69" i="19"/>
  <c r="T57" i="19"/>
  <c r="U9" i="19"/>
  <c r="W128" i="19"/>
  <c r="R59" i="19"/>
  <c r="U104" i="19"/>
  <c r="U109" i="19"/>
  <c r="R8" i="19"/>
  <c r="R52" i="19"/>
  <c r="W77" i="19"/>
  <c r="U77" i="19"/>
  <c r="U120" i="19"/>
  <c r="R79" i="19"/>
  <c r="U14" i="19"/>
  <c r="T75" i="19"/>
  <c r="R20" i="19"/>
  <c r="U138" i="19"/>
  <c r="T110" i="19"/>
  <c r="T77" i="19"/>
  <c r="T9" i="19"/>
  <c r="T22" i="19"/>
  <c r="W119" i="19"/>
  <c r="W120" i="19"/>
  <c r="R29" i="19"/>
  <c r="R51" i="19"/>
  <c r="R125" i="19"/>
  <c r="W90" i="19"/>
  <c r="R90" i="19"/>
  <c r="U48" i="19"/>
  <c r="T109" i="19"/>
  <c r="R86" i="19"/>
  <c r="U86" i="19"/>
  <c r="U105" i="19"/>
  <c r="T74" i="19"/>
  <c r="U100" i="19"/>
  <c r="T24" i="19"/>
  <c r="U53" i="19"/>
  <c r="U70" i="19"/>
  <c r="U80" i="19"/>
  <c r="U60" i="19"/>
  <c r="W106" i="19"/>
  <c r="R45" i="19"/>
  <c r="R31" i="19"/>
  <c r="W133" i="19"/>
  <c r="R133" i="19"/>
  <c r="U133" i="19"/>
  <c r="R82" i="19"/>
  <c r="R95" i="19"/>
  <c r="R17" i="19"/>
  <c r="R137" i="19"/>
  <c r="T134" i="19"/>
  <c r="U129" i="19"/>
  <c r="T67" i="19"/>
  <c r="U12" i="19"/>
  <c r="U122" i="19"/>
  <c r="U59" i="19"/>
  <c r="T35" i="19"/>
  <c r="U55" i="19"/>
  <c r="U29" i="19"/>
  <c r="T72" i="19"/>
  <c r="T45" i="19"/>
  <c r="T4" i="19"/>
  <c r="U19" i="19"/>
  <c r="U131" i="19"/>
  <c r="W30" i="19"/>
  <c r="R30" i="19"/>
  <c r="W101" i="19"/>
  <c r="R101" i="19"/>
  <c r="U66" i="19"/>
  <c r="T139" i="19"/>
  <c r="T99" i="19"/>
  <c r="T70" i="19"/>
  <c r="T138" i="19"/>
  <c r="U113" i="19"/>
  <c r="T106" i="19"/>
  <c r="U93" i="19"/>
  <c r="R27" i="19"/>
  <c r="T27" i="19"/>
  <c r="T88" i="19"/>
  <c r="T86" i="19"/>
  <c r="T92" i="19"/>
  <c r="U32" i="19"/>
  <c r="R58" i="19"/>
  <c r="T102" i="19"/>
  <c r="U41" i="19"/>
  <c r="T48" i="19"/>
  <c r="T2" i="19"/>
  <c r="T15" i="19"/>
  <c r="T25" i="19"/>
  <c r="T30" i="19"/>
  <c r="U27" i="19"/>
  <c r="U88" i="19"/>
  <c r="U76" i="19"/>
  <c r="T112" i="19"/>
  <c r="T6" i="19"/>
  <c r="U52" i="19"/>
  <c r="T63" i="19"/>
  <c r="T26" i="19"/>
  <c r="U31" i="19"/>
  <c r="U47" i="19"/>
  <c r="T113" i="19"/>
  <c r="W107" i="19"/>
  <c r="R107" i="19"/>
  <c r="R108" i="19"/>
  <c r="R110" i="19"/>
  <c r="R121" i="19"/>
  <c r="R111" i="19"/>
  <c r="U38" i="19"/>
  <c r="U62" i="19"/>
  <c r="U114" i="19"/>
  <c r="T37" i="19"/>
  <c r="T14" i="19"/>
  <c r="U137" i="19"/>
  <c r="U134" i="19"/>
  <c r="U98" i="19"/>
  <c r="T119" i="19"/>
  <c r="U101" i="19"/>
  <c r="U16" i="19"/>
  <c r="T85" i="19"/>
  <c r="U92" i="19"/>
  <c r="U4" i="19"/>
  <c r="T73" i="19"/>
  <c r="T68" i="19"/>
  <c r="T93" i="19"/>
  <c r="T133" i="19"/>
  <c r="U79" i="19"/>
  <c r="W91" i="19"/>
  <c r="R91" i="19"/>
  <c r="U91" i="19"/>
  <c r="R105" i="19"/>
  <c r="R43" i="19"/>
  <c r="T43" i="19"/>
  <c r="T34" i="19"/>
  <c r="T61" i="19"/>
  <c r="T51" i="19"/>
  <c r="U112" i="19"/>
  <c r="U11" i="19"/>
  <c r="T20" i="19"/>
  <c r="T64" i="19"/>
  <c r="U85" i="19"/>
  <c r="R23" i="19"/>
  <c r="U23" i="19"/>
  <c r="T29" i="19"/>
  <c r="U73" i="19"/>
  <c r="U61" i="19"/>
  <c r="T100" i="19"/>
  <c r="U139" i="19"/>
  <c r="U71" i="19"/>
  <c r="U87" i="19"/>
  <c r="T136" i="19"/>
  <c r="W97" i="19"/>
  <c r="R97" i="19"/>
  <c r="U34" i="19"/>
  <c r="T114" i="19"/>
  <c r="T124" i="19"/>
  <c r="U24" i="19"/>
  <c r="T59" i="19"/>
  <c r="T46" i="19"/>
  <c r="U127" i="19"/>
  <c r="U102" i="19"/>
  <c r="U18" i="19"/>
  <c r="T47" i="19"/>
  <c r="U125" i="19"/>
  <c r="T32" i="19"/>
  <c r="U3" i="19"/>
  <c r="T19" i="19"/>
  <c r="T123" i="19"/>
  <c r="U64" i="19"/>
  <c r="T69" i="19"/>
  <c r="T87" i="19"/>
  <c r="T83" i="19"/>
  <c r="U117" i="19"/>
  <c r="T40" i="19"/>
  <c r="U132" i="19"/>
  <c r="U56" i="19"/>
  <c r="R33" i="19"/>
  <c r="R65" i="19"/>
  <c r="W104" i="19"/>
  <c r="R104" i="19"/>
  <c r="T89" i="19"/>
  <c r="U21" i="19"/>
  <c r="T71" i="19"/>
  <c r="T18" i="19"/>
  <c r="T98" i="19"/>
  <c r="T49" i="19"/>
  <c r="U67" i="19"/>
  <c r="T79" i="19"/>
  <c r="T58" i="19"/>
  <c r="T3" i="19"/>
  <c r="T62" i="19"/>
  <c r="T12" i="19"/>
  <c r="T7" i="19"/>
  <c r="U44" i="19"/>
  <c r="U49" i="19"/>
  <c r="T16" i="19"/>
  <c r="U43" i="19"/>
  <c r="U116" i="19"/>
  <c r="U10" i="19"/>
  <c r="U119" i="19"/>
  <c r="W109" i="19"/>
  <c r="R109" i="19"/>
  <c r="T60" i="19"/>
  <c r="U90" i="19"/>
  <c r="U51" i="19"/>
  <c r="U124" i="19"/>
  <c r="T108" i="19"/>
  <c r="T52" i="19"/>
  <c r="T129" i="19"/>
  <c r="R5" i="19"/>
  <c r="T80" i="19"/>
  <c r="T42" i="19"/>
  <c r="U108" i="19"/>
  <c r="T95" i="19"/>
  <c r="U96" i="19"/>
  <c r="T90" i="19"/>
  <c r="T128" i="19"/>
  <c r="T130" i="19"/>
  <c r="T44" i="19"/>
  <c r="T5" i="19"/>
  <c r="T127" i="19"/>
  <c r="U8" i="19"/>
  <c r="R28" i="19"/>
  <c r="U28" i="19"/>
  <c r="U26" i="19"/>
  <c r="U99" i="19"/>
  <c r="T125" i="19"/>
  <c r="T21" i="19"/>
  <c r="R39" i="19"/>
  <c r="U39" i="19"/>
  <c r="U30" i="19"/>
  <c r="T84" i="19"/>
  <c r="U6" i="19"/>
  <c r="U106" i="19"/>
  <c r="U65" i="19"/>
  <c r="R81" i="19"/>
  <c r="U81" i="19"/>
  <c r="U84" i="19"/>
  <c r="T11" i="19"/>
  <c r="T41" i="19"/>
  <c r="U46" i="19"/>
  <c r="U68" i="19"/>
  <c r="T78" i="19"/>
  <c r="R14" i="19"/>
  <c r="U25" i="19"/>
  <c r="T118" i="19"/>
  <c r="T56" i="19"/>
  <c r="T28" i="19"/>
  <c r="T10" i="19"/>
  <c r="R94" i="19"/>
  <c r="U94" i="19"/>
  <c r="U15" i="19"/>
  <c r="R36" i="19"/>
  <c r="U36" i="19"/>
  <c r="U74" i="19"/>
  <c r="U130" i="19"/>
  <c r="T97" i="19"/>
  <c r="U33" i="19"/>
  <c r="R115" i="19"/>
  <c r="T115" i="19"/>
  <c r="T132" i="19"/>
  <c r="U118" i="19"/>
  <c r="T76" i="19"/>
  <c r="U82" i="19"/>
  <c r="U69" i="19"/>
  <c r="U72" i="19"/>
  <c r="T39" i="19"/>
  <c r="U7" i="19"/>
  <c r="U20" i="19"/>
  <c r="U50" i="19"/>
  <c r="W138" i="19"/>
  <c r="R138" i="19"/>
  <c r="R53" i="19"/>
  <c r="T101" i="19"/>
  <c r="T33" i="19"/>
  <c r="U2" i="19"/>
  <c r="U63" i="19"/>
  <c r="T104" i="19"/>
  <c r="T117" i="19"/>
  <c r="U35" i="19"/>
  <c r="T96" i="19"/>
  <c r="U89" i="19"/>
  <c r="U136" i="19"/>
  <c r="T8" i="19"/>
  <c r="U42" i="19"/>
  <c r="T17" i="19"/>
  <c r="W96" i="19"/>
  <c r="W108" i="19"/>
  <c r="W100" i="19"/>
  <c r="W137" i="19"/>
  <c r="W56" i="19"/>
  <c r="W3" i="19"/>
  <c r="W125" i="19"/>
  <c r="W110" i="19"/>
  <c r="W99" i="19"/>
  <c r="W105" i="19"/>
  <c r="W112" i="19"/>
  <c r="W98" i="19"/>
  <c r="W111" i="19"/>
  <c r="W88" i="19"/>
  <c r="W124" i="19"/>
  <c r="W121" i="19"/>
  <c r="W48" i="19"/>
  <c r="W81" i="19"/>
  <c r="W71" i="19"/>
  <c r="W32" i="19"/>
  <c r="W66" i="19"/>
  <c r="W65" i="19"/>
  <c r="W27" i="19"/>
  <c r="W15" i="19"/>
  <c r="W20" i="19"/>
  <c r="W63" i="19"/>
  <c r="W74" i="19"/>
  <c r="W49" i="19"/>
  <c r="W85" i="19"/>
  <c r="W45" i="19"/>
  <c r="W67" i="19"/>
  <c r="W92" i="19"/>
  <c r="W94" i="19"/>
  <c r="W16" i="19"/>
  <c r="W28" i="19"/>
  <c r="W43" i="19"/>
  <c r="W64" i="19"/>
  <c r="W29" i="19"/>
  <c r="W50" i="19"/>
  <c r="W83" i="19"/>
  <c r="W52" i="19"/>
  <c r="W58" i="19"/>
  <c r="W139" i="19"/>
  <c r="W87" i="19"/>
  <c r="W84" i="19"/>
  <c r="W54" i="19"/>
  <c r="W46" i="19"/>
  <c r="W42" i="19"/>
  <c r="W51" i="19"/>
  <c r="W82" i="19"/>
  <c r="W44" i="19"/>
  <c r="W34" i="19"/>
  <c r="W21" i="19"/>
  <c r="W102" i="19"/>
  <c r="W115" i="19"/>
  <c r="W7" i="19"/>
  <c r="W78" i="19"/>
  <c r="W12" i="19"/>
  <c r="W14" i="19"/>
  <c r="W17" i="19"/>
  <c r="W8" i="19"/>
  <c r="W23" i="19"/>
  <c r="W19" i="19"/>
  <c r="W69" i="19"/>
  <c r="W68" i="19"/>
  <c r="W129" i="19"/>
  <c r="W73" i="19"/>
  <c r="W130" i="19"/>
  <c r="W72" i="19"/>
  <c r="W127" i="19"/>
  <c r="W35" i="19"/>
  <c r="W114" i="19"/>
  <c r="W89" i="19"/>
  <c r="W18" i="19"/>
  <c r="W24" i="19"/>
  <c r="W41" i="19"/>
  <c r="W9" i="19"/>
  <c r="W10" i="19"/>
  <c r="W2" i="19"/>
  <c r="W36" i="19"/>
  <c r="W79" i="19"/>
  <c r="W26" i="19"/>
  <c r="W37" i="19"/>
  <c r="W6" i="19"/>
  <c r="W4" i="19"/>
  <c r="W25" i="19"/>
  <c r="W5" i="19"/>
  <c r="W80" i="19"/>
  <c r="W59" i="19"/>
  <c r="W126" i="19"/>
  <c r="W13" i="19"/>
  <c r="W38" i="19"/>
  <c r="W93" i="19"/>
  <c r="W40" i="19"/>
  <c r="W61" i="19"/>
  <c r="W60" i="19"/>
  <c r="W47" i="19"/>
  <c r="W70" i="19"/>
  <c r="W39" i="19"/>
  <c r="W62" i="19"/>
  <c r="W31" i="19"/>
  <c r="W76" i="19"/>
  <c r="W116" i="19"/>
  <c r="W95" i="19"/>
  <c r="W140" i="19"/>
  <c r="W57" i="19"/>
  <c r="W86" i="19"/>
  <c r="W136" i="19"/>
  <c r="W53" i="19"/>
  <c r="W22" i="19"/>
  <c r="W33" i="19"/>
  <c r="W118" i="19"/>
  <c r="W11" i="19"/>
  <c r="W55" i="19"/>
  <c r="W75" i="19"/>
  <c r="Y121" i="19" l="1"/>
  <c r="Y126" i="19"/>
  <c r="Y57" i="19"/>
  <c r="Y107" i="19"/>
  <c r="Y140" i="19"/>
  <c r="Y111" i="19"/>
  <c r="Y13" i="19"/>
  <c r="Y103" i="19"/>
  <c r="Y66" i="19"/>
  <c r="Y22" i="19"/>
  <c r="Y122" i="19"/>
  <c r="Y75" i="19"/>
  <c r="Y54" i="19"/>
  <c r="Y91" i="19"/>
  <c r="Y123" i="19"/>
  <c r="Y128" i="19"/>
  <c r="Y135" i="19"/>
  <c r="Y90" i="19"/>
  <c r="Y125" i="19"/>
  <c r="Y32" i="19"/>
  <c r="Y113" i="19"/>
  <c r="Y131" i="19"/>
  <c r="Y9" i="19"/>
  <c r="Y88" i="19"/>
  <c r="Y28" i="19"/>
  <c r="Y77" i="19"/>
  <c r="Y133" i="19"/>
  <c r="Y96" i="19"/>
  <c r="Y14" i="19"/>
  <c r="Y15" i="19"/>
  <c r="Y35" i="19"/>
  <c r="Y104" i="19"/>
  <c r="Y36" i="19"/>
  <c r="Y108" i="19"/>
  <c r="Y71" i="19"/>
  <c r="Y87" i="19"/>
  <c r="Y100" i="19"/>
  <c r="Y61" i="19"/>
  <c r="Y73" i="19"/>
  <c r="Y48" i="19"/>
  <c r="Y4" i="19"/>
  <c r="Y98" i="19"/>
  <c r="Y63" i="19"/>
  <c r="Y68" i="19"/>
  <c r="Y130" i="19"/>
  <c r="Y69" i="19"/>
  <c r="Y59" i="19"/>
  <c r="Y45" i="19"/>
  <c r="Y53" i="19"/>
  <c r="Y129" i="19"/>
  <c r="Y82" i="19"/>
  <c r="Y7" i="19"/>
  <c r="Y43" i="19"/>
  <c r="Y38" i="19"/>
  <c r="Y70" i="19"/>
  <c r="Y72" i="19"/>
  <c r="Y24" i="19"/>
  <c r="Y33" i="19"/>
  <c r="Y76" i="19"/>
  <c r="Y94" i="19"/>
  <c r="Y21" i="19"/>
  <c r="Y124" i="19"/>
  <c r="Y29" i="19"/>
  <c r="Y85" i="19"/>
  <c r="Y6" i="19"/>
  <c r="Y99" i="19"/>
  <c r="Y17" i="19"/>
  <c r="Y101" i="19"/>
  <c r="Y118" i="19"/>
  <c r="Y11" i="19"/>
  <c r="Y60" i="19"/>
  <c r="Y62" i="19"/>
  <c r="Y19" i="19"/>
  <c r="Y114" i="19"/>
  <c r="Y23" i="19"/>
  <c r="Y112" i="19"/>
  <c r="Y55" i="19"/>
  <c r="Y74" i="19"/>
  <c r="Y95" i="19"/>
  <c r="Y3" i="19"/>
  <c r="Y105" i="19"/>
  <c r="Y8" i="19"/>
  <c r="Y115" i="19"/>
  <c r="Y81" i="19"/>
  <c r="Y58" i="19"/>
  <c r="Y119" i="19"/>
  <c r="Y120" i="19"/>
  <c r="Y110" i="19"/>
  <c r="Y50" i="19"/>
  <c r="Y56" i="19"/>
  <c r="Y65" i="19"/>
  <c r="Y20" i="19"/>
  <c r="Y79" i="19"/>
  <c r="Y30" i="19"/>
  <c r="Y12" i="19"/>
  <c r="Y97" i="19"/>
  <c r="Y116" i="19"/>
  <c r="Y49" i="19"/>
  <c r="Y137" i="19"/>
  <c r="Y25" i="19"/>
  <c r="Y117" i="19"/>
  <c r="Y5" i="19"/>
  <c r="Y52" i="19"/>
  <c r="Y18" i="19"/>
  <c r="Y51" i="19"/>
  <c r="Y37" i="19"/>
  <c r="Y31" i="19"/>
  <c r="Y2" i="19"/>
  <c r="Y106" i="19"/>
  <c r="Y134" i="19"/>
  <c r="Y80" i="19"/>
  <c r="Y132" i="19"/>
  <c r="Y10" i="19"/>
  <c r="Y34" i="19"/>
  <c r="Y138" i="19"/>
  <c r="Y109" i="19"/>
  <c r="Y102" i="19"/>
  <c r="Y42" i="19"/>
  <c r="Y92" i="19"/>
  <c r="Y47" i="19"/>
  <c r="Y136" i="19"/>
  <c r="Y64" i="19"/>
  <c r="Y86" i="19"/>
  <c r="Y39" i="19"/>
  <c r="Y127" i="19"/>
  <c r="Y40" i="19"/>
  <c r="Y78" i="19"/>
  <c r="Y84" i="19"/>
  <c r="Y27" i="19"/>
  <c r="Y44" i="19"/>
  <c r="Y16" i="19"/>
  <c r="Y83" i="19"/>
  <c r="Y46" i="19"/>
  <c r="Y93" i="19"/>
  <c r="Y41" i="19"/>
  <c r="Y89" i="19"/>
  <c r="Y26" i="19"/>
  <c r="Y67"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714E7B2-BCC8-49CC-8D2C-BAB714B6874B}" keepAlive="1" name="Query - Combined20212022" description="Connection to the 'Combined20212022' query in the workbook." type="5" refreshedVersion="7" background="1" saveData="1">
    <dbPr connection="Provider=Microsoft.Mashup.OleDb.1;Data Source=$Workbook$;Location=Combined20212022;Extended Properties=&quot;&quot;" command="SELECT * FROM [Combined20212022]"/>
  </connection>
  <connection id="2" xr16:uid="{48FC2D64-7185-408D-96CA-40D858839DB2}" keepAlive="1" name="Query - Data2021" description="Connection to the 'Data2021' query in the workbook." type="5" refreshedVersion="0" background="1">
    <dbPr connection="Provider=Microsoft.Mashup.OleDb.1;Data Source=$Workbook$;Location=Data2021;Extended Properties=&quot;&quot;" command="SELECT * FROM [Data2021]"/>
  </connection>
  <connection id="3" xr16:uid="{AA010273-5420-4827-8D2E-5BBC0C4EAE37}" keepAlive="1" name="Query - Data2022" description="Connection to the 'Data2022' query in the workbook." type="5" refreshedVersion="0" background="1">
    <dbPr connection="Provider=Microsoft.Mashup.OleDb.1;Data Source=$Workbook$;Location=Data2022;Extended Properties=&quot;&quot;" command="SELECT * FROM [Data2022]"/>
  </connection>
  <connection id="4" xr16:uid="{AB67F20C-C3DD-4A7E-973D-518D952B721A}"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B577AF2A-0DEB-49F4-A69F-B9B9741B536D}" name="WorksheetConnection_AM 2022 Jaren vergelijking.xlsx!Combined20212022" type="102" refreshedVersion="7" minRefreshableVersion="5">
    <extLst>
      <ext xmlns:x15="http://schemas.microsoft.com/office/spreadsheetml/2010/11/main" uri="{DE250136-89BD-433C-8126-D09CA5730AF9}">
        <x15:connection id="Combined20212022">
          <x15:rangePr sourceName="_xlcn.WorksheetConnection_AM2022Jarenvergelijking.xlsxCombined202120221"/>
        </x15:connection>
      </ext>
    </extLst>
  </connection>
  <connection id="6" xr16:uid="{EEFA538C-75F1-4F4E-ACED-CF7C14D8A372}" name="WorksheetConnection_AM 2022 Jaren vergelijking.xlsx!Data2021" type="102" refreshedVersion="7" minRefreshableVersion="5">
    <extLst>
      <ext xmlns:x15="http://schemas.microsoft.com/office/spreadsheetml/2010/11/main" uri="{DE250136-89BD-433C-8126-D09CA5730AF9}">
        <x15:connection id="Data2021">
          <x15:rangePr sourceName="_xlcn.WorksheetConnection_AM2022Jarenvergelijking.xlsxData20211"/>
        </x15:connection>
      </ext>
    </extLst>
  </connection>
  <connection id="7" xr16:uid="{48924D3B-4138-4AC1-B647-010EAB47D090}" name="WorksheetConnection_AM 2022 Jaren vergelijking.xlsx!Data2022" type="102" refreshedVersion="7" minRefreshableVersion="5" saveData="1">
    <extLst>
      <ext xmlns:x15="http://schemas.microsoft.com/office/spreadsheetml/2010/11/main" uri="{DE250136-89BD-433C-8126-D09CA5730AF9}">
        <x15:connection id="Data2022" autoDelete="1">
          <x15:rangePr sourceName="_xlcn.WorksheetConnection_AM2022Jarenvergelijking.xlsxData202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ombined20212022].[type].[All]}"/>
  </metadataStrings>
  <mdxMetadata count="1">
    <mdx n="0" f="s">
      <ms ns="1" c="0"/>
    </mdx>
  </mdxMetadata>
  <valueMetadata count="1">
    <bk>
      <rc t="1" v="0"/>
    </bk>
  </valueMetadata>
</metadata>
</file>

<file path=xl/sharedStrings.xml><?xml version="1.0" encoding="utf-8"?>
<sst xmlns="http://schemas.openxmlformats.org/spreadsheetml/2006/main" count="41664" uniqueCount="18133">
  <si>
    <t>organisation_id</t>
  </si>
  <si>
    <t>organisation_name</t>
  </si>
  <si>
    <t>organisation_type</t>
  </si>
  <si>
    <t>organisation_email</t>
  </si>
  <si>
    <t>organisation_status</t>
  </si>
  <si>
    <t>sector</t>
  </si>
  <si>
    <t>number_of_members</t>
  </si>
  <si>
    <t>number_of_inactive_members_other_association</t>
  </si>
  <si>
    <t>number_of_international_members_eea</t>
  </si>
  <si>
    <t>number_of_international_members_not_eea</t>
  </si>
  <si>
    <t>number_of_committee_board_members</t>
  </si>
  <si>
    <t>number_of_international_committee_board_members_eea</t>
  </si>
  <si>
    <t>number_of_international_committee_board_members_not_eea</t>
  </si>
  <si>
    <t>Break-even</t>
  </si>
  <si>
    <t>association</t>
  </si>
  <si>
    <t>board@breakeven.utwente.nl</t>
  </si>
  <si>
    <t>active</t>
  </si>
  <si>
    <t>Culture</t>
  </si>
  <si>
    <t>DAV Kronos</t>
  </si>
  <si>
    <t>bestuur@kronos.nl</t>
  </si>
  <si>
    <t>Sports</t>
  </si>
  <si>
    <t>DBV Arriba</t>
  </si>
  <si>
    <t>boardarriba@gmail.com</t>
  </si>
  <si>
    <t>DSTV Aloha</t>
  </si>
  <si>
    <t>info@alohatriathlon.nl</t>
  </si>
  <si>
    <t>DSV de Skeuvel</t>
  </si>
  <si>
    <t>bestuur@skeuvel.nl</t>
  </si>
  <si>
    <t>DTTV Thibats</t>
  </si>
  <si>
    <t>bestuur@thibats.nl</t>
  </si>
  <si>
    <t>DWV Hardboard</t>
  </si>
  <si>
    <t>bestuur@dwvhardboard.nl</t>
  </si>
  <si>
    <t>DWV Klein Verzet</t>
  </si>
  <si>
    <t>bestuur@kleinverzet.utwente.nl</t>
  </si>
  <si>
    <t>DBV DIOK</t>
  </si>
  <si>
    <t>info@diok.nl</t>
  </si>
  <si>
    <t>DBV de Stretchers</t>
  </si>
  <si>
    <t>info@stretchers.nl</t>
  </si>
  <si>
    <t>DHC Drienerlo</t>
  </si>
  <si>
    <t>bestuur@dhcdrienerlo.nl</t>
  </si>
  <si>
    <t>DKV Euros</t>
  </si>
  <si>
    <t>bestuur@euroskano.nl</t>
  </si>
  <si>
    <t>DRV Euros</t>
  </si>
  <si>
    <t>bestuur@drv-euros.nl</t>
  </si>
  <si>
    <t>DRV Hippocampus</t>
  </si>
  <si>
    <t>bestuur@hippo.utwente.nl</t>
  </si>
  <si>
    <t>DSSV Tartaros</t>
  </si>
  <si>
    <t>bestuur@dssv-tartaros.nl</t>
  </si>
  <si>
    <t>DZV Euros</t>
  </si>
  <si>
    <t>bestuur@euros.nl</t>
  </si>
  <si>
    <t>EEEHV Cabezota</t>
  </si>
  <si>
    <t>bestuur@cabezota.utwente.nl</t>
  </si>
  <si>
    <t>ESBV Buitenwesten</t>
  </si>
  <si>
    <t>bestuur@buitenwesten.utwente.nl</t>
  </si>
  <si>
    <t>HSV High-Tech-Hitters</t>
  </si>
  <si>
    <t>bestuur@hth.utwente.nl</t>
  </si>
  <si>
    <t>Linea Recta</t>
  </si>
  <si>
    <t>bestuur@linearecta.utwente.nl</t>
  </si>
  <si>
    <t>Messed Up</t>
  </si>
  <si>
    <t>info@messedup.utwente.nl</t>
  </si>
  <si>
    <t>Motor Sport Groep</t>
  </si>
  <si>
    <t>voorzitter@msg.utwente.nl</t>
  </si>
  <si>
    <t>SKV Vakgericht</t>
  </si>
  <si>
    <t>bestuur@vakgericht.nl</t>
  </si>
  <si>
    <t>SHBV Sagittarius</t>
  </si>
  <si>
    <t>bestuur@sagittarius.utwente.nl</t>
  </si>
  <si>
    <t>ADSKV Slagvaardig</t>
  </si>
  <si>
    <t>bestuur@slagvaardig.utwente.nl</t>
  </si>
  <si>
    <t>SYHV The Slappng Studs</t>
  </si>
  <si>
    <t>info@slappingstuds.nl</t>
  </si>
  <si>
    <t>TC Ludica</t>
  </si>
  <si>
    <t>secretaris@ludica.nl</t>
  </si>
  <si>
    <t>TSAC</t>
  </si>
  <si>
    <t>bestuur@tsac.alpenclub.nl</t>
  </si>
  <si>
    <t>VAS Arashi</t>
  </si>
  <si>
    <t>bestuur@arashi.nl</t>
  </si>
  <si>
    <t>VV Drienerlo</t>
  </si>
  <si>
    <t>bestuur@vvdrienerlo.nl</t>
  </si>
  <si>
    <t>VV Harambee</t>
  </si>
  <si>
    <t>bestuur@harambee.nl</t>
  </si>
  <si>
    <t>ZPV Piranha</t>
  </si>
  <si>
    <t>bestuur@zpv-piranha.nl</t>
  </si>
  <si>
    <t>Twentse Thestrals</t>
  </si>
  <si>
    <t>voorzitter@twentsethestrals.nl</t>
  </si>
  <si>
    <t>Primo Ballerino</t>
  </si>
  <si>
    <t>primoballerino.ballet@gmail.com</t>
  </si>
  <si>
    <t>Phoenix Lacrosse</t>
  </si>
  <si>
    <t>board@phoenixlacrosse.nl</t>
  </si>
  <si>
    <t>SKV Hercules</t>
  </si>
  <si>
    <t>secretaris@hercules.utwente.nl</t>
  </si>
  <si>
    <t>A la Kart</t>
  </si>
  <si>
    <t>bestuur@alakart.nl</t>
  </si>
  <si>
    <t>BSV de Stoottroepen</t>
  </si>
  <si>
    <t>bestuur@stoottroepen.nl</t>
  </si>
  <si>
    <t>SV Muurvast</t>
  </si>
  <si>
    <t>bestuur@svmuurvast.nl</t>
  </si>
  <si>
    <t>DKV De Zeeuven Reen</t>
  </si>
  <si>
    <t>bestuur.dk7r@gmail.com</t>
  </si>
  <si>
    <t>BlueShell</t>
  </si>
  <si>
    <t>blueshellesports@gmail.com</t>
  </si>
  <si>
    <t>4 happy feet</t>
  </si>
  <si>
    <t>bestuur@4happyfeet.nl</t>
  </si>
  <si>
    <t>AFVD Foton</t>
  </si>
  <si>
    <t>bestuur@foton.utwente.nl</t>
  </si>
  <si>
    <t>Arabesque</t>
  </si>
  <si>
    <t>board@arabesque.utwente.nl</t>
  </si>
  <si>
    <t>Belletrie Bibliotheek</t>
  </si>
  <si>
    <t>bestuur@bellettrie.utwente.nl</t>
  </si>
  <si>
    <t>Contramime</t>
  </si>
  <si>
    <t>bestuur@contramime.utwente.nl</t>
  </si>
  <si>
    <t>Fanaat</t>
  </si>
  <si>
    <t>bestuur@fanaat.utwente.nl</t>
  </si>
  <si>
    <t>Musica Silvestra Orkest</t>
  </si>
  <si>
    <t>info@mso.utwente.nl</t>
  </si>
  <si>
    <t>Musilon</t>
  </si>
  <si>
    <t>board@musilon.utwente.nl</t>
  </si>
  <si>
    <t>Nest</t>
  </si>
  <si>
    <t>bestuur@nest.utwente.nl</t>
  </si>
  <si>
    <t>Pro Deo</t>
  </si>
  <si>
    <t>bestuur@prodeo.utwente.nl</t>
  </si>
  <si>
    <t>SDV Chasse</t>
  </si>
  <si>
    <t>bestuur@sdvchasse.utwente.nl</t>
  </si>
  <si>
    <t>SHOT</t>
  </si>
  <si>
    <t>bestuur@shot.utwente.nl</t>
  </si>
  <si>
    <t>Stubiba</t>
  </si>
  <si>
    <t>stubiba.jazz@gmail.com</t>
  </si>
  <si>
    <t>Inspe</t>
  </si>
  <si>
    <t>foundation</t>
  </si>
  <si>
    <t>info@stichtinginspe.nl</t>
  </si>
  <si>
    <t>Stukafest</t>
  </si>
  <si>
    <t>enschede@stukafest.nl</t>
  </si>
  <si>
    <t>Abacus</t>
  </si>
  <si>
    <t>bestuur@abacus.utwente.nl</t>
  </si>
  <si>
    <t>Study</t>
  </si>
  <si>
    <t>Alembic</t>
  </si>
  <si>
    <t>bestuur@alembic.utwente.nl</t>
  </si>
  <si>
    <t>Arago</t>
  </si>
  <si>
    <t>bestuur@arago.utwente.nl</t>
  </si>
  <si>
    <t>Astatine</t>
  </si>
  <si>
    <t>bestuur@astatine.utwente.nl</t>
  </si>
  <si>
    <t>Atlantis</t>
  </si>
  <si>
    <t>board@sa-atlantis.nl</t>
  </si>
  <si>
    <t>Communique</t>
  </si>
  <si>
    <t>board@communique.utwente.nl</t>
  </si>
  <si>
    <t>ConcepT</t>
  </si>
  <si>
    <t>concept@concept.utwente.nl</t>
  </si>
  <si>
    <t>Daedalus</t>
  </si>
  <si>
    <t>bestuur@daedalus.utwente.nl</t>
  </si>
  <si>
    <t>Dimensie</t>
  </si>
  <si>
    <t>board@svdimensie.nl</t>
  </si>
  <si>
    <t>Ideefiks</t>
  </si>
  <si>
    <t>board@ideefiks.utwente.nl</t>
  </si>
  <si>
    <t>Inter-Actief</t>
  </si>
  <si>
    <t>contact@inter-actief.net</t>
  </si>
  <si>
    <t>Isaac Newton</t>
  </si>
  <si>
    <t>bestuur@isaacnewton.nl</t>
  </si>
  <si>
    <t>Komma</t>
  </si>
  <si>
    <t>board@komma.utwente.nl</t>
  </si>
  <si>
    <t>Paradoks</t>
  </si>
  <si>
    <t>info@paradoks.utwente.nl</t>
  </si>
  <si>
    <t>Proto</t>
  </si>
  <si>
    <t>board@proto.utwente.nl</t>
  </si>
  <si>
    <t>Scintilla</t>
  </si>
  <si>
    <t>bestuur@scintilla.utwente.nl</t>
  </si>
  <si>
    <t>Sirius</t>
  </si>
  <si>
    <t>sirius@utwente.nl</t>
  </si>
  <si>
    <t>Stress</t>
  </si>
  <si>
    <t>info@stress.utwente.nl</t>
  </si>
  <si>
    <t>SV Onwijs</t>
  </si>
  <si>
    <t>bestuur@onwijs.utwente.nl</t>
  </si>
  <si>
    <t>ITC-SAB</t>
  </si>
  <si>
    <t>sab@itc.nl</t>
  </si>
  <si>
    <t>Honoursvereniging Ockham</t>
  </si>
  <si>
    <t>bestuur@hvockham.nl</t>
  </si>
  <si>
    <t>AEGEE Enschede</t>
  </si>
  <si>
    <t>board@aegee-enschede.nl</t>
  </si>
  <si>
    <t>Social</t>
  </si>
  <si>
    <t>ASV Taste</t>
  </si>
  <si>
    <t>bestuur@asvtaste.nl</t>
  </si>
  <si>
    <t>Audentis et Virtutis</t>
  </si>
  <si>
    <t>senaat@audentis.nl</t>
  </si>
  <si>
    <t>CSV Alpha</t>
  </si>
  <si>
    <t>bestuur@csvalpha.nl</t>
  </si>
  <si>
    <t>Reformatorische Studenten Kring</t>
  </si>
  <si>
    <t>voorzitter@rskenschede.nl</t>
  </si>
  <si>
    <t>SV De Gevreesde Koe VB</t>
  </si>
  <si>
    <t>bestuur@vestingbar.nl</t>
  </si>
  <si>
    <t>Navigators studentenvereniging Enschede</t>
  </si>
  <si>
    <t>secretaris@nsenschede.nl</t>
  </si>
  <si>
    <t>Jongeren - en Studentenvereniging Exaltio</t>
  </si>
  <si>
    <t>info@exaltio.nl</t>
  </si>
  <si>
    <t>ISA AT UT</t>
  </si>
  <si>
    <t>board@isa.utwente.nl</t>
  </si>
  <si>
    <t>Student Union</t>
  </si>
  <si>
    <t>board@union.utwente.nl</t>
  </si>
  <si>
    <t>Other</t>
  </si>
  <si>
    <t>LA Voz</t>
  </si>
  <si>
    <t>contact.voz@gmail.com</t>
  </si>
  <si>
    <t>ESN Twente</t>
  </si>
  <si>
    <t>info@esntwente.nl</t>
  </si>
  <si>
    <t>World</t>
  </si>
  <si>
    <t>ICF-E</t>
  </si>
  <si>
    <t>icf-enschede@solcon.nl</t>
  </si>
  <si>
    <t>PSA</t>
  </si>
  <si>
    <t>psautwente@gmail.com</t>
  </si>
  <si>
    <t>SUUT</t>
  </si>
  <si>
    <t>suutassociation@gmail.com</t>
  </si>
  <si>
    <t>RSA</t>
  </si>
  <si>
    <t>rsa.utwente@gmail.com</t>
  </si>
  <si>
    <t>UT Muslims</t>
  </si>
  <si>
    <t>ut.muslims@gmail.com</t>
  </si>
  <si>
    <t>SUT</t>
  </si>
  <si>
    <t>board@sut.utwente.nl</t>
  </si>
  <si>
    <t>Cultuurkoepel Apollo</t>
  </si>
  <si>
    <t>board@apollo.utwente.nl</t>
  </si>
  <si>
    <t>PKVV Fact</t>
  </si>
  <si>
    <t>bestuur@pkvvfact.nl</t>
  </si>
  <si>
    <t>UniTe</t>
  </si>
  <si>
    <t>Secretary@unite.utwente.nl</t>
  </si>
  <si>
    <t>AIESEC Twente</t>
  </si>
  <si>
    <t>twente@aiesec.nl</t>
  </si>
  <si>
    <t>Bedrijvendagen</t>
  </si>
  <si>
    <t>info@bedrijvendagentwente.nl</t>
  </si>
  <si>
    <t>Duitenberg</t>
  </si>
  <si>
    <t>info@duitenberg.nl</t>
  </si>
  <si>
    <t>IAESTE Twente</t>
  </si>
  <si>
    <t>egor.tamarin@iaeste.nl</t>
  </si>
  <si>
    <t>Integrand Twente</t>
  </si>
  <si>
    <t>twente@integrand.nl</t>
  </si>
  <si>
    <t>KIVI Students Twente</t>
  </si>
  <si>
    <t>studentstwente@kivi.nl</t>
  </si>
  <si>
    <t>Unipartners</t>
  </si>
  <si>
    <t>twente@unipartners.nl</t>
  </si>
  <si>
    <t>DSIF</t>
  </si>
  <si>
    <t>board@dsif.nl</t>
  </si>
  <si>
    <t>Hive01</t>
  </si>
  <si>
    <t>info@stichtingnesst.nl</t>
  </si>
  <si>
    <t>Green Team Twente</t>
  </si>
  <si>
    <t>info@greenteamtwente.nl</t>
  </si>
  <si>
    <t>IAPC</t>
  </si>
  <si>
    <t>bestuur@iapc.utwente.nl</t>
  </si>
  <si>
    <t>Stichting Borrelbeheer Zilvering</t>
  </si>
  <si>
    <t>overleg@sbz.utwente.nl</t>
  </si>
  <si>
    <t>Stichting Batavierenrace</t>
  </si>
  <si>
    <t>enschede@batavierenrace.nl</t>
  </si>
  <si>
    <t>Stichting Solar Team Twente</t>
  </si>
  <si>
    <t>info@solarteam.nl</t>
  </si>
  <si>
    <t>Studenten Net Twente</t>
  </si>
  <si>
    <t>bestuur@snt.utwente.nl</t>
  </si>
  <si>
    <t>Vereniging Campus kabel</t>
  </si>
  <si>
    <t>info@vck.utwente.nl</t>
  </si>
  <si>
    <t>Werkgroep OntwikkelingsTechnieken</t>
  </si>
  <si>
    <t>wot.bestuur@gmail.com</t>
  </si>
  <si>
    <t>Borrelbeheer TAP</t>
  </si>
  <si>
    <t>tapbestuur@arago.utwente.nl</t>
  </si>
  <si>
    <t>Studentenstam Radix</t>
  </si>
  <si>
    <t>bestuur@radixenschede.nl</t>
  </si>
  <si>
    <t>IEEE Student Branch</t>
  </si>
  <si>
    <t>onbekend@onbekend.nl</t>
  </si>
  <si>
    <t>Stichting Solar Boat Twente</t>
  </si>
  <si>
    <t>contact@solarboattwente.nl</t>
  </si>
  <si>
    <t>Stichting Robo Team Twente</t>
  </si>
  <si>
    <t>info@roboteamtwente.nl</t>
  </si>
  <si>
    <t>Stichting Electric Superbike Twente</t>
  </si>
  <si>
    <t>info@superbiketwente.nl</t>
  </si>
  <si>
    <t>De sevende camer</t>
  </si>
  <si>
    <t>bestuur@sevendecamer.nl</t>
  </si>
  <si>
    <t>The negotiation project</t>
  </si>
  <si>
    <t>board@negotiationproject.utwente.nl</t>
  </si>
  <si>
    <t>Drone Team Twente</t>
  </si>
  <si>
    <t>info@droneteamtwente.nl</t>
  </si>
  <si>
    <t>Sustain</t>
  </si>
  <si>
    <t>sustain.utwente@gmail.com</t>
  </si>
  <si>
    <t>Space Society</t>
  </si>
  <si>
    <t>board@spacesocietytwente.nl</t>
  </si>
  <si>
    <t>Drienerlose Stichting Torenhoog</t>
  </si>
  <si>
    <t>dst@dhcdrienerlo.nl</t>
  </si>
  <si>
    <t>Vereniging Overleg Studieverenigingen</t>
  </si>
  <si>
    <t>bestuur@os.utwente.nl</t>
  </si>
  <si>
    <t>IrNUT</t>
  </si>
  <si>
    <t>irnut@utwente.nl</t>
  </si>
  <si>
    <t>Stichting Societeit Antigoon</t>
  </si>
  <si>
    <t>coordinatorsocieteit@asvtaste.nl</t>
  </si>
  <si>
    <t>Stichting Societeit TRAM</t>
  </si>
  <si>
    <t>soccie@audentis.nl</t>
  </si>
  <si>
    <t>Stichting Societeit Flux</t>
  </si>
  <si>
    <t>soccie@societeitflux.nl</t>
  </si>
  <si>
    <t>Stichting Societeit Asterion</t>
  </si>
  <si>
    <t>vanbraak@onzekroeg.nl</t>
  </si>
  <si>
    <t>Stichting Kantine Sportcentrum</t>
  </si>
  <si>
    <t>bestuur@sportkantine-ut.nl</t>
  </si>
  <si>
    <t>VGST</t>
  </si>
  <si>
    <t>abactis@vgst.nl</t>
  </si>
  <si>
    <t>Stichting t Fluitje</t>
  </si>
  <si>
    <t>voorzitter@tfluitje.nl</t>
  </si>
  <si>
    <t>Enactus Twente</t>
  </si>
  <si>
    <t>enactus.utwente@gmail.com</t>
  </si>
  <si>
    <t>Eurasian Student Organisation</t>
  </si>
  <si>
    <t>eso.utwente@gmail.com</t>
  </si>
  <si>
    <t>Ultimate Frisbee Twente</t>
  </si>
  <si>
    <t>a.v.nateshan@student.utwente.nl</t>
  </si>
  <si>
    <t>submission_id</t>
  </si>
  <si>
    <t>submission_status</t>
  </si>
  <si>
    <t>committee_id</t>
  </si>
  <si>
    <t>committee_name</t>
  </si>
  <si>
    <t>1st_years</t>
  </si>
  <si>
    <t>2nd_years</t>
  </si>
  <si>
    <t>3rd_years</t>
  </si>
  <si>
    <t>4th_years</t>
  </si>
  <si>
    <t>4th_plus_years</t>
  </si>
  <si>
    <t>unknown</t>
  </si>
  <si>
    <t>workload_per_member_per_week</t>
  </si>
  <si>
    <t>duration_of_committee_in_weeks</t>
  </si>
  <si>
    <t>covid_impact</t>
  </si>
  <si>
    <t>step 3</t>
  </si>
  <si>
    <t>Show committee</t>
  </si>
  <si>
    <t>Activity Committee</t>
  </si>
  <si>
    <t>Project committee</t>
  </si>
  <si>
    <t>Web committee</t>
  </si>
  <si>
    <t>Treasury committee</t>
  </si>
  <si>
    <t>BreakCom</t>
  </si>
  <si>
    <t>Kick-IN committee</t>
  </si>
  <si>
    <t>Photography committee</t>
  </si>
  <si>
    <t>Promotion Committee</t>
  </si>
  <si>
    <t>finished</t>
  </si>
  <si>
    <t>Trainingscommissie</t>
  </si>
  <si>
    <t>2 till 4 hrs/wk</t>
  </si>
  <si>
    <t>52+ weeks (ongoing/longer than a year)</t>
  </si>
  <si>
    <t>strong increase</t>
  </si>
  <si>
    <t>Introcie</t>
  </si>
  <si>
    <t>1-10 weeks (1 quartile)</t>
  </si>
  <si>
    <t>no influence</t>
  </si>
  <si>
    <t>Webcie</t>
  </si>
  <si>
    <t>Translacie</t>
  </si>
  <si>
    <t>&lt;2 hrs/wk</t>
  </si>
  <si>
    <t>Paparazcie</t>
  </si>
  <si>
    <t>JKG commissie</t>
  </si>
  <si>
    <t>41-52 weeks (full year)</t>
  </si>
  <si>
    <t>Campusloop commissie</t>
  </si>
  <si>
    <t>slight increase</t>
  </si>
  <si>
    <t>Activiteitencommissie</t>
  </si>
  <si>
    <t>slight decrease</t>
  </si>
  <si>
    <t>FLAAT</t>
  </si>
  <si>
    <t>NSK Commissie</t>
  </si>
  <si>
    <t>21-30 weeks (3 quartiles)</t>
  </si>
  <si>
    <t>Redactie</t>
  </si>
  <si>
    <t>Sponsorcie</t>
  </si>
  <si>
    <t>Galacie</t>
  </si>
  <si>
    <t>Verenigingsweekend commissie</t>
  </si>
  <si>
    <t>11-20 weeks (2 quartiles)</t>
  </si>
  <si>
    <t>Bestuur</t>
  </si>
  <si>
    <t>CvA</t>
  </si>
  <si>
    <t>TC</t>
  </si>
  <si>
    <t>strong decrease</t>
  </si>
  <si>
    <t>KasCo</t>
  </si>
  <si>
    <t>EC</t>
  </si>
  <si>
    <t>BaCo</t>
  </si>
  <si>
    <t>WebCo</t>
  </si>
  <si>
    <t>UTT-cursus</t>
  </si>
  <si>
    <t>AloGeBoLoCo</t>
  </si>
  <si>
    <t>Kick-In</t>
  </si>
  <si>
    <t>VeWe</t>
  </si>
  <si>
    <t>KleCo</t>
  </si>
  <si>
    <t>New Years Dinner</t>
  </si>
  <si>
    <t>Lustrum</t>
  </si>
  <si>
    <t>Statuten en HR</t>
  </si>
  <si>
    <t>Aanhangercommissie</t>
  </si>
  <si>
    <t>Almanak</t>
  </si>
  <si>
    <t>Cantuscommissie</t>
  </si>
  <si>
    <t>Doegroepcommissie</t>
  </si>
  <si>
    <t>Feescie</t>
  </si>
  <si>
    <t>Fotocie</t>
  </si>
  <si>
    <t>Galacommissie</t>
  </si>
  <si>
    <t>ijscobezorgers</t>
  </si>
  <si>
    <t>Ijsreiscommissie</t>
  </si>
  <si>
    <t>Introcommissie</t>
  </si>
  <si>
    <t>Juryteam</t>
  </si>
  <si>
    <t>Kasco</t>
  </si>
  <si>
    <t>Lustrumcommissie</t>
  </si>
  <si>
    <t>Natuurijscommissie</t>
  </si>
  <si>
    <t>OMA</t>
  </si>
  <si>
    <t>PR-Commissie</t>
  </si>
  <si>
    <t>Raad van Advies</t>
  </si>
  <si>
    <t>Reda</t>
  </si>
  <si>
    <t>S4D commissie</t>
  </si>
  <si>
    <t>Skeuveltoernooicommissie</t>
  </si>
  <si>
    <t>Statutencommissie</t>
  </si>
  <si>
    <t>NSK-commissie</t>
  </si>
  <si>
    <t>Website commissie</t>
  </si>
  <si>
    <t>Wielercommissie</t>
  </si>
  <si>
    <t>Zomerhoogtestagecommissie</t>
  </si>
  <si>
    <t>Sponsorcommissie</t>
  </si>
  <si>
    <t>WWW</t>
  </si>
  <si>
    <t>CMC</t>
  </si>
  <si>
    <t>Board</t>
  </si>
  <si>
    <t>RdW</t>
  </si>
  <si>
    <t>TEK</t>
  </si>
  <si>
    <t>CreaCie</t>
  </si>
  <si>
    <t>Flyhighcommissie</t>
  </si>
  <si>
    <t>GalaCie</t>
  </si>
  <si>
    <t>Kick-In commissie</t>
  </si>
  <si>
    <t>Kitesurcommissie</t>
  </si>
  <si>
    <t>TripSeacommissie</t>
  </si>
  <si>
    <t>SnowCie</t>
  </si>
  <si>
    <t>Tukgijpcommissie</t>
  </si>
  <si>
    <t>Vervoercommissie</t>
  </si>
  <si>
    <t>Websitecommissie</t>
  </si>
  <si>
    <t>Windsurfcommissie</t>
  </si>
  <si>
    <t>Golfsurfcommissie</t>
  </si>
  <si>
    <t>Wakeboard</t>
  </si>
  <si>
    <t>HBmedia</t>
  </si>
  <si>
    <t>5 till 8 hrs/wk</t>
  </si>
  <si>
    <t>Webco</t>
  </si>
  <si>
    <t>Promo</t>
  </si>
  <si>
    <t>TOC</t>
  </si>
  <si>
    <t>9 till 16 hrs/wk</t>
  </si>
  <si>
    <t>ClubHuisCommissie</t>
  </si>
  <si>
    <t>17 till 29 hrs/wk</t>
  </si>
  <si>
    <t>Hotty</t>
  </si>
  <si>
    <t>Stick- In</t>
  </si>
  <si>
    <t>Malle Mienen Toernooi Commissie</t>
  </si>
  <si>
    <t>AcCie</t>
  </si>
  <si>
    <t>Grafische Commissie</t>
  </si>
  <si>
    <t>Commissie van Toezicht</t>
  </si>
  <si>
    <t>Batavierenrace Commissie</t>
  </si>
  <si>
    <t xml:space="preserve">FoCie foto commissie </t>
  </si>
  <si>
    <t>Eerste jaars commissie</t>
  </si>
  <si>
    <t>t Goske redactie</t>
  </si>
  <si>
    <t>Gadget commissie</t>
  </si>
  <si>
    <t>KoningenKlusKommissie</t>
  </si>
  <si>
    <t>SONS</t>
  </si>
  <si>
    <t>Technische Commissie</t>
  </si>
  <si>
    <t>AreCo</t>
  </si>
  <si>
    <t>BataCie</t>
  </si>
  <si>
    <t>CompetiCie</t>
  </si>
  <si>
    <t>EDC Euros Diner Club</t>
  </si>
  <si>
    <t>EIC Euros introductie commissie</t>
  </si>
  <si>
    <t>ERC Euros Road Company</t>
  </si>
  <si>
    <t>Eurostra</t>
  </si>
  <si>
    <t>FeaCo</t>
  </si>
  <si>
    <t>FotoCie</t>
  </si>
  <si>
    <t>JaFeCo</t>
  </si>
  <si>
    <t>KasCie</t>
  </si>
  <si>
    <t>KP Kroegploeg</t>
  </si>
  <si>
    <t>MatCie</t>
  </si>
  <si>
    <t>MediaCie</t>
  </si>
  <si>
    <t>NIKE</t>
  </si>
  <si>
    <t>OudevierCie</t>
  </si>
  <si>
    <t>Raad van Toezicht</t>
  </si>
  <si>
    <t>Race</t>
  </si>
  <si>
    <t>SCC Structuur en continuiteits commissie</t>
  </si>
  <si>
    <t>SkiCo</t>
  </si>
  <si>
    <t>Trojka</t>
  </si>
  <si>
    <t>UitZuipCie</t>
  </si>
  <si>
    <t>VogalongaCie</t>
  </si>
  <si>
    <t>BoegBeeld</t>
  </si>
  <si>
    <t>DJCie</t>
  </si>
  <si>
    <t>PrestaCie</t>
  </si>
  <si>
    <t>De Euros Band</t>
  </si>
  <si>
    <t>DIVA</t>
  </si>
  <si>
    <t>LustrumCie</t>
  </si>
  <si>
    <t>KMR Knorrensteijn Memorial Regatta commissie</t>
  </si>
  <si>
    <t>Klachten commissie</t>
  </si>
  <si>
    <t>PRCie</t>
  </si>
  <si>
    <t>Toetsingscommissie</t>
  </si>
  <si>
    <t>BandazeeCie</t>
  </si>
  <si>
    <t>TEA Taste Euros Activiteit</t>
  </si>
  <si>
    <t>Eerstejaarscommissie</t>
  </si>
  <si>
    <t>webcie</t>
  </si>
  <si>
    <t>Kascontrolecommissie</t>
  </si>
  <si>
    <t>Klusploegleiders</t>
  </si>
  <si>
    <t>outfitcommissie</t>
  </si>
  <si>
    <t>zeilcommissie</t>
  </si>
  <si>
    <t>Instructiecommissie</t>
  </si>
  <si>
    <t>Kroegploeg</t>
  </si>
  <si>
    <t>BHV</t>
  </si>
  <si>
    <t>Webredactie</t>
  </si>
  <si>
    <t>CBHT</t>
  </si>
  <si>
    <t>FlaBH</t>
  </si>
  <si>
    <t>Tournament</t>
  </si>
  <si>
    <t>BATA</t>
  </si>
  <si>
    <t>Activity</t>
  </si>
  <si>
    <t>IT</t>
  </si>
  <si>
    <t>PR</t>
  </si>
  <si>
    <t>Sportcommissie</t>
  </si>
  <si>
    <t>31-40 weeks (4 quartiles)</t>
  </si>
  <si>
    <t>Media Committee</t>
  </si>
  <si>
    <t>Training Committee</t>
  </si>
  <si>
    <t>Auditing Committee</t>
  </si>
  <si>
    <t>Board Members</t>
  </si>
  <si>
    <t>Double Swing</t>
  </si>
  <si>
    <t>Clothing Comittee</t>
  </si>
  <si>
    <t>LACH</t>
  </si>
  <si>
    <t>Verenigingstrainers commissie</t>
  </si>
  <si>
    <t>Website</t>
  </si>
  <si>
    <t>GNSK</t>
  </si>
  <si>
    <t>Bata</t>
  </si>
  <si>
    <t>Reiscie</t>
  </si>
  <si>
    <t>Verrek Nieuwsbrief</t>
  </si>
  <si>
    <t>kasco</t>
  </si>
  <si>
    <t>Activiteiten</t>
  </si>
  <si>
    <t>Dies</t>
  </si>
  <si>
    <t>promcie</t>
  </si>
  <si>
    <t>Introduction</t>
  </si>
  <si>
    <t>bestuur</t>
  </si>
  <si>
    <t>introductie commissie</t>
  </si>
  <si>
    <t>Raad van advies</t>
  </si>
  <si>
    <t>lustrum commissie</t>
  </si>
  <si>
    <t>lustrumboek commissie</t>
  </si>
  <si>
    <t>Public relations commissie</t>
  </si>
  <si>
    <t>klicko</t>
  </si>
  <si>
    <t>webco</t>
  </si>
  <si>
    <t>Vletko</t>
  </si>
  <si>
    <t>Activiteiten commissie</t>
  </si>
  <si>
    <t>Taco</t>
  </si>
  <si>
    <t>Activity committee</t>
  </si>
  <si>
    <t>Material committee</t>
  </si>
  <si>
    <t>finance committee KasCo</t>
  </si>
  <si>
    <t>StaCie</t>
  </si>
  <si>
    <t>WedCo</t>
  </si>
  <si>
    <t>Accie</t>
  </si>
  <si>
    <t>Bakcie</t>
  </si>
  <si>
    <t>Faccie</t>
  </si>
  <si>
    <t>Kader commissie</t>
  </si>
  <si>
    <t>Kascommissie</t>
  </si>
  <si>
    <t>Oferall</t>
  </si>
  <si>
    <t>Publicie</t>
  </si>
  <si>
    <t>TNO</t>
  </si>
  <si>
    <t>Trainers</t>
  </si>
  <si>
    <t>Webmaster</t>
  </si>
  <si>
    <t>WebCie</t>
  </si>
  <si>
    <t>KIAI</t>
  </si>
  <si>
    <t>Advisory Board</t>
  </si>
  <si>
    <t>Densho &amp; PR</t>
  </si>
  <si>
    <t>Competition Committee</t>
  </si>
  <si>
    <t>FlaZa</t>
  </si>
  <si>
    <t>DD-cup</t>
  </si>
  <si>
    <t>Edditorial office</t>
  </si>
  <si>
    <t>Sponsor</t>
  </si>
  <si>
    <t>Promo committee</t>
  </si>
  <si>
    <t>BSIT</t>
  </si>
  <si>
    <t>TISC</t>
  </si>
  <si>
    <t>Beach</t>
  </si>
  <si>
    <t>Events committee</t>
  </si>
  <si>
    <t>Kick-in committee</t>
  </si>
  <si>
    <t>StAf</t>
  </si>
  <si>
    <t>Webcom</t>
  </si>
  <si>
    <t>Technical committee</t>
  </si>
  <si>
    <t>External affairs</t>
  </si>
  <si>
    <t xml:space="preserve">Excursion </t>
  </si>
  <si>
    <t xml:space="preserve">Activity - Lustrum committee </t>
  </si>
  <si>
    <t>Mix committee</t>
  </si>
  <si>
    <t>NSK beach</t>
  </si>
  <si>
    <t xml:space="preserve">Supervisory board </t>
  </si>
  <si>
    <t xml:space="preserve">Technical committee </t>
  </si>
  <si>
    <t>Preperation tournament</t>
  </si>
  <si>
    <t xml:space="preserve">Wham </t>
  </si>
  <si>
    <t xml:space="preserve">Beach competitions committee </t>
  </si>
  <si>
    <t xml:space="preserve">BIX committee </t>
  </si>
  <si>
    <t xml:space="preserve">First years committee </t>
  </si>
  <si>
    <t xml:space="preserve">Harambee Kick-In </t>
  </si>
  <si>
    <t xml:space="preserve">Audit committee </t>
  </si>
  <si>
    <t xml:space="preserve">Media committee </t>
  </si>
  <si>
    <t xml:space="preserve">Nerds committee </t>
  </si>
  <si>
    <t xml:space="preserve">Promotional committee </t>
  </si>
  <si>
    <t>Sfeer committee</t>
  </si>
  <si>
    <t xml:space="preserve">Beach tournament committee </t>
  </si>
  <si>
    <t>30+ hrs/wk</t>
  </si>
  <si>
    <t>Poolpartycie</t>
  </si>
  <si>
    <t>Zwemcie</t>
  </si>
  <si>
    <t>NSZKcie</t>
  </si>
  <si>
    <t>PIC</t>
  </si>
  <si>
    <t>Lucie</t>
  </si>
  <si>
    <t>RVA</t>
  </si>
  <si>
    <t>Redcie</t>
  </si>
  <si>
    <t>Stabilicatie</t>
  </si>
  <si>
    <t>Kiosk-team</t>
  </si>
  <si>
    <t>Bar-team</t>
  </si>
  <si>
    <t>ICTcie</t>
  </si>
  <si>
    <t>Polocie</t>
  </si>
  <si>
    <t>TNC</t>
  </si>
  <si>
    <t>EVC</t>
  </si>
  <si>
    <t>Mediacie</t>
  </si>
  <si>
    <t>Duikcie</t>
  </si>
  <si>
    <t>Batacie</t>
  </si>
  <si>
    <t>Chickcie</t>
  </si>
  <si>
    <t>Matcie</t>
  </si>
  <si>
    <t>Assemble</t>
  </si>
  <si>
    <t>Plie</t>
  </si>
  <si>
    <t>Releve</t>
  </si>
  <si>
    <t>Developpe</t>
  </si>
  <si>
    <t>Dance Show</t>
  </si>
  <si>
    <t>Performance Committee</t>
  </si>
  <si>
    <t>Whisdom Committee</t>
  </si>
  <si>
    <t>Gameday</t>
  </si>
  <si>
    <t>internal representation</t>
  </si>
  <si>
    <t>intro</t>
  </si>
  <si>
    <t>kercie</t>
  </si>
  <si>
    <t>lan</t>
  </si>
  <si>
    <t>magic</t>
  </si>
  <si>
    <t>erocie</t>
  </si>
  <si>
    <t>stacie</t>
  </si>
  <si>
    <t>openers</t>
  </si>
  <si>
    <t>promocie</t>
  </si>
  <si>
    <t>PRCo</t>
  </si>
  <si>
    <t>Council of Wise</t>
  </si>
  <si>
    <t>VrAXie</t>
  </si>
  <si>
    <t>ReisCo</t>
  </si>
  <si>
    <t>LuCo</t>
  </si>
  <si>
    <t>MuCo</t>
  </si>
  <si>
    <t>InvaCie</t>
  </si>
  <si>
    <t>KiCo</t>
  </si>
  <si>
    <t>EnsembleCo</t>
  </si>
  <si>
    <t>ACDC</t>
  </si>
  <si>
    <t>CampCom</t>
  </si>
  <si>
    <t>CrewCom</t>
  </si>
  <si>
    <t>DirecCom</t>
  </si>
  <si>
    <t>DotCom</t>
  </si>
  <si>
    <t>HelloNEST</t>
  </si>
  <si>
    <t>LAC</t>
  </si>
  <si>
    <t>MakeUpCom</t>
  </si>
  <si>
    <t>NeProCom</t>
  </si>
  <si>
    <t>PRCom</t>
  </si>
  <si>
    <t>Room of Requirement</t>
  </si>
  <si>
    <t>ShowCo</t>
  </si>
  <si>
    <t>TechNESTians</t>
  </si>
  <si>
    <t>WOCFYC</t>
  </si>
  <si>
    <t>Owlet</t>
  </si>
  <si>
    <t>Services</t>
  </si>
  <si>
    <t>Match</t>
  </si>
  <si>
    <t>Promotion</t>
  </si>
  <si>
    <t>Kick-in</t>
  </si>
  <si>
    <t>Technic-music</t>
  </si>
  <si>
    <t>Jabber</t>
  </si>
  <si>
    <t>Camp</t>
  </si>
  <si>
    <t>Pro-Active</t>
  </si>
  <si>
    <t>Chick-In</t>
  </si>
  <si>
    <t>ComCom</t>
  </si>
  <si>
    <t>FacCie</t>
  </si>
  <si>
    <t>InstrucCie</t>
  </si>
  <si>
    <t>PromoCie</t>
  </si>
  <si>
    <t>RvA</t>
  </si>
  <si>
    <t>Acquisition</t>
  </si>
  <si>
    <t>Costume</t>
  </si>
  <si>
    <t>Decor</t>
  </si>
  <si>
    <t>Team building</t>
  </si>
  <si>
    <t>Bartending committee</t>
  </si>
  <si>
    <t>ERO committee</t>
  </si>
  <si>
    <t>Activities committee</t>
  </si>
  <si>
    <t>Advisory council</t>
  </si>
  <si>
    <t>Auditing committee</t>
  </si>
  <si>
    <t>Computer committee</t>
  </si>
  <si>
    <t>Education committee</t>
  </si>
  <si>
    <t>EEMCS trip committee</t>
  </si>
  <si>
    <t>Freshmen committee</t>
  </si>
  <si>
    <t>Magazine committee</t>
  </si>
  <si>
    <t>Picture committee</t>
  </si>
  <si>
    <t>Prom committee</t>
  </si>
  <si>
    <t>Sports committee</t>
  </si>
  <si>
    <t>Study trip committee</t>
  </si>
  <si>
    <t>Kick in committee</t>
  </si>
  <si>
    <t>Website committee</t>
  </si>
  <si>
    <t>Symposium committee</t>
  </si>
  <si>
    <t>Christmas dinner committee</t>
  </si>
  <si>
    <t>Dies committee</t>
  </si>
  <si>
    <t>ASO</t>
  </si>
  <si>
    <t>Advisory Council</t>
  </si>
  <si>
    <t>Audit Committee</t>
  </si>
  <si>
    <t>KIKSTart</t>
  </si>
  <si>
    <t>DiCie</t>
  </si>
  <si>
    <t>FYCo</t>
  </si>
  <si>
    <t>EduCo</t>
  </si>
  <si>
    <t>PaCo</t>
  </si>
  <si>
    <t>The CaT</t>
  </si>
  <si>
    <t>ZeiCo</t>
  </si>
  <si>
    <t>BuCo</t>
  </si>
  <si>
    <t>BACo</t>
  </si>
  <si>
    <t>GameCie</t>
  </si>
  <si>
    <t>hEROes</t>
  </si>
  <si>
    <t>BorrelCie</t>
  </si>
  <si>
    <t>COCo</t>
  </si>
  <si>
    <t>MasterCie</t>
  </si>
  <si>
    <t>TraCey</t>
  </si>
  <si>
    <t>VOC</t>
  </si>
  <si>
    <t>PaparaCie</t>
  </si>
  <si>
    <t>Cantus Senate</t>
  </si>
  <si>
    <t>CIACie</t>
  </si>
  <si>
    <t>BorrelBestuur</t>
  </si>
  <si>
    <t>KBR</t>
  </si>
  <si>
    <t>Candidate Board</t>
  </si>
  <si>
    <t>RecreaCie</t>
  </si>
  <si>
    <t>SympoCie</t>
  </si>
  <si>
    <t>BACO</t>
  </si>
  <si>
    <t>BRAK</t>
  </si>
  <si>
    <t>Congres 2020</t>
  </si>
  <si>
    <t>CuCo</t>
  </si>
  <si>
    <t>ECO 2020</t>
  </si>
  <si>
    <t>ESCo</t>
  </si>
  <si>
    <t>ExCom</t>
  </si>
  <si>
    <t>FyFy</t>
  </si>
  <si>
    <t>Gala 2020</t>
  </si>
  <si>
    <t>Impuls</t>
  </si>
  <si>
    <t>Inanna</t>
  </si>
  <si>
    <t>KITN 2020</t>
  </si>
  <si>
    <t>Lustrum 2020</t>
  </si>
  <si>
    <t>Lustrumgala 2020</t>
  </si>
  <si>
    <t>Mastercommittee</t>
  </si>
  <si>
    <t>Matunda</t>
  </si>
  <si>
    <t>Na-Intro 2020</t>
  </si>
  <si>
    <t>Ouderdag 2020</t>
  </si>
  <si>
    <t>ACE</t>
  </si>
  <si>
    <t>BROO</t>
  </si>
  <si>
    <t>CA</t>
  </si>
  <si>
    <t>FCC</t>
  </si>
  <si>
    <t>Kandidaat-bestuur 114</t>
  </si>
  <si>
    <t>PrivaCie</t>
  </si>
  <si>
    <t>Arago-ambassadeurs</t>
  </si>
  <si>
    <t>CCCP</t>
  </si>
  <si>
    <t>CCELV</t>
  </si>
  <si>
    <t>FYSICA 2020</t>
  </si>
  <si>
    <t>Kamerdienstpool</t>
  </si>
  <si>
    <t>LexiCom</t>
  </si>
  <si>
    <t>OGG</t>
  </si>
  <si>
    <t>THEE</t>
  </si>
  <si>
    <t>Webber</t>
  </si>
  <si>
    <t>SOTN</t>
  </si>
  <si>
    <t>Focus</t>
  </si>
  <si>
    <t>Geschiedenisboek 2020</t>
  </si>
  <si>
    <t>KLAT</t>
  </si>
  <si>
    <t>Objectief</t>
  </si>
  <si>
    <t>BE 2019</t>
  </si>
  <si>
    <t>BE 2021</t>
  </si>
  <si>
    <t>Europareis 2020</t>
  </si>
  <si>
    <t>Board 94</t>
  </si>
  <si>
    <t>GAMER</t>
  </si>
  <si>
    <t>s-VARA-go</t>
  </si>
  <si>
    <t>TACo</t>
  </si>
  <si>
    <t>Atac</t>
  </si>
  <si>
    <t>ATtentie</t>
  </si>
  <si>
    <t>BOSS</t>
  </si>
  <si>
    <t>Commiski</t>
  </si>
  <si>
    <t>Cupico</t>
  </si>
  <si>
    <t>Flitcie</t>
  </si>
  <si>
    <t>Nanco</t>
  </si>
  <si>
    <t>Tipcie</t>
  </si>
  <si>
    <t>Kitcat</t>
  </si>
  <si>
    <t>MaC</t>
  </si>
  <si>
    <t>Nicat</t>
  </si>
  <si>
    <t>Sportco</t>
  </si>
  <si>
    <t>Sympocie</t>
  </si>
  <si>
    <t>Zeilcie</t>
  </si>
  <si>
    <t>Yacca</t>
  </si>
  <si>
    <t>Bucom</t>
  </si>
  <si>
    <t>Comcon</t>
  </si>
  <si>
    <t>LoA</t>
  </si>
  <si>
    <t>Oucie</t>
  </si>
  <si>
    <t>Imco</t>
  </si>
  <si>
    <t>ITCo</t>
  </si>
  <si>
    <t>Deco</t>
  </si>
  <si>
    <t>educo</t>
  </si>
  <si>
    <t>Study Association Board</t>
  </si>
  <si>
    <t>Kick-In Committee</t>
  </si>
  <si>
    <t>Educational Committee</t>
  </si>
  <si>
    <t>External Relations Committee</t>
  </si>
  <si>
    <t>Community Diversity Committee</t>
  </si>
  <si>
    <t>Connection Committee</t>
  </si>
  <si>
    <t>Study Trip Committee</t>
  </si>
  <si>
    <t>Public Relations Committee</t>
  </si>
  <si>
    <t>Finance Committee</t>
  </si>
  <si>
    <t>Snow Committee</t>
  </si>
  <si>
    <t>Drinks Committee</t>
  </si>
  <si>
    <t>Sports Committee</t>
  </si>
  <si>
    <t>Yearbook Committee</t>
  </si>
  <si>
    <t>Statutes Committee</t>
  </si>
  <si>
    <t>Prom Committee</t>
  </si>
  <si>
    <t>Fish Committee</t>
  </si>
  <si>
    <t>Honour Code Committee</t>
  </si>
  <si>
    <t>Room Committee</t>
  </si>
  <si>
    <t>Educational Activity and Book Committee</t>
  </si>
  <si>
    <t>Advisory Body</t>
  </si>
  <si>
    <t>Music Theatre and Arts Committee</t>
  </si>
  <si>
    <t>Tournament Committee</t>
  </si>
  <si>
    <t>Freshmen Committee</t>
  </si>
  <si>
    <t>Activities Committee</t>
  </si>
  <si>
    <t>Sport Committee</t>
  </si>
  <si>
    <t>Competence Committee</t>
  </si>
  <si>
    <t>Editorial Office Committee</t>
  </si>
  <si>
    <t>Educational Feedback Committee</t>
  </si>
  <si>
    <t>Pre Master Committee</t>
  </si>
  <si>
    <t>Tappers</t>
  </si>
  <si>
    <t>Booze Committee</t>
  </si>
  <si>
    <t>CS Introduction Committee</t>
  </si>
  <si>
    <t>Party Committee</t>
  </si>
  <si>
    <t>Europe Trip Committee</t>
  </si>
  <si>
    <t>Financial Control Committee</t>
  </si>
  <si>
    <t>26th Board Vo</t>
  </si>
  <si>
    <t>Financial advise Committee</t>
  </si>
  <si>
    <t>Accom</t>
  </si>
  <si>
    <t>ALW</t>
  </si>
  <si>
    <t>Borrlecie</t>
  </si>
  <si>
    <t>Campcom</t>
  </si>
  <si>
    <t>coursecom</t>
  </si>
  <si>
    <t>evacom</t>
  </si>
  <si>
    <t>Farmercie</t>
  </si>
  <si>
    <t>Galacom</t>
  </si>
  <si>
    <t>Mastermind</t>
  </si>
  <si>
    <t>Mediacom</t>
  </si>
  <si>
    <t>omnomcom</t>
  </si>
  <si>
    <t>Partnership</t>
  </si>
  <si>
    <t>Podcast committee</t>
  </si>
  <si>
    <t>Quizcom</t>
  </si>
  <si>
    <t>Snowcie</t>
  </si>
  <si>
    <t>Stduytour</t>
  </si>
  <si>
    <t>Visio</t>
  </si>
  <si>
    <t>Viskom</t>
  </si>
  <si>
    <t>Web com</t>
  </si>
  <si>
    <t>RVT</t>
  </si>
  <si>
    <t>OLC</t>
  </si>
  <si>
    <t>KliCo</t>
  </si>
  <si>
    <t>Board of Dimensie</t>
  </si>
  <si>
    <t>Cash Audit Committee</t>
  </si>
  <si>
    <t>CareerCie</t>
  </si>
  <si>
    <t>Career Week Committee</t>
  </si>
  <si>
    <t>CondiCie</t>
  </si>
  <si>
    <t>ConnexCie</t>
  </si>
  <si>
    <t>EuroTrip Committee</t>
  </si>
  <si>
    <t>ExpediCie</t>
  </si>
  <si>
    <t>GreenCie</t>
  </si>
  <si>
    <t>KicD</t>
  </si>
  <si>
    <t>LEXsy</t>
  </si>
  <si>
    <t>Parent Day Committee</t>
  </si>
  <si>
    <t>RedacCie</t>
  </si>
  <si>
    <t>Symposium Committee</t>
  </si>
  <si>
    <t>XTCie</t>
  </si>
  <si>
    <t>Lustrum Committee</t>
  </si>
  <si>
    <t>Kick-IT</t>
  </si>
  <si>
    <t>aXi</t>
  </si>
  <si>
    <t>Bit of Action</t>
  </si>
  <si>
    <t>XMasCie</t>
  </si>
  <si>
    <t>DiesCie</t>
  </si>
  <si>
    <t>Freshmen committee x3</t>
  </si>
  <si>
    <t>Game Jam</t>
  </si>
  <si>
    <t>Hyper-Actief</t>
  </si>
  <si>
    <t>LANCie</t>
  </si>
  <si>
    <t>LuCie</t>
  </si>
  <si>
    <t>FeCie</t>
  </si>
  <si>
    <t>PromCie</t>
  </si>
  <si>
    <t>Rially</t>
  </si>
  <si>
    <t>SocCie</t>
  </si>
  <si>
    <t>Theme Drink Committee</t>
  </si>
  <si>
    <t>Archive Committee</t>
  </si>
  <si>
    <t>Cooking Club</t>
  </si>
  <si>
    <t>hEROs</t>
  </si>
  <si>
    <t>FlitCie</t>
  </si>
  <si>
    <t>IO Vivat editorial committee</t>
  </si>
  <si>
    <t>Studio Cinematografico</t>
  </si>
  <si>
    <t>EEMCS Trip Committee</t>
  </si>
  <si>
    <t>International Business Course committee</t>
  </si>
  <si>
    <t>Sailing Committee</t>
  </si>
  <si>
    <t>Ski trip committee</t>
  </si>
  <si>
    <t>Study Tour committee</t>
  </si>
  <si>
    <t>System Administration Committee</t>
  </si>
  <si>
    <t>WWW Committee</t>
  </si>
  <si>
    <t>Committee for Lectures and Excursions</t>
  </si>
  <si>
    <t>Education Committee</t>
  </si>
  <si>
    <t>SymCie</t>
  </si>
  <si>
    <t>Pandora committee</t>
  </si>
  <si>
    <t>Twents Algorithm Programming Contest TAPC</t>
  </si>
  <si>
    <t>Bartenders Guild</t>
  </si>
  <si>
    <t>EEMCS freshmen committee</t>
  </si>
  <si>
    <t>Parents day committee</t>
  </si>
  <si>
    <t>Almanac</t>
  </si>
  <si>
    <t>AlmanaCie</t>
  </si>
  <si>
    <t>AmibiCie</t>
  </si>
  <si>
    <t>Appelredactie</t>
  </si>
  <si>
    <t>BusCie</t>
  </si>
  <si>
    <t>ColeXie</t>
  </si>
  <si>
    <t>CompuCie</t>
  </si>
  <si>
    <t>Eurocommissie</t>
  </si>
  <si>
    <t>First Years AXI</t>
  </si>
  <si>
    <t>KiME</t>
  </si>
  <si>
    <t>LasCie</t>
  </si>
  <si>
    <t>PropulCie</t>
  </si>
  <si>
    <t>RallyCie</t>
  </si>
  <si>
    <t>SkiCie</t>
  </si>
  <si>
    <t>SportCie</t>
  </si>
  <si>
    <t>TripCie</t>
  </si>
  <si>
    <t>VuCie</t>
  </si>
  <si>
    <t>AXI 2021</t>
  </si>
  <si>
    <t>First Years Construction Lampcie</t>
  </si>
  <si>
    <t>First Years Construction JasCie</t>
  </si>
  <si>
    <t>First years weekend 2021</t>
  </si>
  <si>
    <t>First years weekend 2020</t>
  </si>
  <si>
    <t>Study Tour Finding Our Bearings</t>
  </si>
  <si>
    <t>Educational</t>
  </si>
  <si>
    <t>Promotional</t>
  </si>
  <si>
    <t>Professional</t>
  </si>
  <si>
    <t>Activity Committee Extraordinaire</t>
  </si>
  <si>
    <t>Almanac Committee</t>
  </si>
  <si>
    <t>Acquisition Committee</t>
  </si>
  <si>
    <t>Association Board</t>
  </si>
  <si>
    <t xml:space="preserve">Audit Committee </t>
  </si>
  <si>
    <t>Board of Advisors</t>
  </si>
  <si>
    <t>Camp Committee</t>
  </si>
  <si>
    <t>Culture Committee</t>
  </si>
  <si>
    <t>Dies Committee</t>
  </si>
  <si>
    <t>DisCo</t>
  </si>
  <si>
    <t>EducaCie</t>
  </si>
  <si>
    <t>EEMCS-trip</t>
  </si>
  <si>
    <t>EmergenCie</t>
  </si>
  <si>
    <t>ENTROPcY</t>
  </si>
  <si>
    <t>First Year Committee</t>
  </si>
  <si>
    <t>Gala Committee</t>
  </si>
  <si>
    <t>GraphiCie</t>
  </si>
  <si>
    <t>Guild of Drafters</t>
  </si>
  <si>
    <t>Have You Tried Turning It Off And On Again Co</t>
  </si>
  <si>
    <t>InteracCie</t>
  </si>
  <si>
    <t>Kick-In Committee CreaTe</t>
  </si>
  <si>
    <t>pLAN</t>
  </si>
  <si>
    <t>Protography</t>
  </si>
  <si>
    <t>ProtOpeners</t>
  </si>
  <si>
    <t>ProtoTrip</t>
  </si>
  <si>
    <t>Senatus Viridi</t>
  </si>
  <si>
    <t>TIPCie</t>
  </si>
  <si>
    <t>DIYCie2</t>
  </si>
  <si>
    <t>FishCie</t>
  </si>
  <si>
    <t>Handyman Committee</t>
  </si>
  <si>
    <t>OmNomCom</t>
  </si>
  <si>
    <t>Alumni Committee</t>
  </si>
  <si>
    <t>Foundation ICE</t>
  </si>
  <si>
    <t>De Borrel</t>
  </si>
  <si>
    <t>CCS</t>
  </si>
  <si>
    <t>EE-Sports</t>
  </si>
  <si>
    <t>FC Scintilla</t>
  </si>
  <si>
    <t>KCC</t>
  </si>
  <si>
    <t>KickEm</t>
  </si>
  <si>
    <t>LEX</t>
  </si>
  <si>
    <t>Lustrumcommittee</t>
  </si>
  <si>
    <t>RvT</t>
  </si>
  <si>
    <t>SCALA</t>
  </si>
  <si>
    <t>SECS</t>
  </si>
  <si>
    <t>Shock</t>
  </si>
  <si>
    <t>Sjaarscie</t>
  </si>
  <si>
    <t>Lustrum Book</t>
  </si>
  <si>
    <t>SKIC</t>
  </si>
  <si>
    <t>SOT</t>
  </si>
  <si>
    <t>Spock</t>
  </si>
  <si>
    <t>SRC</t>
  </si>
  <si>
    <t>STORES</t>
  </si>
  <si>
    <t>STUDI</t>
  </si>
  <si>
    <t>SUN</t>
  </si>
  <si>
    <t>Vauxhall</t>
  </si>
  <si>
    <t>De Vonk</t>
  </si>
  <si>
    <t>Webteam</t>
  </si>
  <si>
    <t>Big Trip Committee</t>
  </si>
  <si>
    <t>Career Committee</t>
  </si>
  <si>
    <t>Multicultural Committee</t>
  </si>
  <si>
    <t>Poster Committee</t>
  </si>
  <si>
    <t>Privacy Committee</t>
  </si>
  <si>
    <t>Relations Committee</t>
  </si>
  <si>
    <t>Sirius Kick-In Committee</t>
  </si>
  <si>
    <t>Sirius Politics Committee</t>
  </si>
  <si>
    <t>SnowTrip Committee</t>
  </si>
  <si>
    <t>Tap and Party Committee</t>
  </si>
  <si>
    <t>Excursion Committee Gezondheidswetenschappen</t>
  </si>
  <si>
    <t>Excursion Committee Management Society and Te</t>
  </si>
  <si>
    <t>Master Committee</t>
  </si>
  <si>
    <t>Sirius Socials Committee</t>
  </si>
  <si>
    <t>SoMeCie</t>
  </si>
  <si>
    <t>Promoteam</t>
  </si>
  <si>
    <t>Kamp</t>
  </si>
  <si>
    <t>Het After Intro Programma commissie</t>
  </si>
  <si>
    <t>Sollicitatiecommissie</t>
  </si>
  <si>
    <t>Societeitsbestuur</t>
  </si>
  <si>
    <t>Delegate</t>
  </si>
  <si>
    <t>Summer University</t>
  </si>
  <si>
    <t>Kic</t>
  </si>
  <si>
    <t>Computer Operating Team</t>
  </si>
  <si>
    <t>Papara commissie</t>
  </si>
  <si>
    <t>European working group</t>
  </si>
  <si>
    <t>Strategisch Plan</t>
  </si>
  <si>
    <t>GaafCie</t>
  </si>
  <si>
    <t>Kledingcommissiee</t>
  </si>
  <si>
    <t>Bon AppeCie</t>
  </si>
  <si>
    <t>PromoCheck</t>
  </si>
  <si>
    <t>almanak</t>
  </si>
  <si>
    <t xml:space="preserve">Active Beginners Committee </t>
  </si>
  <si>
    <t>First year guidance committee</t>
  </si>
  <si>
    <t>Au Printemps committee</t>
  </si>
  <si>
    <t>Net Committee</t>
  </si>
  <si>
    <t>Acquisition committee</t>
  </si>
  <si>
    <t>Supervisory council</t>
  </si>
  <si>
    <t>Best Friends and Family committee</t>
  </si>
  <si>
    <t>Association Integration committee</t>
  </si>
  <si>
    <t>Maintenance committee</t>
  </si>
  <si>
    <t>Bus and Trailer committee</t>
  </si>
  <si>
    <t>Bata committee</t>
  </si>
  <si>
    <t>Sustainable committee</t>
  </si>
  <si>
    <t>Graphical committee</t>
  </si>
  <si>
    <t>Merchandise committee</t>
  </si>
  <si>
    <t>MOVE committee</t>
  </si>
  <si>
    <t>Ski committee</t>
  </si>
  <si>
    <t>Sailingweekend committee</t>
  </si>
  <si>
    <t>Race of the Classics committee</t>
  </si>
  <si>
    <t>Smaakmaker magazine committee</t>
  </si>
  <si>
    <t>Introduction Camp Committee</t>
  </si>
  <si>
    <t>Strategic Plan Committee</t>
  </si>
  <si>
    <t>Society Committee</t>
  </si>
  <si>
    <t>Order comittee</t>
  </si>
  <si>
    <t>Almanakcommissie</t>
  </si>
  <si>
    <t>Alpha-dinercommissie</t>
  </si>
  <si>
    <t>Alpha-Introcommissie</t>
  </si>
  <si>
    <t>Alpha Kick-In Commissie</t>
  </si>
  <si>
    <t>Batavierenracecommissie</t>
  </si>
  <si>
    <t>Bazencommissie</t>
  </si>
  <si>
    <t>Beunhaas BV</t>
  </si>
  <si>
    <t>Broederweekcommissie</t>
  </si>
  <si>
    <t>Dagje uit 2006-commissie</t>
  </si>
  <si>
    <t>Digtusredactie</t>
  </si>
  <si>
    <t>Ejawecie</t>
  </si>
  <si>
    <t>ICT-commissie</t>
  </si>
  <si>
    <t>Januariweekendcommissie</t>
  </si>
  <si>
    <t>Kadullen BV</t>
  </si>
  <si>
    <t>Kerstdinercommissie</t>
  </si>
  <si>
    <t>Ledenzorgteam</t>
  </si>
  <si>
    <t>OZON-congrescommissie</t>
  </si>
  <si>
    <t>Promotiecommissie</t>
  </si>
  <si>
    <t>Shine Schuur Commissie</t>
  </si>
  <si>
    <t>Societeitscommissie</t>
  </si>
  <si>
    <t>Sponsoringcommisie</t>
  </si>
  <si>
    <t>Streepsysteem beheerderscommissie</t>
  </si>
  <si>
    <t>Veritas Forum Commissie</t>
  </si>
  <si>
    <t>Vormingscommissie</t>
  </si>
  <si>
    <t>Zeilweekcommissie</t>
  </si>
  <si>
    <t>Commissie voor Overkoepelende Recreatie en On</t>
  </si>
  <si>
    <t>Dagje Uit</t>
  </si>
  <si>
    <t>Dies Commissie</t>
  </si>
  <si>
    <t>XLIe Senaat</t>
  </si>
  <si>
    <t>InternetCie</t>
  </si>
  <si>
    <t>BeheerCie</t>
  </si>
  <si>
    <t>Kerstoutreach</t>
  </si>
  <si>
    <t>Kick in</t>
  </si>
  <si>
    <t>Create tomorrow</t>
  </si>
  <si>
    <t>Buddy</t>
  </si>
  <si>
    <t>iDB</t>
  </si>
  <si>
    <t>TedX twenteU</t>
  </si>
  <si>
    <t>Active Members Committee</t>
  </si>
  <si>
    <t>Choir</t>
  </si>
  <si>
    <t>Catering</t>
  </si>
  <si>
    <t>Library and Social Media</t>
  </si>
  <si>
    <t>Accounts</t>
  </si>
  <si>
    <t>Slides</t>
  </si>
  <si>
    <t>Ushering</t>
  </si>
  <si>
    <t>Daily Board</t>
  </si>
  <si>
    <t>Coordinators</t>
  </si>
  <si>
    <t>Bible studies and Prayer meeting</t>
  </si>
  <si>
    <t>Streaming Team</t>
  </si>
  <si>
    <t>Representatives to UT ITC and Saxion</t>
  </si>
  <si>
    <t>Marketing &amp; Communications</t>
  </si>
  <si>
    <t>Facility &amp; Khatib Team</t>
  </si>
  <si>
    <t>Sports Umbrella Twente</t>
  </si>
  <si>
    <t>Supervisory Board</t>
  </si>
  <si>
    <t>Dance Show Committee</t>
  </si>
  <si>
    <t>Popsi</t>
  </si>
  <si>
    <t>Gala committee</t>
  </si>
  <si>
    <t>Financial Auditing Committee</t>
  </si>
  <si>
    <t>Open Stage</t>
  </si>
  <si>
    <t>Dance Hall committee</t>
  </si>
  <si>
    <t>Dance workshop day</t>
  </si>
  <si>
    <t>lustrum</t>
  </si>
  <si>
    <t>Music collaboration show</t>
  </si>
  <si>
    <t>Working group IMA</t>
  </si>
  <si>
    <t>Enschedays</t>
  </si>
  <si>
    <t xml:space="preserve">Walk and Dance to fight cancer </t>
  </si>
  <si>
    <t>ISA</t>
  </si>
  <si>
    <t>Marketing</t>
  </si>
  <si>
    <t>Outgoing Global Exchange</t>
  </si>
  <si>
    <t>Executive Board</t>
  </si>
  <si>
    <t>Integrand Twente bestuur</t>
  </si>
  <si>
    <t>WetenschapsQuiz</t>
  </si>
  <si>
    <t>Syscom</t>
  </si>
  <si>
    <t>Skrol</t>
  </si>
  <si>
    <t>Sales</t>
  </si>
  <si>
    <t>Logistics</t>
  </si>
  <si>
    <t>Helpdesk</t>
  </si>
  <si>
    <t>ExcurCie</t>
  </si>
  <si>
    <t>Ebart</t>
  </si>
  <si>
    <t>Wedstrijdleiding</t>
  </si>
  <si>
    <t>Icie</t>
  </si>
  <si>
    <t>radioverbindingsdienst</t>
  </si>
  <si>
    <t>organisatiecommissie</t>
  </si>
  <si>
    <t>stichtingsbestuur</t>
  </si>
  <si>
    <t>wedstrijdsecretariaat</t>
  </si>
  <si>
    <t>Batasocial</t>
  </si>
  <si>
    <t>Bataradio</t>
  </si>
  <si>
    <t>Batavideo</t>
  </si>
  <si>
    <t>Medisch Advies Orgaan</t>
  </si>
  <si>
    <t>Motorrijders</t>
  </si>
  <si>
    <t>Management Team</t>
  </si>
  <si>
    <t>Technical Team</t>
  </si>
  <si>
    <t>Marketing &amp; Communications Team</t>
  </si>
  <si>
    <t>zomerkamp</t>
  </si>
  <si>
    <t>websitemensen</t>
  </si>
  <si>
    <t>sociale zaken</t>
  </si>
  <si>
    <t>verhuur mensen</t>
  </si>
  <si>
    <t>none</t>
  </si>
  <si>
    <t>Marketing Comittee</t>
  </si>
  <si>
    <t>Part-timers</t>
  </si>
  <si>
    <t>Full-timers</t>
  </si>
  <si>
    <t>KIOSK</t>
  </si>
  <si>
    <t>ABC</t>
  </si>
  <si>
    <t>UTEA</t>
  </si>
  <si>
    <t>GalOS</t>
  </si>
  <si>
    <t>BCC</t>
  </si>
  <si>
    <t>Contracten</t>
  </si>
  <si>
    <t>Gaming Committee</t>
  </si>
  <si>
    <t>Marketing Committee</t>
  </si>
  <si>
    <t/>
  </si>
  <si>
    <t>sports</t>
  </si>
  <si>
    <t>other</t>
  </si>
  <si>
    <t>world</t>
  </si>
  <si>
    <t>Responded</t>
  </si>
  <si>
    <t>Organisation</t>
  </si>
  <si>
    <t>Sector</t>
  </si>
  <si>
    <t>organisation_type2</t>
  </si>
  <si>
    <t>Number of Inactive Members</t>
  </si>
  <si>
    <t xml:space="preserve">Sector </t>
  </si>
  <si>
    <t xml:space="preserve">type </t>
  </si>
  <si>
    <t>Non-EEA Total</t>
  </si>
  <si>
    <t>EEA total</t>
  </si>
  <si>
    <t>Dutch total</t>
  </si>
  <si>
    <t xml:space="preserve">Non-EEA Active </t>
  </si>
  <si>
    <t>EEA Active</t>
  </si>
  <si>
    <t>Dutch Active</t>
  </si>
  <si>
    <t>Som van Non-EEA Total</t>
  </si>
  <si>
    <t>Som van EEA total</t>
  </si>
  <si>
    <t>Som van Dutch total</t>
  </si>
  <si>
    <t xml:space="preserve">Som van Non-EEA Active </t>
  </si>
  <si>
    <t>Som van EEA Active</t>
  </si>
  <si>
    <t>Ratio Active Non-EEA</t>
  </si>
  <si>
    <t>Ratio Active EEA</t>
  </si>
  <si>
    <t>T</t>
  </si>
  <si>
    <t>Ratio Active Dutch</t>
  </si>
  <si>
    <t>Som van 1st_years</t>
  </si>
  <si>
    <t>Som van 2nd_years</t>
  </si>
  <si>
    <t>Som van 3rd_years</t>
  </si>
  <si>
    <t>Som van 4th_years</t>
  </si>
  <si>
    <t>Som van 4th_plus_years</t>
  </si>
  <si>
    <t>Aantal van covid_impact</t>
  </si>
  <si>
    <t>Number of members</t>
  </si>
  <si>
    <t>Number of active members</t>
  </si>
  <si>
    <t>Number of  inactive members</t>
  </si>
  <si>
    <t>Percentage active members</t>
  </si>
  <si>
    <t>Percentage inactive members</t>
  </si>
  <si>
    <t>Interval number of members</t>
  </si>
  <si>
    <t>Test total number of members</t>
  </si>
  <si>
    <t>Test total number of active members</t>
  </si>
  <si>
    <t>Test total number inactive members</t>
  </si>
  <si>
    <t>Test max EEA active</t>
  </si>
  <si>
    <t>Test max Dutch active</t>
  </si>
  <si>
    <t>Test max non-EEA active</t>
  </si>
  <si>
    <t>Fullfill all requirements?</t>
  </si>
  <si>
    <t>Number of Comittees</t>
  </si>
  <si>
    <t>Number of first year comittee members</t>
  </si>
  <si>
    <t>Number of second year comittee members</t>
  </si>
  <si>
    <t>Number of third year comittee members</t>
  </si>
  <si>
    <t>Number of fourth year comittee members</t>
  </si>
  <si>
    <t>Number of 4+ year comittee members</t>
  </si>
  <si>
    <t>Number of covid strong decrease</t>
  </si>
  <si>
    <t>Number of covid slight decrease</t>
  </si>
  <si>
    <t>Number of covid no influence</t>
  </si>
  <si>
    <t>Number ofcovid slicht increase</t>
  </si>
  <si>
    <t>Number of covid strong increase</t>
  </si>
  <si>
    <t>Som van Number of Comittees</t>
  </si>
  <si>
    <t>Total committee members</t>
  </si>
  <si>
    <t>Som van Dutch Active</t>
  </si>
  <si>
    <t xml:space="preserve"> </t>
  </si>
  <si>
    <t>Average of number_of_members</t>
  </si>
  <si>
    <t>Average of number_of_committee_board_members</t>
  </si>
  <si>
    <t>Percentage Active Members</t>
  </si>
  <si>
    <t>Average of Ratio Active Non-EEA</t>
  </si>
  <si>
    <t>Average of Ratio Active EEA</t>
  </si>
  <si>
    <t>Average of Ratio Active Dutch</t>
  </si>
  <si>
    <t>Sum of Number of first year comittee members</t>
  </si>
  <si>
    <t>Sum of Number of second year comittee members</t>
  </si>
  <si>
    <t>Sum of Number of third year comittee members</t>
  </si>
  <si>
    <t>Sum of Number of fourth year comittee members</t>
  </si>
  <si>
    <t>Sum of Number of 4+ year comittee members</t>
  </si>
  <si>
    <t xml:space="preserve">Number of Sector </t>
  </si>
  <si>
    <t>Column1</t>
  </si>
  <si>
    <t>Column2</t>
  </si>
  <si>
    <t>Column3</t>
  </si>
  <si>
    <t>C. 100 - 400</t>
  </si>
  <si>
    <t>Row Labels</t>
  </si>
  <si>
    <t>Grand Total</t>
  </si>
  <si>
    <t>(All)</t>
  </si>
  <si>
    <t>Average of Percentage active members</t>
  </si>
  <si>
    <t>Average of Percentage inactive members</t>
  </si>
  <si>
    <t>B. 50 - 100</t>
  </si>
  <si>
    <t>S</t>
  </si>
  <si>
    <t>SYHV The Slapping Studs</t>
  </si>
  <si>
    <t>Ambitious Women UT</t>
  </si>
  <si>
    <t>ambitiouswomenut@gmail.com</t>
  </si>
  <si>
    <t>Afrisa</t>
  </si>
  <si>
    <t>afrisa.board@gmail.com</t>
  </si>
  <si>
    <t>Klocus</t>
  </si>
  <si>
    <t>bestuur@klocus.nl</t>
  </si>
  <si>
    <t>CalZquad</t>
  </si>
  <si>
    <t>calzquad@gmail.com</t>
  </si>
  <si>
    <t>Opening committee</t>
  </si>
  <si>
    <t>GLIJ commissie</t>
  </si>
  <si>
    <t>meerjarenbeleidsplan commissie</t>
  </si>
  <si>
    <t>Ardennen commissie</t>
  </si>
  <si>
    <t>SkateCie</t>
  </si>
  <si>
    <t>Evenementen commissie</t>
  </si>
  <si>
    <t>GOW commissie</t>
  </si>
  <si>
    <t>MTB-commissaris</t>
  </si>
  <si>
    <t>PR commissie</t>
  </si>
  <si>
    <t>Technische commissie</t>
  </si>
  <si>
    <t>Toer commissie</t>
  </si>
  <si>
    <t>Wedstrijd commissie</t>
  </si>
  <si>
    <t>Koers commissie</t>
  </si>
  <si>
    <t>MTB commissie</t>
  </si>
  <si>
    <t>Sweater commisssie</t>
  </si>
  <si>
    <t>Dames commissie</t>
  </si>
  <si>
    <t>Statuten commissie</t>
  </si>
  <si>
    <t>Gala commissie</t>
  </si>
  <si>
    <t>Inklussief</t>
  </si>
  <si>
    <t>GalaCo</t>
  </si>
  <si>
    <t>AllianCie</t>
  </si>
  <si>
    <t>SollicitaCie</t>
  </si>
  <si>
    <t>EvaluaCie</t>
  </si>
  <si>
    <t>step 2</t>
  </si>
  <si>
    <t>Bar committee</t>
  </si>
  <si>
    <t>Thursday-evening committee</t>
  </si>
  <si>
    <t>Audit committee</t>
  </si>
  <si>
    <t>Horse-knowledge committee</t>
  </si>
  <si>
    <t>Interaction committee</t>
  </si>
  <si>
    <t>City-meeting committee</t>
  </si>
  <si>
    <t>Dodecathlossie</t>
  </si>
  <si>
    <t>IntroducCie</t>
  </si>
  <si>
    <t>WeekendCie</t>
  </si>
  <si>
    <t>Oogsplits</t>
  </si>
  <si>
    <t>NieuwsCie</t>
  </si>
  <si>
    <t>PicCie</t>
  </si>
  <si>
    <t>Tartaros Campus Challenge</t>
  </si>
  <si>
    <t>Trainerspool and stuurgroep</t>
  </si>
  <si>
    <t>TraIntroCie</t>
  </si>
  <si>
    <t>Oudbesturendag</t>
  </si>
  <si>
    <t>Merccie</t>
  </si>
  <si>
    <t>ICE</t>
  </si>
  <si>
    <t>Welcome</t>
  </si>
  <si>
    <t>student trainers</t>
  </si>
  <si>
    <t xml:space="preserve">merchandise </t>
  </si>
  <si>
    <t>audit</t>
  </si>
  <si>
    <t>Lustrum Commitee</t>
  </si>
  <si>
    <t>Barshift Committee</t>
  </si>
  <si>
    <t>Kickboxing committee</t>
  </si>
  <si>
    <t>Kick-in Committee</t>
  </si>
  <si>
    <t>Financial committee</t>
  </si>
  <si>
    <t>PR-Photo committee</t>
  </si>
  <si>
    <t>Bar commisioner</t>
  </si>
  <si>
    <t>Ouwe Ballen Dag committee</t>
  </si>
  <si>
    <t>Active member committee</t>
  </si>
  <si>
    <t>Promotie commissie PrCie</t>
  </si>
  <si>
    <t>KampCie</t>
  </si>
  <si>
    <t>Freshman commissie</t>
  </si>
  <si>
    <t>Technical Committee</t>
  </si>
  <si>
    <t>ISSTT committee</t>
  </si>
  <si>
    <t>First year committee</t>
  </si>
  <si>
    <t>Events</t>
  </si>
  <si>
    <t>Trial</t>
  </si>
  <si>
    <t>Hok</t>
  </si>
  <si>
    <t>midweekcoordinator</t>
  </si>
  <si>
    <t>paparazcie</t>
  </si>
  <si>
    <t>Toernooi commissie</t>
  </si>
  <si>
    <t>vakbladredactie</t>
  </si>
  <si>
    <t>DepReCie</t>
  </si>
  <si>
    <t>Lustrum committee</t>
  </si>
  <si>
    <t>Board of Advisory</t>
  </si>
  <si>
    <t>Social media committee</t>
  </si>
  <si>
    <t>Night tournament committee</t>
  </si>
  <si>
    <t>Kick-in commissie</t>
  </si>
  <si>
    <t>Snaar commissie</t>
  </si>
  <si>
    <t>AviCie</t>
  </si>
  <si>
    <t>Externe commissie</t>
  </si>
  <si>
    <t>Kas commissie</t>
  </si>
  <si>
    <t>eerstejaars commissie</t>
  </si>
  <si>
    <t>Advies commissie</t>
  </si>
  <si>
    <t>Ski commissie</t>
  </si>
  <si>
    <t>Bar commissie</t>
  </si>
  <si>
    <t>Zeil Commissie</t>
  </si>
  <si>
    <t>Introductietijd Commissie</t>
  </si>
  <si>
    <t>Media Commissie</t>
  </si>
  <si>
    <t>Sponsor Commissie</t>
  </si>
  <si>
    <t>Beun commissie</t>
  </si>
  <si>
    <t>VVV-dag commissie</t>
  </si>
  <si>
    <t>Foto Commissie</t>
  </si>
  <si>
    <t>Vertrouwenscommissie</t>
  </si>
  <si>
    <t>PadelCie</t>
  </si>
  <si>
    <t>Paparashi</t>
  </si>
  <si>
    <t>Sports Comittee</t>
  </si>
  <si>
    <t>Bar Committee</t>
  </si>
  <si>
    <t>Harde Fluiters</t>
  </si>
  <si>
    <t>Echappe</t>
  </si>
  <si>
    <t>HercuWebs</t>
  </si>
  <si>
    <t>Activitees</t>
  </si>
  <si>
    <t>HercuLens</t>
  </si>
  <si>
    <t>SiteCie</t>
  </si>
  <si>
    <t>KickinCie</t>
  </si>
  <si>
    <t>4funCie</t>
  </si>
  <si>
    <t>LegaCie</t>
  </si>
  <si>
    <t>LOLCie</t>
  </si>
  <si>
    <t>MCie</t>
  </si>
  <si>
    <t>RotaCie</t>
  </si>
  <si>
    <t>SmashCie</t>
  </si>
  <si>
    <t>TACCie</t>
  </si>
  <si>
    <t>AcquiCie</t>
  </si>
  <si>
    <t>NintenCo</t>
  </si>
  <si>
    <t>Financial Committee KasCo</t>
  </si>
  <si>
    <t>Bootcamp committee</t>
  </si>
  <si>
    <t>Teamcaptains</t>
  </si>
  <si>
    <t>Open Drienerloos Kampioenschap Committee</t>
  </si>
  <si>
    <t>Workshop committee WocCie</t>
  </si>
  <si>
    <t>Magazine committee Spotlight</t>
  </si>
  <si>
    <t>Hairstyling committee KapCie</t>
  </si>
  <si>
    <t>Teammatch</t>
  </si>
  <si>
    <t>Gala committee GalaCie</t>
  </si>
  <si>
    <t>Activity committee AcCie</t>
  </si>
  <si>
    <t>Photographer committee FlitCie</t>
  </si>
  <si>
    <t>Music committee MuCie</t>
  </si>
  <si>
    <t>Website committee WebCie</t>
  </si>
  <si>
    <t>Ballroom instruction committee InCie</t>
  </si>
  <si>
    <t>Salsa instruction committee SalCie</t>
  </si>
  <si>
    <t>Mascot committee MascotCie</t>
  </si>
  <si>
    <t>Advisory council Raad van Wijzen</t>
  </si>
  <si>
    <t>Inkcie</t>
  </si>
  <si>
    <t>Konnichiwa</t>
  </si>
  <si>
    <t>Promocie</t>
  </si>
  <si>
    <t>Book committee</t>
  </si>
  <si>
    <t>Buyers</t>
  </si>
  <si>
    <t>Retrieval committee</t>
  </si>
  <si>
    <t>Openers</t>
  </si>
  <si>
    <t>accie</t>
  </si>
  <si>
    <t>Choco</t>
  </si>
  <si>
    <t>InCom</t>
  </si>
  <si>
    <t>ConCie</t>
  </si>
  <si>
    <t>RepCo</t>
  </si>
  <si>
    <t>StuCo</t>
  </si>
  <si>
    <t>LusCie</t>
  </si>
  <si>
    <t>NIPD</t>
  </si>
  <si>
    <t>NSK</t>
  </si>
  <si>
    <t>New Dance Teacher Panel</t>
  </si>
  <si>
    <t>Acco</t>
  </si>
  <si>
    <t>Bestuco</t>
  </si>
  <si>
    <t>Buco</t>
  </si>
  <si>
    <t>Luco</t>
  </si>
  <si>
    <t>Music committee</t>
  </si>
  <si>
    <t>Print committee</t>
  </si>
  <si>
    <t>Proco</t>
  </si>
  <si>
    <t>Samenspeel committee</t>
  </si>
  <si>
    <t>SHOTnieuws</t>
  </si>
  <si>
    <t>ToHuWaBoHu committee</t>
  </si>
  <si>
    <t>Voetbalcommissarissen</t>
  </si>
  <si>
    <t>Merchandise</t>
  </si>
  <si>
    <t>Butt-kickers</t>
  </si>
  <si>
    <t>Theatre tech</t>
  </si>
  <si>
    <t>NEdprocom</t>
  </si>
  <si>
    <t>Cooking committee</t>
  </si>
  <si>
    <t>Afterparty ommittee</t>
  </si>
  <si>
    <t>Quiz committee</t>
  </si>
  <si>
    <t>Collage committee</t>
  </si>
  <si>
    <t>Cultural Evening Committee</t>
  </si>
  <si>
    <t>Drink newsletter committee</t>
  </si>
  <si>
    <t>Delft Eindhoven Twente Day Committee</t>
  </si>
  <si>
    <t>SailCie</t>
  </si>
  <si>
    <t>International Committee</t>
  </si>
  <si>
    <t>ECO 2022</t>
  </si>
  <si>
    <t>KITN 2022</t>
  </si>
  <si>
    <t>Na-intro 2022</t>
  </si>
  <si>
    <t>Ouderdag 2022</t>
  </si>
  <si>
    <t>Symposium 2022</t>
  </si>
  <si>
    <t>VALK 2022</t>
  </si>
  <si>
    <t>MHAC</t>
  </si>
  <si>
    <t>Codex 2022</t>
  </si>
  <si>
    <t>BE 2022</t>
  </si>
  <si>
    <t>Europareis 2021</t>
  </si>
  <si>
    <t>Europareis 2022</t>
  </si>
  <si>
    <t>ICEcie</t>
  </si>
  <si>
    <t>ECO 2023</t>
  </si>
  <si>
    <t>BOARD 96</t>
  </si>
  <si>
    <t>Codex 2023</t>
  </si>
  <si>
    <t>KITN 2023</t>
  </si>
  <si>
    <t>Europareis 2023</t>
  </si>
  <si>
    <t>Ouderdag 2023</t>
  </si>
  <si>
    <t>Gala 2023</t>
  </si>
  <si>
    <t>InterCom</t>
  </si>
  <si>
    <t>LATEX</t>
  </si>
  <si>
    <t>Nieuwjaarsdiner</t>
  </si>
  <si>
    <t>Symposium 2023</t>
  </si>
  <si>
    <t>VALK 2023</t>
  </si>
  <si>
    <t>Well-being and Diversity Committee</t>
  </si>
  <si>
    <t>Website Committee</t>
  </si>
  <si>
    <t>Aquarium Committee</t>
  </si>
  <si>
    <t>Design Committee</t>
  </si>
  <si>
    <t>Professionalization Committee</t>
  </si>
  <si>
    <t>Feedback Committee</t>
  </si>
  <si>
    <t>28th Board</t>
  </si>
  <si>
    <t>Food Committee</t>
  </si>
  <si>
    <t>BMS Committee</t>
  </si>
  <si>
    <t>Etmaal Committee</t>
  </si>
  <si>
    <t>Photography Pool</t>
  </si>
  <si>
    <t>Kick-In Campcommittee</t>
  </si>
  <si>
    <t>Almanaccommittee</t>
  </si>
  <si>
    <t>AkCie</t>
  </si>
  <si>
    <t>BetonBrouwers</t>
  </si>
  <si>
    <t>Council of Advisors</t>
  </si>
  <si>
    <t>ConcepTueel</t>
  </si>
  <si>
    <t>BuLa</t>
  </si>
  <si>
    <t>Crate Bridge Committee</t>
  </si>
  <si>
    <t>Galacommittee</t>
  </si>
  <si>
    <t>InterExcie</t>
  </si>
  <si>
    <t>Mediacommittee</t>
  </si>
  <si>
    <t>Sportscommittee</t>
  </si>
  <si>
    <t>Study Tour Committee</t>
  </si>
  <si>
    <t>Study Tour</t>
  </si>
  <si>
    <t>3Dcie</t>
  </si>
  <si>
    <t>IntroductIO</t>
  </si>
  <si>
    <t>Borrelcie</t>
  </si>
  <si>
    <t>AKTIE</t>
  </si>
  <si>
    <t>Icecie</t>
  </si>
  <si>
    <t>Promcom</t>
  </si>
  <si>
    <t>Welcom</t>
  </si>
  <si>
    <t>Excom</t>
  </si>
  <si>
    <t>Sportscom</t>
  </si>
  <si>
    <t xml:space="preserve">Almanac </t>
  </si>
  <si>
    <t>Indepth</t>
  </si>
  <si>
    <t>GMW</t>
  </si>
  <si>
    <t>Eurocom</t>
  </si>
  <si>
    <t>Sympocom</t>
  </si>
  <si>
    <t>First-year Committee</t>
  </si>
  <si>
    <t>Study trip</t>
  </si>
  <si>
    <t>Philofilm</t>
  </si>
  <si>
    <t>Extra lectures</t>
  </si>
  <si>
    <t>Alumni and Career</t>
  </si>
  <si>
    <t>Movement committee</t>
  </si>
  <si>
    <t>MedIA</t>
  </si>
  <si>
    <t>Inter-Actief Top 100</t>
  </si>
  <si>
    <t>Summer Sounds</t>
  </si>
  <si>
    <t>TakeshCie</t>
  </si>
  <si>
    <t>PrincipiaCie</t>
  </si>
  <si>
    <t>AcquisiCie</t>
  </si>
  <si>
    <t>PodCastCie</t>
  </si>
  <si>
    <t>AXI 2022</t>
  </si>
  <si>
    <t>ESportCie</t>
  </si>
  <si>
    <t>IntegraCie</t>
  </si>
  <si>
    <t>DIYCie</t>
  </si>
  <si>
    <t>Surf Camp Committee</t>
  </si>
  <si>
    <t>KIDS</t>
  </si>
  <si>
    <t>Stress Congress</t>
  </si>
  <si>
    <t>External Affairs Committee</t>
  </si>
  <si>
    <t>SkillCom</t>
  </si>
  <si>
    <t>PRcie</t>
  </si>
  <si>
    <t>Events Committee</t>
  </si>
  <si>
    <t>DrinkCie</t>
  </si>
  <si>
    <t>PilsCie</t>
  </si>
  <si>
    <t>SITcom</t>
  </si>
  <si>
    <t>FoodCie</t>
  </si>
  <si>
    <t>StressTrip</t>
  </si>
  <si>
    <t>Council of Trust</t>
  </si>
  <si>
    <t>BoekenCom</t>
  </si>
  <si>
    <t>ConstructCie</t>
  </si>
  <si>
    <t>Writers Pool</t>
  </si>
  <si>
    <t>PartyCie</t>
  </si>
  <si>
    <t>ACie</t>
  </si>
  <si>
    <t>ACCIE</t>
  </si>
  <si>
    <t>DriCie</t>
  </si>
  <si>
    <t>PubliCie</t>
  </si>
  <si>
    <t>SympCie</t>
  </si>
  <si>
    <t>Board of Advice</t>
  </si>
  <si>
    <t>TechniCie</t>
  </si>
  <si>
    <t>Spring Agora 2023 Core Team</t>
  </si>
  <si>
    <t>Kledingcommissie</t>
  </si>
  <si>
    <t>Fotografie commissie</t>
  </si>
  <si>
    <t>DJ team</t>
  </si>
  <si>
    <t>Virtual Reality commissie</t>
  </si>
  <si>
    <t>Batavierenrace</t>
  </si>
  <si>
    <t>Bokaal skireis</t>
  </si>
  <si>
    <t>Cabaret</t>
  </si>
  <si>
    <t>Eerstejaars</t>
  </si>
  <si>
    <t>Gnosis</t>
  </si>
  <si>
    <t>Ouderdag</t>
  </si>
  <si>
    <t>Studiecommissie</t>
  </si>
  <si>
    <t>Tribunaal</t>
  </si>
  <si>
    <t>Audentiek</t>
  </si>
  <si>
    <t>College Click</t>
  </si>
  <si>
    <t>Kluscommissie</t>
  </si>
  <si>
    <t>Senaat</t>
  </si>
  <si>
    <t>Commissie van Beheer</t>
  </si>
  <si>
    <t>Commissie tot Nagaan</t>
  </si>
  <si>
    <t>Gatbestuur</t>
  </si>
  <si>
    <t>Introductie commissie</t>
  </si>
  <si>
    <t>Broerszussendagcommissie</t>
  </si>
  <si>
    <t>Ambtiecommissie</t>
  </si>
  <si>
    <t>Bras Commissie</t>
  </si>
  <si>
    <t>Fotograven Commissie</t>
  </si>
  <si>
    <t>OZON liftweekend</t>
  </si>
  <si>
    <t>Skireis Commissie</t>
  </si>
  <si>
    <t>Boekentafel</t>
  </si>
  <si>
    <t>CanthaxanthineCie</t>
  </si>
  <si>
    <t>DarkroastCie</t>
  </si>
  <si>
    <t>FIK-ouder</t>
  </si>
  <si>
    <t>GrafiCie</t>
  </si>
  <si>
    <t>IntroweekendCie</t>
  </si>
  <si>
    <t>KerstavondCie</t>
  </si>
  <si>
    <t>Kick-InCie</t>
  </si>
  <si>
    <t>Kringcoaches</t>
  </si>
  <si>
    <t>Kringleider</t>
  </si>
  <si>
    <t>PastoraleGebedsCie</t>
  </si>
  <si>
    <t>RSKiekjesmakers</t>
  </si>
  <si>
    <t>RSKombocoordinator</t>
  </si>
  <si>
    <t>Seniorenraad</t>
  </si>
  <si>
    <t>Servant</t>
  </si>
  <si>
    <t>SponsorCie</t>
  </si>
  <si>
    <t>ZIN Redactie</t>
  </si>
  <si>
    <t>AlumnidagCie</t>
  </si>
  <si>
    <t>Broederweek</t>
  </si>
  <si>
    <t>LiftweekendCie</t>
  </si>
  <si>
    <t>Retraitebestuur</t>
  </si>
  <si>
    <t>StatutenCie</t>
  </si>
  <si>
    <t>Baronnen</t>
  </si>
  <si>
    <t>Cantoraat</t>
  </si>
  <si>
    <t>Familiedag</t>
  </si>
  <si>
    <t>Gala</t>
  </si>
  <si>
    <t>Kringhuisvoorzitter</t>
  </si>
  <si>
    <t>Weekend committees</t>
  </si>
  <si>
    <t>Ministry</t>
  </si>
  <si>
    <t>Band</t>
  </si>
  <si>
    <t>NavRes</t>
  </si>
  <si>
    <t>Nestores</t>
  </si>
  <si>
    <t>OutreachCie</t>
  </si>
  <si>
    <t>Passionweek</t>
  </si>
  <si>
    <t>AlmanakCie</t>
  </si>
  <si>
    <t>SprekersCie</t>
  </si>
  <si>
    <t>Student Alpha Committee</t>
  </si>
  <si>
    <t>TechniekCie</t>
  </si>
  <si>
    <t>LAVoz</t>
  </si>
  <si>
    <t>Sports Day Committee</t>
  </si>
  <si>
    <t>SFC Leftover 2021</t>
  </si>
  <si>
    <t>ChiCo</t>
  </si>
  <si>
    <t>Formule-E</t>
  </si>
  <si>
    <t>Innovation Drinks</t>
  </si>
  <si>
    <t>Events with Study Associations</t>
  </si>
  <si>
    <t>Green Team Twente does not have any committee</t>
  </si>
  <si>
    <t>Solar Boat Twente</t>
  </si>
  <si>
    <t>Sales Comittee</t>
  </si>
  <si>
    <t>Full timers</t>
  </si>
  <si>
    <t>Part timers</t>
  </si>
  <si>
    <t>Technology Troopers</t>
  </si>
  <si>
    <t>Earth Expeditions</t>
  </si>
  <si>
    <t>Social Squadron</t>
  </si>
  <si>
    <t>SID</t>
  </si>
  <si>
    <t>Soccie</t>
  </si>
  <si>
    <t>tappers</t>
  </si>
  <si>
    <t>beunhazen</t>
  </si>
  <si>
    <t>Werkgroepen</t>
  </si>
  <si>
    <t>Ambitious Women UT Board</t>
  </si>
  <si>
    <t>Administrative committee</t>
  </si>
  <si>
    <t>Team DO</t>
  </si>
  <si>
    <t>Team CONNECT</t>
  </si>
  <si>
    <t>Team SPEAK UP</t>
  </si>
  <si>
    <t>Marketing committee</t>
  </si>
  <si>
    <t>Afro-orientation committee</t>
  </si>
  <si>
    <t>pro committee</t>
  </si>
  <si>
    <t>Cultural committee</t>
  </si>
  <si>
    <t>Training commitee</t>
  </si>
  <si>
    <t>ITKlo</t>
  </si>
  <si>
    <t>Klokkendice</t>
  </si>
  <si>
    <t>Ford Klocus Committee</t>
  </si>
  <si>
    <t>RVT Klocus</t>
  </si>
  <si>
    <t>NK Klonkieball</t>
  </si>
  <si>
    <t>Food Klomittee</t>
  </si>
  <si>
    <t>Kasko</t>
  </si>
  <si>
    <t>Gala Klommitee</t>
  </si>
  <si>
    <t>Music Klommitee</t>
  </si>
  <si>
    <t>mediaklommitee</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</si>
  <si>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</si>
  <si>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</si>
  <si>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</si>
  <si>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</si>
  <si>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</si>
  <si>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</si>
  <si>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</si>
  <si>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</si>
  <si>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</si>
  <si>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</si>
  <si>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</si>
  <si>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</si>
  <si>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</si>
  <si>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</si>
  <si>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</si>
  <si>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</si>
  <si>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</si>
  <si>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</si>
  <si>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</si>
  <si>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</si>
  <si>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</si>
  <si>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</si>
  <si>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</si>
  <si>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</si>
  <si>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</si>
  <si>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</si>
  <si>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</si>
  <si>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</si>
  <si>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</si>
  <si>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</si>
  <si>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</si>
  <si>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</si>
  <si>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</si>
  <si>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</si>
  <si>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</si>
  <si>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</si>
  <si>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</si>
  <si>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</si>
  <si>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</si>
  <si>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</si>
  <si>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</si>
  <si>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</si>
  <si>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</si>
  <si>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</si>
  <si>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</si>
  <si>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</si>
  <si>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</si>
  <si>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</si>
  <si>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</si>
  <si>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</si>
  <si>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</si>
  <si>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</si>
  <si>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</si>
  <si>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</si>
  <si>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</si>
  <si>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</si>
  <si>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</si>
  <si>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</si>
  <si>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</si>
  <si>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</si>
  <si>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</si>
  <si>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</si>
  <si>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</si>
  <si>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</si>
  <si>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</si>
  <si>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</si>
  <si>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</si>
  <si>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</si>
  <si>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</si>
  <si>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</si>
  <si>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</si>
  <si>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</si>
  <si>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</si>
  <si>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</si>
  <si>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</si>
  <si>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</si>
  <si>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</si>
  <si>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</si>
  <si>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</si>
  <si>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</si>
  <si>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</si>
  <si>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</si>
  <si>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</si>
  <si>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</si>
  <si>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</si>
  <si>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</si>
  <si>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</si>
  <si>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</si>
  <si>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</si>
  <si>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</si>
  <si>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</si>
  <si>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</si>
  <si>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</si>
  <si>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</si>
  <si>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</si>
  <si>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</si>
  <si>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</si>
  <si>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</si>
  <si>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</si>
  <si>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</si>
  <si>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</si>
  <si>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</si>
  <si>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</si>
  <si>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</si>
  <si>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</si>
  <si>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</si>
  <si>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</si>
  <si>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</si>
  <si>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</si>
  <si>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</si>
  <si>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</si>
  <si>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</si>
  <si>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</si>
  <si>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</si>
  <si>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</si>
  <si>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</si>
  <si>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</si>
  <si>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</si>
  <si>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</si>
  <si>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</si>
  <si>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</si>
  <si>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</si>
  <si>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</si>
  <si>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</si>
  <si>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</si>
  <si>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</si>
  <si>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</si>
  <si>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</si>
  <si>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</si>
  <si>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</si>
  <si>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</si>
  <si>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</si>
  <si>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</si>
  <si>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</si>
  <si>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</si>
  <si>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</si>
  <si>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</si>
  <si>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</si>
  <si>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</si>
  <si>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</si>
  <si>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</si>
  <si>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</si>
  <si>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</si>
  <si>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</si>
  <si>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</si>
  <si>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</si>
  <si>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</si>
  <si>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</si>
  <si>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</si>
  <si>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</si>
  <si>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</si>
  <si>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</si>
  <si>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</si>
  <si>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</si>
  <si>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</si>
  <si>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</si>
  <si>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</si>
  <si>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</si>
  <si>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</si>
  <si>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</si>
  <si>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</si>
  <si>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</si>
  <si>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</si>
  <si>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</si>
  <si>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</si>
  <si>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</si>
  <si>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</si>
  <si>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</si>
  <si>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</si>
  <si>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</si>
  <si>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</si>
  <si>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</si>
  <si>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</si>
  <si>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</si>
  <si>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</si>
  <si>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</si>
  <si>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</si>
  <si>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</si>
  <si>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</si>
  <si>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</si>
  <si>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</si>
  <si>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</si>
  <si>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</si>
  <si>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</si>
  <si>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</si>
  <si>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</si>
  <si>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</si>
  <si>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</si>
  <si>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</si>
  <si>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</si>
  <si>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</si>
  <si>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</si>
  <si>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</si>
  <si>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</si>
  <si>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</si>
  <si>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</si>
  <si>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</si>
  <si>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</si>
  <si>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</si>
  <si>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</si>
  <si>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</si>
  <si>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</si>
  <si>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</si>
  <si>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</si>
  <si>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</si>
  <si>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</si>
  <si>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</si>
  <si>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</si>
  <si>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</si>
  <si>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</si>
  <si>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</si>
  <si>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</si>
  <si>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</si>
  <si>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</si>
  <si>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</si>
  <si>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</si>
  <si>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</si>
  <si>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</si>
  <si>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</si>
  <si>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</si>
  <si>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</si>
  <si>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</si>
  <si>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</si>
  <si>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</si>
  <si>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</si>
  <si>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</si>
  <si>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</si>
  <si>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</si>
  <si>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</si>
  <si>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</si>
  <si>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</si>
  <si>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</si>
  <si>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</si>
  <si>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</si>
  <si>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</si>
  <si>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</si>
  <si>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</si>
  <si>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</si>
  <si>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</si>
  <si>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</si>
  <si>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</si>
  <si>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</si>
  <si>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</si>
  <si>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</si>
  <si>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</si>
  <si>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</si>
  <si>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</si>
  <si>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</si>
  <si>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</si>
  <si>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</si>
  <si>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</si>
  <si>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</si>
  <si>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</si>
  <si>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</si>
  <si>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</si>
  <si>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</si>
  <si>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</si>
  <si>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</si>
  <si>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</si>
  <si>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</si>
  <si>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</si>
  <si>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</si>
  <si>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</si>
  <si>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</si>
  <si>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</si>
  <si>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</si>
  <si>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</si>
  <si>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</si>
  <si>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</si>
  <si>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</si>
  <si>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</si>
  <si>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</si>
  <si>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</si>
  <si>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</si>
  <si>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</si>
  <si>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</si>
  <si>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</si>
  <si>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</si>
  <si>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</si>
  <si>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</si>
  <si>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</si>
  <si>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</si>
  <si>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</si>
  <si>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</si>
  <si>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</si>
  <si>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</si>
  <si>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</si>
  <si>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</si>
  <si>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</si>
  <si>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</si>
  <si>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</si>
  <si>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</si>
  <si>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</si>
  <si>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</si>
  <si>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</si>
  <si>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</si>
  <si>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</si>
  <si>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</si>
  <si>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</si>
  <si>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</si>
  <si>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</si>
  <si>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</si>
  <si>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</si>
  <si>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</si>
  <si>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</si>
  <si>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</si>
  <si>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</si>
  <si>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</si>
  <si>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</si>
  <si>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</si>
  <si>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</si>
  <si>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</si>
  <si>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</si>
  <si>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</si>
  <si>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</si>
  <si>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</si>
  <si>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</si>
  <si>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</si>
  <si>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</si>
  <si>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</si>
  <si>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</si>
  <si>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</si>
  <si>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</si>
  <si>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</si>
  <si>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</si>
  <si>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</si>
  <si>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</si>
  <si>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</si>
  <si>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</si>
  <si>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</si>
  <si>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</si>
  <si>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</si>
  <si>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</si>
  <si>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</si>
  <si>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</si>
  <si>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</si>
  <si>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</si>
  <si>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</si>
  <si>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</si>
  <si>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</si>
  <si>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</si>
  <si>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</si>
  <si>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</si>
  <si>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</si>
  <si>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</si>
  <si>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</si>
  <si>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</si>
  <si>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</si>
  <si>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</si>
  <si>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</si>
  <si>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</si>
  <si>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</si>
  <si>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</si>
  <si>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</si>
  <si>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</si>
  <si>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</si>
  <si>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</si>
  <si>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</si>
  <si>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</si>
  <si>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</si>
  <si>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</si>
  <si>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</si>
  <si>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</si>
  <si>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</si>
  <si>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</si>
  <si>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</si>
  <si>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</si>
  <si>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</si>
  <si>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</si>
  <si>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</si>
  <si>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</si>
  <si>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</si>
  <si>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</si>
  <si>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</si>
  <si>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</si>
  <si>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</si>
  <si>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</si>
  <si>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</si>
  <si>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</si>
  <si>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</si>
  <si>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</si>
  <si>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</si>
  <si>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</si>
  <si>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</si>
  <si>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</si>
  <si>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</si>
  <si>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</si>
  <si>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</si>
  <si>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</si>
  <si>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</si>
  <si>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</si>
  <si>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</si>
  <si>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</si>
  <si>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</si>
  <si>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</si>
  <si>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</si>
  <si>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</si>
  <si>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</si>
  <si>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</si>
  <si>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</si>
  <si>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</si>
  <si>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</si>
  <si>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</si>
  <si>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</si>
  <si>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</si>
  <si>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</si>
  <si>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</si>
  <si>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</si>
  <si>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</si>
  <si>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</si>
  <si>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</si>
  <si>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</si>
  <si>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</si>
  <si>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</si>
  <si>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</si>
  <si>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</si>
  <si>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</si>
  <si>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</si>
  <si>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</si>
  <si>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</si>
  <si>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</si>
  <si>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</si>
  <si>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</si>
  <si>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</si>
  <si>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</si>
  <si>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</si>
  <si>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</si>
  <si>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</si>
  <si>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</si>
  <si>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</si>
  <si>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</si>
  <si>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</si>
  <si>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</si>
  <si>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</si>
  <si>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</si>
  <si>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</si>
  <si>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</si>
  <si>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</si>
  <si>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</si>
  <si>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</si>
  <si>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</si>
  <si>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</si>
  <si>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</si>
  <si>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</si>
  <si>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</si>
  <si>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</si>
  <si>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</si>
  <si>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</si>
  <si>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</si>
  <si>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</si>
  <si>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</si>
  <si>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</si>
  <si>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</si>
  <si>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</si>
  <si>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</si>
  <si>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</si>
  <si>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</si>
  <si>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</si>
  <si>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</si>
  <si>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</si>
  <si>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</si>
  <si>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</si>
  <si>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</si>
  <si>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</si>
  <si>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</si>
  <si>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</si>
  <si>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</si>
  <si>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</si>
  <si>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</si>
  <si>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</si>
  <si>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</si>
  <si>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</si>
  <si>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</si>
  <si>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</si>
  <si>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</si>
  <si>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</si>
  <si>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</si>
  <si>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</si>
  <si>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</si>
  <si>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</si>
  <si>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</si>
  <si>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</si>
  <si>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</si>
  <si>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</si>
  <si>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</si>
  <si>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</si>
  <si>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</si>
  <si>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</si>
  <si>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</si>
  <si>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</si>
  <si>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</si>
  <si>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</si>
  <si>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</si>
  <si>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</si>
  <si>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</si>
  <si>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</si>
  <si>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</si>
  <si>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</si>
  <si>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</si>
  <si>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</si>
  <si>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</si>
  <si>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</si>
  <si>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</si>
  <si>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</si>
  <si>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</si>
  <si>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</si>
  <si>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</si>
  <si>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</si>
  <si>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</si>
  <si>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</si>
  <si>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</si>
  <si>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</si>
  <si>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</si>
  <si>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</si>
  <si>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</si>
  <si>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</si>
  <si>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</si>
  <si>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</si>
  <si>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</si>
  <si>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</si>
  <si>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</si>
  <si>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</si>
  <si>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</si>
  <si>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</si>
  <si>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</si>
  <si>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</si>
  <si>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</si>
  <si>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</si>
  <si>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</si>
  <si>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</si>
  <si>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</si>
  <si>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</si>
  <si>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</si>
  <si>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</si>
  <si>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</si>
  <si>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</si>
  <si>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</si>
  <si>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</si>
  <si>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</si>
  <si>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</si>
  <si>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</si>
  <si>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</si>
  <si>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</si>
  <si>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</si>
  <si>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</si>
  <si>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</si>
  <si>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</si>
  <si>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</si>
  <si>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</si>
  <si>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</si>
  <si>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</si>
  <si>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</si>
  <si>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</si>
  <si>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</si>
  <si>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</si>
  <si>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</si>
  <si>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</si>
  <si>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</si>
  <si>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</si>
  <si>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</si>
  <si>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</si>
  <si>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</si>
  <si>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</si>
  <si>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</si>
  <si>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</si>
  <si>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</si>
  <si>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</si>
  <si>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</si>
  <si>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</si>
  <si>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</si>
  <si>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</si>
  <si>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</si>
  <si>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</si>
  <si>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</si>
  <si>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</si>
  <si>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</si>
  <si>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</si>
  <si>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</si>
  <si>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</si>
  <si>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</si>
  <si>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</si>
  <si>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</si>
  <si>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</si>
  <si>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</si>
  <si>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</si>
  <si>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</si>
  <si>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</si>
  <si>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</si>
  <si>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</si>
  <si>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</si>
  <si>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</si>
  <si>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</si>
  <si>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</si>
  <si>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</si>
  <si>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</si>
  <si>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</si>
  <si>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</si>
  <si>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</si>
  <si>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</si>
  <si>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</si>
  <si>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</si>
  <si>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</si>
  <si>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</si>
  <si>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</si>
  <si>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</si>
  <si>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</si>
  <si>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</si>
  <si>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</si>
  <si>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</si>
  <si>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</si>
  <si>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</si>
  <si>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</si>
  <si>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</si>
  <si>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</si>
  <si>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</si>
  <si>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</si>
  <si>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</si>
  <si>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</si>
  <si>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</si>
  <si>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</si>
  <si>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</si>
  <si>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</si>
  <si>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</si>
  <si>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</si>
  <si>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</si>
  <si>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</si>
  <si>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</si>
  <si>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</si>
  <si>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</si>
  <si>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</si>
  <si>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</si>
  <si>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</si>
  <si>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</si>
  <si>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</si>
  <si>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</si>
  <si>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</si>
  <si>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</si>
  <si>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</si>
  <si>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</si>
  <si>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</si>
  <si>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</si>
  <si>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</si>
  <si>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</si>
  <si>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</si>
  <si>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</si>
  <si>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</si>
  <si>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</si>
  <si>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</si>
  <si>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</si>
  <si>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</si>
  <si>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</si>
  <si>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</si>
  <si>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</si>
  <si>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</si>
  <si>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</si>
  <si>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</si>
  <si>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</si>
  <si>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</si>
  <si>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</si>
  <si>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</si>
  <si>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</si>
  <si>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</si>
  <si>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</si>
  <si>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</si>
  <si>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</si>
  <si>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</si>
  <si>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</si>
  <si>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</si>
  <si>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</si>
  <si>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</si>
  <si>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</si>
  <si>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</si>
  <si>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</si>
  <si>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</si>
  <si>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</si>
  <si>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</si>
  <si>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</si>
  <si>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</si>
  <si>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</si>
  <si>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</si>
  <si>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</si>
  <si>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</si>
  <si>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</si>
  <si>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</si>
  <si>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</si>
  <si>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</si>
  <si>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</si>
  <si>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</si>
  <si>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</si>
  <si>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</si>
  <si>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</si>
  <si>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</si>
  <si>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</si>
  <si>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</si>
  <si>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</si>
  <si>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</si>
  <si>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</si>
  <si>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</si>
  <si>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</si>
  <si>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</si>
  <si>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</si>
  <si>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</si>
  <si>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</si>
  <si>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</si>
  <si>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</si>
  <si>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</si>
  <si>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</si>
  <si>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</si>
  <si>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</si>
  <si>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</si>
  <si>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</si>
  <si>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</si>
  <si>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</si>
  <si>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</si>
  <si>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</si>
  <si>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</si>
  <si>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</si>
  <si>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</si>
  <si>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</si>
  <si>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</si>
  <si>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</si>
  <si>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</si>
  <si>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</si>
  <si>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</si>
  <si>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</si>
  <si>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</si>
  <si>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</si>
  <si>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</si>
  <si>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</si>
  <si>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</si>
  <si>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</si>
  <si>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</si>
  <si>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</si>
  <si>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</si>
  <si>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</si>
  <si>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</si>
  <si>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</si>
  <si>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</si>
  <si>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</si>
  <si>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</si>
  <si>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</si>
  <si>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</si>
  <si>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</si>
  <si>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</si>
  <si>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</si>
  <si>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</si>
  <si>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</si>
  <si>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</si>
  <si>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</si>
  <si>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</si>
  <si>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</si>
  <si>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</si>
  <si>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</si>
  <si>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</si>
  <si>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</si>
  <si>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</si>
  <si>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</si>
  <si>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</si>
  <si>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</si>
  <si>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</si>
  <si>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</si>
  <si>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</si>
  <si>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</si>
  <si>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</si>
  <si>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</si>
  <si>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</si>
  <si>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</si>
  <si>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</si>
  <si>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</si>
  <si>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</si>
  <si>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</si>
  <si>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</si>
  <si>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</si>
  <si>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</si>
  <si>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</si>
  <si>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</si>
  <si>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</si>
  <si>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</si>
  <si>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</si>
  <si>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</si>
  <si>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</si>
  <si>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</si>
  <si>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</si>
  <si>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</si>
  <si>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</si>
  <si>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</si>
  <si>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</si>
  <si>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</si>
  <si>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</si>
  <si>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</si>
  <si>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</si>
  <si>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</si>
  <si>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</si>
  <si>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</si>
  <si>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</si>
  <si>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</si>
  <si>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</si>
  <si>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</si>
  <si>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</si>
  <si>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</si>
  <si>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</si>
  <si>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</si>
  <si>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</si>
  <si>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</si>
  <si>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</si>
  <si>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</si>
  <si>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</si>
  <si>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</si>
  <si>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</si>
  <si>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</si>
  <si>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</si>
  <si>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</si>
  <si>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</si>
  <si>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</si>
  <si>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</si>
  <si>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</si>
  <si>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</si>
  <si>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</si>
  <si>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</si>
  <si>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</si>
  <si>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</si>
  <si>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</si>
  <si>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</si>
  <si>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</si>
  <si>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</si>
  <si>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</si>
  <si>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</si>
  <si>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</si>
  <si>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</si>
  <si>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</si>
  <si>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</si>
  <si>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</si>
  <si>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</si>
  <si>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</si>
  <si>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</si>
  <si>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</si>
  <si>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</si>
  <si>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</si>
  <si>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</si>
  <si>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</si>
  <si>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</si>
  <si>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</si>
  <si>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</si>
  <si>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</si>
  <si>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</si>
  <si>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</si>
  <si>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</si>
  <si>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</si>
  <si>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</si>
  <si>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</si>
  <si>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</si>
  <si>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</si>
  <si>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</si>
  <si>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</si>
  <si>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</si>
  <si>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</si>
  <si>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</si>
  <si>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</si>
  <si>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</si>
  <si>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</si>
  <si>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</si>
  <si>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</si>
  <si>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</si>
  <si>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</si>
  <si>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</si>
  <si>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</si>
  <si>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</si>
  <si>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</si>
  <si>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</si>
  <si>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</si>
  <si>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</si>
  <si>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</si>
  <si>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</si>
  <si>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</si>
  <si>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</si>
  <si>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</si>
  <si>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</si>
  <si>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</si>
  <si>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</si>
  <si>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</si>
  <si>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</si>
  <si>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</si>
  <si>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</si>
  <si>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</si>
  <si>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</si>
  <si>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</si>
  <si>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</si>
  <si>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</si>
  <si>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</si>
  <si>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</si>
  <si>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</si>
  <si>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</si>
  <si>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</si>
  <si>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</si>
  <si>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</si>
  <si>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</si>
  <si>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</si>
  <si>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</si>
  <si>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</si>
  <si>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</si>
  <si>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</si>
  <si>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</si>
  <si>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</si>
  <si>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</si>
  <si>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</si>
  <si>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</si>
  <si>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</si>
  <si>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</si>
  <si>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</si>
  <si>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</si>
  <si>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</si>
  <si>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</si>
  <si>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</si>
  <si>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</si>
  <si>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</si>
  <si>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</si>
  <si>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</si>
  <si>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</si>
  <si>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</si>
  <si>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</si>
  <si>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</si>
  <si>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</si>
  <si>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</si>
  <si>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</si>
  <si>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</si>
  <si>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</si>
  <si>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</si>
  <si>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</si>
  <si>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</si>
  <si>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</si>
  <si>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</si>
  <si>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</si>
  <si>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</si>
  <si>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</si>
  <si>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</si>
  <si>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</si>
  <si>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</si>
  <si>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</si>
  <si>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</si>
  <si>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</si>
  <si>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</si>
  <si>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</si>
  <si>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</si>
  <si>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</si>
  <si>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</si>
  <si>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</si>
  <si>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</si>
  <si>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</si>
  <si>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</si>
  <si>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</si>
  <si>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</si>
  <si>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</si>
  <si>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</si>
  <si>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</si>
  <si>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</si>
  <si>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</si>
  <si>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</si>
  <si>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</si>
  <si>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</si>
  <si>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</si>
  <si>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</si>
  <si>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</si>
  <si>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</si>
  <si>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</si>
  <si>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</si>
  <si>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</si>
  <si>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</si>
  <si>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</si>
  <si>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</si>
  <si>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</si>
  <si>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</si>
  <si>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</si>
  <si>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</si>
  <si>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</si>
  <si>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</si>
  <si>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</si>
  <si>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</si>
  <si>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</si>
  <si>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</si>
  <si>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</si>
  <si>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</si>
  <si>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</si>
  <si>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</si>
  <si>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</si>
  <si>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</si>
  <si>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</si>
  <si>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</si>
  <si>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</si>
  <si>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</si>
  <si>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</si>
  <si>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</si>
  <si>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</si>
  <si>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</si>
  <si>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</si>
  <si>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</si>
  <si>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</si>
  <si>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</si>
  <si>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</si>
  <si>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</si>
  <si>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</si>
  <si>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</si>
  <si>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</si>
  <si>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</si>
  <si>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</si>
  <si>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</si>
  <si>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</si>
  <si>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</si>
  <si>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</si>
  <si>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</si>
  <si>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</si>
  <si>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</si>
  <si>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</si>
  <si>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</si>
  <si>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</si>
  <si>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</si>
  <si>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</si>
  <si>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</si>
  <si>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</si>
  <si>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</si>
  <si>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</si>
  <si>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</si>
  <si>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</si>
  <si>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</si>
  <si>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</si>
  <si>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</si>
  <si>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</si>
  <si>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</si>
  <si>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</si>
  <si>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</si>
  <si>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</si>
  <si>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</si>
  <si>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</si>
  <si>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</si>
  <si>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</si>
  <si>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</si>
  <si>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</si>
  <si>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</si>
  <si>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</si>
  <si>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</si>
  <si>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</si>
  <si>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</si>
  <si>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</si>
  <si>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</si>
  <si>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</si>
  <si>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</si>
  <si>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</si>
  <si>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</si>
  <si>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</si>
  <si>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</si>
  <si>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</si>
  <si>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</si>
  <si>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</si>
  <si>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</si>
  <si>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</si>
  <si>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</si>
  <si>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</si>
  <si>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</si>
  <si>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</si>
  <si>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</si>
  <si>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</si>
  <si>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</si>
  <si>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</si>
  <si>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</si>
  <si>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</si>
  <si>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</si>
  <si>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</si>
  <si>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</si>
  <si>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</si>
  <si>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</si>
  <si>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</si>
  <si>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</si>
  <si>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</si>
  <si>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</si>
  <si>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</si>
  <si>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</si>
  <si>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</si>
  <si>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</si>
  <si>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</si>
  <si>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</si>
  <si>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</si>
  <si>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</si>
  <si>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</si>
  <si>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</si>
  <si>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</si>
  <si>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</si>
  <si>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</si>
  <si>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</si>
  <si>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</si>
  <si>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</si>
  <si>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</si>
  <si>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</si>
  <si>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</si>
  <si>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</si>
  <si>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</si>
  <si>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</si>
  <si>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</si>
  <si>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</si>
  <si>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</si>
  <si>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</si>
  <si>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</si>
  <si>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</si>
  <si>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</si>
  <si>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</si>
  <si>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</si>
  <si>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</si>
  <si>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</si>
  <si>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</si>
  <si>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</si>
  <si>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</si>
  <si>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</si>
  <si>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</si>
  <si>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</si>
  <si>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</si>
  <si>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</si>
  <si>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</si>
  <si>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</si>
  <si>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</si>
  <si>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</si>
  <si>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</si>
  <si>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</si>
  <si>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</si>
  <si>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</si>
  <si>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</si>
  <si>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</si>
  <si>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</si>
  <si>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</si>
  <si>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</si>
  <si>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</si>
  <si>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</si>
  <si>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</si>
  <si>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</si>
  <si>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</si>
  <si>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</si>
  <si>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</si>
  <si>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</si>
  <si>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</si>
  <si>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</si>
  <si>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</si>
  <si>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</si>
  <si>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</si>
  <si>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</si>
  <si>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</si>
  <si>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</si>
  <si>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</si>
  <si>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</si>
  <si>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</si>
  <si>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</si>
  <si>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</si>
  <si>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</si>
  <si>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</si>
  <si>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</si>
  <si>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</si>
  <si>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</si>
  <si>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</si>
  <si>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</si>
  <si>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</si>
  <si>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</si>
  <si>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</si>
  <si>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</si>
  <si>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</si>
  <si>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</si>
  <si>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</si>
  <si>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</si>
  <si>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</si>
  <si>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</si>
  <si>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</si>
  <si>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</si>
  <si>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</si>
  <si>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</si>
  <si>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</si>
  <si>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</si>
  <si>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</si>
  <si>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</si>
  <si>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</si>
  <si>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</si>
  <si>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</si>
  <si>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</si>
  <si>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</si>
  <si>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</si>
  <si>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</si>
  <si>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</si>
  <si>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</si>
  <si>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</si>
  <si>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</si>
  <si>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</si>
  <si>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</si>
  <si>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</si>
  <si>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</si>
  <si>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</si>
  <si>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</si>
  <si>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</si>
  <si>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</si>
  <si>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</si>
  <si>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</si>
  <si>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</si>
  <si>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</si>
  <si>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</si>
  <si>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</si>
  <si>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</si>
  <si>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</si>
  <si>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</si>
  <si>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</si>
  <si>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</si>
  <si>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</si>
  <si>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</si>
  <si>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</si>
  <si>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</si>
  <si>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</si>
  <si>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</si>
  <si>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</si>
  <si>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</si>
  <si>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</si>
  <si>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</si>
  <si>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</si>
  <si>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</si>
  <si>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</si>
  <si>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</si>
  <si>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</si>
  <si>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</si>
  <si>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</si>
  <si>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</si>
  <si>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</si>
  <si>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</si>
  <si>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</si>
  <si>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</si>
  <si>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</si>
  <si>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</si>
  <si>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</si>
  <si>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</si>
  <si>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</si>
  <si>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</si>
  <si>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</si>
  <si>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</si>
  <si>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</si>
  <si>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</si>
  <si>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</si>
  <si>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</si>
  <si>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</si>
  <si>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</si>
  <si>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</si>
  <si>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</si>
  <si>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</si>
  <si>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</si>
  <si>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</si>
  <si>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</si>
  <si>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</si>
  <si>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</si>
  <si>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</si>
  <si>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</si>
  <si>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</si>
  <si>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</si>
  <si>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</si>
  <si>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</si>
  <si>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</si>
  <si>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</si>
  <si>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</si>
  <si>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</si>
  <si>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</si>
  <si>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</si>
  <si>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</si>
  <si>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</si>
  <si>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</si>
  <si>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</si>
  <si>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</si>
  <si>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</si>
  <si>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</si>
  <si>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</si>
  <si>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</si>
  <si>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</si>
  <si>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</si>
  <si>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</si>
  <si>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</si>
  <si>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</si>
  <si>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</si>
  <si>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</si>
  <si>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</si>
  <si>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</si>
  <si>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</si>
  <si>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</si>
  <si>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</si>
  <si>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</si>
  <si>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</si>
  <si>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</si>
  <si>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</si>
  <si>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</si>
  <si>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</si>
  <si>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</si>
  <si>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</si>
  <si>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</si>
  <si>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</si>
  <si>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</si>
  <si>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</si>
  <si>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</si>
  <si>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</si>
  <si>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</si>
  <si>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</si>
  <si>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</si>
  <si>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</si>
  <si>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</si>
  <si>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</si>
  <si>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</si>
  <si>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</si>
  <si>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</si>
  <si>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</si>
  <si>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</si>
  <si>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</si>
  <si>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</si>
  <si>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</si>
  <si>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</si>
  <si>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</si>
  <si>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</si>
  <si>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</si>
  <si>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</si>
  <si>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</si>
  <si>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</si>
  <si>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</si>
  <si>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</si>
  <si>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</si>
  <si>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</si>
  <si>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</si>
  <si>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</si>
  <si>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</si>
  <si>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</si>
  <si>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</si>
  <si>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</si>
  <si>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</si>
  <si>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</si>
  <si>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</si>
  <si>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</si>
  <si>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</si>
  <si>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</si>
  <si>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</si>
  <si>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</si>
  <si>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</si>
  <si>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</si>
  <si>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</si>
  <si>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</si>
  <si>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</si>
  <si>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</si>
  <si>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</si>
  <si>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</si>
  <si>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</si>
  <si>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</si>
  <si>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</si>
  <si>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</si>
  <si>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</si>
  <si>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</si>
  <si>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</si>
  <si>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</si>
  <si>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</si>
  <si>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</si>
  <si>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</si>
  <si>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</si>
  <si>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</si>
  <si>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</si>
  <si>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</si>
  <si>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</si>
  <si>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</si>
  <si>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</si>
  <si>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</si>
  <si>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</si>
  <si>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</si>
  <si>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</si>
  <si>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</si>
  <si>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</si>
  <si>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</si>
  <si>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</si>
  <si>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</si>
  <si>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</si>
  <si>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</si>
  <si>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</si>
  <si>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</si>
  <si>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</si>
  <si>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</si>
  <si>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</si>
  <si>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</si>
  <si>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</si>
  <si>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</si>
  <si>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</si>
  <si>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</si>
  <si>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</si>
  <si>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</si>
  <si>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</si>
  <si>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</si>
  <si>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</si>
  <si>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</si>
  <si>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</si>
  <si>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</si>
  <si>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</si>
  <si>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</si>
  <si>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</si>
  <si>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</si>
  <si>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</si>
  <si>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</si>
  <si>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</si>
  <si>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</si>
  <si>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</si>
  <si>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</si>
  <si>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</si>
  <si>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</si>
  <si>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</si>
  <si>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</si>
  <si>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</si>
  <si>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</si>
  <si>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</si>
  <si>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</si>
  <si>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</si>
  <si>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</si>
  <si>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</si>
  <si>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</si>
  <si>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</si>
  <si>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</si>
  <si>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</si>
  <si>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</si>
  <si>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</si>
  <si>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</si>
  <si>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</si>
  <si>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</si>
  <si>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</si>
  <si>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</si>
  <si>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</si>
  <si>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</si>
  <si>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</si>
  <si>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</si>
  <si>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</si>
  <si>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</si>
  <si>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</si>
  <si>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</si>
  <si>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</si>
  <si>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</si>
  <si>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</si>
  <si>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</si>
  <si>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</si>
  <si>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</si>
  <si>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</si>
  <si>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</si>
  <si>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</si>
  <si>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</si>
  <si>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</si>
  <si>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</si>
  <si>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</si>
  <si>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</si>
  <si>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</si>
  <si>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</si>
  <si>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</si>
  <si>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</si>
  <si>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</si>
  <si>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</si>
  <si>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</si>
  <si>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</si>
  <si>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</si>
  <si>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</si>
  <si>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</si>
  <si>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</si>
  <si>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</si>
  <si>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</si>
  <si>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</si>
  <si>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</si>
  <si>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</si>
  <si>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</si>
  <si>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</si>
  <si>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</si>
  <si>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</si>
  <si>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</si>
  <si>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</si>
  <si>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</si>
  <si>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</si>
  <si>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</si>
  <si>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</si>
  <si>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</si>
  <si>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</si>
  <si>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</si>
  <si>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</si>
  <si>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</si>
  <si>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</si>
  <si>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</si>
  <si>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</si>
  <si>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</si>
  <si>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</si>
  <si>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</si>
  <si>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</si>
  <si>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</si>
  <si>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</si>
  <si>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</si>
  <si>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</si>
  <si>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</si>
  <si>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</si>
  <si>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</si>
  <si>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</si>
  <si>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</si>
  <si>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</si>
  <si>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</si>
  <si>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</si>
  <si>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</si>
  <si>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</si>
  <si>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</si>
  <si>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</si>
  <si>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</si>
  <si>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</si>
  <si>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</si>
  <si>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</si>
  <si>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</si>
  <si>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</si>
  <si>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</si>
  <si>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</si>
  <si>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</si>
  <si>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</si>
  <si>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</si>
  <si>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</si>
  <si>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</si>
  <si>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</si>
  <si>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</si>
  <si>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</si>
  <si>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</si>
  <si>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</si>
  <si>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</si>
  <si>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</si>
  <si>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</si>
  <si>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</si>
  <si>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</si>
  <si>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</si>
  <si>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</si>
  <si>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</si>
  <si>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</si>
  <si>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</si>
  <si>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</si>
  <si>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</si>
  <si>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</si>
  <si>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</si>
  <si>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</si>
  <si>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</si>
  <si>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</si>
  <si>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</si>
  <si>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</si>
  <si>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</si>
  <si>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</si>
  <si>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</si>
  <si>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</si>
  <si>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</si>
  <si>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</si>
  <si>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</si>
  <si>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</si>
  <si>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</si>
  <si>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</si>
  <si>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</si>
  <si>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</si>
  <si>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</si>
  <si>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</si>
  <si>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</si>
  <si>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</si>
  <si>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</si>
  <si>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</si>
  <si>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</si>
  <si>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</si>
  <si>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</si>
  <si>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</si>
  <si>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</si>
  <si>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</si>
  <si>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</si>
  <si>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</si>
  <si>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</si>
  <si>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</si>
  <si>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</si>
  <si>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</si>
  <si>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</si>
  <si>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</si>
  <si>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</si>
  <si>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</si>
  <si>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</si>
  <si>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</si>
  <si>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</si>
  <si>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</si>
  <si>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</si>
  <si>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</si>
  <si>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</si>
  <si>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</si>
  <si>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</si>
  <si>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</si>
  <si>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</si>
  <si>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</si>
  <si>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</si>
  <si>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</si>
  <si>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</si>
  <si>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</si>
  <si>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</si>
  <si>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</si>
  <si>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</si>
  <si>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</si>
  <si>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</si>
  <si>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</si>
  <si>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</si>
  <si>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</si>
  <si>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</si>
  <si>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</si>
  <si>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</si>
  <si>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</si>
  <si>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</si>
  <si>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</si>
  <si>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</si>
  <si>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</si>
  <si>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</si>
  <si>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</si>
  <si>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</si>
  <si>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</si>
  <si>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</si>
  <si>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</si>
  <si>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</si>
  <si>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</si>
  <si>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</si>
  <si>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</si>
  <si>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</si>
  <si>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</si>
  <si>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</si>
  <si>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</si>
  <si>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</si>
  <si>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</si>
  <si>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</si>
  <si>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</si>
  <si>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</si>
  <si>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</si>
  <si>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</si>
  <si>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</si>
  <si>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</si>
  <si>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</si>
  <si>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</si>
  <si>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</si>
  <si>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</si>
  <si>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</si>
  <si>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</si>
  <si>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</si>
  <si>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</si>
  <si>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</si>
  <si>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</si>
  <si>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</si>
  <si>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</si>
  <si>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</si>
  <si>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</si>
  <si>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</si>
  <si>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</si>
  <si>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</si>
  <si>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</si>
  <si>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</si>
  <si>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</si>
  <si>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</si>
  <si>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</si>
  <si>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</si>
  <si>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</si>
  <si>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</si>
  <si>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</si>
  <si>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</si>
  <si>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</si>
  <si>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</si>
  <si>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</si>
  <si>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</si>
  <si>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</si>
  <si>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</si>
  <si>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</si>
  <si>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</si>
  <si>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</si>
  <si>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</si>
  <si>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</si>
  <si>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</si>
  <si>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</si>
  <si>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</si>
  <si>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</si>
  <si>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</si>
  <si>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</si>
  <si>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</si>
  <si>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</si>
  <si>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</si>
  <si>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</si>
  <si>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</si>
  <si>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</si>
  <si>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</si>
  <si>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</si>
  <si>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</si>
  <si>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</si>
  <si>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</si>
  <si>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</si>
  <si>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</si>
  <si>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</si>
  <si>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</si>
  <si>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</si>
  <si>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</si>
  <si>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</si>
  <si>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</si>
  <si>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</si>
  <si>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</si>
  <si>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</si>
  <si>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</si>
  <si>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</si>
  <si>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</si>
  <si>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</si>
  <si>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</si>
  <si>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</si>
  <si>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</si>
  <si>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</si>
  <si>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</si>
  <si>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</si>
  <si>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</si>
  <si>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</si>
  <si>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</si>
  <si>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</si>
  <si>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</si>
  <si>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</si>
  <si>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</si>
  <si>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</si>
  <si>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</si>
  <si>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</si>
  <si>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</si>
  <si>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</si>
  <si>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</si>
  <si>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</si>
  <si>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</si>
  <si>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</si>
  <si>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</si>
  <si>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</si>
  <si>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</si>
  <si>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</si>
  <si>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</si>
  <si>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</si>
  <si>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</si>
  <si>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</si>
  <si>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</si>
  <si>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</si>
  <si>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</si>
  <si>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</si>
  <si>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</si>
  <si>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</si>
  <si>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</si>
  <si>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</si>
  <si>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</si>
  <si>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</si>
  <si>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</si>
  <si>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</si>
  <si>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</si>
  <si>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</si>
  <si>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</si>
  <si>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</si>
  <si>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</si>
  <si>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</si>
  <si>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</si>
  <si>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</si>
  <si>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</si>
  <si>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</si>
  <si>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</si>
  <si>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</si>
  <si>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</si>
  <si>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</si>
  <si>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</si>
  <si>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</si>
  <si>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</si>
  <si>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</si>
  <si>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</si>
  <si>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</si>
  <si>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</si>
  <si>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</si>
  <si>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</si>
  <si>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</si>
  <si>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</si>
  <si>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</si>
  <si>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</si>
  <si>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</si>
  <si>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</si>
  <si>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</si>
  <si>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</si>
  <si>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</si>
  <si>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</si>
  <si>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</si>
  <si>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</si>
  <si>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</si>
  <si>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</si>
  <si>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</si>
  <si>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</si>
  <si>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</si>
  <si>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</si>
  <si>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</si>
  <si>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</si>
  <si>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</si>
  <si>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</si>
  <si>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</si>
  <si>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</si>
  <si>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</si>
  <si>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</si>
  <si>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</si>
  <si>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</si>
  <si>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</si>
  <si>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</si>
  <si>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</si>
  <si>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</si>
  <si>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</si>
  <si>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</si>
  <si>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</si>
  <si>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</si>
  <si>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</si>
  <si>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</si>
  <si>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</si>
  <si>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</si>
  <si>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</si>
  <si>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</si>
  <si>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</si>
  <si>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</si>
  <si>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</si>
  <si>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</si>
  <si>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</si>
  <si>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</si>
  <si>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</si>
  <si>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</si>
  <si>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</si>
  <si>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</si>
  <si>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</si>
  <si>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</si>
  <si>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</si>
  <si>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</si>
  <si>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</si>
  <si>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</si>
  <si>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</si>
  <si>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</si>
  <si>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</si>
  <si>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</si>
  <si>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</si>
  <si>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</si>
  <si>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</si>
  <si>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</si>
  <si>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</si>
  <si>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</si>
  <si>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</si>
  <si>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</si>
  <si>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</si>
  <si>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</si>
  <si>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</si>
  <si>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</si>
  <si>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</si>
  <si>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</si>
  <si>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</si>
  <si>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</si>
  <si>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</si>
  <si>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</si>
  <si>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</si>
  <si>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</si>
  <si>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</si>
  <si>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</si>
  <si>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</si>
  <si>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</si>
  <si>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</si>
  <si>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</si>
  <si>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</si>
  <si>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</si>
  <si>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</si>
  <si>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</si>
  <si>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</si>
  <si>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</si>
  <si>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</si>
  <si>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</si>
  <si>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</si>
  <si>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</si>
  <si>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</si>
  <si>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</si>
  <si>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</si>
  <si>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</si>
  <si>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</si>
  <si>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</si>
  <si>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</si>
  <si>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</si>
  <si>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</si>
  <si>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</si>
  <si>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</si>
  <si>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</si>
  <si>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</si>
  <si>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</si>
  <si>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</si>
  <si>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</si>
  <si>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</si>
  <si>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</si>
  <si>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</si>
  <si>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</si>
  <si>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</si>
  <si>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</si>
  <si>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</si>
  <si>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</si>
  <si>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</si>
  <si>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</si>
  <si>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</si>
  <si>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</si>
  <si>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</si>
  <si>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</si>
  <si>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</si>
  <si>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</si>
  <si>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</si>
  <si>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</si>
  <si>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</si>
  <si>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</si>
  <si>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</si>
  <si>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</si>
  <si>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</si>
  <si>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</si>
  <si>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</si>
  <si>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</si>
  <si>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</si>
  <si>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</si>
  <si>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</si>
  <si>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</si>
  <si>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</si>
  <si>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</si>
  <si>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</si>
  <si>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</si>
  <si>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</si>
  <si>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</si>
  <si>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</si>
  <si>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</si>
  <si>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</si>
  <si>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</si>
  <si>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</si>
  <si>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</si>
  <si>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</si>
  <si>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</si>
  <si>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</si>
  <si>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</si>
  <si>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</si>
  <si>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</si>
  <si>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</si>
  <si>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</si>
  <si>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</si>
  <si>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</si>
  <si>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</si>
  <si>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</si>
  <si>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</si>
  <si>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</si>
  <si>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</si>
  <si>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</si>
  <si>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</si>
  <si>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</si>
  <si>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</si>
  <si>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</si>
  <si>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</si>
  <si>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</si>
  <si>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</si>
  <si>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</si>
  <si>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</si>
  <si>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</si>
  <si>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</si>
  <si>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</si>
  <si>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</si>
  <si>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</si>
  <si>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</si>
  <si>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</si>
  <si>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</si>
  <si>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</si>
  <si>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</si>
  <si>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</si>
  <si>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</si>
  <si>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</si>
  <si>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</si>
  <si>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</si>
  <si>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</si>
  <si>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</si>
  <si>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</si>
  <si>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</si>
  <si>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</si>
  <si>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</si>
  <si>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</si>
  <si>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</si>
  <si>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</si>
  <si>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</si>
  <si>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</si>
  <si>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</si>
  <si>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</si>
  <si>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</si>
  <si>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</si>
  <si>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</si>
  <si>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</si>
  <si>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</si>
  <si>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</si>
  <si>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</si>
  <si>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</si>
  <si>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</si>
  <si>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</si>
  <si>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</si>
  <si>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</si>
  <si>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</si>
  <si>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</si>
  <si>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</si>
  <si>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</si>
  <si>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</si>
  <si>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</si>
  <si>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</si>
  <si>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</si>
  <si>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</si>
  <si>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</si>
  <si>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</si>
  <si>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</si>
  <si>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</si>
  <si>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</si>
  <si>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</si>
  <si>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</si>
  <si>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</si>
  <si>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</si>
  <si>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</si>
  <si>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</si>
  <si>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</si>
  <si>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</si>
  <si>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</si>
  <si>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</si>
  <si>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</si>
  <si>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</si>
  <si>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</si>
  <si>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</si>
  <si>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</si>
  <si>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</si>
  <si>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</si>
  <si>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</si>
  <si>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</si>
  <si>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</si>
  <si>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</si>
  <si>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</si>
  <si>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</si>
  <si>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</si>
  <si>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</si>
  <si>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</si>
  <si>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</si>
  <si>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</si>
  <si>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</si>
  <si>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</si>
  <si>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</si>
  <si>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</si>
  <si>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</si>
  <si>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</si>
  <si>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</si>
  <si>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</si>
  <si>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</si>
  <si>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</si>
  <si>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</si>
  <si>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</si>
  <si>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</si>
  <si>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</si>
  <si>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</si>
  <si>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</si>
  <si>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</si>
  <si>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</si>
  <si>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</si>
  <si>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</si>
  <si>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</si>
  <si>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</si>
  <si>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</si>
  <si>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</si>
  <si>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</si>
  <si>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</si>
  <si>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</si>
  <si>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</si>
  <si>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</si>
  <si>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</si>
  <si>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</si>
  <si>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</si>
  <si>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</si>
  <si>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</si>
  <si>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</si>
  <si>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</si>
  <si>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</si>
  <si>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</si>
  <si>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</si>
  <si>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</si>
  <si>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</si>
  <si>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</si>
  <si>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</si>
  <si>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</si>
  <si>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</si>
  <si>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</si>
  <si>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</si>
  <si>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</si>
  <si>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</si>
  <si>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</si>
  <si>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</si>
  <si>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</si>
  <si>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</si>
  <si>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</si>
  <si>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</si>
  <si>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</si>
  <si>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</si>
  <si>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</si>
  <si>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</si>
  <si>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</si>
  <si>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</si>
  <si>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</si>
  <si>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</si>
  <si>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</si>
  <si>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</si>
  <si>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</si>
  <si>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</si>
  <si>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</si>
  <si>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</si>
  <si>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</si>
  <si>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</si>
  <si>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</si>
  <si>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</si>
  <si>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</si>
  <si>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</si>
  <si>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</si>
  <si>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</si>
  <si>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</si>
  <si>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</si>
  <si>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</si>
  <si>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</si>
  <si>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</si>
  <si>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</si>
  <si>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</si>
  <si>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</si>
  <si>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</si>
  <si>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</si>
  <si>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</si>
  <si>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</si>
  <si>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</si>
  <si>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</si>
  <si>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</si>
  <si>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</si>
  <si>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</si>
  <si>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</si>
  <si>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</si>
  <si>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</si>
  <si>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</si>
  <si>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</si>
  <si>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</si>
  <si>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</si>
  <si>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</si>
  <si>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</si>
  <si>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</si>
  <si>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</si>
  <si>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</si>
  <si>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</si>
  <si>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</si>
  <si>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</si>
  <si>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</si>
  <si>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</si>
  <si>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</si>
  <si>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</si>
  <si>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</si>
  <si>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</si>
  <si>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</si>
  <si>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</si>
  <si>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</si>
  <si>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</si>
  <si>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</si>
  <si>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</si>
  <si>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</si>
  <si>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</si>
  <si>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</si>
  <si>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</si>
  <si>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</si>
  <si>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</si>
  <si>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</si>
  <si>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</si>
  <si>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</si>
  <si>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</si>
  <si>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</si>
  <si>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</si>
  <si>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</si>
  <si>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</si>
  <si>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</si>
  <si>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</si>
  <si>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</si>
  <si>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</si>
  <si>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</si>
  <si>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</si>
  <si>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</si>
  <si>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</si>
  <si>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</si>
  <si>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</si>
  <si>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</si>
  <si>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</si>
  <si>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</si>
  <si>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</si>
  <si>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</si>
  <si>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</si>
  <si>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</si>
  <si>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</si>
  <si>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</si>
  <si>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</si>
  <si>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</si>
  <si>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</si>
  <si>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</si>
  <si>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</si>
  <si>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</si>
  <si>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</si>
  <si>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</si>
  <si>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</si>
  <si>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</si>
  <si>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</si>
  <si>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</si>
  <si>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</si>
  <si>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</si>
  <si>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</si>
  <si>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</si>
  <si>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</si>
  <si>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</si>
  <si>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</si>
  <si>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</si>
  <si>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</si>
  <si>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</si>
  <si>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</si>
  <si>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</si>
  <si>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</si>
  <si>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</si>
  <si>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</si>
  <si>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</si>
  <si>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</si>
  <si>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</si>
  <si>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</si>
  <si>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</si>
  <si>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</si>
  <si>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</si>
  <si>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</si>
  <si>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</si>
  <si>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</si>
  <si>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</si>
  <si>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</si>
  <si>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</si>
  <si>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</si>
  <si>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</si>
  <si>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</si>
  <si>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</si>
  <si>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</si>
  <si>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</si>
  <si>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</si>
  <si>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</si>
  <si>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</si>
  <si>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</si>
  <si>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</si>
  <si>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</si>
  <si>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</si>
  <si>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</si>
  <si>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</si>
  <si>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</si>
  <si>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</si>
  <si>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</si>
  <si>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</si>
  <si>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</si>
  <si>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</si>
  <si>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</si>
  <si>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</si>
  <si>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</si>
  <si>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</si>
  <si>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</si>
  <si>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</si>
  <si>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</si>
  <si>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</si>
  <si>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</si>
  <si>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</si>
  <si>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</si>
  <si>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</si>
  <si>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</si>
  <si>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</si>
  <si>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</si>
  <si>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</si>
  <si>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</si>
  <si>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</si>
  <si>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</si>
  <si>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</si>
  <si>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</si>
  <si>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</si>
  <si>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</si>
  <si>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</si>
  <si>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</si>
  <si>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</si>
  <si>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</si>
  <si>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</si>
  <si>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</si>
  <si>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</si>
  <si>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</si>
  <si>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</si>
  <si>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</si>
  <si>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</si>
  <si>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</si>
  <si>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</si>
  <si>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</si>
  <si>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</si>
  <si>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</si>
  <si>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</si>
  <si>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</si>
  <si>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</si>
  <si>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</si>
  <si>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</si>
  <si>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</si>
  <si>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</si>
  <si>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</si>
  <si>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</si>
  <si>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</si>
  <si>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</si>
  <si>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</si>
  <si>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</si>
  <si>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</si>
  <si>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</si>
  <si>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</si>
  <si>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</si>
  <si>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</si>
  <si>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</si>
  <si>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</si>
  <si>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</si>
  <si>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</si>
  <si>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</si>
  <si>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</si>
  <si>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</si>
  <si>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</si>
  <si>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</si>
  <si>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</si>
  <si>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</si>
  <si>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</si>
  <si>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</si>
  <si>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</si>
  <si>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</si>
  <si>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</si>
  <si>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</si>
  <si>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</si>
  <si>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</si>
  <si>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</si>
  <si>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</si>
  <si>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</si>
  <si>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</si>
  <si>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</si>
  <si>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</si>
  <si>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</si>
  <si>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</si>
  <si>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</si>
  <si>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</si>
  <si>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</si>
  <si>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</si>
  <si>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</si>
  <si>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</si>
  <si>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</si>
  <si>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</si>
  <si>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</si>
  <si>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</si>
  <si>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</si>
  <si>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</si>
  <si>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</si>
  <si>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</si>
  <si>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</si>
  <si>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</si>
  <si>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</si>
  <si>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</si>
  <si>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</si>
  <si>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</si>
  <si>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</si>
  <si>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</si>
  <si>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</si>
  <si>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</si>
  <si>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</si>
  <si>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</si>
  <si>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</si>
  <si>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</si>
  <si>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</si>
  <si>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</si>
  <si>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</si>
  <si>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</si>
  <si>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</si>
  <si>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</si>
  <si>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</si>
  <si>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</si>
  <si>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</si>
  <si>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</si>
  <si>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</si>
  <si>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</si>
  <si>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</si>
  <si>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</si>
  <si>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</si>
  <si>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</si>
  <si>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</si>
  <si>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</si>
  <si>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</si>
  <si>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</si>
  <si>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</si>
  <si>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</si>
  <si>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</si>
  <si>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</si>
  <si>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</si>
  <si>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</si>
  <si>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</si>
  <si>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</si>
  <si>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</si>
  <si>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</si>
  <si>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</si>
  <si>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</si>
  <si>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</si>
  <si>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</si>
  <si>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</si>
  <si>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</si>
  <si>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</si>
  <si>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</si>
  <si>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</si>
  <si>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</si>
  <si>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</si>
  <si>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</si>
  <si>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</si>
  <si>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</si>
  <si>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</si>
  <si>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</si>
  <si>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</si>
  <si>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</si>
  <si>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</si>
  <si>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</si>
  <si>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</si>
  <si>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</si>
  <si>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</si>
  <si>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</si>
  <si>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</si>
  <si>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</si>
  <si>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</si>
  <si>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</si>
  <si>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</si>
  <si>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</si>
  <si>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</si>
  <si>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</si>
  <si>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</si>
  <si>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</si>
  <si>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</si>
  <si>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</si>
  <si>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</si>
  <si>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</si>
  <si>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</si>
  <si>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</si>
  <si>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</si>
  <si>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</si>
  <si>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</si>
  <si>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</si>
  <si>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</si>
  <si>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</si>
  <si>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</si>
  <si>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</si>
  <si>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</si>
  <si>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</si>
  <si>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</si>
  <si>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</si>
  <si>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</si>
  <si>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</si>
  <si>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</si>
  <si>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</si>
  <si>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</si>
  <si>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</si>
  <si>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</si>
  <si>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</si>
  <si>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</si>
  <si>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</si>
  <si>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</si>
  <si>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</si>
  <si>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</si>
  <si>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</si>
  <si>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</si>
  <si>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</si>
  <si>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</si>
  <si>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</si>
  <si>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</si>
  <si>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</si>
  <si>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</si>
  <si>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</si>
  <si>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</si>
  <si>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</si>
  <si>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</si>
  <si>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</si>
  <si>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</si>
  <si>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</si>
  <si>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</si>
  <si>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</si>
  <si>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</si>
  <si>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</si>
  <si>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</si>
  <si>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</si>
  <si>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</si>
  <si>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</si>
  <si>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</si>
  <si>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</si>
  <si>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</si>
  <si>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</si>
  <si>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</si>
  <si>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</si>
  <si>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</si>
  <si>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</si>
  <si>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</si>
  <si>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</si>
  <si>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</si>
  <si>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</si>
  <si>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</si>
  <si>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</si>
  <si>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</si>
  <si>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</si>
  <si>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</si>
  <si>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</si>
  <si>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</si>
  <si>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</si>
  <si>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</si>
  <si>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</si>
  <si>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</si>
  <si>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</si>
  <si>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</si>
  <si>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</si>
  <si>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</si>
  <si>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</si>
  <si>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</si>
  <si>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</si>
  <si>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</si>
  <si>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</si>
  <si>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</si>
  <si>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</si>
  <si>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</si>
  <si>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</si>
  <si>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</si>
  <si>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</si>
  <si>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</si>
  <si>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</si>
  <si>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</si>
  <si>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</si>
  <si>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</si>
  <si>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</si>
  <si>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</si>
  <si>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</si>
  <si>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</si>
  <si>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</si>
  <si>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</si>
  <si>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</si>
  <si>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</si>
  <si>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</si>
  <si>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</si>
  <si>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</si>
  <si>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</si>
  <si>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</si>
  <si>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</si>
  <si>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</si>
  <si>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</si>
  <si>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</si>
  <si>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</si>
  <si>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</si>
  <si>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</si>
  <si>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</si>
  <si>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</si>
  <si>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</si>
  <si>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</si>
  <si>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</si>
  <si>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</si>
  <si>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</si>
  <si>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</si>
  <si>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</si>
  <si>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</si>
  <si>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</si>
  <si>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</si>
  <si>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</si>
  <si>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</si>
  <si>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</si>
  <si>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</si>
  <si>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</si>
  <si>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</si>
  <si>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</si>
  <si>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</si>
  <si>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</si>
  <si>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</si>
  <si>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</si>
  <si>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</si>
  <si>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</si>
  <si>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</si>
  <si>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</si>
  <si>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</si>
  <si>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</si>
  <si>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</si>
  <si>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</si>
  <si>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</si>
  <si>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</si>
  <si>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</si>
  <si>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</si>
  <si>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</si>
  <si>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</si>
  <si>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</si>
  <si>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</si>
  <si>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</si>
  <si>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</si>
  <si>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</si>
  <si>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</si>
  <si>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</si>
  <si>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</si>
  <si>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</si>
  <si>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</si>
  <si>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</si>
  <si>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</si>
  <si>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</si>
  <si>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</si>
  <si>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</si>
  <si>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</si>
  <si>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</si>
  <si>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</si>
  <si>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</si>
  <si>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</si>
  <si>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</si>
  <si>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</si>
  <si>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</si>
  <si>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</si>
  <si>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</si>
  <si>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</si>
  <si>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</si>
  <si>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</si>
  <si>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</si>
  <si>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</si>
  <si>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</si>
  <si>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</si>
  <si>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</si>
  <si>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</si>
  <si>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</si>
  <si>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</si>
  <si>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</si>
  <si>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</si>
  <si>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</si>
  <si>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</si>
  <si>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</si>
  <si>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</si>
  <si>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</si>
  <si>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</si>
  <si>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</si>
  <si>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</si>
  <si>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</si>
  <si>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</si>
  <si>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</si>
  <si>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</si>
  <si>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</si>
  <si>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</si>
  <si>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</si>
  <si>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</si>
  <si>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</si>
  <si>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</si>
  <si>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</si>
  <si>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</si>
  <si>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</si>
  <si>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</si>
  <si>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</si>
  <si>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</si>
  <si>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</si>
  <si>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</si>
  <si>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</si>
  <si>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</si>
  <si>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</si>
  <si>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</si>
  <si>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</si>
  <si>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</si>
  <si>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</si>
  <si>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</si>
  <si>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</si>
  <si>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</si>
  <si>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</si>
  <si>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</si>
  <si>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</si>
  <si>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</si>
  <si>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</si>
  <si>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</si>
  <si>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</si>
  <si>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</si>
  <si>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</si>
  <si>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</si>
  <si>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</si>
  <si>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</si>
  <si>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</si>
  <si>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</si>
  <si>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</si>
  <si>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</si>
  <si>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</si>
  <si>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</si>
  <si>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</si>
  <si>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</si>
  <si>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</si>
  <si>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</si>
  <si>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</si>
  <si>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</si>
  <si>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</si>
  <si>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</si>
  <si>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</si>
  <si>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</si>
  <si>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</si>
  <si>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</si>
  <si>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</si>
  <si>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</si>
  <si>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</si>
  <si>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</si>
  <si>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</si>
  <si>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</si>
  <si>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</si>
  <si>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</si>
  <si>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</si>
  <si>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</si>
  <si>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</si>
  <si>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</si>
  <si>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</si>
  <si>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</si>
  <si>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</si>
  <si>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</si>
  <si>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</si>
  <si>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</si>
  <si>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</si>
  <si>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</si>
  <si>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</si>
  <si>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</si>
  <si>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</si>
  <si>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</si>
  <si>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</si>
  <si>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</si>
  <si>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</si>
  <si>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</si>
  <si>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</si>
  <si>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</si>
  <si>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</si>
  <si>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</si>
  <si>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</si>
  <si>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</si>
  <si>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</si>
  <si>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</si>
  <si>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</si>
  <si>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</si>
  <si>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</si>
  <si>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</si>
  <si>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</si>
  <si>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</si>
  <si>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</si>
  <si>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</si>
  <si>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</si>
  <si>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</si>
  <si>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</si>
  <si>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</si>
  <si>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</si>
  <si>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</si>
  <si>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</si>
  <si>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</si>
  <si>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</si>
  <si>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</si>
  <si>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</si>
  <si>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</si>
  <si>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</si>
  <si>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</si>
  <si>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</si>
  <si>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</si>
  <si>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</si>
  <si>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</si>
  <si>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</si>
  <si>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</si>
  <si>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</si>
  <si>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</si>
  <si>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</si>
  <si>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</si>
  <si>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</si>
  <si>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</si>
  <si>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</si>
  <si>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</si>
  <si>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</si>
  <si>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</si>
  <si>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</si>
  <si>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</si>
  <si>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</si>
  <si>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</si>
  <si>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</si>
  <si>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</si>
  <si>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</si>
  <si>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</si>
  <si>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</si>
  <si>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</si>
  <si>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</si>
  <si>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</si>
  <si>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</si>
  <si>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</si>
  <si>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</si>
  <si>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</si>
  <si>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</si>
  <si>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</si>
  <si>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</si>
  <si>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</si>
  <si>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</si>
  <si>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</si>
  <si>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</si>
  <si>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</si>
  <si>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</si>
  <si>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</si>
  <si>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</si>
  <si>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</si>
  <si>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</si>
  <si>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</si>
  <si>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</si>
  <si>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</si>
  <si>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</si>
  <si>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</si>
  <si>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</si>
  <si>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</si>
  <si>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</si>
  <si>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</si>
  <si>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</si>
  <si>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</si>
  <si>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</si>
  <si>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</si>
  <si>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</si>
  <si>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</si>
  <si>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</si>
  <si>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</si>
  <si>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</si>
  <si>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</si>
  <si>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</si>
  <si>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</si>
  <si>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</si>
  <si>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</si>
  <si>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</si>
  <si>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</si>
  <si>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</si>
  <si>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</si>
  <si>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</si>
  <si>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</si>
  <si>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</si>
  <si>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</si>
  <si>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</si>
  <si>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</si>
  <si>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</si>
  <si>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</si>
  <si>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</si>
  <si>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</si>
  <si>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</si>
  <si>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</si>
  <si>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</si>
  <si>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</si>
  <si>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</si>
  <si>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</si>
  <si>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</si>
  <si>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</si>
  <si>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</si>
  <si>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</si>
  <si>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</si>
  <si>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</si>
  <si>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</si>
  <si>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</si>
  <si>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</si>
  <si>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</si>
  <si>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</si>
  <si>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</si>
  <si>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</si>
  <si>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</si>
  <si>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</si>
  <si>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</si>
  <si>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</si>
  <si>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</si>
  <si>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</si>
  <si>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</si>
  <si>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</si>
  <si>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</si>
  <si>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</si>
  <si>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</si>
  <si>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</si>
  <si>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</si>
  <si>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</si>
  <si>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</si>
  <si>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</si>
  <si>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</si>
  <si>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</si>
  <si>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</si>
  <si>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</si>
  <si>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</si>
  <si>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</si>
  <si>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</si>
  <si>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</si>
  <si>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</si>
  <si>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</si>
  <si>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</si>
  <si>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</si>
  <si>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</si>
  <si>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</si>
  <si>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</si>
  <si>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</si>
  <si>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</si>
  <si>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</si>
  <si>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</si>
  <si>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</si>
  <si>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</si>
  <si>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</si>
  <si>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</si>
  <si>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</si>
  <si>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</si>
  <si>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</si>
  <si>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</si>
  <si>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</si>
  <si>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</si>
  <si>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</si>
  <si>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</si>
  <si>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</si>
  <si>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</si>
  <si>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</si>
  <si>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</si>
  <si>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</si>
  <si>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</si>
  <si>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</si>
  <si>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</si>
  <si>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</si>
  <si>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</si>
  <si>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</si>
  <si>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</si>
  <si>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</si>
  <si>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</si>
  <si>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</si>
  <si>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</si>
  <si>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</si>
  <si>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</si>
  <si>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</si>
  <si>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</si>
  <si>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</si>
  <si>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</si>
  <si>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</si>
  <si>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</si>
  <si>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</si>
  <si>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</si>
  <si>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</si>
  <si>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</si>
  <si>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</si>
  <si>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</si>
  <si>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</si>
  <si>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</si>
  <si>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</si>
  <si>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</si>
  <si>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</si>
  <si>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</si>
  <si>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</si>
  <si>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</si>
  <si>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</si>
  <si>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</si>
  <si>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</si>
  <si>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</si>
  <si>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</si>
  <si>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</si>
  <si>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</si>
  <si>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</si>
  <si>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</si>
  <si>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</si>
  <si>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</si>
  <si>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</si>
  <si>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</si>
  <si>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</si>
  <si>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</si>
  <si>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</si>
  <si>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</si>
  <si>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</si>
  <si>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</si>
  <si>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</si>
  <si>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</si>
  <si>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</si>
  <si>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</si>
  <si>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</si>
  <si>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</si>
  <si>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</si>
  <si>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</si>
  <si>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</si>
  <si>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</si>
  <si>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</si>
  <si>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</si>
  <si>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</si>
  <si>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</si>
  <si>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</si>
  <si>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</si>
  <si>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</si>
  <si>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</si>
  <si>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</si>
  <si>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</si>
  <si>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</si>
  <si>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</si>
  <si>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</si>
  <si>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</si>
  <si>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</si>
  <si>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</si>
  <si>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</si>
  <si>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</si>
  <si>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</si>
  <si>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</si>
  <si>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</si>
  <si>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</si>
  <si>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</si>
  <si>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</si>
  <si>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</si>
  <si>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</si>
  <si>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</si>
  <si>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</si>
  <si>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</si>
  <si>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</si>
  <si>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</si>
  <si>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</si>
  <si>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</si>
  <si>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</si>
  <si>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</si>
  <si>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</si>
  <si>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</si>
  <si>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</si>
  <si>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</si>
  <si>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</si>
  <si>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</si>
  <si>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</si>
  <si>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</si>
  <si>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</si>
  <si>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</si>
  <si>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</si>
  <si>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</si>
  <si>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</si>
  <si>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</si>
  <si>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</si>
  <si>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</si>
  <si>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</si>
  <si>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</si>
  <si>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</si>
  <si>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</si>
  <si>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</si>
  <si>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</si>
  <si>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</si>
  <si>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</si>
  <si>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</si>
  <si>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</si>
  <si>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</si>
  <si>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</si>
  <si>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</si>
  <si>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</si>
  <si>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</si>
  <si>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</si>
  <si>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</si>
  <si>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</si>
  <si>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</si>
  <si>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</si>
  <si>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</si>
  <si>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</si>
  <si>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</si>
  <si>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</si>
  <si>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</si>
  <si>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</si>
  <si>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</si>
  <si>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</si>
  <si>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</si>
  <si>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</si>
  <si>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</si>
  <si>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</si>
  <si>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</si>
  <si>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</si>
  <si>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</si>
  <si>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</si>
  <si>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</si>
  <si>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</si>
  <si>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</si>
  <si>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</si>
  <si>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</si>
  <si>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</si>
  <si>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</si>
  <si>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</si>
  <si>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</si>
  <si>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</si>
  <si>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</si>
  <si>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</si>
  <si>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</si>
  <si>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</si>
  <si>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</si>
  <si>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</si>
  <si>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</si>
  <si>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</si>
  <si>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</si>
  <si>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</si>
  <si>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</si>
  <si>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</si>
  <si>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</si>
  <si>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</si>
  <si>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</si>
  <si>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</si>
  <si>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</si>
  <si>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</si>
  <si>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</si>
  <si>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</si>
  <si>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</si>
  <si>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</si>
  <si>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</si>
  <si>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</si>
  <si>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</si>
  <si>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</si>
  <si>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</si>
  <si>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</si>
  <si>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</si>
  <si>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</si>
  <si>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</si>
  <si>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</si>
  <si>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</si>
  <si>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</si>
  <si>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</si>
  <si>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</si>
  <si>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</si>
  <si>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</si>
  <si>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</si>
  <si>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</si>
  <si>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</si>
  <si>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</si>
  <si>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</si>
  <si>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</si>
  <si>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</si>
  <si>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</si>
  <si>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</si>
  <si>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</si>
  <si>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</si>
  <si>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</si>
  <si>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</si>
  <si>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</si>
  <si>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</si>
  <si>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</si>
  <si>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</si>
  <si>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</si>
  <si>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</si>
  <si>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</si>
  <si>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</si>
  <si>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</si>
  <si>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</si>
  <si>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</si>
  <si>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</si>
  <si>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</si>
  <si>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</si>
  <si>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</si>
  <si>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</si>
  <si>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</si>
  <si>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</si>
  <si>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</si>
  <si>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</si>
  <si>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</si>
  <si>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</si>
  <si>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</si>
  <si>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</si>
  <si>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</si>
  <si>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</si>
  <si>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</si>
  <si>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</si>
  <si>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</si>
  <si>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</si>
  <si>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</si>
  <si>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</si>
  <si>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</si>
  <si>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</si>
  <si>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</si>
  <si>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</si>
  <si>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</si>
  <si>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</si>
  <si>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</si>
  <si>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</si>
  <si>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</si>
  <si>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</si>
  <si>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</si>
  <si>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</si>
  <si>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</si>
  <si>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</si>
  <si>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</si>
  <si>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</si>
  <si>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</si>
  <si>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</si>
  <si>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</si>
  <si>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</si>
  <si>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</si>
  <si>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</si>
  <si>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</si>
  <si>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</si>
  <si>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</si>
  <si>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</si>
  <si>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</si>
  <si>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</si>
  <si>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</si>
  <si>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</si>
  <si>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</si>
  <si>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</si>
  <si>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</si>
  <si>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</si>
  <si>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</si>
  <si>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</si>
  <si>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</si>
  <si>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</si>
  <si>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</si>
  <si>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</si>
  <si>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</si>
  <si>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</si>
  <si>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</si>
  <si>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</si>
  <si>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</si>
  <si>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</si>
  <si>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</si>
  <si>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</si>
  <si>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</si>
  <si>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</si>
  <si>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</si>
  <si>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</si>
  <si>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</si>
  <si>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</si>
  <si>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</si>
  <si>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</si>
  <si>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</si>
  <si>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</si>
  <si>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</si>
  <si>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</si>
  <si>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</si>
  <si>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</si>
  <si>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</si>
  <si>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</si>
  <si>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</si>
  <si>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</si>
  <si>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</si>
  <si>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</si>
  <si>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</si>
  <si>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</si>
  <si>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</si>
  <si>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</si>
  <si>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</si>
  <si>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</si>
  <si>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</si>
  <si>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</si>
  <si>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</si>
  <si>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</si>
  <si>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</si>
  <si>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</si>
  <si>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</si>
  <si>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</si>
  <si>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</si>
  <si>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</si>
  <si>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</si>
  <si>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</si>
  <si>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</si>
  <si>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</si>
  <si>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</si>
  <si>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</si>
  <si>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</si>
  <si>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</si>
  <si>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</si>
  <si>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</si>
  <si>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</si>
  <si>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</si>
  <si>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</si>
  <si>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</si>
  <si>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</si>
  <si>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</si>
  <si>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</si>
  <si>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</si>
  <si>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</si>
  <si>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</si>
  <si>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</si>
  <si>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</si>
  <si>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</si>
  <si>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</si>
  <si>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</si>
  <si>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</si>
  <si>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</si>
  <si>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</si>
  <si>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</si>
  <si>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</si>
  <si>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</si>
  <si>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</si>
  <si>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</si>
  <si>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</si>
  <si>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</si>
  <si>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</si>
  <si>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</si>
  <si>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</si>
  <si>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</si>
  <si>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</si>
  <si>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</si>
  <si>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</si>
  <si>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</si>
  <si>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</si>
  <si>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</si>
  <si>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</si>
  <si>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</si>
  <si>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</si>
  <si>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</si>
  <si>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</si>
  <si>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</si>
  <si>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</si>
  <si>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</si>
  <si>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</si>
  <si>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</si>
  <si>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</si>
  <si>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</si>
  <si>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</si>
  <si>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</si>
  <si>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</si>
  <si>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</si>
  <si>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</si>
  <si>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</si>
  <si>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</si>
  <si>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</si>
  <si>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</si>
  <si>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</si>
  <si>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</si>
  <si>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</si>
  <si>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</si>
  <si>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</si>
  <si>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</si>
  <si>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</si>
  <si>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</si>
  <si>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</si>
  <si>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</si>
  <si>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</si>
  <si>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</si>
  <si>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</si>
  <si>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</si>
  <si>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</si>
  <si>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</si>
  <si>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</si>
  <si>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</si>
  <si>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</si>
  <si>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</si>
  <si>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</si>
  <si>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</si>
  <si>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</si>
  <si>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</si>
  <si>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</si>
  <si>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</si>
  <si>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</si>
  <si>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</si>
  <si>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</si>
  <si>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</si>
  <si>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</si>
  <si>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</si>
  <si>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</si>
  <si>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</si>
  <si>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</si>
  <si>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</si>
  <si>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</si>
  <si>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</si>
  <si>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</si>
  <si>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</si>
  <si>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</si>
  <si>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</si>
  <si>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</si>
  <si>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</si>
  <si>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</si>
  <si>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</si>
  <si>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</si>
  <si>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</si>
  <si>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</si>
  <si>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</si>
  <si>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</si>
  <si>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</si>
  <si>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</si>
  <si>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</si>
  <si>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</si>
  <si>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</si>
  <si>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</si>
  <si>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</si>
  <si>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</si>
  <si>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</si>
  <si>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</si>
  <si>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</si>
  <si>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</si>
  <si>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</si>
  <si>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</si>
  <si>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</si>
  <si>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</si>
  <si>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</si>
  <si>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</si>
  <si>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</si>
  <si>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</si>
  <si>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</si>
  <si>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</si>
  <si>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</si>
  <si>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</si>
  <si>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</si>
  <si>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</si>
  <si>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</si>
  <si>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</si>
  <si>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</si>
  <si>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</si>
  <si>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</si>
  <si>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</si>
  <si>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</si>
  <si>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</si>
  <si>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</si>
  <si>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</si>
  <si>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</si>
  <si>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</si>
  <si>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</si>
  <si>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</si>
  <si>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</si>
  <si>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</si>
  <si>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</si>
  <si>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</si>
  <si>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</si>
  <si>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</si>
  <si>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</si>
  <si>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</si>
  <si>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</si>
  <si>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</si>
  <si>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</si>
  <si>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</si>
  <si>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</si>
  <si>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</si>
  <si>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</si>
  <si>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</si>
  <si>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</si>
  <si>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</si>
  <si>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</si>
  <si>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</si>
  <si>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</si>
  <si>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</si>
  <si>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</si>
  <si>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</si>
  <si>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</si>
  <si>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</si>
  <si>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</si>
  <si>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</si>
  <si>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</si>
  <si>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</si>
  <si>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</si>
  <si>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</si>
  <si>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</si>
  <si>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</si>
  <si>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</si>
  <si>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</si>
  <si>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</si>
  <si>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</si>
  <si>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</si>
  <si>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</si>
  <si>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</si>
  <si>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</si>
  <si>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</si>
  <si>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</si>
  <si>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</si>
  <si>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</si>
  <si>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</si>
  <si>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</si>
  <si>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</si>
  <si>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</si>
  <si>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</si>
  <si>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</si>
  <si>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</si>
  <si>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</si>
  <si>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</si>
  <si>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</si>
  <si>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</si>
  <si>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</si>
  <si>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</si>
  <si>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</si>
  <si>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</si>
  <si>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</si>
  <si>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</si>
  <si>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</si>
  <si>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</si>
  <si>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</si>
  <si>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</si>
  <si>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</si>
  <si>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</si>
  <si>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</si>
  <si>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</si>
  <si>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</si>
  <si>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</si>
  <si>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</si>
  <si>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</si>
  <si>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</si>
  <si>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</si>
  <si>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</si>
  <si>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</si>
  <si>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</si>
  <si>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</si>
  <si>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</si>
  <si>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</si>
  <si>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</si>
  <si>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</si>
  <si>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</si>
  <si>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</si>
  <si>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</si>
  <si>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</si>
  <si>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</si>
  <si>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</si>
  <si>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</si>
  <si>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</si>
  <si>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</si>
  <si>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</si>
  <si>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</si>
  <si>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</si>
  <si>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</si>
  <si>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</si>
  <si>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</si>
  <si>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</si>
  <si>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</si>
  <si>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</si>
  <si>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</si>
  <si>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</si>
  <si>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</si>
  <si>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</si>
  <si>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</si>
  <si>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</si>
  <si>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</si>
  <si>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</si>
  <si>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</si>
  <si>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</si>
  <si>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</si>
  <si>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</si>
  <si>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</si>
  <si>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</si>
  <si>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</si>
  <si>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</si>
  <si>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</si>
  <si>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</si>
  <si>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</si>
  <si>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</si>
  <si>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</si>
  <si>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</si>
  <si>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</si>
  <si>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</si>
  <si>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</si>
  <si>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</si>
  <si>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</si>
  <si>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</si>
  <si>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</si>
  <si>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</si>
  <si>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</si>
  <si>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</si>
  <si>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</si>
  <si>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</si>
  <si>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</si>
  <si>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</si>
  <si>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</si>
  <si>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</si>
  <si>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</si>
  <si>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</si>
  <si>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</si>
  <si>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</si>
  <si>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</si>
  <si>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</si>
  <si>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</si>
  <si>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</si>
  <si>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</si>
  <si>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</si>
  <si>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</si>
  <si>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</si>
  <si>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</si>
  <si>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</si>
  <si>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</si>
  <si>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</si>
  <si>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</si>
  <si>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</si>
  <si>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</si>
  <si>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</si>
  <si>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</si>
  <si>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</si>
  <si>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</si>
  <si>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</si>
  <si>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</si>
  <si>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</si>
  <si>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</si>
  <si>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</si>
  <si>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</si>
  <si>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</si>
  <si>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</si>
  <si>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</si>
  <si>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</si>
  <si>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</si>
  <si>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</si>
  <si>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</si>
  <si>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</si>
  <si>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</si>
  <si>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</si>
  <si>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</si>
  <si>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</si>
  <si>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</si>
  <si>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</si>
  <si>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</si>
  <si>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</si>
  <si>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</si>
  <si>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</si>
  <si>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</si>
  <si>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</si>
  <si>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</si>
  <si>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</si>
  <si>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</si>
  <si>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</si>
  <si>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</si>
  <si>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</si>
  <si>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</si>
  <si>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</si>
  <si>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</si>
  <si>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</si>
  <si>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</si>
  <si>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</si>
  <si>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</si>
  <si>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</si>
  <si>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</si>
  <si>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</si>
  <si>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</si>
  <si>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</si>
  <si>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</si>
  <si>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</si>
  <si>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</si>
  <si>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</si>
  <si>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</si>
  <si>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</si>
  <si>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</si>
  <si>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</si>
  <si>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</si>
  <si>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</si>
  <si>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</si>
  <si>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</si>
  <si>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</si>
  <si>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</si>
  <si>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</si>
  <si>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</si>
  <si>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</si>
  <si>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</si>
  <si>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</si>
  <si>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</si>
  <si>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</si>
  <si>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</si>
  <si>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</si>
  <si>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</si>
  <si>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</si>
  <si>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</si>
  <si>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</si>
  <si>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</si>
  <si>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</si>
  <si>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</si>
  <si>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</si>
  <si>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</si>
  <si>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</si>
  <si>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</si>
  <si>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</si>
  <si>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</si>
  <si>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</si>
  <si>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</si>
  <si>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</si>
  <si>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</si>
  <si>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</si>
  <si>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</si>
  <si>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</si>
  <si>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</si>
  <si>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</si>
  <si>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</si>
  <si>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</si>
  <si>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</si>
  <si>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</si>
  <si>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</si>
  <si>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</si>
  <si>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</si>
  <si>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</si>
  <si>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</si>
  <si>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</si>
  <si>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</si>
  <si>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</si>
  <si>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</si>
  <si>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</si>
  <si>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</si>
  <si>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</si>
  <si>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</si>
  <si>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</si>
  <si>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</si>
  <si>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</si>
  <si>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</si>
  <si>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</si>
  <si>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</si>
  <si>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</si>
  <si>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</si>
  <si>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</si>
  <si>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</si>
  <si>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</si>
  <si>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</si>
  <si>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</si>
  <si>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</si>
  <si>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</si>
  <si>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</si>
  <si>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</si>
  <si>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</si>
  <si>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</si>
  <si>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</si>
  <si>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</si>
  <si>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</si>
  <si>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</si>
  <si>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</si>
  <si>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</si>
  <si>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</si>
  <si>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</si>
  <si>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</si>
  <si>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</si>
  <si>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</si>
  <si>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</si>
  <si>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</si>
  <si>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</si>
  <si>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</si>
  <si>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</si>
  <si>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</si>
  <si>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</si>
  <si>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</si>
  <si>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</si>
  <si>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</si>
  <si>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</si>
  <si>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</si>
  <si>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</si>
  <si>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</si>
  <si>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</si>
  <si>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</si>
  <si>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</si>
  <si>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</si>
  <si>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</si>
  <si>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</si>
  <si>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</si>
  <si>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</si>
  <si>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</si>
  <si>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</si>
  <si>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</si>
  <si>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</si>
  <si>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</si>
  <si>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</si>
  <si>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</si>
  <si>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</si>
  <si>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</si>
  <si>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</si>
  <si>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</si>
  <si>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</si>
  <si>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</si>
  <si>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</si>
  <si>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</si>
  <si>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</si>
  <si>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</si>
  <si>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</si>
  <si>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</si>
  <si>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</si>
  <si>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</si>
  <si>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</si>
  <si>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</si>
  <si>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</si>
  <si>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</si>
  <si>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</si>
  <si>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</si>
  <si>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</si>
  <si>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</si>
  <si>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</si>
  <si>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</si>
  <si>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</si>
  <si>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</si>
  <si>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</si>
  <si>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</si>
  <si>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</si>
  <si>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</si>
  <si>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</si>
  <si>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</si>
  <si>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</si>
  <si>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</si>
  <si>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</si>
  <si>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</si>
  <si>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</si>
  <si>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</si>
  <si>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</si>
  <si>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</si>
  <si>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</si>
  <si>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</si>
  <si>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</si>
  <si>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</si>
  <si>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</si>
  <si>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</si>
  <si>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</si>
  <si>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</si>
  <si>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</si>
  <si>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</si>
  <si>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</si>
  <si>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</si>
  <si>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</si>
  <si>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</si>
  <si>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</si>
  <si>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</si>
  <si>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</si>
  <si>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</si>
  <si>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</si>
  <si>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</si>
  <si>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</si>
  <si>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</si>
  <si>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</si>
  <si>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</si>
  <si>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</si>
  <si>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</si>
  <si>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</si>
  <si>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</si>
  <si>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</si>
  <si>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</si>
  <si>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</si>
  <si>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</si>
  <si>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</si>
  <si>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</si>
  <si>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</si>
  <si>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</si>
  <si>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</si>
  <si>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</si>
  <si>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</si>
  <si>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</si>
  <si>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</si>
  <si>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</si>
  <si>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</si>
  <si>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</si>
  <si>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</si>
  <si>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</si>
  <si>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</si>
  <si>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</si>
  <si>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</si>
  <si>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</si>
  <si>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</si>
  <si>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</si>
  <si>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</si>
  <si>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</si>
  <si>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</si>
  <si>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</si>
  <si>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</si>
  <si>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</si>
  <si>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</si>
  <si>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</si>
  <si>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</si>
  <si>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</si>
  <si>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</si>
  <si>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</si>
  <si>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</si>
  <si>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</si>
  <si>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</si>
  <si>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</si>
  <si>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</si>
  <si>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</si>
  <si>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</si>
  <si>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</si>
  <si>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</si>
  <si>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</si>
  <si>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</si>
  <si>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</si>
  <si>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</si>
  <si>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</si>
  <si>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</si>
  <si>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</si>
  <si>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</si>
  <si>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</si>
  <si>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</si>
  <si>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</si>
  <si>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</si>
  <si>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</si>
  <si>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</si>
  <si>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</si>
  <si>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</si>
  <si>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</si>
  <si>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</si>
  <si>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</si>
  <si>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</si>
  <si>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</si>
  <si>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</si>
  <si>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</si>
  <si>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</si>
  <si>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</si>
  <si>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</si>
  <si>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</si>
  <si>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</si>
  <si>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</si>
  <si>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</si>
  <si>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</si>
  <si>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</si>
  <si>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</si>
  <si>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</si>
  <si>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</si>
  <si>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</si>
  <si>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</si>
  <si>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</si>
  <si>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</si>
  <si>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</si>
  <si>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</si>
  <si>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</si>
  <si>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</si>
  <si>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</si>
  <si>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</si>
  <si>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</si>
  <si>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</si>
  <si>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</si>
  <si>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</si>
  <si>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</si>
  <si>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</si>
  <si>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</si>
  <si>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</si>
  <si>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</si>
  <si>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</si>
  <si>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</si>
  <si>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</si>
  <si>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</si>
  <si>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</si>
  <si>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</si>
  <si>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</si>
  <si>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</si>
  <si>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</si>
  <si>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</si>
  <si>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</si>
  <si>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</si>
  <si>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</si>
  <si>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</si>
  <si>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</si>
  <si>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</si>
  <si>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</si>
  <si>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</si>
  <si>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</si>
  <si>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</si>
  <si>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</si>
  <si>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</si>
  <si>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</si>
  <si>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</si>
  <si>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</si>
  <si>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</si>
  <si>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</si>
  <si>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</si>
  <si>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</si>
  <si>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</si>
  <si>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</si>
  <si>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</si>
  <si>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</si>
  <si>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</si>
  <si>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</si>
  <si>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</si>
  <si>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</si>
  <si>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</si>
  <si>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</si>
  <si>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</si>
  <si>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</si>
  <si>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</si>
  <si>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</si>
  <si>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</si>
  <si>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</si>
  <si>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</si>
  <si>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</si>
  <si>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</si>
  <si>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</si>
  <si>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</si>
  <si>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</si>
  <si>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</si>
  <si>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</si>
  <si>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</si>
  <si>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</si>
  <si>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</si>
  <si>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</si>
  <si>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</si>
  <si>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</si>
  <si>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</si>
  <si>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</si>
  <si>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</si>
  <si>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</si>
  <si>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</si>
  <si>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</si>
  <si>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</si>
  <si>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</si>
  <si>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</si>
  <si>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</si>
  <si>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</si>
  <si>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</si>
  <si>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</si>
  <si>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</si>
  <si>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</si>
  <si>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</si>
  <si>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</si>
  <si>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</si>
  <si>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</si>
  <si>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</si>
  <si>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</si>
  <si>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</si>
  <si>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</si>
  <si>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</si>
  <si>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</si>
  <si>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</si>
  <si>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</si>
  <si>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</si>
  <si>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</si>
  <si>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</si>
  <si>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</si>
  <si>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</si>
  <si>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</si>
  <si>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</si>
  <si>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</si>
  <si>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</si>
  <si>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</si>
  <si>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</si>
  <si>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</si>
  <si>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</si>
  <si>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</si>
  <si>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</si>
  <si>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</si>
  <si>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</si>
  <si>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</si>
  <si>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</si>
  <si>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</si>
  <si>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</si>
  <si>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</si>
  <si>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</si>
  <si>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</si>
  <si>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</si>
  <si>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</si>
  <si>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</si>
  <si>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</si>
  <si>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</si>
  <si>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</si>
  <si>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</si>
  <si>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</si>
  <si>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</si>
  <si>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</si>
  <si>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</si>
  <si>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</si>
  <si>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</si>
  <si>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</si>
  <si>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</si>
  <si>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</si>
  <si>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</si>
  <si>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</si>
  <si>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</si>
  <si>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</si>
  <si>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</si>
  <si>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</si>
  <si>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</si>
  <si>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</si>
  <si>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</si>
  <si>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</si>
  <si>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</si>
  <si>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</si>
  <si>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</si>
  <si>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</si>
  <si>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</si>
  <si>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</si>
  <si>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</si>
  <si>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</si>
  <si>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</si>
  <si>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</si>
  <si>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</si>
  <si>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</si>
  <si>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</si>
  <si>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</si>
  <si>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</si>
  <si>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</si>
  <si>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</si>
  <si>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</si>
  <si>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</si>
  <si>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</si>
  <si>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</si>
  <si>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</si>
  <si>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</si>
  <si>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</si>
  <si>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</si>
  <si>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</si>
  <si>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</si>
  <si>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</si>
  <si>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</si>
  <si>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</si>
  <si>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</si>
  <si>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</si>
  <si>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</si>
  <si>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</si>
  <si>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</si>
  <si>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</si>
  <si>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</si>
  <si>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</si>
  <si>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</si>
  <si>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</si>
  <si>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</si>
  <si>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</si>
  <si>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</si>
  <si>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</si>
  <si>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</si>
  <si>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</si>
  <si>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</si>
  <si>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</si>
  <si>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</si>
  <si>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</si>
  <si>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</si>
  <si>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</si>
  <si>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</si>
  <si>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</si>
  <si>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</si>
  <si>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</si>
  <si>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</si>
  <si>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</si>
  <si>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</si>
  <si>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</si>
  <si>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</si>
  <si>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</si>
  <si>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</si>
  <si>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</si>
  <si>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</si>
  <si>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</si>
  <si>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</si>
  <si>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</si>
  <si>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</si>
  <si>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</si>
  <si>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</si>
  <si>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</si>
  <si>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</si>
  <si>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</si>
  <si>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</si>
  <si>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</si>
  <si>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</si>
  <si>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</si>
  <si>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</si>
  <si>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</si>
  <si>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</si>
  <si>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</si>
  <si>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</si>
  <si>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</si>
  <si>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</si>
  <si>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</si>
  <si>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</si>
  <si>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</si>
  <si>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</si>
  <si>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</si>
  <si>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</si>
  <si>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</si>
  <si>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</si>
  <si>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</si>
  <si>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</si>
  <si>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</si>
  <si>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</si>
  <si>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</si>
  <si>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</si>
  <si>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</si>
  <si>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</si>
  <si>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</si>
  <si>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</si>
  <si>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</si>
  <si>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</si>
  <si>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</si>
  <si>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</si>
  <si>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</si>
  <si>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</si>
  <si>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</si>
  <si>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</si>
  <si>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</si>
  <si>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</si>
  <si>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</si>
  <si>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</si>
  <si>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</si>
  <si>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</si>
  <si>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</si>
  <si>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</si>
  <si>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</si>
  <si>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</si>
  <si>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</si>
  <si>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</si>
  <si>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</si>
  <si>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</si>
  <si>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</si>
  <si>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</si>
  <si>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</si>
  <si>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</si>
  <si>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</si>
  <si>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</si>
  <si>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</si>
  <si>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</si>
  <si>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</si>
  <si>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</si>
  <si>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</si>
  <si>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</si>
  <si>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</si>
  <si>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</si>
  <si>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</si>
  <si>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</si>
  <si>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</si>
  <si>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</si>
  <si>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</si>
  <si>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</si>
  <si>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</si>
  <si>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</si>
  <si>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</si>
  <si>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</si>
  <si>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</si>
  <si>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</si>
  <si>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</si>
  <si>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</si>
  <si>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</si>
  <si>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</si>
  <si>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</si>
  <si>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</si>
  <si>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</si>
  <si>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</si>
  <si>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</si>
  <si>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</si>
  <si>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</si>
  <si>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</si>
  <si>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</si>
  <si>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</si>
  <si>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</si>
  <si>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</si>
  <si>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</si>
  <si>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</si>
  <si>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</si>
  <si>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</si>
  <si>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</si>
  <si>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</si>
  <si>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</si>
  <si>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</si>
  <si>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</si>
  <si>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</si>
  <si>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</si>
  <si>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</si>
  <si>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</si>
  <si>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</si>
  <si>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</si>
  <si>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</si>
  <si>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</si>
  <si>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</si>
  <si>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</si>
  <si>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</si>
  <si>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</si>
  <si>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</si>
  <si>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</si>
  <si>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</si>
  <si>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</si>
  <si>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</si>
  <si>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</si>
  <si>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</si>
  <si>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</si>
  <si>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</si>
  <si>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</si>
  <si>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</si>
  <si>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</si>
  <si>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</si>
  <si>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</si>
  <si>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</si>
  <si>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</si>
  <si>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</si>
  <si>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</si>
  <si>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</si>
  <si>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</si>
  <si>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</si>
  <si>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</si>
  <si>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</si>
  <si>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</si>
  <si>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</si>
  <si>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</si>
  <si>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</si>
  <si>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</si>
  <si>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</si>
  <si>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</si>
  <si>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</si>
  <si>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</si>
  <si>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</si>
  <si>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</si>
  <si>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</si>
  <si>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</si>
  <si>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</si>
  <si>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</si>
  <si>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</si>
  <si>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</si>
  <si>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</si>
  <si>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</si>
  <si>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</si>
  <si>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</si>
  <si>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</si>
  <si>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</si>
  <si>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</si>
  <si>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</si>
  <si>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</si>
  <si>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</si>
  <si>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</si>
  <si>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</si>
  <si>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</si>
  <si>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</si>
  <si>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</si>
  <si>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</si>
  <si>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</si>
  <si>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</si>
  <si>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</si>
  <si>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</si>
  <si>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</si>
  <si>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</si>
  <si>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</si>
  <si>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</si>
  <si>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</si>
  <si>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</si>
  <si>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</si>
  <si>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</si>
  <si>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</si>
  <si>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</si>
  <si>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</si>
  <si>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</si>
  <si>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</si>
  <si>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</si>
  <si>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</si>
  <si>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</si>
  <si>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</si>
  <si>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</si>
  <si>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</si>
  <si>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</si>
  <si>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</si>
  <si>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</si>
  <si>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</si>
  <si>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</si>
  <si>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</si>
  <si>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</si>
  <si>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</si>
  <si>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</si>
  <si>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</si>
  <si>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</si>
  <si>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</si>
  <si>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</si>
  <si>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</si>
  <si>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</si>
  <si>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</si>
  <si>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</si>
  <si>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</si>
  <si>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</si>
  <si>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</si>
  <si>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</si>
  <si>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</si>
  <si>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</si>
  <si>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</si>
  <si>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</si>
  <si>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</si>
  <si>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</si>
  <si>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</si>
  <si>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</si>
  <si>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</si>
  <si>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</si>
  <si>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</si>
  <si>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</si>
  <si>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</si>
  <si>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</si>
  <si>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</si>
  <si>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</si>
  <si>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</si>
  <si>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</si>
  <si>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</si>
  <si>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</si>
  <si>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</si>
  <si>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</si>
  <si>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</si>
  <si>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</si>
  <si>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</si>
  <si>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</si>
  <si>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</si>
  <si>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</si>
  <si>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</si>
  <si>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</si>
  <si>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</si>
  <si>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</si>
  <si>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</si>
  <si>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</si>
  <si>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</si>
  <si>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</si>
  <si>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</si>
  <si>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</si>
  <si>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</si>
  <si>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</si>
  <si>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</si>
  <si>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</si>
  <si>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</si>
  <si>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</si>
  <si>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</si>
  <si>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</si>
  <si>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</si>
  <si>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</si>
  <si>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</si>
  <si>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</si>
  <si>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</si>
  <si>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</si>
  <si>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</si>
  <si>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</si>
  <si>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</si>
  <si>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</si>
  <si>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</si>
  <si>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</si>
  <si>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</si>
  <si>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</si>
  <si>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</si>
  <si>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</si>
  <si>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</si>
  <si>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</si>
  <si>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</si>
  <si>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</si>
  <si>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</si>
  <si>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</si>
  <si>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</si>
  <si>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</si>
  <si>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</si>
  <si>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</si>
  <si>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</si>
  <si>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</si>
  <si>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</si>
  <si>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</si>
  <si>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</si>
  <si>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</si>
  <si>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</si>
  <si>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</si>
  <si>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</si>
  <si>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</si>
  <si>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</si>
  <si>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</si>
  <si>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</si>
  <si>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</si>
  <si>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</si>
  <si>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</si>
  <si>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</si>
  <si>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</si>
  <si>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</si>
  <si>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</si>
  <si>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</si>
  <si>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</si>
  <si>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</si>
  <si>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</si>
  <si>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</si>
  <si>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</si>
  <si>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</si>
  <si>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</si>
  <si>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</si>
  <si>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</si>
  <si>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</si>
  <si>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</si>
  <si>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</si>
  <si>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</si>
  <si>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</si>
  <si>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</si>
  <si>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</si>
  <si>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</si>
  <si>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</si>
  <si>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</si>
  <si>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</si>
  <si>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</si>
  <si>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</si>
  <si>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</si>
  <si>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</si>
  <si>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</si>
  <si>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</si>
  <si>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</si>
  <si>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</si>
  <si>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</si>
  <si>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</si>
  <si>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</si>
  <si>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</si>
  <si>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</si>
  <si>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</si>
  <si>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</si>
  <si>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</si>
  <si>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</si>
  <si>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</si>
  <si>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</si>
  <si>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</si>
  <si>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</si>
  <si>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</si>
  <si>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</si>
  <si>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</si>
  <si>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</si>
  <si>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</si>
  <si>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</si>
  <si>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</si>
  <si>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</si>
  <si>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</si>
  <si>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</si>
  <si>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</si>
  <si>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</si>
  <si>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</si>
  <si>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</si>
  <si>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</si>
  <si>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</si>
  <si>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</si>
  <si>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</si>
  <si>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</si>
  <si>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</si>
  <si>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</si>
  <si>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</si>
  <si>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</si>
  <si>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</si>
  <si>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</si>
  <si>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</si>
  <si>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</si>
  <si>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</si>
  <si>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</si>
  <si>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</si>
  <si>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</si>
  <si>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</si>
  <si>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</si>
  <si>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</si>
  <si>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</si>
  <si>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</si>
  <si>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</si>
  <si>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</si>
  <si>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</si>
  <si>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</si>
  <si>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</si>
  <si>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</si>
  <si>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</si>
  <si>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</si>
  <si>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</si>
  <si>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</si>
  <si>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</si>
  <si>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</si>
  <si>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</si>
  <si>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</si>
  <si>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</si>
  <si>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</si>
  <si>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</si>
  <si>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</si>
  <si>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</si>
  <si>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</si>
  <si>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</si>
  <si>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</si>
  <si>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</si>
  <si>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</si>
  <si>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</si>
  <si>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</si>
  <si>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</si>
  <si>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</si>
  <si>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</si>
  <si>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</si>
  <si>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</si>
  <si>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</si>
  <si>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</si>
  <si>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</si>
  <si>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</si>
  <si>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</si>
  <si>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</si>
  <si>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</si>
  <si>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</si>
  <si>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</si>
  <si>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</si>
  <si>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</si>
  <si>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</si>
  <si>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</si>
  <si>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</si>
  <si>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</si>
  <si>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</si>
  <si>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</si>
  <si>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</si>
  <si>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</si>
  <si>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</si>
  <si>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</si>
  <si>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</si>
  <si>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</si>
  <si>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</si>
  <si>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</si>
  <si>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</si>
  <si>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</si>
  <si>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</si>
  <si>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</si>
  <si>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</si>
  <si>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</si>
  <si>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</si>
  <si>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</si>
  <si>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</si>
  <si>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</si>
  <si>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</si>
  <si>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</si>
  <si>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</si>
  <si>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</si>
  <si>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</si>
  <si>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</si>
  <si>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</si>
  <si>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</si>
  <si>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</si>
  <si>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</si>
  <si>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</si>
  <si>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</si>
  <si>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</si>
  <si>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</si>
  <si>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</si>
  <si>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</si>
  <si>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</si>
  <si>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</si>
  <si>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</si>
  <si>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</si>
  <si>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</si>
  <si>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</si>
  <si>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</si>
  <si>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</si>
  <si>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</si>
  <si>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</si>
  <si>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</si>
  <si>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</si>
  <si>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</si>
  <si>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</si>
  <si>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</si>
  <si>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</si>
  <si>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</si>
  <si>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</si>
  <si>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</si>
  <si>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</si>
  <si>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</si>
  <si>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</si>
  <si>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</si>
  <si>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</si>
  <si>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</si>
  <si>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</si>
  <si>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</si>
  <si>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</si>
  <si>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</si>
  <si>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</si>
  <si>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</si>
  <si>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</si>
  <si>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</si>
  <si>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</si>
  <si>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</si>
  <si>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</si>
  <si>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</si>
  <si>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</si>
  <si>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</si>
  <si>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</si>
  <si>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</si>
  <si>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</si>
  <si>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</si>
  <si>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</si>
  <si>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</si>
  <si>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</si>
  <si>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</si>
  <si>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</si>
  <si>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</si>
  <si>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</si>
  <si>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</si>
  <si>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</si>
  <si>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</si>
  <si>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</si>
  <si>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</si>
  <si>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</si>
  <si>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</si>
  <si>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</si>
  <si>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</si>
  <si>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</si>
  <si>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</si>
  <si>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</si>
  <si>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</si>
  <si>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</si>
  <si>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</si>
  <si>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</si>
  <si>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</si>
  <si>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</si>
  <si>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</si>
  <si>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</si>
  <si>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</si>
  <si>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</si>
  <si>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</si>
  <si>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</si>
  <si>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</si>
  <si>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</si>
  <si>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</si>
  <si>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</si>
  <si>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</si>
  <si>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</si>
  <si>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</si>
  <si>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</si>
  <si>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</si>
  <si>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</si>
  <si>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</si>
  <si>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</si>
  <si>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</si>
  <si>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</si>
  <si>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</si>
  <si>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</si>
  <si>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</si>
  <si>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</si>
  <si>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</si>
  <si>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</si>
  <si>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</si>
  <si>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</si>
  <si>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</si>
  <si>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</si>
  <si>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</si>
  <si>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</si>
  <si>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</si>
  <si>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</si>
  <si>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</si>
  <si>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</si>
  <si>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</si>
  <si>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</si>
  <si>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</si>
  <si>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</si>
  <si>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</si>
  <si>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</si>
  <si>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</si>
  <si>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</si>
  <si>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</si>
  <si>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</si>
  <si>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</si>
  <si>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</si>
  <si>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</si>
  <si>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</si>
  <si>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</si>
  <si>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</si>
  <si>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</si>
  <si>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</si>
  <si>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</si>
  <si>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</si>
  <si>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</si>
  <si>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</si>
  <si>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</si>
  <si>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</si>
  <si>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</si>
  <si>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</si>
  <si>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</si>
  <si>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</si>
  <si>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</si>
  <si>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</si>
  <si>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</si>
  <si>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</si>
  <si>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</si>
  <si>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</si>
  <si>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</si>
  <si>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</si>
  <si>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</si>
  <si>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</si>
  <si>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</si>
  <si>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</si>
  <si>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</si>
  <si>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</si>
  <si>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</si>
  <si>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</si>
  <si>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</si>
  <si>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</si>
  <si>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</si>
  <si>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</si>
  <si>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</si>
  <si>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</si>
  <si>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</si>
  <si>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</si>
  <si>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</si>
  <si>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</si>
  <si>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</si>
  <si>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</si>
  <si>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</si>
  <si>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</si>
  <si>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</si>
  <si>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</si>
  <si>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</si>
  <si>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</si>
  <si>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</si>
  <si>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</si>
  <si>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</si>
  <si>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</si>
  <si>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</si>
  <si>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</si>
  <si>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</si>
  <si>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</si>
  <si>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</si>
  <si>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</si>
  <si>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</si>
  <si>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</si>
  <si>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</si>
  <si>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</si>
  <si>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</si>
  <si>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</si>
  <si>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</si>
  <si>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</si>
  <si>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</si>
  <si>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</si>
  <si>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</si>
  <si>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</si>
  <si>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</si>
  <si>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</si>
  <si>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</si>
  <si>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</si>
  <si>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</si>
  <si>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</si>
  <si>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</si>
  <si>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</si>
  <si>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</si>
  <si>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</si>
  <si>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</si>
  <si>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</si>
  <si>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</si>
  <si>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</si>
  <si>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</si>
  <si>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</si>
  <si>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</si>
  <si>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</si>
  <si>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</si>
  <si>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</si>
  <si>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</si>
  <si>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</si>
  <si>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</si>
  <si>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</si>
  <si>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</si>
  <si>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</si>
  <si>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</si>
  <si>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</si>
  <si>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</si>
  <si>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</si>
  <si>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</si>
  <si>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</si>
  <si>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</si>
  <si>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</si>
  <si>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</si>
  <si>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</si>
  <si>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</si>
  <si>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</si>
  <si>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</si>
  <si>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</si>
  <si>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</si>
  <si>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</si>
  <si>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</si>
  <si>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</si>
  <si>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</si>
  <si>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</si>
  <si>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</si>
  <si>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</si>
  <si>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</si>
  <si>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</si>
  <si>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</si>
  <si>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</si>
  <si>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</si>
  <si>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</si>
  <si>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</si>
  <si>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</si>
  <si>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</si>
  <si>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</si>
  <si>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</si>
  <si>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</si>
  <si>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</si>
  <si>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</si>
  <si>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</si>
  <si>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</si>
  <si>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</si>
  <si>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</si>
  <si>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</si>
  <si>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</si>
  <si>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</si>
  <si>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</si>
  <si>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</si>
  <si>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</si>
  <si>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</si>
  <si>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</si>
  <si>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</si>
  <si>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</si>
  <si>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</si>
  <si>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</si>
  <si>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</si>
  <si>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</si>
  <si>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</si>
  <si>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</si>
  <si>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</si>
  <si>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</si>
  <si>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</si>
  <si>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</si>
  <si>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</si>
  <si>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</si>
  <si>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</si>
  <si>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</si>
  <si>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</si>
  <si>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</si>
  <si>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</si>
  <si>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</si>
  <si>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</si>
  <si>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</si>
  <si>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</si>
  <si>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</si>
  <si>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</si>
  <si>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</si>
  <si>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</si>
  <si>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</si>
  <si>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</si>
  <si>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</si>
  <si>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</si>
  <si>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</si>
  <si>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</si>
  <si>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</si>
  <si>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</si>
  <si>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</si>
  <si>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</si>
  <si>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</si>
  <si>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</si>
  <si>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</si>
  <si>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</si>
  <si>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</si>
  <si>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</si>
  <si>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</si>
  <si>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</si>
  <si>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</si>
  <si>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</si>
  <si>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</si>
  <si>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</si>
  <si>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</si>
  <si>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</si>
  <si>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</si>
  <si>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</si>
  <si>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</si>
  <si>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</si>
  <si>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</si>
  <si>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</si>
  <si>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</si>
  <si>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</si>
  <si>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</si>
  <si>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</si>
  <si>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</si>
  <si>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</si>
  <si>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</si>
  <si>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</si>
  <si>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</si>
  <si>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</si>
  <si>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</si>
  <si>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</si>
  <si>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</si>
  <si>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</si>
  <si>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</si>
  <si>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</si>
  <si>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</si>
  <si>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</si>
  <si>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</si>
  <si>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</si>
  <si>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</si>
  <si>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</si>
  <si>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</si>
  <si>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</si>
  <si>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</si>
  <si>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</si>
  <si>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</si>
  <si>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</si>
  <si>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</si>
  <si>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</si>
  <si>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</si>
  <si>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</si>
  <si>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</si>
  <si>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</si>
  <si>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</si>
  <si>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</si>
  <si>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</si>
  <si>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</si>
  <si>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</si>
  <si>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</si>
  <si>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</si>
  <si>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</si>
  <si>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</si>
  <si>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</si>
  <si>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</si>
  <si>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</si>
  <si>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</si>
  <si>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</si>
  <si>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</si>
  <si>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</si>
  <si>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</si>
  <si>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</si>
  <si>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</si>
  <si>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</si>
  <si>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</si>
  <si>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</si>
  <si>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</si>
  <si>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</si>
  <si>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</si>
  <si>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</si>
  <si>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</si>
  <si>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</si>
  <si>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</si>
  <si>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</si>
  <si>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</si>
  <si>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</si>
  <si>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</si>
  <si>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</si>
  <si>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</si>
  <si>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</si>
  <si>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</si>
  <si>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</si>
  <si>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</si>
  <si>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</si>
  <si>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</si>
  <si>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</si>
  <si>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</si>
  <si>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</si>
  <si>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</si>
  <si>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</si>
  <si>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</si>
  <si>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</si>
  <si>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</si>
  <si>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</si>
  <si>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</si>
  <si>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</si>
  <si>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</si>
  <si>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</si>
  <si>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</si>
  <si>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</si>
  <si>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</si>
  <si>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</si>
  <si>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</si>
  <si>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</si>
  <si>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</si>
  <si>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</si>
  <si>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</si>
  <si>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</si>
  <si>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</si>
  <si>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</si>
  <si>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</si>
  <si>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</si>
  <si>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</si>
  <si>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</si>
  <si>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</si>
  <si>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</si>
  <si>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</si>
  <si>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</si>
  <si>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</si>
  <si>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</si>
  <si>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</si>
  <si>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</si>
  <si>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</si>
  <si>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</si>
  <si>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</si>
  <si>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</si>
  <si>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</si>
  <si>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</si>
  <si>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</si>
  <si>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</si>
  <si>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</si>
  <si>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</si>
  <si>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</si>
  <si>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</si>
  <si>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</si>
  <si>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</si>
  <si>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</si>
  <si>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</si>
  <si>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</si>
  <si>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</si>
  <si>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</si>
  <si>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</si>
  <si>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</si>
  <si>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</si>
  <si>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</si>
  <si>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</si>
  <si>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</si>
  <si>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</si>
  <si>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</si>
  <si>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</si>
  <si>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</si>
  <si>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</si>
  <si>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</si>
  <si>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</si>
  <si>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</si>
  <si>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</si>
  <si>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</si>
  <si>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</si>
  <si>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</si>
  <si>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</si>
  <si>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</si>
  <si>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</si>
  <si>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</si>
  <si>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</si>
  <si>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</si>
  <si>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</si>
  <si>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</si>
  <si>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</si>
  <si>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</si>
  <si>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</si>
  <si>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</si>
  <si>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</si>
  <si>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</si>
  <si>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</si>
  <si>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</si>
  <si>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</si>
  <si>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</si>
  <si>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</si>
  <si>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</si>
  <si>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</si>
  <si>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</si>
  <si>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</si>
  <si>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</si>
  <si>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</si>
  <si>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</si>
  <si>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</si>
  <si>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</si>
  <si>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</si>
  <si>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</si>
  <si>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</si>
  <si>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</si>
  <si>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</si>
  <si>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</si>
  <si>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</si>
  <si>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</si>
  <si>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</si>
  <si>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</si>
  <si>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</si>
  <si>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</si>
  <si>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</si>
  <si>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</si>
  <si>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</si>
  <si>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</si>
  <si>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</si>
  <si>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</si>
  <si>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</si>
  <si>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</si>
  <si>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</si>
  <si>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</si>
  <si>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</si>
  <si>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</si>
  <si>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</si>
  <si>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</si>
  <si>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</si>
  <si>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</si>
  <si>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</si>
  <si>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</si>
  <si>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</si>
  <si>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</si>
  <si>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</si>
  <si>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</si>
  <si>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</si>
  <si>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</si>
  <si>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</si>
  <si>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</si>
  <si>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</si>
  <si>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</si>
  <si>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</si>
  <si>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</si>
  <si>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</si>
  <si>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</si>
  <si>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</si>
  <si>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</si>
  <si>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</si>
  <si>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</si>
  <si>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</si>
  <si>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</si>
  <si>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</si>
  <si>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</si>
  <si>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</si>
  <si>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</si>
  <si>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</si>
  <si>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</si>
  <si>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</si>
  <si>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</si>
  <si>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</si>
  <si>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</si>
  <si>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</si>
  <si>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</si>
  <si>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</si>
  <si>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</si>
  <si>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</si>
  <si>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</si>
  <si>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</si>
  <si>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</si>
  <si>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</si>
  <si>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</si>
  <si>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</si>
  <si>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</si>
  <si>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</si>
  <si>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</si>
  <si>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</si>
  <si>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</si>
  <si>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</si>
  <si>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</si>
  <si>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</si>
  <si>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</si>
  <si>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</si>
  <si>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</si>
  <si>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</si>
  <si>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</si>
  <si>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</si>
  <si>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</si>
  <si>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</si>
  <si>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</si>
  <si>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</si>
  <si>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</si>
  <si>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</si>
  <si>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</si>
  <si>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</si>
  <si>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</si>
  <si>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</si>
  <si>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</si>
  <si>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</si>
  <si>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</si>
  <si>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</si>
  <si>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</si>
  <si>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</si>
  <si>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</si>
  <si>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</si>
  <si>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</si>
  <si>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</si>
  <si>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</si>
  <si>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</si>
  <si>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</si>
  <si>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</si>
  <si>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</si>
  <si>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</si>
  <si>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</si>
  <si>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</si>
  <si>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</si>
  <si>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</si>
  <si>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</si>
  <si>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</si>
  <si>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</si>
  <si>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</si>
  <si>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</si>
  <si>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</si>
  <si>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</si>
  <si>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</si>
  <si>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</si>
  <si>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</si>
  <si>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</si>
  <si>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</si>
  <si>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</si>
  <si>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</si>
  <si>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</si>
  <si>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</si>
  <si>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</si>
  <si>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</si>
  <si>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</si>
  <si>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</si>
  <si>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</si>
  <si>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</si>
  <si>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</si>
  <si>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</si>
  <si>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</si>
  <si>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</si>
  <si>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</si>
  <si>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</si>
  <si>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</si>
  <si>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</si>
  <si>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</si>
  <si>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</si>
  <si>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</si>
  <si>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</si>
  <si>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</si>
  <si>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</si>
  <si>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</si>
  <si>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</si>
  <si>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</si>
  <si>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</si>
  <si>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</si>
  <si>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</si>
  <si>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</si>
  <si>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</si>
  <si>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</si>
  <si>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</si>
  <si>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</si>
  <si>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</si>
  <si>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</si>
  <si>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</si>
  <si>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</si>
  <si>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</si>
  <si>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</si>
  <si>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</si>
  <si>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</si>
  <si>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</si>
  <si>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</si>
  <si>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</si>
  <si>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</si>
  <si>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</si>
  <si>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</si>
  <si>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</si>
  <si>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</si>
  <si>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</si>
  <si>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</si>
  <si>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</si>
  <si>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</si>
  <si>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</si>
  <si>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</si>
  <si>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</si>
  <si>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</si>
  <si>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</si>
  <si>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</si>
  <si>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</si>
  <si>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</si>
  <si>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</si>
  <si>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</si>
  <si>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</si>
  <si>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</si>
  <si>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</si>
  <si>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</si>
  <si>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</si>
  <si>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</si>
  <si>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</si>
  <si>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</si>
  <si>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</si>
  <si>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</si>
  <si>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</si>
  <si>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</si>
  <si>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</si>
  <si>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</si>
  <si>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</si>
  <si>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</si>
  <si>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</si>
  <si>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</si>
  <si>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</si>
  <si>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</si>
  <si>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</si>
  <si>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</si>
  <si>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</si>
  <si>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</si>
  <si>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</si>
  <si>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</si>
  <si>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</si>
  <si>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</si>
  <si>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</si>
  <si>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</si>
  <si>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</si>
  <si>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</si>
  <si>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</si>
  <si>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</si>
  <si>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</si>
  <si>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</si>
  <si>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</si>
  <si>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</si>
  <si>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</si>
  <si>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</si>
  <si>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</si>
  <si>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</si>
  <si>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</si>
  <si>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</si>
  <si>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</si>
  <si>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</si>
  <si>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</si>
  <si>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</si>
  <si>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</si>
  <si>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</si>
  <si>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</si>
  <si>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</si>
  <si>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</si>
  <si>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</si>
  <si>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</si>
  <si>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</si>
  <si>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</si>
  <si>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</si>
  <si>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</si>
  <si>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</si>
  <si>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</si>
  <si>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</si>
  <si>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</si>
  <si>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</si>
  <si>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</si>
  <si>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</si>
  <si>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</si>
  <si>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</si>
  <si>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</si>
  <si>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</si>
  <si>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</si>
  <si>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</si>
  <si>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</si>
  <si>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</si>
  <si>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</si>
  <si>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</si>
  <si>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</si>
  <si>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</si>
  <si>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</si>
  <si>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</si>
  <si>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</si>
  <si>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</si>
  <si>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</si>
  <si>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</si>
  <si>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</si>
  <si>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</si>
  <si>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</si>
  <si>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</si>
  <si>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</si>
  <si>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</si>
  <si>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</si>
  <si>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</si>
  <si>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</si>
  <si>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</si>
  <si>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</si>
  <si>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</si>
  <si>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</si>
  <si>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</si>
  <si>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</si>
  <si>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</si>
  <si>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</si>
  <si>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</si>
  <si>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</si>
  <si>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</si>
  <si>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</si>
  <si>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</si>
  <si>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</si>
  <si>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</si>
  <si>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</si>
  <si>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</si>
  <si>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</si>
  <si>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</si>
  <si>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</si>
  <si>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</si>
  <si>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</si>
  <si>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</si>
  <si>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</si>
  <si>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</si>
  <si>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</si>
  <si>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</si>
  <si>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</si>
  <si>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</si>
  <si>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</si>
  <si>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</si>
  <si>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</si>
  <si>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</si>
  <si>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</si>
  <si>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</si>
  <si>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</si>
  <si>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</si>
  <si>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</si>
  <si>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</si>
  <si>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</si>
  <si>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</si>
  <si>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</si>
  <si>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</si>
  <si>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</si>
  <si>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</si>
  <si>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</si>
  <si>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</si>
  <si>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</si>
  <si>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</si>
  <si>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</si>
  <si>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</si>
  <si>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</si>
  <si>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</si>
  <si>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</si>
  <si>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</si>
  <si>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</si>
  <si>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</si>
  <si>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</si>
  <si>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</si>
  <si>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</si>
  <si>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</si>
  <si>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</si>
  <si>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</si>
  <si>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</si>
  <si>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</si>
  <si>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</si>
  <si>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</si>
  <si>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</si>
  <si>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</si>
  <si>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</si>
  <si>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</si>
  <si>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</si>
  <si>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</si>
  <si>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</si>
  <si>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</si>
  <si>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</si>
  <si>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</si>
  <si>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</si>
  <si>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</si>
  <si>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</si>
  <si>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</si>
  <si>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</si>
  <si>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</si>
  <si>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</si>
  <si>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</si>
  <si>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</si>
  <si>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</si>
  <si>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</si>
  <si>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</si>
  <si>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</si>
  <si>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</si>
  <si>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</si>
  <si>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</si>
  <si>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</si>
  <si>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</si>
  <si>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</si>
  <si>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</si>
  <si>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</si>
  <si>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</si>
  <si>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</si>
  <si>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</si>
  <si>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</si>
  <si>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</si>
  <si>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</si>
  <si>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</si>
  <si>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</si>
  <si>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</si>
  <si>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</si>
  <si>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</si>
  <si>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</si>
  <si>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</si>
  <si>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</si>
  <si>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</si>
  <si>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</si>
  <si>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</si>
  <si>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</si>
  <si>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</si>
  <si>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</si>
  <si>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</si>
  <si>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</si>
  <si>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</si>
  <si>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</si>
  <si>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</si>
  <si>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</si>
  <si>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</si>
  <si>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</si>
  <si>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</si>
  <si>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</si>
  <si>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</si>
  <si>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</si>
  <si>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</si>
  <si>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</si>
  <si>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</si>
  <si>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</si>
  <si>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</si>
  <si>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</si>
  <si>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</si>
  <si>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</si>
  <si>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</si>
  <si>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</si>
  <si>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</si>
  <si>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</si>
  <si>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</si>
  <si>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</si>
  <si>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</si>
  <si>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</si>
  <si>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</si>
  <si>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</si>
  <si>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</si>
  <si>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</si>
  <si>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</si>
  <si>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</si>
  <si>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</si>
  <si>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</si>
  <si>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</si>
  <si>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</si>
  <si>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</si>
  <si>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</si>
  <si>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</si>
  <si>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</si>
  <si>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</si>
  <si>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</si>
  <si>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</si>
  <si>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</si>
  <si>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</si>
  <si>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</si>
  <si>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</si>
  <si>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</si>
  <si>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</si>
  <si>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</si>
  <si>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</si>
  <si>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</si>
  <si>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</si>
  <si>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</si>
  <si>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</si>
  <si>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</si>
  <si>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</si>
  <si>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</si>
  <si>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</si>
  <si>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</si>
  <si>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</si>
  <si>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</si>
  <si>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</si>
  <si>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</si>
  <si>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</si>
  <si>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</si>
  <si>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</si>
  <si>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</si>
  <si>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</si>
  <si>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</si>
  <si>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</si>
  <si>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</si>
  <si>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</si>
  <si>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</si>
  <si>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</si>
  <si>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</si>
  <si>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</si>
  <si>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</si>
  <si>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</si>
  <si>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</si>
  <si>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</si>
  <si>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</si>
  <si>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</si>
  <si>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</si>
  <si>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</si>
  <si>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</si>
  <si>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</si>
  <si>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</si>
  <si>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</si>
  <si>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</si>
  <si>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</si>
  <si>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</si>
  <si>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</si>
  <si>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</si>
  <si>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</si>
  <si>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</si>
  <si>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</si>
  <si>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</si>
  <si>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</si>
  <si>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</si>
  <si>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</si>
  <si>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</si>
  <si>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</si>
  <si>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</si>
  <si>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</si>
  <si>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</si>
  <si>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</si>
  <si>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</si>
  <si>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</si>
  <si>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</si>
  <si>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</si>
  <si>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</si>
  <si>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</si>
  <si>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</si>
  <si>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</si>
  <si>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</si>
  <si>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</si>
  <si>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</si>
  <si>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</si>
  <si>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</si>
  <si>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</si>
  <si>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</si>
  <si>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</si>
  <si>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</si>
  <si>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</si>
  <si>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</si>
  <si>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</si>
  <si>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</si>
  <si>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</si>
  <si>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</si>
  <si>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</si>
  <si>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</si>
  <si>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</si>
  <si>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</si>
  <si>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</si>
  <si>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</si>
  <si>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</si>
  <si>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</si>
  <si>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</si>
  <si>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</si>
  <si>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</si>
  <si>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</si>
  <si>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</si>
  <si>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</si>
  <si>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</si>
  <si>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</si>
  <si>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</si>
  <si>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</si>
  <si>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</si>
  <si>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</si>
  <si>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</si>
  <si>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</si>
  <si>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</si>
  <si>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</si>
  <si>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</si>
  <si>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</si>
  <si>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</si>
  <si>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</si>
  <si>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</si>
  <si>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</si>
  <si>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</si>
  <si>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</si>
  <si>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</si>
  <si>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</si>
  <si>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</si>
  <si>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</si>
  <si>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</si>
  <si>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</si>
  <si>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</si>
  <si>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</si>
  <si>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</si>
  <si>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</si>
  <si>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</si>
  <si>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</si>
  <si>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</si>
  <si>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</si>
  <si>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</si>
  <si>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</si>
  <si>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</si>
  <si>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</si>
  <si>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</si>
  <si>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</si>
  <si>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</si>
  <si>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</si>
  <si>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</si>
  <si>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</si>
  <si>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</si>
  <si>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</si>
  <si>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</si>
  <si>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</si>
  <si>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</si>
  <si>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</si>
  <si>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</si>
  <si>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</si>
  <si>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</si>
  <si>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</si>
  <si>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</si>
  <si>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</si>
  <si>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</si>
  <si>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</si>
  <si>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</si>
  <si>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</si>
  <si>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</si>
  <si>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</si>
  <si>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</si>
  <si>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</si>
  <si>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</si>
  <si>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</si>
  <si>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</si>
  <si>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</si>
  <si>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</si>
  <si>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</si>
  <si>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</si>
  <si>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</si>
  <si>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</si>
  <si>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</si>
  <si>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</si>
  <si>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</si>
  <si>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</si>
  <si>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</si>
  <si>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</si>
  <si>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</si>
  <si>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</si>
  <si>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</si>
  <si>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</si>
  <si>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</si>
  <si>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</si>
  <si>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</si>
  <si>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</si>
  <si>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</si>
  <si>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</si>
  <si>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</si>
  <si>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</si>
  <si>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</si>
  <si>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</si>
  <si>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</si>
  <si>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</si>
  <si>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</si>
  <si>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</si>
  <si>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</si>
  <si>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</si>
  <si>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</si>
  <si>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</si>
  <si>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</si>
  <si>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</si>
  <si>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</si>
  <si>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</si>
  <si>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</si>
  <si>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</si>
  <si>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</si>
  <si>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</si>
  <si>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</si>
  <si>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</si>
  <si>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</si>
  <si>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</si>
  <si>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</si>
  <si>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</si>
  <si>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</si>
  <si>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</si>
  <si>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</si>
  <si>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</si>
  <si>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</si>
  <si>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</si>
  <si>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</si>
  <si>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</si>
  <si>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</si>
  <si>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</si>
  <si>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</si>
  <si>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</si>
  <si>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</si>
  <si>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</si>
  <si>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</si>
  <si>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</si>
  <si>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</si>
  <si>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</si>
  <si>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</si>
  <si>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</si>
  <si>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</si>
  <si>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</si>
  <si>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</si>
  <si>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</si>
  <si>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</si>
  <si>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</si>
  <si>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</si>
  <si>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</si>
  <si>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</si>
  <si>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</si>
  <si>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</si>
  <si>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</si>
  <si>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</si>
  <si>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</si>
  <si>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</si>
  <si>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</si>
  <si>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</si>
  <si>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</si>
  <si>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</si>
  <si>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</si>
  <si>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</si>
  <si>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</si>
  <si>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</si>
  <si>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</si>
  <si>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</si>
  <si>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</si>
  <si>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</si>
  <si>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</si>
  <si>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</si>
  <si>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</si>
  <si>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</si>
  <si>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</si>
  <si>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</si>
  <si>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</si>
  <si>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</si>
  <si>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</si>
  <si>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</si>
  <si>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</si>
  <si>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</si>
  <si>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</si>
  <si>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</si>
  <si>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</si>
  <si>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</si>
  <si>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</si>
  <si>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</si>
  <si>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</si>
  <si>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</si>
  <si>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</si>
  <si>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</si>
  <si>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</si>
  <si>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</si>
  <si>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</si>
  <si>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</si>
  <si>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</si>
  <si>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</si>
  <si>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</si>
  <si>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</si>
  <si>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</si>
  <si>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</si>
  <si>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</si>
  <si>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</si>
  <si>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</si>
  <si>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</si>
  <si>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</si>
  <si>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</si>
  <si>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</si>
  <si>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</si>
  <si>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</si>
  <si>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</si>
  <si>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</si>
  <si>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</si>
  <si>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</si>
  <si>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</si>
  <si>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</si>
  <si>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</si>
  <si>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</si>
  <si>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</si>
  <si>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</si>
  <si>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</si>
  <si>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</si>
  <si>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</si>
  <si>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</si>
  <si>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</si>
  <si>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</si>
  <si>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</si>
  <si>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</si>
  <si>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</si>
  <si>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</si>
  <si>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</si>
  <si>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</si>
  <si>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</si>
  <si>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</si>
  <si>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</si>
  <si>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</si>
  <si>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</si>
  <si>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</si>
  <si>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</si>
  <si>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</si>
  <si>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</si>
  <si>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</si>
  <si>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</si>
  <si>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</si>
  <si>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</si>
  <si>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</si>
  <si>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</si>
  <si>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</si>
  <si>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</si>
  <si>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</si>
  <si>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</si>
  <si>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</si>
  <si>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</si>
  <si>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</si>
  <si>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</si>
  <si>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</si>
  <si>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</si>
  <si>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</si>
  <si>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</si>
  <si>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</si>
  <si>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</si>
  <si>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</si>
  <si>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</si>
  <si>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</si>
  <si>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</si>
  <si>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</si>
  <si>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</si>
  <si>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</si>
  <si>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</si>
  <si>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</si>
  <si>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</si>
  <si>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</si>
  <si>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</si>
  <si>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</si>
  <si>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</si>
  <si>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</si>
  <si>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</si>
  <si>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</si>
  <si>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</si>
  <si>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</si>
  <si>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</si>
  <si>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</si>
  <si>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</si>
  <si>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</si>
  <si>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</si>
  <si>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</si>
  <si>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</si>
  <si>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</si>
  <si>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</si>
  <si>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</si>
  <si>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</si>
  <si>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</si>
  <si>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</si>
  <si>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</si>
  <si>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</si>
  <si>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</si>
  <si>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</si>
  <si>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</si>
  <si>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</si>
  <si>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</si>
  <si>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</si>
  <si>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</si>
  <si>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</si>
  <si>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</si>
  <si>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</si>
  <si>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</si>
  <si>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</si>
  <si>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</si>
  <si>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</si>
  <si>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</si>
  <si>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</si>
  <si>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</si>
  <si>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</si>
  <si>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</si>
  <si>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</si>
  <si>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</si>
  <si>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</si>
  <si>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</si>
  <si>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</si>
  <si>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</si>
  <si>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</si>
  <si>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</si>
  <si>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</si>
  <si>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</si>
  <si>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</si>
  <si>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</si>
  <si>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</si>
  <si>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</si>
  <si>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</si>
  <si>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</si>
  <si>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</si>
  <si>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</si>
  <si>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</si>
  <si>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</si>
  <si>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</si>
  <si>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</si>
  <si>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</si>
  <si>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</si>
  <si>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</si>
  <si>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</si>
  <si>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</si>
  <si>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</si>
  <si>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</si>
  <si>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</si>
  <si>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</si>
  <si>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</si>
  <si>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</si>
  <si>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</si>
  <si>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</si>
  <si>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</si>
  <si>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</si>
  <si>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</si>
  <si>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</si>
  <si>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</si>
  <si>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</si>
  <si>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</si>
  <si>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</si>
  <si>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</si>
  <si>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</si>
  <si>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</si>
  <si>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</si>
  <si>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</si>
  <si>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</si>
  <si>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</si>
  <si>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</si>
  <si>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</si>
  <si>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</si>
  <si>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</si>
  <si>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</si>
  <si>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</si>
  <si>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</si>
  <si>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</si>
  <si>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</si>
  <si>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</si>
  <si>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</si>
  <si>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</si>
  <si>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</si>
  <si>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</si>
  <si>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</si>
  <si>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</si>
  <si>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</si>
  <si>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</si>
  <si>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</si>
  <si>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</si>
  <si>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</si>
  <si>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</si>
  <si>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</si>
  <si>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</si>
  <si>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</si>
  <si>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</si>
  <si>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</si>
  <si>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</si>
  <si>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</si>
  <si>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</si>
  <si>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</si>
  <si>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</si>
  <si>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</si>
  <si>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</si>
  <si>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</si>
  <si>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</si>
  <si>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</si>
  <si>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</si>
  <si>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</si>
  <si>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</si>
  <si>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</si>
  <si>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</si>
  <si>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</si>
  <si>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</si>
  <si>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</si>
  <si>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</si>
  <si>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</si>
  <si>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</si>
  <si>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</si>
  <si>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</si>
  <si>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</si>
  <si>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</si>
  <si>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</si>
  <si>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</si>
  <si>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</si>
  <si>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</si>
  <si>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</si>
  <si>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</si>
  <si>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</si>
  <si>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</si>
  <si>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</si>
  <si>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</si>
  <si>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</si>
  <si>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</si>
  <si>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</si>
  <si>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</si>
  <si>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</si>
  <si>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</si>
  <si>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</si>
  <si>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</si>
  <si>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</si>
  <si>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</si>
  <si>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</si>
  <si>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</si>
  <si>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</si>
  <si>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</si>
  <si>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</si>
  <si>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</si>
  <si>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</si>
  <si>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</si>
  <si>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</si>
  <si>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</si>
  <si>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</si>
  <si>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</si>
  <si>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</si>
  <si>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</si>
  <si>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</si>
  <si>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</si>
  <si>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</si>
  <si>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</si>
  <si>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</si>
  <si>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</si>
  <si>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</si>
  <si>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</si>
  <si>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</si>
  <si>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</si>
  <si>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</si>
  <si>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</si>
  <si>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</si>
  <si>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</si>
  <si>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</si>
  <si>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</si>
  <si>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</si>
  <si>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</si>
  <si>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</si>
  <si>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</si>
  <si>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</si>
  <si>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</si>
  <si>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</si>
  <si>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</si>
  <si>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</si>
  <si>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</si>
  <si>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</si>
  <si>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</si>
  <si>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</si>
  <si>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</si>
  <si>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</si>
  <si>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</si>
  <si>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</si>
  <si>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</si>
  <si>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</si>
  <si>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</si>
  <si>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</si>
  <si>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</si>
  <si>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</si>
  <si>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</si>
  <si>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</si>
  <si>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</si>
  <si>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</si>
  <si>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</si>
  <si>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</si>
  <si>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</si>
  <si>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</si>
  <si>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</si>
  <si>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</si>
  <si>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</si>
  <si>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</si>
  <si>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</si>
  <si>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</si>
  <si>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</si>
  <si>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</si>
  <si>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</si>
  <si>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</si>
  <si>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</si>
  <si>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</si>
  <si>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</si>
  <si>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</si>
  <si>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</si>
  <si>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</si>
  <si>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</si>
  <si>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</si>
  <si>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</si>
  <si>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</si>
  <si>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</si>
  <si>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</si>
  <si>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</si>
  <si>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</si>
  <si>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</si>
  <si>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</si>
  <si>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</si>
  <si>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</si>
  <si>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</si>
  <si>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</si>
  <si>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</si>
  <si>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</si>
  <si>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</si>
  <si>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</si>
  <si>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</si>
  <si>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</si>
  <si>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</si>
  <si>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</si>
  <si>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</si>
  <si>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</si>
  <si>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</si>
  <si>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</si>
  <si>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</si>
  <si>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</si>
  <si>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</si>
  <si>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</si>
  <si>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</si>
  <si>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</si>
  <si>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</si>
  <si>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</si>
  <si>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</si>
  <si>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</si>
  <si>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</si>
  <si>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</si>
  <si>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</si>
  <si>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</si>
  <si>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</si>
  <si>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</si>
  <si>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</si>
  <si>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</si>
  <si>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</si>
  <si>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</si>
  <si>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</si>
  <si>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</si>
  <si>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</si>
  <si>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</si>
  <si>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</si>
  <si>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</si>
  <si>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</si>
  <si>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</si>
  <si>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</si>
  <si>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</si>
  <si>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</si>
  <si>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</si>
  <si>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</si>
  <si>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</si>
  <si>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</si>
  <si>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</si>
  <si>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</si>
  <si>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</si>
  <si>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</si>
  <si>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</si>
  <si>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</si>
  <si>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</si>
  <si>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</si>
  <si>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</si>
  <si>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</si>
  <si>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</si>
  <si>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</si>
  <si>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</si>
  <si>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</si>
  <si>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</si>
  <si>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</si>
  <si>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</si>
  <si>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</si>
  <si>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</si>
  <si>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</si>
  <si>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</si>
  <si>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</si>
  <si>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</si>
  <si>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</si>
  <si>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</si>
  <si>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</si>
  <si>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</si>
  <si>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</si>
  <si>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</si>
  <si>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</si>
  <si>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</si>
  <si>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</si>
  <si>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</si>
  <si>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</si>
  <si>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</si>
  <si>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</si>
  <si>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</si>
  <si>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</si>
  <si>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</si>
  <si>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</si>
  <si>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</si>
  <si>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</si>
  <si>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</si>
  <si>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</si>
  <si>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</si>
  <si>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</si>
  <si>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</si>
  <si>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</si>
  <si>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</si>
  <si>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</si>
  <si>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</si>
  <si>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</si>
  <si>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</si>
  <si>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</si>
  <si>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</si>
  <si>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</si>
  <si>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</si>
  <si>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</si>
  <si>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</si>
  <si>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</si>
  <si>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</si>
  <si>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</si>
  <si>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</si>
  <si>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</si>
  <si>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</si>
  <si>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</si>
  <si>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</si>
  <si>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</si>
  <si>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</si>
  <si>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</si>
  <si>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</si>
  <si>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</si>
  <si>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</si>
  <si>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</si>
  <si>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</si>
  <si>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</si>
  <si>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</si>
  <si>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</si>
  <si>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</si>
  <si>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</si>
  <si>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</si>
  <si>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</si>
  <si>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</si>
  <si>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</si>
  <si>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</si>
  <si>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</si>
  <si>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</si>
  <si>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</si>
  <si>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</si>
  <si>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</si>
  <si>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</si>
  <si>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</si>
  <si>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</si>
  <si>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</si>
  <si>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</si>
  <si>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</si>
  <si>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</si>
  <si>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</si>
  <si>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</si>
  <si>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</si>
  <si>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</si>
  <si>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</si>
  <si>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</si>
  <si>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</si>
  <si>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</si>
  <si>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</si>
  <si>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</si>
  <si>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</si>
  <si>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</si>
  <si>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</si>
  <si>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</si>
  <si>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</si>
  <si>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</si>
  <si>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</si>
  <si>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</si>
  <si>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</si>
  <si>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</si>
  <si>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</si>
  <si>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</si>
  <si>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</si>
  <si>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</si>
  <si>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</si>
  <si>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</si>
  <si>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</si>
  <si>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</si>
  <si>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</si>
  <si>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</si>
  <si>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</si>
  <si>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</si>
  <si>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</si>
  <si>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</si>
  <si>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</si>
  <si>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</si>
  <si>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</si>
  <si>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</si>
  <si>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</si>
  <si>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</si>
  <si>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</si>
  <si>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</si>
  <si>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</si>
  <si>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</si>
  <si>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</si>
  <si>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</si>
  <si>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</si>
  <si>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</si>
  <si>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</si>
  <si>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</si>
  <si>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</si>
  <si>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</si>
  <si>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</si>
  <si>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</si>
  <si>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</si>
  <si>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</si>
  <si>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</si>
  <si>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</si>
  <si>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</si>
  <si>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</si>
  <si>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</si>
  <si>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</si>
  <si>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</si>
  <si>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</si>
  <si>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</si>
  <si>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</si>
  <si>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</si>
  <si>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</si>
  <si>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</si>
  <si>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</si>
  <si>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</si>
  <si>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</si>
  <si>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</si>
  <si>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</si>
  <si>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</si>
  <si>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</si>
  <si>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</si>
  <si>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</si>
  <si>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</si>
  <si>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</si>
  <si>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</si>
  <si>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</si>
  <si>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</si>
  <si>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</si>
  <si>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</si>
  <si>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</si>
  <si>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</si>
  <si>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</si>
  <si>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</si>
  <si>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</si>
  <si>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</si>
  <si>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</si>
  <si>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</si>
  <si>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</si>
  <si>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</si>
  <si>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</si>
  <si>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</si>
  <si>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</si>
  <si>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</si>
  <si>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</si>
  <si>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</si>
  <si>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</si>
  <si>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</si>
  <si>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</si>
  <si>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</si>
  <si>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</si>
  <si>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</si>
  <si>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</si>
  <si>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</si>
  <si>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</si>
  <si>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</si>
  <si>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</si>
  <si>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</si>
  <si>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</si>
  <si>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</si>
  <si>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</si>
  <si>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</si>
  <si>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</si>
  <si>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</si>
  <si>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</si>
  <si>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</si>
  <si>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</si>
  <si>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</si>
  <si>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</si>
  <si>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</si>
  <si>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</si>
  <si>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</si>
  <si>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</si>
  <si>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</si>
  <si>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</si>
  <si>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</si>
  <si>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</si>
  <si>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</si>
  <si>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</si>
  <si>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</si>
  <si>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</si>
  <si>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</si>
  <si>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</si>
  <si>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</si>
  <si>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</si>
  <si>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</si>
  <si>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</si>
  <si>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</si>
  <si>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</si>
  <si>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</si>
  <si>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</si>
  <si>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</si>
  <si>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</si>
  <si>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</si>
  <si>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</si>
  <si>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</si>
  <si>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</si>
  <si>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</si>
  <si>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</si>
  <si>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</si>
  <si>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</si>
  <si>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</si>
  <si>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</si>
  <si>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</si>
  <si>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</si>
  <si>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</si>
  <si>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</si>
  <si>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</si>
  <si>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</si>
  <si>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</si>
  <si>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</si>
  <si>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</si>
  <si>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</si>
  <si>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</si>
  <si>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</si>
  <si>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</si>
  <si>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</si>
  <si>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</si>
  <si>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</si>
  <si>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</si>
  <si>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</si>
  <si>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</si>
  <si>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</si>
  <si>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</si>
  <si>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</si>
  <si>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</si>
  <si>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</si>
  <si>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</si>
  <si>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</si>
  <si>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</si>
  <si>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</si>
  <si>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</si>
  <si>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</si>
  <si>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</si>
  <si>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</si>
  <si>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</si>
  <si>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</si>
  <si>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</si>
  <si>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</si>
  <si>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</si>
  <si>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</si>
  <si>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</si>
  <si>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</si>
  <si>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</si>
  <si>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</si>
  <si>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</si>
  <si>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</si>
  <si>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</si>
  <si>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</si>
  <si>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</si>
  <si>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</si>
  <si>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</si>
  <si>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</si>
  <si>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</si>
  <si>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</si>
  <si>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</si>
  <si>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</si>
  <si>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</si>
  <si>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</si>
  <si>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</si>
  <si>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</si>
  <si>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</si>
  <si>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</si>
  <si>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</si>
  <si>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</si>
  <si>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</si>
  <si>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</si>
  <si>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</si>
  <si>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</si>
  <si>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</si>
  <si>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</si>
  <si>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</si>
  <si>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</si>
  <si>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</si>
  <si>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</si>
  <si>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</si>
  <si>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</si>
  <si>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</si>
  <si>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</si>
  <si>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</si>
  <si>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</si>
  <si>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</si>
  <si>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</si>
  <si>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</si>
  <si>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</si>
  <si>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</si>
  <si>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</si>
  <si>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</si>
  <si>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</si>
  <si>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</si>
  <si>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</si>
  <si>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</si>
  <si>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</si>
  <si>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</si>
  <si>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</si>
  <si>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</si>
  <si>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</si>
  <si>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</si>
  <si>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</si>
  <si>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</si>
  <si>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</si>
  <si>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</si>
  <si>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</si>
  <si>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</si>
  <si>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</si>
  <si>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</si>
  <si>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</si>
  <si>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</si>
  <si>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</si>
  <si>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</si>
  <si>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</si>
  <si>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</si>
  <si>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</si>
  <si>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</si>
  <si>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</si>
  <si>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</si>
  <si>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</si>
  <si>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</si>
  <si>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</si>
  <si>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</si>
  <si>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</si>
  <si>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</si>
  <si>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</si>
  <si>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</si>
  <si>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</si>
  <si>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</si>
  <si>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</si>
  <si>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</si>
  <si>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</si>
  <si>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</si>
  <si>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</si>
  <si>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</si>
  <si>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</si>
  <si>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</si>
  <si>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</si>
  <si>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</si>
  <si>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</si>
  <si>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</si>
  <si>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</si>
  <si>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</si>
  <si>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</si>
  <si>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</si>
  <si>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</si>
  <si>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</si>
  <si>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</si>
  <si>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</si>
  <si>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</si>
  <si>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</si>
  <si>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</si>
  <si>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</si>
  <si>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</si>
  <si>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</si>
  <si>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</si>
  <si>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</si>
  <si>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</si>
  <si>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</si>
  <si>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</si>
  <si>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</si>
  <si>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</si>
  <si>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</si>
  <si>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</si>
  <si>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</si>
  <si>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</si>
  <si>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</si>
  <si>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</si>
  <si>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</si>
  <si>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</si>
  <si>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</si>
  <si>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</si>
  <si>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</si>
  <si>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</si>
  <si>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</si>
  <si>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</si>
  <si>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</si>
  <si>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</si>
  <si>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</si>
  <si>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</si>
  <si>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</si>
  <si>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</si>
  <si>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</si>
  <si>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</si>
  <si>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</si>
  <si>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</si>
  <si>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</si>
  <si>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</si>
  <si>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</si>
  <si>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</si>
  <si>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</si>
  <si>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</si>
  <si>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</si>
  <si>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</si>
  <si>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</si>
  <si>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</si>
  <si>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</si>
  <si>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</si>
  <si>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</si>
  <si>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</si>
  <si>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</si>
  <si>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</si>
  <si>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</si>
  <si>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</si>
  <si>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</si>
  <si>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</si>
  <si>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</si>
  <si>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</si>
  <si>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</si>
  <si>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</si>
  <si>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</si>
  <si>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</si>
  <si>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</si>
  <si>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</si>
  <si>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</si>
  <si>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</si>
  <si>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</si>
  <si>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</si>
  <si>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</si>
  <si>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</si>
  <si>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</si>
  <si>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</si>
  <si>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</si>
  <si>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</si>
  <si>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</si>
  <si>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</si>
  <si>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</si>
  <si>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</si>
  <si>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</si>
  <si>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</si>
  <si>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</si>
  <si>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</si>
  <si>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</si>
  <si>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</si>
  <si>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</si>
  <si>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</si>
  <si>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</si>
  <si>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</si>
  <si>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</si>
  <si>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</si>
  <si>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</si>
  <si>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</si>
  <si>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</si>
  <si>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</si>
  <si>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</si>
  <si>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</si>
  <si>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</si>
  <si>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</si>
  <si>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</si>
  <si>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</si>
  <si>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</si>
  <si>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</si>
  <si>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</si>
  <si>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</si>
  <si>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</si>
  <si>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</si>
  <si>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</si>
  <si>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</si>
  <si>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</si>
  <si>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</si>
  <si>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</si>
  <si>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</si>
  <si>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</si>
  <si>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</si>
  <si>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</si>
  <si>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</si>
  <si>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</si>
  <si>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</si>
  <si>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</si>
  <si>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</si>
  <si>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</si>
  <si>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</si>
  <si>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</si>
  <si>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</si>
  <si>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</si>
  <si>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</si>
  <si>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</si>
  <si>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</si>
  <si>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</si>
  <si>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</si>
  <si>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</si>
  <si>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</si>
  <si>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</si>
  <si>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</si>
  <si>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</si>
  <si>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</si>
  <si>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</si>
  <si>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</si>
  <si>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</si>
  <si>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</si>
  <si>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</si>
  <si>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</si>
  <si>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</si>
  <si>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</si>
  <si>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</si>
  <si>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</si>
  <si>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</si>
  <si>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</si>
  <si>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</si>
  <si>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</si>
  <si>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</si>
  <si>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</si>
  <si>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</si>
  <si>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</si>
  <si>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</si>
  <si>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</si>
  <si>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</si>
  <si>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</si>
  <si>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</si>
  <si>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</si>
  <si>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</si>
  <si>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</si>
  <si>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</si>
  <si>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</si>
  <si>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</si>
  <si>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</si>
  <si>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</si>
  <si>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</si>
  <si>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</si>
  <si>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</si>
  <si>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</si>
  <si>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</si>
  <si>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</si>
  <si>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</si>
  <si>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</si>
  <si>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</si>
  <si>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</si>
  <si>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</si>
  <si>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</si>
  <si>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</si>
  <si>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</si>
  <si>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</si>
  <si>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</si>
  <si>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</si>
  <si>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</si>
  <si>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</si>
  <si>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</si>
  <si>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</si>
  <si>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</si>
  <si>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</si>
  <si>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</si>
  <si>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</si>
  <si>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</si>
  <si>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</si>
  <si>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</si>
  <si>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</si>
  <si>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</si>
  <si>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</si>
  <si>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</si>
  <si>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</si>
  <si>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</si>
  <si>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</si>
  <si>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</si>
  <si>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</si>
  <si>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</si>
  <si>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</si>
  <si>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</si>
  <si>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</si>
  <si>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</si>
  <si>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</si>
  <si>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</si>
  <si>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</si>
  <si>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</si>
  <si>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</si>
  <si>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</si>
  <si>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</si>
  <si>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</si>
  <si>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</si>
  <si>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</si>
  <si>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</si>
  <si>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</si>
  <si>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</si>
  <si>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</si>
  <si>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</si>
  <si>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</si>
  <si>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</si>
  <si>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</si>
  <si>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</si>
  <si>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</si>
  <si>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</si>
  <si>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</si>
  <si>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</si>
  <si>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</si>
  <si>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</si>
  <si>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</si>
  <si>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</si>
  <si>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</si>
  <si>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</si>
  <si>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</si>
  <si>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</si>
  <si>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</si>
  <si>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</si>
  <si>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</si>
  <si>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</si>
  <si>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</si>
  <si>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</si>
  <si>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</si>
  <si>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</si>
  <si>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</si>
  <si>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</si>
  <si>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</si>
  <si>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</si>
  <si>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</si>
  <si>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</si>
  <si>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</si>
  <si>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</si>
  <si>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</si>
  <si>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</si>
  <si>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</si>
  <si>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</si>
  <si>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</si>
  <si>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</si>
  <si>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</si>
  <si>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</si>
  <si>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</si>
  <si>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</si>
  <si>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</si>
  <si>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</si>
  <si>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</si>
  <si>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</si>
  <si>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</si>
  <si>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</si>
  <si>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</si>
  <si>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</si>
  <si>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</si>
  <si>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</si>
  <si>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</si>
  <si>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</si>
  <si>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</si>
  <si>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</si>
  <si>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</si>
  <si>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</si>
  <si>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</si>
  <si>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</si>
  <si>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</si>
  <si>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</si>
  <si>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</si>
  <si>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</si>
  <si>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</si>
  <si>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</si>
  <si>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</si>
  <si>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</si>
  <si>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</si>
  <si>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</si>
  <si>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</si>
  <si>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</si>
  <si>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</si>
  <si>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</si>
  <si>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</si>
  <si>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</si>
  <si>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</si>
  <si>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</si>
  <si>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</si>
  <si>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</si>
  <si>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</si>
  <si>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</si>
  <si>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</si>
  <si>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</si>
  <si>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</si>
  <si>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</si>
  <si>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</si>
  <si>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</si>
  <si>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</si>
  <si>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</si>
  <si>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</si>
  <si>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</si>
  <si>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</si>
  <si>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</si>
  <si>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</si>
  <si>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</si>
  <si>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</si>
  <si>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</si>
  <si>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</si>
  <si>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</si>
  <si>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</si>
  <si>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</si>
  <si>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</si>
  <si>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</si>
  <si>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</si>
  <si>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</si>
  <si>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</si>
  <si>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</si>
  <si>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</si>
  <si>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</si>
  <si>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</si>
  <si>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</si>
  <si>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</si>
  <si>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</si>
  <si>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</si>
  <si>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</si>
  <si>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</si>
  <si>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</si>
  <si>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</si>
  <si>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</si>
  <si>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</si>
  <si>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</si>
  <si>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</si>
  <si>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</si>
  <si>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</si>
  <si>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</si>
  <si>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</si>
  <si>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</si>
  <si>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</si>
  <si>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</si>
  <si>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</si>
  <si>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</si>
  <si>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</si>
  <si>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</si>
  <si>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</si>
  <si>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</si>
  <si>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</si>
  <si>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</si>
  <si>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</si>
  <si>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</si>
  <si>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</si>
  <si>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</si>
  <si>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</si>
  <si>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</si>
  <si>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</si>
  <si>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</si>
  <si>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</si>
  <si>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</si>
  <si>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</si>
  <si>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</si>
  <si>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</si>
  <si>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</si>
  <si>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</si>
  <si>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</si>
  <si>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</si>
  <si>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</si>
  <si>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</si>
  <si>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</si>
  <si>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</si>
  <si>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</si>
  <si>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</si>
  <si>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</si>
  <si>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</si>
  <si>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</si>
  <si>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</si>
  <si>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</si>
  <si>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</si>
  <si>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</si>
  <si>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</si>
  <si>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</si>
  <si>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</si>
  <si>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</si>
  <si>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</si>
  <si>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</si>
  <si>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</si>
  <si>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</si>
  <si>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</si>
  <si>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</si>
  <si>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</si>
  <si>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</si>
  <si>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</si>
  <si>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</si>
  <si>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</si>
  <si>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</si>
  <si>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</si>
  <si>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</si>
  <si>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</si>
  <si>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</si>
  <si>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</si>
  <si>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</si>
  <si>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</si>
  <si>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</si>
  <si>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</si>
  <si>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</si>
  <si>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</si>
  <si>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</si>
  <si>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</si>
  <si>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</si>
  <si>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</si>
  <si>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</si>
  <si>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</si>
  <si>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</si>
  <si>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</si>
  <si>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</si>
  <si>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</si>
  <si>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</si>
  <si>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</si>
  <si>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</si>
  <si>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</si>
  <si>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</si>
  <si>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</si>
  <si>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</si>
  <si>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</si>
  <si>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</si>
  <si>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</si>
  <si>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</si>
  <si>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</si>
  <si>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</si>
  <si>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</si>
  <si>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</si>
  <si>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</si>
  <si>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</si>
  <si>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</si>
  <si>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</si>
  <si>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</si>
  <si>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</si>
  <si>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</si>
  <si>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</si>
  <si>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</si>
  <si>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</si>
  <si>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</si>
  <si>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</si>
  <si>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</si>
  <si>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</si>
  <si>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</si>
  <si>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</si>
  <si>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</si>
  <si>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</si>
  <si>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</si>
  <si>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</si>
  <si>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</si>
  <si>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</si>
  <si>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</si>
  <si>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</si>
  <si>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</si>
  <si>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</si>
  <si>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</si>
  <si>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</si>
  <si>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</si>
  <si>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</si>
  <si>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</si>
  <si>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</si>
  <si>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</si>
  <si>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</si>
  <si>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</si>
  <si>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</si>
  <si>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</si>
  <si>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</si>
  <si>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</si>
  <si>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</si>
  <si>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</si>
  <si>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</si>
  <si>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</si>
  <si>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</si>
  <si>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</si>
  <si>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</si>
  <si>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</si>
  <si>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</si>
  <si>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</si>
  <si>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</si>
  <si>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</si>
  <si>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</si>
  <si>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</si>
  <si>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</si>
  <si>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</si>
  <si>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</si>
  <si>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</si>
  <si>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</si>
  <si>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</si>
  <si>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</si>
  <si>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</si>
  <si>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</si>
  <si>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</si>
  <si>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</si>
  <si>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</si>
  <si>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</si>
  <si>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</si>
  <si>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</si>
  <si>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</si>
  <si>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</si>
  <si>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</si>
  <si>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</si>
  <si>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</si>
  <si>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</si>
  <si>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</si>
  <si>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</si>
  <si>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</si>
  <si>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</si>
  <si>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</si>
  <si>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</si>
  <si>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</si>
  <si>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</si>
  <si>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</si>
  <si>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</si>
  <si>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</si>
  <si>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</si>
  <si>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</si>
  <si>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</si>
  <si>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</si>
  <si>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</si>
  <si>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</si>
  <si>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</si>
  <si>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</si>
  <si>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</si>
  <si>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</si>
  <si>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</si>
  <si>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</si>
  <si>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</si>
  <si>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</si>
  <si>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</si>
  <si>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</si>
  <si>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</si>
  <si>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</si>
  <si>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</si>
  <si>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</si>
  <si>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</si>
  <si>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</si>
  <si>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</si>
  <si>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</si>
  <si>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</si>
  <si>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</si>
  <si>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</si>
  <si>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</si>
  <si>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</si>
  <si>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</si>
  <si>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</si>
  <si>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</si>
  <si>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</si>
  <si>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</si>
  <si>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</si>
  <si>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</si>
  <si>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</si>
  <si>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</si>
  <si>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</si>
  <si>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</si>
  <si>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</si>
  <si>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</si>
  <si>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</si>
  <si>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</si>
  <si>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</si>
  <si>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</si>
  <si>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</si>
  <si>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</si>
  <si>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</si>
  <si>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</si>
  <si>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</si>
  <si>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</si>
  <si>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</si>
  <si>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</si>
  <si>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</si>
  <si>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</si>
  <si>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</si>
  <si>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</si>
  <si>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</si>
  <si>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</si>
  <si>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</si>
  <si>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</si>
  <si>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</si>
  <si>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</si>
  <si>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</si>
  <si>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</si>
  <si>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</si>
  <si>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</si>
  <si>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</si>
  <si>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</si>
  <si>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</si>
  <si>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</si>
  <si>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</si>
  <si>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</si>
  <si>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</si>
  <si>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</si>
  <si>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</si>
  <si>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</si>
  <si>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</si>
  <si>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</si>
  <si>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</si>
  <si>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</si>
  <si>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</si>
  <si>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</si>
  <si>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</si>
  <si>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</si>
  <si>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</si>
  <si>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</si>
  <si>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</si>
  <si>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</si>
  <si>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</si>
  <si>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</si>
  <si>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</si>
  <si>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</si>
  <si>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</si>
  <si>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</si>
  <si>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</si>
  <si>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</si>
  <si>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</si>
  <si>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</si>
  <si>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</si>
  <si>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</si>
  <si>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</si>
  <si>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</si>
  <si>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</si>
  <si>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</si>
  <si>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</si>
  <si>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</si>
  <si>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</si>
  <si>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</si>
  <si>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</si>
  <si>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</si>
  <si>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</si>
  <si>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</si>
  <si>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</si>
  <si>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</si>
  <si>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</si>
  <si>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</si>
  <si>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</si>
  <si>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</si>
  <si>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</si>
  <si>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</si>
  <si>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</si>
  <si>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</si>
  <si>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</si>
  <si>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</si>
  <si>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</si>
  <si>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</si>
  <si>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</si>
  <si>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</si>
  <si>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</si>
  <si>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</si>
  <si>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</si>
  <si>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</si>
  <si>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</si>
  <si>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</si>
  <si>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</si>
  <si>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</si>
  <si>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</si>
  <si>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</si>
  <si>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</si>
  <si>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</si>
  <si>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</si>
  <si>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</si>
  <si>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</si>
  <si>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</si>
  <si>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</si>
  <si>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</si>
  <si>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</si>
  <si>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</si>
  <si>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</si>
  <si>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</si>
  <si>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</si>
  <si>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</si>
  <si>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</si>
  <si>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</si>
  <si>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</si>
  <si>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</si>
  <si>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</si>
  <si>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</si>
  <si>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</si>
  <si>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</si>
  <si>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</si>
  <si>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</si>
  <si>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</si>
  <si>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</si>
  <si>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</si>
  <si>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</si>
  <si>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</si>
  <si>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</si>
  <si>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</si>
  <si>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</si>
  <si>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</si>
  <si>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</si>
  <si>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</si>
  <si>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</si>
  <si>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</si>
  <si>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</si>
  <si>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</si>
  <si>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</si>
  <si>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</si>
  <si>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</si>
  <si>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</si>
  <si>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</si>
  <si>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</si>
  <si>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</si>
  <si>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</si>
  <si>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</si>
  <si>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</si>
  <si>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</si>
  <si>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</si>
  <si>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</si>
  <si>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</si>
  <si>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</si>
  <si>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</si>
  <si>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</si>
  <si>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</si>
  <si>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</si>
  <si>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</si>
  <si>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</si>
  <si>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</si>
  <si>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</si>
  <si>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</si>
  <si>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</si>
  <si>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</si>
  <si>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</si>
  <si>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</si>
  <si>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</si>
  <si>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</si>
  <si>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</si>
  <si>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</si>
  <si>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</si>
  <si>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</si>
  <si>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</si>
  <si>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</si>
  <si>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</si>
  <si>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</si>
  <si>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</si>
  <si>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</si>
  <si>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</si>
  <si>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</si>
  <si>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</si>
  <si>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</si>
  <si>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</si>
  <si>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</si>
  <si>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</si>
  <si>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</si>
  <si>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</si>
  <si>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</si>
  <si>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</si>
  <si>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</si>
  <si>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</si>
  <si>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</si>
  <si>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</si>
  <si>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</si>
  <si>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</si>
  <si>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</si>
  <si>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</si>
  <si>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</si>
  <si>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</si>
  <si>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</si>
  <si>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</si>
  <si>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</si>
  <si>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</si>
  <si>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</si>
  <si>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</si>
  <si>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</si>
  <si>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</si>
  <si>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</si>
  <si>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</si>
  <si>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</si>
  <si>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</si>
  <si>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</si>
  <si>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</si>
  <si>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</si>
  <si>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</si>
  <si>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</si>
  <si>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</si>
  <si>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</si>
  <si>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</si>
  <si>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</si>
  <si>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</si>
  <si>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</si>
  <si>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</si>
  <si>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</si>
  <si>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</si>
  <si>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</si>
  <si>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</si>
  <si>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</si>
  <si>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</si>
  <si>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</si>
  <si>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</si>
  <si>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</si>
  <si>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</si>
  <si>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</si>
  <si>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</si>
  <si>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</si>
  <si>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</si>
  <si>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</si>
  <si>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</si>
  <si>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</si>
  <si>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</si>
  <si>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</si>
  <si>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</si>
  <si>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</si>
  <si>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</si>
  <si>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</si>
  <si>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</si>
  <si>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</si>
  <si>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</si>
  <si>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</si>
  <si>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</si>
  <si>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</si>
  <si>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</si>
  <si>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</si>
  <si>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</si>
  <si>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</si>
  <si>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</si>
  <si>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</si>
  <si>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</si>
  <si>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</si>
  <si>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</si>
  <si>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</si>
  <si>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</si>
  <si>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</si>
  <si>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</si>
  <si>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</si>
  <si>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</si>
  <si>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</si>
  <si>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</si>
  <si>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</si>
  <si>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</si>
  <si>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</si>
  <si>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</si>
  <si>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</si>
  <si>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</si>
  <si>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</si>
  <si>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</si>
  <si>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</si>
  <si>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</si>
  <si>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</si>
  <si>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</si>
  <si>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</si>
  <si>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</si>
  <si>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</si>
  <si>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</si>
  <si>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</si>
  <si>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</si>
  <si>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</si>
  <si>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</si>
  <si>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</si>
  <si>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</si>
  <si>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</si>
  <si>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</si>
  <si>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</si>
  <si>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</si>
  <si>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</si>
  <si>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</si>
  <si>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</si>
  <si>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</si>
  <si>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</si>
  <si>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</si>
  <si>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</si>
  <si>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</si>
  <si>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</si>
  <si>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</si>
  <si>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</si>
  <si>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</si>
  <si>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</si>
  <si>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</si>
  <si>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</si>
  <si>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</si>
  <si>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</si>
  <si>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</si>
  <si>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</si>
  <si>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</si>
  <si>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</si>
  <si>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</si>
  <si>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</si>
  <si>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</si>
  <si>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</si>
  <si>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</si>
  <si>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</si>
  <si>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</si>
  <si>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</si>
  <si>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</si>
  <si>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</si>
  <si>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</si>
  <si>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</si>
  <si>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</si>
  <si>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</si>
  <si>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</si>
  <si>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</si>
  <si>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</si>
  <si>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</si>
  <si>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</si>
  <si>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</si>
  <si>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</si>
  <si>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</si>
  <si>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</si>
  <si>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</si>
  <si>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</si>
  <si>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</si>
  <si>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</si>
  <si>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</si>
  <si>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</si>
  <si>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</si>
  <si>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</si>
  <si>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</si>
  <si>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</si>
  <si>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</si>
  <si>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</si>
  <si>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</si>
  <si>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</si>
  <si>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</si>
  <si>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</si>
  <si>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</si>
  <si>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</si>
  <si>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</si>
  <si>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</si>
  <si>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</si>
  <si>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</si>
  <si>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</si>
  <si>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</si>
  <si>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</si>
  <si>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</si>
  <si>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</si>
  <si>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</si>
  <si>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</si>
  <si>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</si>
  <si>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</si>
  <si>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</si>
  <si>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</si>
  <si>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</si>
  <si>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</si>
  <si>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</si>
  <si>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</si>
  <si>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</si>
  <si>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</si>
  <si>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</si>
  <si>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</si>
  <si>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</si>
  <si>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</si>
  <si>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</si>
  <si>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</si>
  <si>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</si>
  <si>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</si>
  <si>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</si>
  <si>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</si>
  <si>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</si>
  <si>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</si>
  <si>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</si>
  <si>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</si>
  <si>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</si>
  <si>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</si>
  <si>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</si>
  <si>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</si>
  <si>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</si>
  <si>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</si>
  <si>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</si>
  <si>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</si>
  <si>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</si>
  <si>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</si>
  <si>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</si>
  <si>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</si>
  <si>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</si>
  <si>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</si>
  <si>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</si>
  <si>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</si>
  <si>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</si>
  <si>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</si>
  <si>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</si>
  <si>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</si>
  <si>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</si>
  <si>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</si>
  <si>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</si>
  <si>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</si>
  <si>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</si>
  <si>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</si>
  <si>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</si>
  <si>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</si>
  <si>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</si>
  <si>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</si>
  <si>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</si>
  <si>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</si>
  <si>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</si>
  <si>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</si>
  <si>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</si>
  <si>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</si>
  <si>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</si>
  <si>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</si>
  <si>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</si>
  <si>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</si>
  <si>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</si>
  <si>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</si>
  <si>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</si>
  <si>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</si>
  <si>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</si>
  <si>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</si>
  <si>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</si>
  <si>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</si>
  <si>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</si>
  <si>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</si>
  <si>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</si>
  <si>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</si>
  <si>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</si>
  <si>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</si>
  <si>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</si>
  <si>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</si>
  <si>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</si>
  <si>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</si>
  <si>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</si>
  <si>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</si>
  <si>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</si>
  <si>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</si>
  <si>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</si>
  <si>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</si>
  <si>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</si>
  <si>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</si>
  <si>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</si>
  <si>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</si>
  <si>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</si>
  <si>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</si>
  <si>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</si>
  <si>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</si>
  <si>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</si>
  <si>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</si>
  <si>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</si>
  <si>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</si>
  <si>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</si>
  <si>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</si>
  <si>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</si>
  <si>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</si>
  <si>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</si>
  <si>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</si>
  <si>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</si>
  <si>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</si>
  <si>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</si>
  <si>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</si>
  <si>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</si>
  <si>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</si>
  <si>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</si>
  <si>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</si>
  <si>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</si>
  <si>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</si>
  <si>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</si>
  <si>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</si>
  <si>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</si>
  <si>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</si>
  <si>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</si>
  <si>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</si>
  <si>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</si>
  <si>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</si>
  <si>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</si>
  <si>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</si>
  <si>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</si>
  <si>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</si>
  <si>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</si>
  <si>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</si>
  <si>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</si>
  <si>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</si>
  <si>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</si>
  <si>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</si>
  <si>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</si>
  <si>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</si>
  <si>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</si>
  <si>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</si>
  <si>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</si>
  <si>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</si>
  <si>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</si>
  <si>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</si>
  <si>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</si>
  <si>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</si>
  <si>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</si>
  <si>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</si>
  <si>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</si>
  <si>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</si>
  <si>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</si>
  <si>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</si>
  <si>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</si>
  <si>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</si>
  <si>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</si>
  <si>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</si>
  <si>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</si>
  <si>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</si>
  <si>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</si>
  <si>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</si>
  <si>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</si>
  <si>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</si>
  <si>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</si>
  <si>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</si>
  <si>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</si>
  <si>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</si>
  <si>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</si>
  <si>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</si>
  <si>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</si>
  <si>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</si>
  <si>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</si>
  <si>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</si>
  <si>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</si>
  <si>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</si>
  <si>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</si>
  <si>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</si>
  <si>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</si>
  <si>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</si>
  <si>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</si>
  <si>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</si>
  <si>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</si>
  <si>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</si>
  <si>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</si>
  <si>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</si>
  <si>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</si>
  <si>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</si>
  <si>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</si>
  <si>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</si>
  <si>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</si>
  <si>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</si>
  <si>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</si>
  <si>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</si>
  <si>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</si>
  <si>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</si>
  <si>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</si>
  <si>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</si>
  <si>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</si>
  <si>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</si>
  <si>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</si>
  <si>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</si>
  <si>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</si>
  <si>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</si>
  <si>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</si>
  <si>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</si>
  <si>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</si>
  <si>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</si>
  <si>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</si>
  <si>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</si>
  <si>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</si>
  <si>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</si>
  <si>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</si>
  <si>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</si>
  <si>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</si>
  <si>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</si>
  <si>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</si>
  <si>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</si>
  <si>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</si>
  <si>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</si>
  <si>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</si>
  <si>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</si>
  <si>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</si>
  <si>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</si>
  <si>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</si>
  <si>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</si>
  <si>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</si>
  <si>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</si>
  <si>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</si>
  <si>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</si>
  <si>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</si>
  <si>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</si>
  <si>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</si>
  <si>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</si>
  <si>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</si>
  <si>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</si>
  <si>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</si>
  <si>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</si>
  <si>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</si>
  <si>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</si>
  <si>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</si>
  <si>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</si>
  <si>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</si>
  <si>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</si>
  <si>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</si>
  <si>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</si>
  <si>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</si>
  <si>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</si>
  <si>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</si>
  <si>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</si>
  <si>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</si>
  <si>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</si>
  <si>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</si>
  <si>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</si>
  <si>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</si>
  <si>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</si>
  <si>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</si>
  <si>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</si>
  <si>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</si>
  <si>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</si>
  <si>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</si>
  <si>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</si>
  <si>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</si>
  <si>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</si>
  <si>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</si>
  <si>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</si>
  <si>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</si>
  <si>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</si>
  <si>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</si>
  <si>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</si>
  <si>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</si>
  <si>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</si>
  <si>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</si>
  <si>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</si>
  <si>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</si>
  <si>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</si>
  <si>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</si>
  <si>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</si>
  <si>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</si>
  <si>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</si>
  <si>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</si>
  <si>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</si>
  <si>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</si>
  <si>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</si>
  <si>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</si>
  <si>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</si>
  <si>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</si>
  <si>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</si>
  <si>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</si>
  <si>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</si>
  <si>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</si>
  <si>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</si>
  <si>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</si>
  <si>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</si>
  <si>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</si>
  <si>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</si>
  <si>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</si>
  <si>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</si>
  <si>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</si>
  <si>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</si>
  <si>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</si>
  <si>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</si>
  <si>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</si>
  <si>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</si>
  <si>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</si>
  <si>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</si>
  <si>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</si>
  <si>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</si>
  <si>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</si>
  <si>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</si>
  <si>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</si>
  <si>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</si>
  <si>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</si>
  <si>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</si>
  <si>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</si>
  <si>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</si>
  <si>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</si>
  <si>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</si>
  <si>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</si>
  <si>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</si>
  <si>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</si>
  <si>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</si>
  <si>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</si>
  <si>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</si>
  <si>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</si>
  <si>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</si>
  <si>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</si>
  <si>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</si>
  <si>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</si>
  <si>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</si>
  <si>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</si>
  <si>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</si>
  <si>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</si>
  <si>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</si>
  <si>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</si>
  <si>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</si>
  <si>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</si>
  <si>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</si>
  <si>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</si>
  <si>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</si>
  <si>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</si>
  <si>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</si>
  <si>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</si>
  <si>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</si>
  <si>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</si>
  <si>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</si>
  <si>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</si>
  <si>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</si>
  <si>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</si>
  <si>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</si>
  <si>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</si>
  <si>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</si>
  <si>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</si>
  <si>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</si>
  <si>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</si>
  <si>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</si>
  <si>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</si>
  <si>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</si>
  <si>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</si>
  <si>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</si>
  <si>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</si>
  <si>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</si>
  <si>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</si>
  <si>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</si>
  <si>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</si>
  <si>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</si>
  <si>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</si>
  <si>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</si>
  <si>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</si>
  <si>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</si>
  <si>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</si>
  <si>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</si>
  <si>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</si>
  <si>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</si>
  <si>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</si>
  <si>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</si>
  <si>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</si>
  <si>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</si>
  <si>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</si>
  <si>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</si>
  <si>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</si>
  <si>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</si>
  <si>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</si>
  <si>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</si>
  <si>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</si>
  <si>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</si>
  <si>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</si>
  <si>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</si>
  <si>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</si>
  <si>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</si>
  <si>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</si>
  <si>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</si>
  <si>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</si>
  <si>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</si>
  <si>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</si>
  <si>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</si>
  <si>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</si>
  <si>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</si>
  <si>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</si>
  <si>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</si>
  <si>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</si>
  <si>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</si>
  <si>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</si>
  <si>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</si>
  <si>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</si>
  <si>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</si>
  <si>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</si>
  <si>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</si>
  <si>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</si>
  <si>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</si>
  <si>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</si>
  <si>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</si>
  <si>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</si>
  <si>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</si>
  <si>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</si>
  <si>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</si>
  <si>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</si>
  <si>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</si>
  <si>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</si>
  <si>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</si>
  <si>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</si>
  <si>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</si>
  <si>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</si>
  <si>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</si>
  <si>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</si>
  <si>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</si>
  <si>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</si>
  <si>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</si>
  <si>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</si>
  <si>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</si>
  <si>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</si>
  <si>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</si>
  <si>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</si>
  <si>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</si>
  <si>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</si>
  <si>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</si>
  <si>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</si>
  <si>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</si>
  <si>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</si>
  <si>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</si>
  <si>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</si>
  <si>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</si>
  <si>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</si>
  <si>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</si>
  <si>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</si>
  <si>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</si>
  <si>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</si>
  <si>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</si>
  <si>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</si>
  <si>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</si>
  <si>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</si>
  <si>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</si>
  <si>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</si>
  <si>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</si>
  <si>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</si>
  <si>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</si>
  <si>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</si>
  <si>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</si>
  <si>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</si>
  <si>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</si>
  <si>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</si>
  <si>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</si>
  <si>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</si>
  <si>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</si>
  <si>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</si>
  <si>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</si>
  <si>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</si>
  <si>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</si>
  <si>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</si>
  <si>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</si>
  <si>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</si>
  <si>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</si>
  <si>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</si>
  <si>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</si>
  <si>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</si>
  <si>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</si>
  <si>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</si>
  <si>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</si>
  <si>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</si>
  <si>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</si>
  <si>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</si>
  <si>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</si>
  <si>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</si>
  <si>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</si>
  <si>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</si>
  <si>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</si>
  <si>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</si>
  <si>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</si>
  <si>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</si>
  <si>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</si>
  <si>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</si>
  <si>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</si>
  <si>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</si>
  <si>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</si>
  <si>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</si>
  <si>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</si>
  <si>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</si>
  <si>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</si>
  <si>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</si>
  <si>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</si>
  <si>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</si>
  <si>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</si>
  <si>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</si>
  <si>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</si>
  <si>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</si>
  <si>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</si>
  <si>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</si>
  <si>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</si>
  <si>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</si>
  <si>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</si>
  <si>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</si>
  <si>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</si>
  <si>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</si>
  <si>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</si>
  <si>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</si>
  <si>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</si>
  <si>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</si>
  <si>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</si>
  <si>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</si>
  <si>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</si>
  <si>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</si>
  <si>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</si>
  <si>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</si>
  <si>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</si>
  <si>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</si>
  <si>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</si>
  <si>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</si>
  <si>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</si>
  <si>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</si>
  <si>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</si>
  <si>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</si>
  <si>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</si>
  <si>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</si>
  <si>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</si>
  <si>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</si>
  <si>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</si>
  <si>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</si>
  <si>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</si>
  <si>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</si>
  <si>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</si>
  <si>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</si>
  <si>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</si>
  <si>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</si>
  <si>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</si>
  <si>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</si>
  <si>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</si>
  <si>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</si>
  <si>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</si>
  <si>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</si>
  <si>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</si>
  <si>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</si>
  <si>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</si>
  <si>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</si>
  <si>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</si>
  <si>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</si>
  <si>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</si>
  <si>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</si>
  <si>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</si>
  <si>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</si>
  <si>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</si>
  <si>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</si>
  <si>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</si>
  <si>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</si>
  <si>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</si>
  <si>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</si>
  <si>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</si>
  <si>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</si>
  <si>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</si>
  <si>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</si>
  <si>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</si>
  <si>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</si>
  <si>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</si>
  <si>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</si>
  <si>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</si>
  <si>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</si>
  <si>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</si>
  <si>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</si>
  <si>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</si>
  <si>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</si>
  <si>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</si>
  <si>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</si>
  <si>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</si>
  <si>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</si>
  <si>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</si>
  <si>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</si>
  <si>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</si>
  <si>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</si>
  <si>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</si>
  <si>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</si>
  <si>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</si>
  <si>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</si>
  <si>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</si>
  <si>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</si>
  <si>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</si>
  <si>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</si>
  <si>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</si>
  <si>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</si>
  <si>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</si>
  <si>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</si>
  <si>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</si>
  <si>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</si>
  <si>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</si>
  <si>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</si>
  <si>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</si>
  <si>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</si>
  <si>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</si>
  <si>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</si>
  <si>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</si>
  <si>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</si>
  <si>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</si>
  <si>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</si>
  <si>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</si>
  <si>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</si>
  <si>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</si>
  <si>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</si>
  <si>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</si>
  <si>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</si>
  <si>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</si>
  <si>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</si>
  <si>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</si>
  <si>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</si>
  <si>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</si>
  <si>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</si>
  <si>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</si>
  <si>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</si>
  <si>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</si>
  <si>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</si>
  <si>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</si>
  <si>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</si>
  <si>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</si>
  <si>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</si>
  <si>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</si>
  <si>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</si>
  <si>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</si>
  <si>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</si>
  <si>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</si>
  <si>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</si>
  <si>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</si>
  <si>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</si>
  <si>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</si>
  <si>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</si>
  <si>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</si>
  <si>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</si>
  <si>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</si>
  <si>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</si>
  <si>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</si>
  <si>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</si>
  <si>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</si>
  <si>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</si>
  <si>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</si>
  <si>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</si>
  <si>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</si>
  <si>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</si>
  <si>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</si>
  <si>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</si>
  <si>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</si>
  <si>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</si>
  <si>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</si>
  <si>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</si>
  <si>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</si>
  <si>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</si>
  <si>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</si>
  <si>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</si>
  <si>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</si>
  <si>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</si>
  <si>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</si>
  <si>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</si>
  <si>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</si>
  <si>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</si>
  <si>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</si>
  <si>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</si>
  <si>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</si>
  <si>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</si>
  <si>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</si>
  <si>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</si>
  <si>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</si>
  <si>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</si>
  <si>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</si>
  <si>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</si>
  <si>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</si>
  <si>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</si>
  <si>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</si>
  <si>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</si>
  <si>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</si>
  <si>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</si>
  <si>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</si>
  <si>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</si>
  <si>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</si>
  <si>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</si>
  <si>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</si>
  <si>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</si>
  <si>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</si>
  <si>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</si>
  <si>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</si>
  <si>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</si>
  <si>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</si>
  <si>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</si>
  <si>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</si>
  <si>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</si>
  <si>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</si>
  <si>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</si>
  <si>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</si>
  <si>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</si>
  <si>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</si>
  <si>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</si>
  <si>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</si>
  <si>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</si>
  <si>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</si>
  <si>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</si>
  <si>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</si>
  <si>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</si>
  <si>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</si>
  <si>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</si>
  <si>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</si>
  <si>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</si>
  <si>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</si>
  <si>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</si>
  <si>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</si>
  <si>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</si>
  <si>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</si>
  <si>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</si>
  <si>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</si>
  <si>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</si>
  <si>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</si>
  <si>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</si>
  <si>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</si>
  <si>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</si>
  <si>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</si>
  <si>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</si>
  <si>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</si>
  <si>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</si>
  <si>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</si>
  <si>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</si>
  <si>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</si>
  <si>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</si>
  <si>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</si>
  <si>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</si>
  <si>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</si>
  <si>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</si>
  <si>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</si>
  <si>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</si>
  <si>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</si>
  <si>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</si>
  <si>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</si>
  <si>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</si>
  <si>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</si>
  <si>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</si>
  <si>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</si>
  <si>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</si>
  <si>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</si>
  <si>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</si>
  <si>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</si>
  <si>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</si>
  <si>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</si>
  <si>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</si>
  <si>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</si>
  <si>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</si>
  <si>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</si>
  <si>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</si>
  <si>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</si>
  <si>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</si>
  <si>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</si>
  <si>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</si>
  <si>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</si>
  <si>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</si>
  <si>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</si>
  <si>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</si>
  <si>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</si>
  <si>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</si>
  <si>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</si>
  <si>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</si>
  <si>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</si>
  <si>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</si>
  <si>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</si>
  <si>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</si>
  <si>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</si>
  <si>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</si>
  <si>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</si>
  <si>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</si>
  <si>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</si>
  <si>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</si>
  <si>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</si>
  <si>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</si>
  <si>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</si>
  <si>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</si>
  <si>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</si>
  <si>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</si>
  <si>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</si>
  <si>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</si>
  <si>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</si>
  <si>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</si>
  <si>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</si>
  <si>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</si>
  <si>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</si>
  <si>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</si>
  <si>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</si>
  <si>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</si>
  <si>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</si>
  <si>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</si>
  <si>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</si>
  <si>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</si>
  <si>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</si>
  <si>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</si>
  <si>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</si>
  <si>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</si>
  <si>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</si>
  <si>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</si>
  <si>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</si>
  <si>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</si>
  <si>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</si>
  <si>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</si>
  <si>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</si>
  <si>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</si>
  <si>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</si>
  <si>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</si>
  <si>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</si>
  <si>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</si>
  <si>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</si>
  <si>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</si>
  <si>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</si>
  <si>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</si>
  <si>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</si>
  <si>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</si>
  <si>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</si>
  <si>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</si>
  <si>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</si>
  <si>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</si>
  <si>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</si>
  <si>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</si>
  <si>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</si>
  <si>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</si>
  <si>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</si>
  <si>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</si>
  <si>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</si>
  <si>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</si>
  <si>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</si>
  <si>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</si>
  <si>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</si>
  <si>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</si>
  <si>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</si>
  <si>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</si>
  <si>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</si>
  <si>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</si>
  <si>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</si>
  <si>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</si>
  <si>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</si>
  <si>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</si>
  <si>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</si>
  <si>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</si>
  <si>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</si>
  <si>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</si>
  <si>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</si>
  <si>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</si>
  <si>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</si>
  <si>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</si>
  <si>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</si>
  <si>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</si>
  <si>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</si>
  <si>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</si>
  <si>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</si>
  <si>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</si>
  <si>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</si>
  <si>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</si>
  <si>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</si>
  <si>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</si>
  <si>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</si>
  <si>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</si>
  <si>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</si>
  <si>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</si>
  <si>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</si>
  <si>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</si>
  <si>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</si>
  <si>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</si>
  <si>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</si>
  <si>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</si>
  <si>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</si>
  <si>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</si>
  <si>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</si>
  <si>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</si>
  <si>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</si>
  <si>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</si>
  <si>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</si>
  <si>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</si>
  <si>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</si>
  <si>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</si>
  <si>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</si>
  <si>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</si>
  <si>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</si>
  <si>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</si>
  <si>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</si>
  <si>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</si>
  <si>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</si>
  <si>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</si>
  <si>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</si>
  <si>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</si>
  <si>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</si>
  <si>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</si>
  <si>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</si>
  <si>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</si>
  <si>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</si>
  <si>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</si>
  <si>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</si>
  <si>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</si>
  <si>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</si>
  <si>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</si>
  <si>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</si>
  <si>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</si>
  <si>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</si>
  <si>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</si>
  <si>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</si>
  <si>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</si>
  <si>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</si>
  <si>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</si>
  <si>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</si>
  <si>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</si>
  <si>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</si>
  <si>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</si>
  <si>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</si>
  <si>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</si>
  <si>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</si>
  <si>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</si>
  <si>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</si>
  <si>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</si>
  <si>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</si>
  <si>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</si>
  <si>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</si>
  <si>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</si>
  <si>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</si>
  <si>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</si>
  <si>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</si>
  <si>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</si>
  <si>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</si>
  <si>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</si>
  <si>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</si>
  <si>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</si>
  <si>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</si>
  <si>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</si>
  <si>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</si>
  <si>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</si>
  <si>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</si>
  <si>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</si>
  <si>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</si>
  <si>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</si>
  <si>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</si>
  <si>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</si>
  <si>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</si>
  <si>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</si>
  <si>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</si>
  <si>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</si>
  <si>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</si>
  <si>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</si>
  <si>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</si>
  <si>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</si>
  <si>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</si>
  <si>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</si>
  <si>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</si>
  <si>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</si>
  <si>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</si>
  <si>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</si>
  <si>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</si>
  <si>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</si>
  <si>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</si>
  <si>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</si>
  <si>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</si>
  <si>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</si>
  <si>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</si>
  <si>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</si>
  <si>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</si>
  <si>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</si>
  <si>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</si>
  <si>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</si>
  <si>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</si>
  <si>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</si>
  <si>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</si>
  <si>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</si>
  <si>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</si>
  <si>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</si>
  <si>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</si>
  <si>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</si>
  <si>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</si>
  <si>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</si>
  <si>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</si>
  <si>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</si>
  <si>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</si>
  <si>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</si>
  <si>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</si>
  <si>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</si>
  <si>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</si>
  <si>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</si>
  <si>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</si>
  <si>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</si>
  <si>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</si>
  <si>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</si>
  <si>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</si>
  <si>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</si>
  <si>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</si>
  <si>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</si>
  <si>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</si>
  <si>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</si>
  <si>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</si>
  <si>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</si>
  <si>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</si>
  <si>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</si>
  <si>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</si>
  <si>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</si>
  <si>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</si>
  <si>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</si>
  <si>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</si>
  <si>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</si>
  <si>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</si>
  <si>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</si>
  <si>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</si>
  <si>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</si>
  <si>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</si>
  <si>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</si>
  <si>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</si>
  <si>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</si>
  <si>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</si>
  <si>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</si>
  <si>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</si>
  <si>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</si>
  <si>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</si>
  <si>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</si>
  <si>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</si>
  <si>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</si>
  <si>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</si>
  <si>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</si>
  <si>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</si>
  <si>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</si>
  <si>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</si>
  <si>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</si>
  <si>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</si>
  <si>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</si>
  <si>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</si>
  <si>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</si>
  <si>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</si>
  <si>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</si>
  <si>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</si>
  <si>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</si>
  <si>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</si>
  <si>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</si>
  <si>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</si>
  <si>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</si>
  <si>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</si>
  <si>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</si>
  <si>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</si>
  <si>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</si>
  <si>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</si>
  <si>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</si>
  <si>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</si>
  <si>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</si>
  <si>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</si>
  <si>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</si>
  <si>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</si>
  <si>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</si>
  <si>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</si>
  <si>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</si>
  <si>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</si>
  <si>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</si>
  <si>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</si>
  <si>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</si>
  <si>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</si>
  <si>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</si>
  <si>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</si>
  <si>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</si>
  <si>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</si>
  <si>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</si>
  <si>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</si>
  <si>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</si>
  <si>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</si>
  <si>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</si>
  <si>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</si>
  <si>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</si>
  <si>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</si>
  <si>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</si>
  <si>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</si>
  <si>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</si>
  <si>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</si>
  <si>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</si>
  <si>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</si>
  <si>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</si>
  <si>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</si>
  <si>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</si>
  <si>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</si>
  <si>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</si>
  <si>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</si>
  <si>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</si>
  <si>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</si>
  <si>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</si>
  <si>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</si>
  <si>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</si>
  <si>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</si>
  <si>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</si>
  <si>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</si>
  <si>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</si>
  <si>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</si>
  <si>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</si>
  <si>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</si>
  <si>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</si>
  <si>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</si>
  <si>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</si>
  <si>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</si>
  <si>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</si>
  <si>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</si>
  <si>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</si>
  <si>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</si>
  <si>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</si>
  <si>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</si>
  <si>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</si>
  <si>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</si>
  <si>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</si>
  <si>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</si>
  <si>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</si>
  <si>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</si>
  <si>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</si>
  <si>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</si>
  <si>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</si>
  <si>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</si>
  <si>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</si>
  <si>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</si>
  <si>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</si>
  <si>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</si>
  <si>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</si>
  <si>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</si>
  <si>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</si>
  <si>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</si>
  <si>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</si>
  <si>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</si>
  <si>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</si>
  <si>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</si>
  <si>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</si>
  <si>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</si>
  <si>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</si>
  <si>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</si>
  <si>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</si>
  <si>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</si>
  <si>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</si>
  <si>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</si>
  <si>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</si>
  <si>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</si>
  <si>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</si>
  <si>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</si>
  <si>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</si>
  <si>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</si>
  <si>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</si>
  <si>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</si>
  <si>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</si>
  <si>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</si>
  <si>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</si>
  <si>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</si>
  <si>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</si>
  <si>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</si>
  <si>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</si>
  <si>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</si>
  <si>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</si>
  <si>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</si>
  <si>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</si>
  <si>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</si>
  <si>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</si>
  <si>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</si>
  <si>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</si>
  <si>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</si>
  <si>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</si>
  <si>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</si>
  <si>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</si>
  <si>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</si>
  <si>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</si>
  <si>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</si>
  <si>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</si>
  <si>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</si>
  <si>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</si>
  <si>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</si>
  <si>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</si>
  <si>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</si>
  <si>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</si>
  <si>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</si>
  <si>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</si>
  <si>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</si>
  <si>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</si>
  <si>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</si>
  <si>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</si>
  <si>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</si>
  <si>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</si>
  <si>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</si>
  <si>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</si>
  <si>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</si>
  <si>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</si>
  <si>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</si>
  <si>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</si>
  <si>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</si>
  <si>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</si>
  <si>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</si>
  <si>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</si>
  <si>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</si>
  <si>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</si>
  <si>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</si>
  <si>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</si>
  <si>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</si>
  <si>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</si>
  <si>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</si>
  <si>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</si>
  <si>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</si>
  <si>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</si>
  <si>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</si>
  <si>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</si>
  <si>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</si>
  <si>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</si>
  <si>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</si>
  <si>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</si>
  <si>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</si>
  <si>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</si>
  <si>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</si>
  <si>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</si>
  <si>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</si>
  <si>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</si>
  <si>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</si>
  <si>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</si>
  <si>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</si>
  <si>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</si>
  <si>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</si>
  <si>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</si>
  <si>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</si>
  <si>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</si>
  <si>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</si>
  <si>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</si>
  <si>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</si>
  <si>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</si>
  <si>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</si>
  <si>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</si>
  <si>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</si>
  <si>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</si>
  <si>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</si>
  <si>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</si>
  <si>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</si>
  <si>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</si>
  <si>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</si>
  <si>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</si>
  <si>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</si>
  <si>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</si>
  <si>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</si>
  <si>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</si>
  <si>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</si>
  <si>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</si>
  <si>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</si>
  <si>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</si>
  <si>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</si>
  <si>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</si>
  <si>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</si>
  <si>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</si>
  <si>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</si>
  <si>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</si>
  <si>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</si>
  <si>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</si>
  <si>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</si>
  <si>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</si>
  <si>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</si>
  <si>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</si>
  <si>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</si>
  <si>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</si>
  <si>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</si>
  <si>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</si>
  <si>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</si>
  <si>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</si>
  <si>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</si>
  <si>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</si>
  <si>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</si>
  <si>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</si>
  <si>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</si>
  <si>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</si>
  <si>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</si>
  <si>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</si>
  <si>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</si>
  <si>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</si>
  <si>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</si>
  <si>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</si>
  <si>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</si>
  <si>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</si>
  <si>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</si>
  <si>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</si>
  <si>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</si>
  <si>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</si>
  <si>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</si>
  <si>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</si>
  <si>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</si>
  <si>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</si>
  <si>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</si>
  <si>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</si>
  <si>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</si>
  <si>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</si>
  <si>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</si>
  <si>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</si>
  <si>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</si>
  <si>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</si>
  <si>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</si>
  <si>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</si>
  <si>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</si>
  <si>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</si>
  <si>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</si>
  <si>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</si>
  <si>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</si>
  <si>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</si>
  <si>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</si>
  <si>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</si>
  <si>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</si>
  <si>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</si>
  <si>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</si>
  <si>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</si>
  <si>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</si>
  <si>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</si>
  <si>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</si>
  <si>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</si>
  <si>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</si>
  <si>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</si>
  <si>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</si>
  <si>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</si>
  <si>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</si>
  <si>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</si>
  <si>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</si>
  <si>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</si>
  <si>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</si>
  <si>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</si>
  <si>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</si>
  <si>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</si>
  <si>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</si>
  <si>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</si>
  <si>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</si>
  <si>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</si>
  <si>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</si>
  <si>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</si>
  <si>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</si>
  <si>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</si>
  <si>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</si>
  <si>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</si>
  <si>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</si>
  <si>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</si>
  <si>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</si>
  <si>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</si>
  <si>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</si>
  <si>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</si>
  <si>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</si>
  <si>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</si>
  <si>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</si>
  <si>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</si>
  <si>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</si>
  <si>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</si>
  <si>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</si>
  <si>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</si>
  <si>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</si>
  <si>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</si>
  <si>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</si>
  <si>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</si>
  <si>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</si>
  <si>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</si>
  <si>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</si>
  <si>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</si>
  <si>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</si>
  <si>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</si>
  <si>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</si>
  <si>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</si>
  <si>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</si>
  <si>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</si>
  <si>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</si>
  <si>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</si>
  <si>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</si>
  <si>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</si>
  <si>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</si>
  <si>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</si>
  <si>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</si>
  <si>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</si>
  <si>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</si>
  <si>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</si>
  <si>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</si>
  <si>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</si>
  <si>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</si>
  <si>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</si>
  <si>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</si>
  <si>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</si>
  <si>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</si>
  <si>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</si>
  <si>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</si>
  <si>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</si>
  <si>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</si>
  <si>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</si>
  <si>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</si>
  <si>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</si>
  <si>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</si>
  <si>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</si>
  <si>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</si>
  <si>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</si>
  <si>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</si>
  <si>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</si>
  <si>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</si>
  <si>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</si>
  <si>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</si>
  <si>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</si>
  <si>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</si>
  <si>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</si>
  <si>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</si>
  <si>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</si>
  <si>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</si>
  <si>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</si>
  <si>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</si>
  <si>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</si>
  <si>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</si>
  <si>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</si>
  <si>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</si>
  <si>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</si>
  <si>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</si>
  <si>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</si>
  <si>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</si>
  <si>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</si>
  <si>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</si>
  <si>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</si>
  <si>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</si>
  <si>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</si>
  <si>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</si>
  <si>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</si>
  <si>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</si>
  <si>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</si>
  <si>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</si>
  <si>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</si>
  <si>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</si>
  <si>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</si>
  <si>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</si>
  <si>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</si>
  <si>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</si>
  <si>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</si>
  <si>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</si>
  <si>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</si>
  <si>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</si>
  <si>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</si>
  <si>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</si>
  <si>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</si>
  <si>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</si>
  <si>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</si>
  <si>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</si>
  <si>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</si>
  <si>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</si>
  <si>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</si>
  <si>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</si>
  <si>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</si>
  <si>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</si>
  <si>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</si>
  <si>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</si>
  <si>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</si>
  <si>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</si>
  <si>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</si>
  <si>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</si>
  <si>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</si>
  <si>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</si>
  <si>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</si>
  <si>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</si>
  <si>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</si>
  <si>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</si>
  <si>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</si>
  <si>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</si>
  <si>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</si>
  <si>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</si>
  <si>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</si>
  <si>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</si>
  <si>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</si>
  <si>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</si>
  <si>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</si>
  <si>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</si>
  <si>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</si>
  <si>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</si>
  <si>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</si>
  <si>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</si>
  <si>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</si>
  <si>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</si>
  <si>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</si>
  <si>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</si>
  <si>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</si>
  <si>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</si>
  <si>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</si>
  <si>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</si>
  <si>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</si>
  <si>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</si>
  <si>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</si>
  <si>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</si>
  <si>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</si>
  <si>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</si>
  <si>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</si>
  <si>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</si>
  <si>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</si>
  <si>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</si>
  <si>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</si>
  <si>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</si>
  <si>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</si>
  <si>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</si>
  <si>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</si>
  <si>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</si>
  <si>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</si>
  <si>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</si>
  <si>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</si>
  <si>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</si>
  <si>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</si>
  <si>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</si>
  <si>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</si>
  <si>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</si>
  <si>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</si>
  <si>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</si>
  <si>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</si>
  <si>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</si>
  <si>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</si>
  <si>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</si>
  <si>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</si>
  <si>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</si>
  <si>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</si>
  <si>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</si>
  <si>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</si>
  <si>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</si>
  <si>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</si>
  <si>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</si>
  <si>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</si>
  <si>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</si>
  <si>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</si>
  <si>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</si>
  <si>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</si>
  <si>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</si>
  <si>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</si>
  <si>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</si>
  <si>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</si>
  <si>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</si>
  <si>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</si>
  <si>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</si>
  <si>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</si>
  <si>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</si>
  <si>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</si>
  <si>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</si>
  <si>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</si>
  <si>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</si>
  <si>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</si>
  <si>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</si>
  <si>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</si>
  <si>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</si>
  <si>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</si>
  <si>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</si>
  <si>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</si>
  <si>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</si>
  <si>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</si>
  <si>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</si>
  <si>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</si>
  <si>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</si>
  <si>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</si>
  <si>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</si>
  <si>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</si>
  <si>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</si>
  <si>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</si>
  <si>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</si>
  <si>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</si>
  <si>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</si>
  <si>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</si>
  <si>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</si>
  <si>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</si>
  <si>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</si>
  <si>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</si>
  <si>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</si>
  <si>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</si>
  <si>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</si>
  <si>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</si>
  <si>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</si>
  <si>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</si>
  <si>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</si>
  <si>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</si>
  <si>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</si>
  <si>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</si>
  <si>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</si>
  <si>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</si>
  <si>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</si>
  <si>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</si>
  <si>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</si>
  <si>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</si>
  <si>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</si>
  <si>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</si>
  <si>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</si>
  <si>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</si>
  <si>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</si>
  <si>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</si>
  <si>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</si>
  <si>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</si>
  <si>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</si>
  <si>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</si>
  <si>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</si>
  <si>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</si>
  <si>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</si>
  <si>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</si>
  <si>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</si>
  <si>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</si>
  <si>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</si>
  <si>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</si>
  <si>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</si>
  <si>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</si>
  <si>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</si>
  <si>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</si>
  <si>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</si>
  <si>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</si>
  <si>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</si>
  <si>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</si>
  <si>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</si>
  <si>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</si>
  <si>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</si>
  <si>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</si>
  <si>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</si>
  <si>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</si>
  <si>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</si>
  <si>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</si>
  <si>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</si>
  <si>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</si>
  <si>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</si>
  <si>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</si>
  <si>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</si>
  <si>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</si>
  <si>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</si>
  <si>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</si>
  <si>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</si>
  <si>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</si>
  <si>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</si>
  <si>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</si>
  <si>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</si>
  <si>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</si>
  <si>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</si>
  <si>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</si>
  <si>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</si>
  <si>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</si>
  <si>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</si>
  <si>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</si>
  <si>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</si>
  <si>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</si>
  <si>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</si>
  <si>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</si>
  <si>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</si>
  <si>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</si>
  <si>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</si>
  <si>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</si>
  <si>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</si>
  <si>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</si>
  <si>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</si>
  <si>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</si>
  <si>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</si>
  <si>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</si>
  <si>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</si>
  <si>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</si>
  <si>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</si>
  <si>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</si>
  <si>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</si>
  <si>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</si>
  <si>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</si>
  <si>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</si>
  <si>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</si>
  <si>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</si>
  <si>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</si>
  <si>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</si>
  <si>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</si>
  <si>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</si>
  <si>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</si>
  <si>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</si>
  <si>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</si>
  <si>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</si>
  <si>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</si>
  <si>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</si>
  <si>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</si>
  <si>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</si>
  <si>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</si>
  <si>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</si>
  <si>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</si>
  <si>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</si>
  <si>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</si>
  <si>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</si>
  <si>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</si>
  <si>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</si>
  <si>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</si>
  <si>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</si>
  <si>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</si>
  <si>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</si>
  <si>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</si>
  <si>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</si>
  <si>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</si>
  <si>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</si>
  <si>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</si>
  <si>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</si>
  <si>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</si>
  <si>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</si>
  <si>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</si>
  <si>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</si>
  <si>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</si>
  <si>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</si>
  <si>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</si>
  <si>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</si>
  <si>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</si>
  <si>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</si>
  <si>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</si>
  <si>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</si>
  <si>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</si>
  <si>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</si>
  <si>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</si>
  <si>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</si>
  <si>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</si>
  <si>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</si>
  <si>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</si>
  <si>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</si>
  <si>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</si>
  <si>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</si>
  <si>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</si>
  <si>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</si>
  <si>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</si>
  <si>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</si>
  <si>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</si>
  <si>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</si>
  <si>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</si>
  <si>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</si>
  <si>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</si>
  <si>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</si>
  <si>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</si>
  <si>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</si>
  <si>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</si>
  <si>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</si>
  <si>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</si>
  <si>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</si>
  <si>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</si>
  <si>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</si>
  <si>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</si>
  <si>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</si>
  <si>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</si>
  <si>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</si>
  <si>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</si>
  <si>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</si>
  <si>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</si>
  <si>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</si>
  <si>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</si>
  <si>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</si>
  <si>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</si>
  <si>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</si>
  <si>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</si>
  <si>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</si>
  <si>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</si>
  <si>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</si>
  <si>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</si>
  <si>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</si>
  <si>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</si>
  <si>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</si>
  <si>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</si>
  <si>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</si>
  <si>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</si>
  <si>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</si>
  <si>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</si>
  <si>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</si>
  <si>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</si>
  <si>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</si>
  <si>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</si>
  <si>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</si>
  <si>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</si>
  <si>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</si>
  <si>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</si>
  <si>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</si>
  <si>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</si>
  <si>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</si>
  <si>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</si>
  <si>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</si>
  <si>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</si>
  <si>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</si>
  <si>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</si>
  <si>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</si>
  <si>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</si>
  <si>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</si>
  <si>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</si>
  <si>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</si>
  <si>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</si>
  <si>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</si>
  <si>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</si>
  <si>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</si>
  <si>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</si>
  <si>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</si>
  <si>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</si>
  <si>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</si>
  <si>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</si>
  <si>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</si>
  <si>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</si>
  <si>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</si>
  <si>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</si>
  <si>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</si>
  <si>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</si>
  <si>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</si>
  <si>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</si>
  <si>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</si>
  <si>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</si>
  <si>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</si>
  <si>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</si>
  <si>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</si>
  <si>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</si>
  <si>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</si>
  <si>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</si>
  <si>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</si>
  <si>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</si>
  <si>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</si>
  <si>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</si>
  <si>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</si>
  <si>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</si>
  <si>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</si>
  <si>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</si>
  <si>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</si>
  <si>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</si>
  <si>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</si>
  <si>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</si>
  <si>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</si>
  <si>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</si>
  <si>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</si>
  <si>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</si>
  <si>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</si>
  <si>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</si>
  <si>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</si>
  <si>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</si>
  <si>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</si>
  <si>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</si>
  <si>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</si>
  <si>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</si>
  <si>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</si>
  <si>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</si>
  <si>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</si>
  <si>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</si>
  <si>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</si>
  <si>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</si>
  <si>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</si>
  <si>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</si>
  <si>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</si>
  <si>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</si>
  <si>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</si>
  <si>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</si>
  <si>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</si>
  <si>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</si>
  <si>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</si>
  <si>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</si>
  <si>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</si>
  <si>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</si>
  <si>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</si>
  <si>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</si>
  <si>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</si>
  <si>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</si>
  <si>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</si>
  <si>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</si>
  <si>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</si>
  <si>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</si>
  <si>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</si>
  <si>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</si>
  <si>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</si>
  <si>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</si>
  <si>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</si>
  <si>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</si>
  <si>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</si>
  <si>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</si>
  <si>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</si>
  <si>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</si>
  <si>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</si>
  <si>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</si>
  <si>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</si>
  <si>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</si>
  <si>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</si>
  <si>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</si>
  <si>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</si>
  <si>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</si>
  <si>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</si>
  <si>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</si>
  <si>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</si>
  <si>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</si>
  <si>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</si>
  <si>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</si>
  <si>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</si>
  <si>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</si>
  <si>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</si>
  <si>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</si>
  <si>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</si>
  <si>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</si>
  <si>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</si>
  <si>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</si>
  <si>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</si>
  <si>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</si>
  <si>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</si>
  <si>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</si>
  <si>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</si>
  <si>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</si>
  <si>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</si>
  <si>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</si>
  <si>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</si>
  <si>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</si>
  <si>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</si>
  <si>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</si>
  <si>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</si>
  <si>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</si>
  <si>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</si>
  <si>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</si>
  <si>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</si>
  <si>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</si>
  <si>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</si>
  <si>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</si>
  <si>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</si>
  <si>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</si>
  <si>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</si>
  <si>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</si>
  <si>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</si>
  <si>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</si>
  <si>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</si>
  <si>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</si>
  <si>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</si>
  <si>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</si>
  <si>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</si>
  <si>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</si>
  <si>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</si>
  <si>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</si>
  <si>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</si>
  <si>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</si>
  <si>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</si>
  <si>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</si>
  <si>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</si>
  <si>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</si>
  <si>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</si>
  <si>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</si>
  <si>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</si>
  <si>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</si>
  <si>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</si>
  <si>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</si>
  <si>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</si>
  <si>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</si>
  <si>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</si>
  <si>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</si>
  <si>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</si>
  <si>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</si>
  <si>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</si>
  <si>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</si>
  <si>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</si>
  <si>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</si>
  <si>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</si>
  <si>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</si>
  <si>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</si>
  <si>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</si>
  <si>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</si>
  <si>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</si>
  <si>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</si>
  <si>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</si>
  <si>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</si>
  <si>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</si>
  <si>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</si>
  <si>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</si>
  <si>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</si>
  <si>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</si>
  <si>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</si>
  <si>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</si>
  <si>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</si>
  <si>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</si>
  <si>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</si>
  <si>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</si>
  <si>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</si>
  <si>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</si>
  <si>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</si>
  <si>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</si>
  <si>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</si>
  <si>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</si>
  <si>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</si>
  <si>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</si>
  <si>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</si>
  <si>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</si>
  <si>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</si>
  <si>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</si>
  <si>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</si>
  <si>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</si>
  <si>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</si>
  <si>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</si>
  <si>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</si>
  <si>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</si>
  <si>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</si>
  <si>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</si>
  <si>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</si>
  <si>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</si>
  <si>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</si>
  <si>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</si>
  <si>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</si>
  <si>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</si>
  <si>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</si>
  <si>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</si>
  <si>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</si>
  <si>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</si>
  <si>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</si>
  <si>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</si>
  <si>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</si>
  <si>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</si>
  <si>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</si>
  <si>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</si>
  <si>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</si>
  <si>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</si>
  <si>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</si>
  <si>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</si>
  <si>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</si>
  <si>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</si>
  <si>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</si>
  <si>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</si>
  <si>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</si>
  <si>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</si>
  <si>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</si>
  <si>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</si>
  <si>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</si>
  <si>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</si>
  <si>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</si>
  <si>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</si>
  <si>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</si>
  <si>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</si>
  <si>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</si>
  <si>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</si>
  <si>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</si>
  <si>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</si>
  <si>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</si>
  <si>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</si>
  <si>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</si>
  <si>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</si>
  <si>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</si>
  <si>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</si>
  <si>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</si>
  <si>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</si>
  <si>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</si>
  <si>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</si>
  <si>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</si>
  <si>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</si>
  <si>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</si>
  <si>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</si>
  <si>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</si>
  <si>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</si>
  <si>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</si>
  <si>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</si>
  <si>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</si>
  <si>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</si>
  <si>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</si>
  <si>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</si>
  <si>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</si>
  <si>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</si>
  <si>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</si>
  <si>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</si>
  <si>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</si>
  <si>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</si>
  <si>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</si>
  <si>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</si>
  <si>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</si>
  <si>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</si>
  <si>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</si>
  <si>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</si>
  <si>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</si>
  <si>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</si>
  <si>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</si>
  <si>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</si>
  <si>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</si>
  <si>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</si>
  <si>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</si>
  <si>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</si>
  <si>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</si>
  <si>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</si>
  <si>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</si>
  <si>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</si>
  <si>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</si>
  <si>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</si>
  <si>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</si>
  <si>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</si>
  <si>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</si>
  <si>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</si>
  <si>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</si>
  <si>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</si>
  <si>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</si>
  <si>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</si>
  <si>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</si>
  <si>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</si>
  <si>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</si>
  <si>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</si>
  <si>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</si>
  <si>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</si>
  <si>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</si>
  <si>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</si>
  <si>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</si>
  <si>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</si>
  <si>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</si>
  <si>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</si>
  <si>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</si>
  <si>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</si>
  <si>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</si>
  <si>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</si>
  <si>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</si>
  <si>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</si>
  <si>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</si>
  <si>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</si>
  <si>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</si>
  <si>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</si>
  <si>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</si>
  <si>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</si>
  <si>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</si>
  <si>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</si>
  <si>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</si>
  <si>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</si>
  <si>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</si>
  <si>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</si>
  <si>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</si>
  <si>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</si>
  <si>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</si>
  <si>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</si>
  <si>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</si>
  <si>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</si>
  <si>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</si>
  <si>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</si>
  <si>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</si>
  <si>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</si>
  <si>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</si>
  <si>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</si>
  <si>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</si>
  <si>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</si>
  <si>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</si>
  <si>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</si>
  <si>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</si>
  <si>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</si>
  <si>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</si>
  <si>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</si>
  <si>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</si>
  <si>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</si>
  <si>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</si>
  <si>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</si>
  <si>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</si>
  <si>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</si>
  <si>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</si>
  <si>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</si>
  <si>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</si>
  <si>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</si>
  <si>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</si>
  <si>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</si>
  <si>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</si>
  <si>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</si>
  <si>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</si>
  <si>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</si>
  <si>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</si>
  <si>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</si>
  <si>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</si>
  <si>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</si>
  <si>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</si>
  <si>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</si>
  <si>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</si>
  <si>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</si>
  <si>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</si>
  <si>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</si>
  <si>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</si>
  <si>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</si>
  <si>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</si>
  <si>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</si>
  <si>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</si>
  <si>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</si>
  <si>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</si>
  <si>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</si>
  <si>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</si>
  <si>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</si>
  <si>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</si>
  <si>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</si>
  <si>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</si>
  <si>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</si>
  <si>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</si>
  <si>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</si>
  <si>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</si>
  <si>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</si>
  <si>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</si>
  <si>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</si>
  <si>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</si>
  <si>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</si>
  <si>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</si>
  <si>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</si>
  <si>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</si>
  <si>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</si>
  <si>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</si>
  <si>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</si>
  <si>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</si>
  <si>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</si>
  <si>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</si>
  <si>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</si>
  <si>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</si>
  <si>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</si>
  <si>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</si>
  <si>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</si>
  <si>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</si>
  <si>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</si>
  <si>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</si>
  <si>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</si>
  <si>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</si>
  <si>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</si>
  <si>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</si>
  <si>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</si>
  <si>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</si>
  <si>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</si>
  <si>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</si>
  <si>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</si>
  <si>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</si>
  <si>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</si>
  <si>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</si>
  <si>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</si>
  <si>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</si>
  <si>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</si>
  <si>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</si>
  <si>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</si>
  <si>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</si>
  <si>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</si>
  <si>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</si>
  <si>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</si>
  <si>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</si>
  <si>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</si>
  <si>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</si>
  <si>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</si>
  <si>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</si>
  <si>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</si>
  <si>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</si>
  <si>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</si>
  <si>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</si>
  <si>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</si>
  <si>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</si>
  <si>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</si>
  <si>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</si>
  <si>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</si>
  <si>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</si>
  <si>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</si>
  <si>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</si>
  <si>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</si>
  <si>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</si>
  <si>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</si>
  <si>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</si>
  <si>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</si>
  <si>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</si>
  <si>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</si>
  <si>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</si>
  <si>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</si>
  <si>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</si>
  <si>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</si>
  <si>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</si>
  <si>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</si>
  <si>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</si>
  <si>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</si>
  <si>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</si>
  <si>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</si>
  <si>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</si>
  <si>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</si>
  <si>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</si>
  <si>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</si>
  <si>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</si>
  <si>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</si>
  <si>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</si>
  <si>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</si>
  <si>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</si>
  <si>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</si>
  <si>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</si>
  <si>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</si>
  <si>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</si>
  <si>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</si>
  <si>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</si>
  <si>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</si>
  <si>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</si>
  <si>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</si>
  <si>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</si>
  <si>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</si>
  <si>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</si>
  <si>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</si>
  <si>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</si>
  <si>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</si>
  <si>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</si>
  <si>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</si>
  <si>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</si>
  <si>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</si>
  <si>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</si>
  <si>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</si>
  <si>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</si>
  <si>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</si>
  <si>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</si>
  <si>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</si>
  <si>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</si>
  <si>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</si>
  <si>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</si>
  <si>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</si>
  <si>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</si>
  <si>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</si>
  <si>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</si>
  <si>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</si>
  <si>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</si>
  <si>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</si>
  <si>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</si>
  <si>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</si>
  <si>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</si>
  <si>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</si>
  <si>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</si>
  <si>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</si>
  <si>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</si>
  <si>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</si>
  <si>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</si>
  <si>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</si>
  <si>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</si>
  <si>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</si>
  <si>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</si>
  <si>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</si>
  <si>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</si>
  <si>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</si>
  <si>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</si>
  <si>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</si>
  <si>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</si>
  <si>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</si>
  <si>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</si>
  <si>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</si>
  <si>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</si>
  <si>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</si>
  <si>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</si>
  <si>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</si>
  <si>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</si>
  <si>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</si>
  <si>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</si>
  <si>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</si>
  <si>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</si>
  <si>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</si>
  <si>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</si>
  <si>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</si>
  <si>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</si>
  <si>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</si>
  <si>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</si>
  <si>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</si>
  <si>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</si>
  <si>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</si>
  <si>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</si>
  <si>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</si>
  <si>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</si>
  <si>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</si>
  <si>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</si>
  <si>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</si>
  <si>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</si>
  <si>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</si>
  <si>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</si>
  <si>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</si>
  <si>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</si>
  <si>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</si>
  <si>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</si>
  <si>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</si>
  <si>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</si>
  <si>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</si>
  <si>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</si>
  <si>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</si>
  <si>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</si>
  <si>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</si>
  <si>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</si>
  <si>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</si>
  <si>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</si>
  <si>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</si>
  <si>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</si>
  <si>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</si>
  <si>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</si>
  <si>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</si>
  <si>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</si>
  <si>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</si>
  <si>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</si>
  <si>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</si>
  <si>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</si>
  <si>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</si>
  <si>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</si>
  <si>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</si>
  <si>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</si>
  <si>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</si>
  <si>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</si>
  <si>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</si>
  <si>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</si>
  <si>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</si>
  <si>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</si>
  <si>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</si>
  <si>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</si>
  <si>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</si>
  <si>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</si>
  <si>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</si>
  <si>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</si>
  <si>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</si>
  <si>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</si>
  <si>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</si>
  <si>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</si>
  <si>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</si>
  <si>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</si>
  <si>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</si>
  <si>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</si>
  <si>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</si>
  <si>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</si>
  <si>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</si>
  <si>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</si>
  <si>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</si>
  <si>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</si>
  <si>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</si>
  <si>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</si>
  <si>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</si>
  <si>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</si>
  <si>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</si>
  <si>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</si>
  <si>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</si>
  <si>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</si>
  <si>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</si>
  <si>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</si>
  <si>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</si>
  <si>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</si>
  <si>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</si>
  <si>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</si>
  <si>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</si>
  <si>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</si>
  <si>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</si>
  <si>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</si>
  <si>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</si>
  <si>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</si>
  <si>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</si>
  <si>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</si>
  <si>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</si>
  <si>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</si>
  <si>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</si>
  <si>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</si>
  <si>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</si>
  <si>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</si>
  <si>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</si>
  <si>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</si>
  <si>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</si>
  <si>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</si>
  <si>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</si>
  <si>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</si>
  <si>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</si>
  <si>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</si>
  <si>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</si>
  <si>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</si>
  <si>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</si>
  <si>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</si>
  <si>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</si>
  <si>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</si>
  <si>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</si>
  <si>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</si>
  <si>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</si>
  <si>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</si>
  <si>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</si>
  <si>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</si>
  <si>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</si>
  <si>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</si>
  <si>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</si>
  <si>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</si>
  <si>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</si>
  <si>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</si>
  <si>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</si>
  <si>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</si>
  <si>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</si>
  <si>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</si>
  <si>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</si>
  <si>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</si>
  <si>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</si>
  <si>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</si>
  <si>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</si>
  <si>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</si>
  <si>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</si>
  <si>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</si>
  <si>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</si>
  <si>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</si>
  <si>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</si>
  <si>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</si>
  <si>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</si>
  <si>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</si>
  <si>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</si>
  <si>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</si>
  <si>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</si>
  <si>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</si>
  <si>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</si>
  <si>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</si>
  <si>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</si>
  <si>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</si>
  <si>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</si>
  <si>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</si>
  <si>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</si>
  <si>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</si>
  <si>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</si>
  <si>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</si>
  <si>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</si>
  <si>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</si>
  <si>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</si>
  <si>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</si>
  <si>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</si>
  <si>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</si>
  <si>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</si>
  <si>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</si>
  <si>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</si>
  <si>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</si>
  <si>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</si>
  <si>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</si>
  <si>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</si>
  <si>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</si>
  <si>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</si>
  <si>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</si>
  <si>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</si>
  <si>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</si>
  <si>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</si>
  <si>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</si>
  <si>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</si>
  <si>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</si>
  <si>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</si>
  <si>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</si>
  <si>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</si>
  <si>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</si>
  <si>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</si>
  <si>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</si>
  <si>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</si>
  <si>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</si>
  <si>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</si>
  <si>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</si>
  <si>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</si>
  <si>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</si>
  <si>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</si>
  <si>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</si>
  <si>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</si>
  <si>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</si>
  <si>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</si>
  <si>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</si>
  <si>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</si>
  <si>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</si>
  <si>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</si>
  <si>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</si>
  <si>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</si>
  <si>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</si>
  <si>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</si>
  <si>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</si>
  <si>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</si>
  <si>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</si>
  <si>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</si>
  <si>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</si>
  <si>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</si>
  <si>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</si>
  <si>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</si>
  <si>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</si>
  <si>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</si>
  <si>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</si>
  <si>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</si>
  <si>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</si>
  <si>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</si>
  <si>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</si>
  <si>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</si>
  <si>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</si>
  <si>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</si>
  <si>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</si>
  <si>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</si>
  <si>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</si>
  <si>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</si>
  <si>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</si>
  <si>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</si>
  <si>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</si>
  <si>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</si>
  <si>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</si>
  <si>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</si>
  <si>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</si>
  <si>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</si>
  <si>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</si>
  <si>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</si>
  <si>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</si>
  <si>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</si>
  <si>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</si>
  <si>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</si>
  <si>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</si>
  <si>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</si>
  <si>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</si>
  <si>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</si>
  <si>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</si>
  <si>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</si>
  <si>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</si>
  <si>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</si>
  <si>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</si>
  <si>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</si>
  <si>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</si>
  <si>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</si>
  <si>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</si>
  <si>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</si>
  <si>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</si>
  <si>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</si>
  <si>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</si>
  <si>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</si>
  <si>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</si>
  <si>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</si>
  <si>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</si>
  <si>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</si>
  <si>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</si>
  <si>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</si>
  <si>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</si>
  <si>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</si>
  <si>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</si>
  <si>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</si>
  <si>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</si>
  <si>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</si>
  <si>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</si>
  <si>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</si>
  <si>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</si>
  <si>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</si>
  <si>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</si>
  <si>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</si>
  <si>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</si>
  <si>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</si>
  <si>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</si>
  <si>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</si>
  <si>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</si>
  <si>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</si>
  <si>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</si>
  <si>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</si>
  <si>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</si>
  <si>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</si>
  <si>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</si>
  <si>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</si>
  <si>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</si>
  <si>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</si>
  <si>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</si>
  <si>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</si>
  <si>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</si>
  <si>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</si>
  <si>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</si>
  <si>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</si>
  <si>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</si>
  <si>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</si>
  <si>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</si>
  <si>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</si>
  <si>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</si>
  <si>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</si>
  <si>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</si>
  <si>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</si>
  <si>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</si>
  <si>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</si>
  <si>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</si>
  <si>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</si>
  <si>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</si>
  <si>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</si>
  <si>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</si>
  <si>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</si>
  <si>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</si>
  <si>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</si>
  <si>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</si>
  <si>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</si>
  <si>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</si>
  <si>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</si>
  <si>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</si>
  <si>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</si>
  <si>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</si>
  <si>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</si>
  <si>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</si>
  <si>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</si>
  <si>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</si>
  <si>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</si>
  <si>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</si>
  <si>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</si>
  <si>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</si>
  <si>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</si>
  <si>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</si>
  <si>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</si>
  <si>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</si>
  <si>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</si>
  <si>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</si>
  <si>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</si>
  <si>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</si>
  <si>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</si>
  <si>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</si>
  <si>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</si>
  <si>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</si>
  <si>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</si>
  <si>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</si>
  <si>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</si>
  <si>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</si>
  <si>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</si>
  <si>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</si>
  <si>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</si>
  <si>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</si>
  <si>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</si>
  <si>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</si>
  <si>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</si>
  <si>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</si>
  <si>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</si>
  <si>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</si>
  <si>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</si>
  <si>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</si>
  <si>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</si>
  <si>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</si>
  <si>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</si>
  <si>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</si>
  <si>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</si>
  <si>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</si>
  <si>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</si>
  <si>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</si>
  <si>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</si>
  <si>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</si>
  <si>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</si>
  <si>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</si>
  <si>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</si>
  <si>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</si>
  <si>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</si>
  <si>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</si>
  <si>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</si>
  <si>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</si>
  <si>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</si>
  <si>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</si>
  <si>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</si>
  <si>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</si>
  <si>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</si>
  <si>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</si>
  <si>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</si>
  <si>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</si>
  <si>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</si>
  <si>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</si>
  <si>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</si>
  <si>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</si>
  <si>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</si>
  <si>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</si>
  <si>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</si>
  <si>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</si>
  <si>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</si>
  <si>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</si>
  <si>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</si>
  <si>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</si>
  <si>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</si>
  <si>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</si>
  <si>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</si>
  <si>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</si>
  <si>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</si>
  <si>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</si>
  <si>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</si>
  <si>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</si>
  <si>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</si>
  <si>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</si>
  <si>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</si>
  <si>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</si>
  <si>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</si>
  <si>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</si>
  <si>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</si>
  <si>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</si>
  <si>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</si>
  <si>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</si>
  <si>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</si>
  <si>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</si>
  <si>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</si>
  <si>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</si>
  <si>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</si>
  <si>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</si>
  <si>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</si>
  <si>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</si>
  <si>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</si>
  <si>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</si>
  <si>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</si>
  <si>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</si>
  <si>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</si>
  <si>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</si>
  <si>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</si>
  <si>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</si>
  <si>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</si>
  <si>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</si>
  <si>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</si>
  <si>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</si>
  <si>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</si>
  <si>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</si>
  <si>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</si>
  <si>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</si>
  <si>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</si>
  <si>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</si>
  <si>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</si>
  <si>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</si>
  <si>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</si>
  <si>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</si>
  <si>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</si>
  <si>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</si>
  <si>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</si>
  <si>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</si>
  <si>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</si>
  <si>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</si>
  <si>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</si>
  <si>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</si>
  <si>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</si>
  <si>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</si>
  <si>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</si>
  <si>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</si>
  <si>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</si>
  <si>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</si>
  <si>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</si>
  <si>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</si>
  <si>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</si>
  <si>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</si>
  <si>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</si>
  <si>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</si>
  <si>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</si>
  <si>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</si>
  <si>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</si>
  <si>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</si>
  <si>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</si>
  <si>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</si>
  <si>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</si>
  <si>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</si>
  <si>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</si>
  <si>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</si>
  <si>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</si>
  <si>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</si>
  <si>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</si>
  <si>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</si>
  <si>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</si>
  <si>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</si>
  <si>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</si>
  <si>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</si>
  <si>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</si>
  <si>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</si>
  <si>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</si>
  <si>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</si>
  <si>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</si>
  <si>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</si>
  <si>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</si>
  <si>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</si>
  <si>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</si>
  <si>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</si>
  <si>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</si>
  <si>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</si>
  <si>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</si>
  <si>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</si>
  <si>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</si>
  <si>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</si>
  <si>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</si>
  <si>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</si>
  <si>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</si>
  <si>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</si>
  <si>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</si>
  <si>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</si>
  <si>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</si>
  <si>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</si>
  <si>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</si>
  <si>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</si>
  <si>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</si>
  <si>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</si>
  <si>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</si>
  <si>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</si>
  <si>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</si>
  <si>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</si>
  <si>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</si>
  <si>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</si>
  <si>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</si>
  <si>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</si>
  <si>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</si>
  <si>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</si>
  <si>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</si>
  <si>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</si>
  <si>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</si>
  <si>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</si>
  <si>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</si>
  <si>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</si>
  <si>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</si>
  <si>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</si>
  <si>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</si>
  <si>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</si>
  <si>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</si>
  <si>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</si>
  <si>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</si>
  <si>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</si>
  <si>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</si>
  <si>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</si>
  <si>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</si>
  <si>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</si>
  <si>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</si>
  <si>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</si>
  <si>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</si>
  <si>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</si>
  <si>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</si>
  <si>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</si>
  <si>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</si>
  <si>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</si>
  <si>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</si>
  <si>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</si>
  <si>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</si>
  <si>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</si>
  <si>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</si>
  <si>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</si>
  <si>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</si>
  <si>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</si>
  <si>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</si>
  <si>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</si>
  <si>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</si>
  <si>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</si>
  <si>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</si>
  <si>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</si>
  <si>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</si>
  <si>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</si>
  <si>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</si>
  <si>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</si>
  <si>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</si>
  <si>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</si>
  <si>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</si>
  <si>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</si>
  <si>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</si>
  <si>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</si>
  <si>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</si>
  <si>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</si>
  <si>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</si>
  <si>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</si>
  <si>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</si>
  <si>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</si>
  <si>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</si>
  <si>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</si>
  <si>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</si>
  <si>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</si>
  <si>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</si>
  <si>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</si>
  <si>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</si>
  <si>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</si>
  <si>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</si>
  <si>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</si>
  <si>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</si>
  <si>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</si>
  <si>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</si>
  <si>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</si>
  <si>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</si>
  <si>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</si>
  <si>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</si>
  <si>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</si>
  <si>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</si>
  <si>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</si>
  <si>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</si>
  <si>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</si>
  <si>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</si>
  <si>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</si>
  <si>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</si>
  <si>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</si>
  <si>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</si>
  <si>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</si>
  <si>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</si>
  <si>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</si>
  <si>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</si>
  <si>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</si>
  <si>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</si>
  <si>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</si>
  <si>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</si>
  <si>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</si>
  <si>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</si>
  <si>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</si>
  <si>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</si>
  <si>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</si>
  <si>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</si>
  <si>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</si>
  <si>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</si>
  <si>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</si>
  <si>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</si>
  <si>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</si>
  <si>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</si>
  <si>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</si>
  <si>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</si>
  <si>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</si>
  <si>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</si>
  <si>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</si>
  <si>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</si>
  <si>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</si>
  <si>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</si>
  <si>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</si>
  <si>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</si>
  <si>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</si>
  <si>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</si>
  <si>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</si>
  <si>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</si>
  <si>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</si>
  <si>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</si>
  <si>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</si>
  <si>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</si>
  <si>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</si>
  <si>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</si>
  <si>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</si>
  <si>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</si>
  <si>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</si>
  <si>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</si>
  <si>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</si>
  <si>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</si>
  <si>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</si>
  <si>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</si>
  <si>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</si>
  <si>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</si>
  <si>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</si>
  <si>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</si>
  <si>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</si>
  <si>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</si>
  <si>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</si>
  <si>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</si>
  <si>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</si>
  <si>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</si>
  <si>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</si>
  <si>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</si>
  <si>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</si>
  <si>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</si>
  <si>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</si>
  <si>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</si>
  <si>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</si>
  <si>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</si>
  <si>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</si>
  <si>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</si>
  <si>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</si>
  <si>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</si>
  <si>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</si>
  <si>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</si>
  <si>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</si>
  <si>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</si>
  <si>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</si>
  <si>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</si>
  <si>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</si>
  <si>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</si>
  <si>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</si>
  <si>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</si>
  <si>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</si>
  <si>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</si>
  <si>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</si>
  <si>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</si>
  <si>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</si>
  <si>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</si>
  <si>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</si>
  <si>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</si>
  <si>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</si>
  <si>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</si>
  <si>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</si>
  <si>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</si>
  <si>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</si>
  <si>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</si>
  <si>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</si>
  <si>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</si>
  <si>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</si>
  <si>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</si>
  <si>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</si>
  <si>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</si>
  <si>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</si>
  <si>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</si>
  <si>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</si>
  <si>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</si>
  <si>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</si>
  <si>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</si>
  <si>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</si>
  <si>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</si>
  <si>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</si>
  <si>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</si>
  <si>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</si>
  <si>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</si>
  <si>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</si>
  <si>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</si>
  <si>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</si>
  <si>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</si>
  <si>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</si>
  <si>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</si>
  <si>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</si>
  <si>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</si>
  <si>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</si>
  <si>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</si>
  <si>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</si>
  <si>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</si>
  <si>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</si>
  <si>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</si>
  <si>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</si>
  <si>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</si>
  <si>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</si>
  <si>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</si>
  <si>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</si>
  <si>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</si>
  <si>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</si>
  <si>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</si>
  <si>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</si>
  <si>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</si>
  <si>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</si>
  <si>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</si>
  <si>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</si>
  <si>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</si>
  <si>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</si>
  <si>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</si>
  <si>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</si>
  <si>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</si>
  <si>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</si>
  <si>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</si>
  <si>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</si>
  <si>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</si>
  <si>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</si>
  <si>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</si>
  <si>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</si>
  <si>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</si>
  <si>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</si>
  <si>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</si>
  <si>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</si>
  <si>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</si>
  <si>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</si>
  <si>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</si>
  <si>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</si>
  <si>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</si>
  <si>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</si>
  <si>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</si>
  <si>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</si>
  <si>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</si>
  <si>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</si>
  <si>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</si>
  <si>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</si>
  <si>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</si>
  <si>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</si>
  <si>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</si>
  <si>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</si>
  <si>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</si>
  <si>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</si>
  <si>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</si>
  <si>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</si>
  <si>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</si>
  <si>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</si>
  <si>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</si>
  <si>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</si>
  <si>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</si>
  <si>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</si>
  <si>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</si>
  <si>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</si>
  <si>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</si>
  <si>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</si>
  <si>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</si>
  <si>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</si>
  <si>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</si>
  <si>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</si>
  <si>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</si>
  <si>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</si>
  <si>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</si>
  <si>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</si>
  <si>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</si>
  <si>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</si>
  <si>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</si>
  <si>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</si>
  <si>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</si>
  <si>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</si>
  <si>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</si>
  <si>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</si>
  <si>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</si>
  <si>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</si>
  <si>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</si>
  <si>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</si>
  <si>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</si>
  <si>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</si>
  <si>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</si>
  <si>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</si>
  <si>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</si>
  <si>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</si>
  <si>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</si>
  <si>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</si>
  <si>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</si>
  <si>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</si>
  <si>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</si>
  <si>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</si>
  <si>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</si>
  <si>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</si>
  <si>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</si>
  <si>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</si>
  <si>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</si>
  <si>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</si>
  <si>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</si>
  <si>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</si>
  <si>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</si>
  <si>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</si>
  <si>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</si>
  <si>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</si>
  <si>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</si>
  <si>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</si>
  <si>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</si>
  <si>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</si>
  <si>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</si>
  <si>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</si>
  <si>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</si>
  <si>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</si>
  <si>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</si>
  <si>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</si>
  <si>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</si>
  <si>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</si>
  <si>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</si>
  <si>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</si>
  <si>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</si>
  <si>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</si>
  <si>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</si>
  <si>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</si>
  <si>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</si>
  <si>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</si>
  <si>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</si>
  <si>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</si>
  <si>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</si>
  <si>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</si>
  <si>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</si>
  <si>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</si>
  <si>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</si>
  <si>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</si>
  <si>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</si>
  <si>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</si>
  <si>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</si>
  <si>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</si>
  <si>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</si>
  <si>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</si>
  <si>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</si>
  <si>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</si>
  <si>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</si>
  <si>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</si>
  <si>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</si>
  <si>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</si>
  <si>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</si>
  <si>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</si>
  <si>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</si>
  <si>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</si>
  <si>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</si>
  <si>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</si>
  <si>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</si>
  <si>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</si>
  <si>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</si>
  <si>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</si>
  <si>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</si>
  <si>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</si>
  <si>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</si>
  <si>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</si>
  <si>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</si>
  <si>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</si>
  <si>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</si>
  <si>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</si>
  <si>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</si>
  <si>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</si>
  <si>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</si>
  <si>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</si>
  <si>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</si>
  <si>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</si>
  <si>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</si>
  <si>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</si>
  <si>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</si>
  <si>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</si>
  <si>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</si>
  <si>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</si>
  <si>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</si>
  <si>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</si>
  <si>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</si>
  <si>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</si>
  <si>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</si>
  <si>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</si>
  <si>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</si>
  <si>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</si>
  <si>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</si>
  <si>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</si>
  <si>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</si>
  <si>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</si>
  <si>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</si>
  <si>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</si>
  <si>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</si>
  <si>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</si>
  <si>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</si>
  <si>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</si>
  <si>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</si>
  <si>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</si>
  <si>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</si>
  <si>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</si>
  <si>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</si>
  <si>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</si>
  <si>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</si>
  <si>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</si>
  <si>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</si>
  <si>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</si>
  <si>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</si>
  <si>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</si>
  <si>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</si>
  <si>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</si>
  <si>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</si>
  <si>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</si>
  <si>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</si>
  <si>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</si>
  <si>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</si>
  <si>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</si>
  <si>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</si>
  <si>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</si>
  <si>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</si>
  <si>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</si>
  <si>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</si>
  <si>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</si>
  <si>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</si>
  <si>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</si>
  <si>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</si>
  <si>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</si>
  <si>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</si>
  <si>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</si>
  <si>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</si>
  <si>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</si>
  <si>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</si>
  <si>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</si>
  <si>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</si>
  <si>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</si>
  <si>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</si>
  <si>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</si>
  <si>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</si>
  <si>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</si>
  <si>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</si>
  <si>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</si>
  <si>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</si>
  <si>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</si>
  <si>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</si>
  <si>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</si>
  <si>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</si>
  <si>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</si>
  <si>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</si>
  <si>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</si>
  <si>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</si>
  <si>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</si>
  <si>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</si>
  <si>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</si>
  <si>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</si>
  <si>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</si>
  <si>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</si>
  <si>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</si>
  <si>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</si>
  <si>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</si>
  <si>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</si>
  <si>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</si>
  <si>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</si>
  <si>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</si>
  <si>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</si>
  <si>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</si>
  <si>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</si>
  <si>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</si>
  <si>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</si>
  <si>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</si>
  <si>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</si>
  <si>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</si>
  <si>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</si>
  <si>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</si>
  <si>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</si>
  <si>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</si>
  <si>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</si>
  <si>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</si>
  <si>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</si>
  <si>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</si>
  <si>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</si>
  <si>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</si>
  <si>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</si>
  <si>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</si>
  <si>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</si>
  <si>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</si>
  <si>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</si>
  <si>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</si>
  <si>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</si>
  <si>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</si>
  <si>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</si>
  <si>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</si>
  <si>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</si>
  <si>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</si>
  <si>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</si>
  <si>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</si>
  <si>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</si>
  <si>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</si>
  <si>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</si>
  <si>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</si>
  <si>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</si>
  <si>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</si>
  <si>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</si>
  <si>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</si>
  <si>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</si>
  <si>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</si>
  <si>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</si>
  <si>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</si>
  <si>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</si>
  <si>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</si>
  <si>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</si>
  <si>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</si>
  <si>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</si>
  <si>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</si>
  <si>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</si>
  <si>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</si>
  <si>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</si>
  <si>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</si>
  <si>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</si>
  <si>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</si>
  <si>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</si>
  <si>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</si>
  <si>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</si>
  <si>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</si>
  <si>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</si>
  <si>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</si>
  <si>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</si>
  <si>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</si>
  <si>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</si>
  <si>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</si>
  <si>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</si>
  <si>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</si>
  <si>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</si>
  <si>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</si>
  <si>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</si>
  <si>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</si>
  <si>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</si>
  <si>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</si>
  <si>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</si>
  <si>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</si>
  <si>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</si>
  <si>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</si>
  <si>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</si>
  <si>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</si>
  <si>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</si>
  <si>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</si>
  <si>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</si>
  <si>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</si>
  <si>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</si>
  <si>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</si>
  <si>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</si>
  <si>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</si>
  <si>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</si>
  <si>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</si>
  <si>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</si>
  <si>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</si>
  <si>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</si>
  <si>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</si>
  <si>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</si>
  <si>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</si>
  <si>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</si>
  <si>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</si>
  <si>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</si>
  <si>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</si>
  <si>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</si>
  <si>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</si>
  <si>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</si>
  <si>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</si>
  <si>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</si>
  <si>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</si>
  <si>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</si>
  <si>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</si>
  <si>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</si>
  <si>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</si>
  <si>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</si>
  <si>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</si>
  <si>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</si>
  <si>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</si>
  <si>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</si>
  <si>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</si>
  <si>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</si>
  <si>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</si>
  <si>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</si>
  <si>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</si>
  <si>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</si>
  <si>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</si>
  <si>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</si>
  <si>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</si>
  <si>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</si>
  <si>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</si>
  <si>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</si>
  <si>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</si>
  <si>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</si>
  <si>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</si>
  <si>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</si>
  <si>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</si>
  <si>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</si>
  <si>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</si>
  <si>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</si>
  <si>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</si>
  <si>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</si>
  <si>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</si>
  <si>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</si>
  <si>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</si>
  <si>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</si>
  <si>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</si>
  <si>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</si>
  <si>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</si>
  <si>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</si>
  <si>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</si>
  <si>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</si>
  <si>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</si>
  <si>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</si>
  <si>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</si>
  <si>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</si>
  <si>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</si>
  <si>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</si>
  <si>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</si>
  <si>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</si>
  <si>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</si>
  <si>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</si>
  <si>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</si>
  <si>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</si>
  <si>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</si>
  <si>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</si>
  <si>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</si>
  <si>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</si>
  <si>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</si>
  <si>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</si>
  <si>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</si>
  <si>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</si>
  <si>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</si>
  <si>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</si>
  <si>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</si>
  <si>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</si>
  <si>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</si>
  <si>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</si>
  <si>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</si>
  <si>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</si>
  <si>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</si>
  <si>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</si>
  <si>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</si>
  <si>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</si>
  <si>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</si>
  <si>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</si>
  <si>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</si>
  <si>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</si>
  <si>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</si>
  <si>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</si>
  <si>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</si>
  <si>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</si>
  <si>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</si>
  <si>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</si>
  <si>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</si>
  <si>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</si>
  <si>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</si>
  <si>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</si>
  <si>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</si>
  <si>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</si>
  <si>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</si>
  <si>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</si>
  <si>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</si>
  <si>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</si>
  <si>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</si>
  <si>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</si>
  <si>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</si>
  <si>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</si>
  <si>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</si>
  <si>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</si>
  <si>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</si>
  <si>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</si>
  <si>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</si>
  <si>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</si>
  <si>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</si>
  <si>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</si>
  <si>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</si>
  <si>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</si>
  <si>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</si>
  <si>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</si>
  <si>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</si>
  <si>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</si>
  <si>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</si>
  <si>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</si>
  <si>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</si>
  <si>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</si>
  <si>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</si>
  <si>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</si>
  <si>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</si>
  <si>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</si>
  <si>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</si>
  <si>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</si>
  <si>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</si>
  <si>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</si>
  <si>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</si>
  <si>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</si>
  <si>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</si>
  <si>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</si>
  <si>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</si>
  <si>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</si>
  <si>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</si>
  <si>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</si>
  <si>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</si>
  <si>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</si>
  <si>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</si>
  <si>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</si>
  <si>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</si>
  <si>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</si>
  <si>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</si>
  <si>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</si>
  <si>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</si>
  <si>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</si>
  <si>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</si>
  <si>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</si>
  <si>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</si>
  <si>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</si>
  <si>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</si>
  <si>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</si>
  <si>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</si>
  <si>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</si>
  <si>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</si>
  <si>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</si>
  <si>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</si>
  <si>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</si>
  <si>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</si>
  <si>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</si>
  <si>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</si>
  <si>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</si>
  <si>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</si>
  <si>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</si>
  <si>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</si>
  <si>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</si>
  <si>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</si>
  <si>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</si>
  <si>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</si>
  <si>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</si>
  <si>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</si>
  <si>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</si>
  <si>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</si>
  <si>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</si>
  <si>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</si>
  <si>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</si>
  <si>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</si>
  <si>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</si>
  <si>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</si>
  <si>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</si>
  <si>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</si>
  <si>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</si>
  <si>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</si>
  <si>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</si>
  <si>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</si>
  <si>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</si>
  <si>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</si>
  <si>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</si>
  <si>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</si>
  <si>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</si>
  <si>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</si>
  <si>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</si>
  <si>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</si>
  <si>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</si>
  <si>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</si>
  <si>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</si>
  <si>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</si>
  <si>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</si>
  <si>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</si>
  <si>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</si>
  <si>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</si>
  <si>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</si>
  <si>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</si>
  <si>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</si>
  <si>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</si>
  <si>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</si>
  <si>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</si>
  <si>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</si>
  <si>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</si>
  <si>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</si>
  <si>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</si>
  <si>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</si>
  <si>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</si>
  <si>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</si>
  <si>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</si>
  <si>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</si>
  <si>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</si>
  <si>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</si>
  <si>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</si>
  <si>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</si>
  <si>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</si>
  <si>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</si>
  <si>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</si>
  <si>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</si>
  <si>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</si>
  <si>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</si>
  <si>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</si>
  <si>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</si>
  <si>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</si>
  <si>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</si>
  <si>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</si>
  <si>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</si>
  <si>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</si>
  <si>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</si>
  <si>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</si>
  <si>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</si>
  <si>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</si>
  <si>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</si>
  <si>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</si>
  <si>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</si>
  <si>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</si>
  <si>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</si>
  <si>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</si>
  <si>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</si>
  <si>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</si>
  <si>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</si>
  <si>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</si>
  <si>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</si>
  <si>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</si>
  <si>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</si>
  <si>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</si>
  <si>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</si>
  <si>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</si>
  <si>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</si>
  <si>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</si>
  <si>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</si>
  <si>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</si>
  <si>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</si>
  <si>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</si>
  <si>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</si>
  <si>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</si>
  <si>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</si>
  <si>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</si>
  <si>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</si>
  <si>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</si>
  <si>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</si>
  <si>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</si>
  <si>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</si>
  <si>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</si>
  <si>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</si>
  <si>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</si>
  <si>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</si>
  <si>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</si>
  <si>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</si>
  <si>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</si>
  <si>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</si>
  <si>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</si>
  <si>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</si>
  <si>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</si>
  <si>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</si>
  <si>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</si>
  <si>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</si>
  <si>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</si>
  <si>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</si>
  <si>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</si>
  <si>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</si>
  <si>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</si>
  <si>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</si>
  <si>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</si>
  <si>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</si>
  <si>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</si>
  <si>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</si>
  <si>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</si>
  <si>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</si>
  <si>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</si>
  <si>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</si>
  <si>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</si>
  <si>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</si>
  <si>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</si>
  <si>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</si>
  <si>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</si>
  <si>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</si>
  <si>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</si>
  <si>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</si>
  <si>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</si>
  <si>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</si>
  <si>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</si>
  <si>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</si>
  <si>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</si>
  <si>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</si>
  <si>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</si>
  <si>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</si>
  <si>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</si>
  <si>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</si>
  <si>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</si>
  <si>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</si>
  <si>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</si>
  <si>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</si>
  <si>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</si>
  <si>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</si>
  <si>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</si>
  <si>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</si>
  <si>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</si>
  <si>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</si>
  <si>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</si>
  <si>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</si>
  <si>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</si>
  <si>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</si>
  <si>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</si>
  <si>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</si>
  <si>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</si>
  <si>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</si>
  <si>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</si>
  <si>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</si>
  <si>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</si>
  <si>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</si>
  <si>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</si>
  <si>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</si>
  <si>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</si>
  <si>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</si>
  <si>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</si>
  <si>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</si>
  <si>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</si>
  <si>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</si>
  <si>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</si>
  <si>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</si>
  <si>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</si>
  <si>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</si>
  <si>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</si>
  <si>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</si>
  <si>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</si>
  <si>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</si>
  <si>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</si>
  <si>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</si>
  <si>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</si>
  <si>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</si>
  <si>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</si>
  <si>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</si>
  <si>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</si>
  <si>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</si>
  <si>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</si>
  <si>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</si>
  <si>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</si>
  <si>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</si>
  <si>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</si>
  <si>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</si>
  <si>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</si>
  <si>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</si>
  <si>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</si>
  <si>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</si>
  <si>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</si>
  <si>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</si>
  <si>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</si>
  <si>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</si>
  <si>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</si>
  <si>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</si>
  <si>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</si>
  <si>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</si>
  <si>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</si>
  <si>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</si>
  <si>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</si>
  <si>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</si>
  <si>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</si>
  <si>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</si>
  <si>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</si>
  <si>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</si>
  <si>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</si>
  <si>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</si>
  <si>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</si>
  <si>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</si>
  <si>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</si>
  <si>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</si>
  <si>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</si>
  <si>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</si>
  <si>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</si>
  <si>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</si>
  <si>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</si>
  <si>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</si>
  <si>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</si>
  <si>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</si>
  <si>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</si>
  <si>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</si>
  <si>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</si>
  <si>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</si>
  <si>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</si>
  <si>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</si>
  <si>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</si>
  <si>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</si>
  <si>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</si>
  <si>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</si>
  <si>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</si>
  <si>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</si>
  <si>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</si>
  <si>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</si>
  <si>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</si>
  <si>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</si>
  <si>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</si>
  <si>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</si>
  <si>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</si>
  <si>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</si>
  <si>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</si>
  <si>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</si>
  <si>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</si>
  <si>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</si>
  <si>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</si>
  <si>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</si>
  <si>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</si>
  <si>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</si>
  <si>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</si>
  <si>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</si>
  <si>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</si>
  <si>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</si>
  <si>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</si>
  <si>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</si>
  <si>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</si>
  <si>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</si>
  <si>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</si>
  <si>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</si>
  <si>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</si>
  <si>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</si>
  <si>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</si>
  <si>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</si>
  <si>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</si>
  <si>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</si>
  <si>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</si>
  <si>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</si>
  <si>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</si>
  <si>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</si>
  <si>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</si>
  <si>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</si>
  <si>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</si>
  <si>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</si>
  <si>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</si>
  <si>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</si>
  <si>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</si>
  <si>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</si>
  <si>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</si>
  <si>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</si>
  <si>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</si>
  <si>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</si>
  <si>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</si>
  <si>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</si>
  <si>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</si>
  <si>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</si>
  <si>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</si>
  <si>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</si>
  <si>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</si>
  <si>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</si>
  <si>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</si>
  <si>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</si>
  <si>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</si>
  <si>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</si>
  <si>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</si>
  <si>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</si>
  <si>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</si>
  <si>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</si>
  <si>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</si>
  <si>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</si>
  <si>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</si>
  <si>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</si>
  <si>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</si>
  <si>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</si>
  <si>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</si>
  <si>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</si>
  <si>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</si>
  <si>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</si>
  <si>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</si>
  <si>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</si>
  <si>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</si>
  <si>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</si>
  <si>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</si>
  <si>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</si>
  <si>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</si>
  <si>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</si>
  <si>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</si>
  <si>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</si>
  <si>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</si>
  <si>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</si>
  <si>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</si>
  <si>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</si>
  <si>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</si>
  <si>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</si>
  <si>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</si>
  <si>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</si>
  <si>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</si>
  <si>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</si>
  <si>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</si>
  <si>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</si>
  <si>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</si>
  <si>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</si>
  <si>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</si>
  <si>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</si>
  <si>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</si>
  <si>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</si>
  <si>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</si>
  <si>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</si>
  <si>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</si>
  <si>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</si>
  <si>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</si>
  <si>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</si>
  <si>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</si>
  <si>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</si>
  <si>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</si>
  <si>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</si>
  <si>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</si>
  <si>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</si>
  <si>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</si>
  <si>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</si>
  <si>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</si>
  <si>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</si>
  <si>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</si>
  <si>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</si>
  <si>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</si>
  <si>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</si>
  <si>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</si>
  <si>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</si>
  <si>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</si>
  <si>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</si>
  <si>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</si>
  <si>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</si>
  <si>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</si>
  <si>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</si>
  <si>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</si>
  <si>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</si>
  <si>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</si>
  <si>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</si>
  <si>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</si>
  <si>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</si>
  <si>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</si>
  <si>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</si>
  <si>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</si>
  <si>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</si>
  <si>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</si>
  <si>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</si>
  <si>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</si>
  <si>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</si>
  <si>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</si>
  <si>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</si>
  <si>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</si>
  <si>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</si>
  <si>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</si>
  <si>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</si>
  <si>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</si>
  <si>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</si>
  <si>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</si>
  <si>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</si>
  <si>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</si>
  <si>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</si>
  <si>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</si>
  <si>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</si>
  <si>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</si>
  <si>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</si>
  <si>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</si>
  <si>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</si>
  <si>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</si>
  <si>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</si>
  <si>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</si>
  <si>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</si>
  <si>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</si>
  <si>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</si>
  <si>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</si>
  <si>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</si>
  <si>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</si>
  <si>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</si>
  <si>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</si>
  <si>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</si>
  <si>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</si>
  <si>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</si>
  <si>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</si>
  <si>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</si>
  <si>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</si>
  <si>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</si>
  <si>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</si>
  <si>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</si>
  <si>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</si>
  <si>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</si>
  <si>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</si>
  <si>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</si>
  <si>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</si>
  <si>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</si>
  <si>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</si>
  <si>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</si>
  <si>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</si>
  <si>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</si>
  <si>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</si>
  <si>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</si>
  <si>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</si>
  <si>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</si>
  <si>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</si>
  <si>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</si>
  <si>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</si>
  <si>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</si>
  <si>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</si>
  <si>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</si>
  <si>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</si>
  <si>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</si>
  <si>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</si>
  <si>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</si>
  <si>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</si>
  <si>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</si>
  <si>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</si>
  <si>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</si>
  <si>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</si>
  <si>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</si>
  <si>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</si>
  <si>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</si>
  <si>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</si>
  <si>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</si>
  <si>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</si>
  <si>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</si>
  <si>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</si>
  <si>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</si>
  <si>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</si>
  <si>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</si>
  <si>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</si>
  <si>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</si>
  <si>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</si>
  <si>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</si>
  <si>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</si>
  <si>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</si>
  <si>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</si>
  <si>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</si>
  <si>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</si>
  <si>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</si>
  <si>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</si>
  <si>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</si>
  <si>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</si>
  <si>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</si>
  <si>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</si>
  <si>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</si>
  <si>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</si>
  <si>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</si>
  <si>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</si>
  <si>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</si>
  <si>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</si>
  <si>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</si>
  <si>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</si>
  <si>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</si>
  <si>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</si>
  <si>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</si>
  <si>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</si>
  <si>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</si>
  <si>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</si>
  <si>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</si>
  <si>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</si>
  <si>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</si>
  <si>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</si>
  <si>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</si>
  <si>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</si>
  <si>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</si>
  <si>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</si>
  <si>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</si>
  <si>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</si>
  <si>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</si>
  <si>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</si>
  <si>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</si>
  <si>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</si>
  <si>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</si>
  <si>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</si>
  <si>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</si>
  <si>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</si>
  <si>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</si>
  <si>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</si>
  <si>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</si>
  <si>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</si>
  <si>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</si>
  <si>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</si>
  <si>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</si>
  <si>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</si>
  <si>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</si>
  <si>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</si>
  <si>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</si>
  <si>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</si>
  <si>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</si>
  <si>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</si>
  <si>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</si>
  <si>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</si>
  <si>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</si>
  <si>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</si>
  <si>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</si>
  <si>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</si>
  <si>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</si>
  <si>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</si>
  <si>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</si>
  <si>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</si>
  <si>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</si>
  <si>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</si>
  <si>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</si>
  <si>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</si>
  <si>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</si>
  <si>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</si>
  <si>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</si>
  <si>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</si>
  <si>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</si>
  <si>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</si>
  <si>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</si>
  <si>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</si>
  <si>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</si>
  <si>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</si>
  <si>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</si>
  <si>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</si>
  <si>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</si>
  <si>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</si>
  <si>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</si>
  <si>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</si>
  <si>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</si>
  <si>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</si>
  <si>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</si>
  <si>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</si>
  <si>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</si>
  <si>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</si>
  <si>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</si>
  <si>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</si>
  <si>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</si>
  <si>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</si>
  <si>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</si>
  <si>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</si>
  <si>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</si>
  <si>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</si>
  <si>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</si>
  <si>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</si>
  <si>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</si>
  <si>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</si>
  <si>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</si>
  <si>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</si>
  <si>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</si>
  <si>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</si>
  <si>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</si>
  <si>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</si>
  <si>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</si>
  <si>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</si>
  <si>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</si>
  <si>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</si>
  <si>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</si>
  <si>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</si>
  <si>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</si>
  <si>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</si>
  <si>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</si>
  <si>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</si>
  <si>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</si>
  <si>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</si>
  <si>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</si>
  <si>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</si>
  <si>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</si>
  <si>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</si>
  <si>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</si>
  <si>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</si>
  <si>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</si>
  <si>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</si>
  <si>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</si>
  <si>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</si>
  <si>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</si>
  <si>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</si>
  <si>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</si>
  <si>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</si>
  <si>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</si>
  <si>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</si>
  <si>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</si>
  <si>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</si>
  <si>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</si>
  <si>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</si>
  <si>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</si>
  <si>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</si>
  <si>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</si>
  <si>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</si>
  <si>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</si>
  <si>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</si>
  <si>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</si>
  <si>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</si>
  <si>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</si>
  <si>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</si>
  <si>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</si>
  <si>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</si>
  <si>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</si>
  <si>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</si>
  <si>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</si>
  <si>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</si>
  <si>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</si>
  <si>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</si>
  <si>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</si>
  <si>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</si>
  <si>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</si>
  <si>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</si>
  <si>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</si>
  <si>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</si>
  <si>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</si>
  <si>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</si>
  <si>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</si>
  <si>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</si>
  <si>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</si>
  <si>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</si>
  <si>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</si>
  <si>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</si>
  <si>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</si>
  <si>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</si>
  <si>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</si>
  <si>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</si>
  <si>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</si>
  <si>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</si>
  <si>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</si>
  <si>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</si>
  <si>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</si>
  <si>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</si>
  <si>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</si>
  <si>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</si>
  <si>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</si>
  <si>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</si>
  <si>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</si>
  <si>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</si>
  <si>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</si>
  <si>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</si>
  <si>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</si>
  <si>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</si>
  <si>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</si>
  <si>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</si>
  <si>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</si>
  <si>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</si>
  <si>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</si>
  <si>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</si>
  <si>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</si>
  <si>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</si>
  <si>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</si>
  <si>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</si>
  <si>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</si>
  <si>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</si>
  <si>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</si>
  <si>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</si>
  <si>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</si>
  <si>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</si>
  <si>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</si>
  <si>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</si>
  <si>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</si>
  <si>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</si>
  <si>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</si>
  <si>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</si>
  <si>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</si>
  <si>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</si>
  <si>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</si>
  <si>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</si>
  <si>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</si>
  <si>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</si>
  <si>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</si>
  <si>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</si>
  <si>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</si>
  <si>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</si>
  <si>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</si>
  <si>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</si>
  <si>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</si>
  <si>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</si>
  <si>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</si>
  <si>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</si>
  <si>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</si>
  <si>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</si>
  <si>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</si>
  <si>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</si>
  <si>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</si>
  <si>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</si>
  <si>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</si>
  <si>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</si>
  <si>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</si>
  <si>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</si>
  <si>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</si>
  <si>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</si>
  <si>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</si>
  <si>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</si>
  <si>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</si>
  <si>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</si>
  <si>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</si>
  <si>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</si>
  <si>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</si>
  <si>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</si>
  <si>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</si>
  <si>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</si>
  <si>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</si>
  <si>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</si>
  <si>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</si>
  <si>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</si>
  <si>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</si>
  <si>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</si>
  <si>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</si>
  <si>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</si>
  <si>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</si>
  <si>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</si>
  <si>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</si>
  <si>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</si>
  <si>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</si>
  <si>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</si>
  <si>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</si>
  <si>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</si>
  <si>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</si>
  <si>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</si>
  <si>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</si>
  <si>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</si>
  <si>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</si>
  <si>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</si>
  <si>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</si>
  <si>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</si>
  <si>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</si>
  <si>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</si>
  <si>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</si>
  <si>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</si>
  <si>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</si>
  <si>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</si>
  <si>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</si>
  <si>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</si>
  <si>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</si>
  <si>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</si>
  <si>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</si>
  <si>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</si>
  <si>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</si>
  <si>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</si>
  <si>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</si>
  <si>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</si>
  <si>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</si>
  <si>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</si>
  <si>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</si>
  <si>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</si>
  <si>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</si>
  <si>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</si>
  <si>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</si>
  <si>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</si>
  <si>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</si>
  <si>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</si>
  <si>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</si>
  <si>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</si>
  <si>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</si>
  <si>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</si>
  <si>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</si>
  <si>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</si>
  <si>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</si>
  <si>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</si>
  <si>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</si>
  <si>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</si>
  <si>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</si>
  <si>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</si>
  <si>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</si>
  <si>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</si>
  <si>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</si>
  <si>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</si>
  <si>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</si>
  <si>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</si>
  <si>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</si>
  <si>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</si>
  <si>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</si>
  <si>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</si>
  <si>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</si>
  <si>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</si>
  <si>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</si>
  <si>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</si>
  <si>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</si>
  <si>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</si>
  <si>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</si>
  <si>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</si>
  <si>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</si>
  <si>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</si>
  <si>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</si>
  <si>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</si>
  <si>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</si>
  <si>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</si>
  <si>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</si>
  <si>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</si>
  <si>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</si>
  <si>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</si>
  <si>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</si>
  <si>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</si>
  <si>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</si>
  <si>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</si>
  <si>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</si>
  <si>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</si>
  <si>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</si>
  <si>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</si>
  <si>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</si>
  <si>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</si>
  <si>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</si>
  <si>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</si>
  <si>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</si>
  <si>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</si>
  <si>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</si>
  <si>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</si>
  <si>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</si>
  <si>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</si>
  <si>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</si>
  <si>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</si>
  <si>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</si>
  <si>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</si>
  <si>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</si>
  <si>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</si>
  <si>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</si>
  <si>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</si>
  <si>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</si>
  <si>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</si>
  <si>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</si>
  <si>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</si>
  <si>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</si>
  <si>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</si>
  <si>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</si>
  <si>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</si>
  <si>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</si>
  <si>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</si>
  <si>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</si>
  <si>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</si>
  <si>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</si>
  <si>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</si>
  <si>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</si>
  <si>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</si>
  <si>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</si>
  <si>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</si>
  <si>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</si>
  <si>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</si>
  <si>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</si>
  <si>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</si>
  <si>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</si>
  <si>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</si>
  <si>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</si>
  <si>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</si>
  <si>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</si>
  <si>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</si>
  <si>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</si>
  <si>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</si>
  <si>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</si>
  <si>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</si>
  <si>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</si>
  <si>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</si>
  <si>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</si>
  <si>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</si>
  <si>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</si>
  <si>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</si>
  <si>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</si>
  <si>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</si>
  <si>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</si>
  <si>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</si>
  <si>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</si>
  <si>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</si>
  <si>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</si>
  <si>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</si>
  <si>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</si>
  <si>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</si>
  <si>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</si>
  <si>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</si>
  <si>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</si>
  <si>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</si>
  <si>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</si>
  <si>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</si>
  <si>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</si>
  <si>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</si>
  <si>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</si>
  <si>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</si>
  <si>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</si>
  <si>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</si>
  <si>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</si>
  <si>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</si>
  <si>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</si>
  <si>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</si>
  <si>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</si>
  <si>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</si>
  <si>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</si>
  <si>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</si>
  <si>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</si>
  <si>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</si>
  <si>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</si>
  <si>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</si>
  <si>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</si>
  <si>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</si>
  <si>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</si>
  <si>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</si>
  <si>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</si>
  <si>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</si>
  <si>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</si>
  <si>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</si>
  <si>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</si>
  <si>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</si>
  <si>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</si>
  <si>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</si>
  <si>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</si>
  <si>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</si>
  <si>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</si>
  <si>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</si>
  <si>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</si>
  <si>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</si>
  <si>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</si>
  <si>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</si>
  <si>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</si>
  <si>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</si>
  <si>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</si>
  <si>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</si>
  <si>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</si>
  <si>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</si>
  <si>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</si>
  <si>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</si>
  <si>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</si>
  <si>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</si>
  <si>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</si>
  <si>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</si>
  <si>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</si>
  <si>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</si>
  <si>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</si>
  <si>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</si>
  <si>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</si>
  <si>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</si>
  <si>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</si>
  <si>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</si>
  <si>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</si>
  <si>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</si>
  <si>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</si>
  <si>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</si>
  <si>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</si>
  <si>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</si>
  <si>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</si>
  <si>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</si>
  <si>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</si>
  <si>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</si>
  <si>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</si>
  <si>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</si>
  <si>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</si>
  <si>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</si>
  <si>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</si>
  <si>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</si>
  <si>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</si>
  <si>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</si>
  <si>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</si>
  <si>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</si>
  <si>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</si>
  <si>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</si>
  <si>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</si>
  <si>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</si>
  <si>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</si>
  <si>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</si>
  <si>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</si>
  <si>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</si>
  <si>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</si>
  <si>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</si>
  <si>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</si>
  <si>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</si>
  <si>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</si>
  <si>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</si>
  <si>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</si>
  <si>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</si>
  <si>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</si>
  <si>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</si>
  <si>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</si>
  <si>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</si>
  <si>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</si>
  <si>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</si>
  <si>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</si>
  <si>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</si>
  <si>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</si>
  <si>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</si>
  <si>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</si>
  <si>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</si>
  <si>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</si>
  <si>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</si>
  <si>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</si>
  <si>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</si>
  <si>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</si>
  <si>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</si>
  <si>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</si>
  <si>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</si>
  <si>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</si>
  <si>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</si>
  <si>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</si>
  <si>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</si>
  <si>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</si>
  <si>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</si>
  <si>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</si>
  <si>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</si>
  <si>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</si>
  <si>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</si>
  <si>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</si>
  <si>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</si>
  <si>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</si>
  <si>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</si>
  <si>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</si>
  <si>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</si>
  <si>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</si>
  <si>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</si>
  <si>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</si>
  <si>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</si>
  <si>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</si>
  <si>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</si>
  <si>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</si>
  <si>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</si>
  <si>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</si>
  <si>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</si>
  <si>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</si>
  <si>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</si>
  <si>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</si>
  <si>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</si>
  <si>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</si>
  <si>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</si>
  <si>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</si>
  <si>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</si>
  <si>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</si>
  <si>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</si>
  <si>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</si>
  <si>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</si>
  <si>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</si>
  <si>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</si>
  <si>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</si>
  <si>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</si>
  <si>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</si>
  <si>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</si>
  <si>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</si>
  <si>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</si>
  <si>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</si>
  <si>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</si>
  <si>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</si>
  <si>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</si>
  <si>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</si>
  <si>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</si>
  <si>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</si>
  <si>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</si>
  <si>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</si>
  <si>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</si>
  <si>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</si>
  <si>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</si>
  <si>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</si>
  <si>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</si>
  <si>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</si>
  <si>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</si>
  <si>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</si>
  <si>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</si>
  <si>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</si>
  <si>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</si>
  <si>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</si>
  <si>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</si>
  <si>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</si>
  <si>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</si>
  <si>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</si>
  <si>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</si>
  <si>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</si>
  <si>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</si>
  <si>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</si>
  <si>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</si>
  <si>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</si>
  <si>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</si>
  <si>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</si>
  <si>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</si>
  <si>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</si>
  <si>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</si>
  <si>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</si>
  <si>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</si>
  <si>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</si>
  <si>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</si>
  <si>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</si>
  <si>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</si>
  <si>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</si>
  <si>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</si>
  <si>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</si>
  <si>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</si>
  <si>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</si>
  <si>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</si>
  <si>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</si>
  <si>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</si>
  <si>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</si>
  <si>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</si>
  <si>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</si>
  <si>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</si>
  <si>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</si>
  <si>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</si>
  <si>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</si>
  <si>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</si>
  <si>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</si>
  <si>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</si>
  <si>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</si>
  <si>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</si>
  <si>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</si>
  <si>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</si>
  <si>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</si>
  <si>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</si>
  <si>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</si>
  <si>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</si>
  <si>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</si>
  <si>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</si>
  <si>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</si>
  <si>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</si>
  <si>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</si>
  <si>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</si>
  <si>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</si>
  <si>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</si>
  <si>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</si>
  <si>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</si>
  <si>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</si>
  <si>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</si>
  <si>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</si>
  <si>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</si>
  <si>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</si>
  <si>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</si>
  <si>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</si>
  <si>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</si>
  <si>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</si>
  <si>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</si>
  <si>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</si>
  <si>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</si>
  <si>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</si>
  <si>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</si>
  <si>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</si>
  <si>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</si>
  <si>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</si>
  <si>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</si>
  <si>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</si>
  <si>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</si>
  <si>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</si>
  <si>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</si>
  <si>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</si>
  <si>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</si>
  <si>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</si>
  <si>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</si>
  <si>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</si>
  <si>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</si>
  <si>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</si>
  <si>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</si>
  <si>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</si>
  <si>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</si>
  <si>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</si>
  <si>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</si>
  <si>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</si>
  <si>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</si>
  <si>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</si>
  <si>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</si>
  <si>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</si>
  <si>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</si>
  <si>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</si>
  <si>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</si>
  <si>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</si>
  <si>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</si>
  <si>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</si>
  <si>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</si>
  <si>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</si>
  <si>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</si>
  <si>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</si>
  <si>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</si>
  <si>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</si>
  <si>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</si>
  <si>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</si>
  <si>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</si>
  <si>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</si>
  <si>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</si>
  <si>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</si>
  <si>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</si>
  <si>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</si>
  <si>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</si>
  <si>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</si>
  <si>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</si>
  <si>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</si>
  <si>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</si>
  <si>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</si>
  <si>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</si>
  <si>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</si>
  <si>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</si>
  <si>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</si>
  <si>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</si>
  <si>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</si>
  <si>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</si>
  <si>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</si>
  <si>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</si>
  <si>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</si>
  <si>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</si>
  <si>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</si>
  <si>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</si>
  <si>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</si>
  <si>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</si>
  <si>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</si>
  <si>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</si>
  <si>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</si>
  <si>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</si>
  <si>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</si>
  <si>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</si>
  <si>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</si>
  <si>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</si>
  <si>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</si>
  <si>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</si>
  <si>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</si>
  <si>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</si>
  <si>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</si>
  <si>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</si>
  <si>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</si>
  <si>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</si>
  <si>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</si>
  <si>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</si>
  <si>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</si>
  <si>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</si>
  <si>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</si>
  <si>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</si>
  <si>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</si>
  <si>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</si>
  <si>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</si>
  <si>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</si>
  <si>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</si>
  <si>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</si>
  <si>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</si>
  <si>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</si>
  <si>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</si>
  <si>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</si>
  <si>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</si>
  <si>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</si>
  <si>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</si>
  <si>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</si>
  <si>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</si>
  <si>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</si>
  <si>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</si>
  <si>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</si>
  <si>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</si>
  <si>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</si>
  <si>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</si>
  <si>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</si>
  <si>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</si>
  <si>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</si>
  <si>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</si>
  <si>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</si>
  <si>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</si>
  <si>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</si>
  <si>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</si>
  <si>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</si>
  <si>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</si>
  <si>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</si>
  <si>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</si>
  <si>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</si>
  <si>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</si>
  <si>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</si>
  <si>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</si>
  <si>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</si>
  <si>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</si>
  <si>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</si>
  <si>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</si>
  <si>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</si>
  <si>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</si>
  <si>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</si>
  <si>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</si>
  <si>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</si>
  <si>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</si>
  <si>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</si>
  <si>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</si>
  <si>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</si>
  <si>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</si>
  <si>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</si>
  <si>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</si>
  <si>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</si>
  <si>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</si>
  <si>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</si>
  <si>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</si>
  <si>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</si>
  <si>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</si>
  <si>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</si>
  <si>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</si>
  <si>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</si>
  <si>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</si>
  <si>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</si>
  <si>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</si>
  <si>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</si>
  <si>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</si>
  <si>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</si>
  <si>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</si>
  <si>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</si>
  <si>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</si>
  <si>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</si>
  <si>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</si>
  <si>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</si>
  <si>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</si>
  <si>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</si>
  <si>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</si>
  <si>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</si>
  <si>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</si>
  <si>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</si>
  <si>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</si>
  <si>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</si>
  <si>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</si>
  <si>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</si>
  <si>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</si>
  <si>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</si>
  <si>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</si>
  <si>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</si>
  <si>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</si>
  <si>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</si>
  <si>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</si>
  <si>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</si>
  <si>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</si>
  <si>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</si>
  <si>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</si>
  <si>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</si>
  <si>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</si>
  <si>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</si>
  <si>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</si>
  <si>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</si>
  <si>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</si>
  <si>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</si>
  <si>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</si>
  <si>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</si>
  <si>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</si>
  <si>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</si>
  <si>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</si>
  <si>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</si>
  <si>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</si>
  <si>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</si>
  <si>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</si>
  <si>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</si>
  <si>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</si>
  <si>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</si>
  <si>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</si>
  <si>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</si>
  <si>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</si>
  <si>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</si>
  <si>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</si>
  <si>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</si>
  <si>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</si>
  <si>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</si>
  <si>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</si>
  <si>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</si>
  <si>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</si>
  <si>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</si>
  <si>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</si>
  <si>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</si>
  <si>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</si>
  <si>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</si>
  <si>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</si>
  <si>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</si>
  <si>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</si>
  <si>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</si>
  <si>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</si>
  <si>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</si>
  <si>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</si>
  <si>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</si>
  <si>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</si>
  <si>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</si>
  <si>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</si>
  <si>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</si>
  <si>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</si>
  <si>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</si>
  <si>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</si>
  <si>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</si>
  <si>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</si>
  <si>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</si>
  <si>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</si>
  <si>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</si>
  <si>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</si>
  <si>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</si>
  <si>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</si>
  <si>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</si>
  <si>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</si>
  <si>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</si>
  <si>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</si>
  <si>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</si>
  <si>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</si>
  <si>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</si>
  <si>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</si>
  <si>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</si>
  <si>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</si>
  <si>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</si>
  <si>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</si>
  <si>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</si>
  <si>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</si>
  <si>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</si>
  <si>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</si>
  <si>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</si>
  <si>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</si>
  <si>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</si>
  <si>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</si>
  <si>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</si>
  <si>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</si>
  <si>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</si>
  <si>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</si>
  <si>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</si>
  <si>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</si>
  <si>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</si>
  <si>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</si>
  <si>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</si>
  <si>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</si>
  <si>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</si>
  <si>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</si>
  <si>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</si>
  <si>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</si>
  <si>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</si>
  <si>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</si>
  <si>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</si>
  <si>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</si>
  <si>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</si>
  <si>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</si>
  <si>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</si>
  <si>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</si>
  <si>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</si>
  <si>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</si>
  <si>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</si>
  <si>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</si>
  <si>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</si>
  <si>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</si>
  <si>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</si>
  <si>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</si>
  <si>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</si>
  <si>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</si>
  <si>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</si>
  <si>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</si>
  <si>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</si>
  <si>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</si>
  <si>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</si>
  <si>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</si>
  <si>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</si>
  <si>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</si>
  <si>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</si>
  <si>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</si>
  <si>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</si>
  <si>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</si>
  <si>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</si>
  <si>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</si>
  <si>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</si>
  <si>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</si>
  <si>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</si>
  <si>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</si>
  <si>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</si>
  <si>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</si>
  <si>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</si>
  <si>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</si>
  <si>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</si>
  <si>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</si>
  <si>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</si>
  <si>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</si>
  <si>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</si>
  <si>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</si>
  <si>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</si>
  <si>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</si>
  <si>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</si>
  <si>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</si>
  <si>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</si>
  <si>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</si>
  <si>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</si>
  <si>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</si>
  <si>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</si>
  <si>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</si>
  <si>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</si>
  <si>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</si>
  <si>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</si>
  <si>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</si>
  <si>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</si>
  <si>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</si>
  <si>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</si>
  <si>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</si>
  <si>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</si>
  <si>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</si>
  <si>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</si>
  <si>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</si>
  <si>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</si>
  <si>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</si>
  <si>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</si>
  <si>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</si>
  <si>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</si>
  <si>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</si>
  <si>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</si>
  <si>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</si>
  <si>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</si>
  <si>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</si>
  <si>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</si>
  <si>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</si>
  <si>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</si>
  <si>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</si>
  <si>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</si>
  <si>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</si>
  <si>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</si>
  <si>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</si>
  <si>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</si>
  <si>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</si>
  <si>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</si>
  <si>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</si>
  <si>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</si>
  <si>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</si>
  <si>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</si>
  <si>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</si>
  <si>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</si>
  <si>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</si>
  <si>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</si>
  <si>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</si>
  <si>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</si>
  <si>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</si>
  <si>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</si>
  <si>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</si>
  <si>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</si>
  <si>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</si>
  <si>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</si>
  <si>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</si>
  <si>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</si>
  <si>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</si>
  <si>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</si>
  <si>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</si>
  <si>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</si>
  <si>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</si>
  <si>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</si>
  <si>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</si>
  <si>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</si>
  <si>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</si>
  <si>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</si>
  <si>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</si>
  <si>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</si>
  <si>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</si>
  <si>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</si>
  <si>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</si>
  <si>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</si>
  <si>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</si>
  <si>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</si>
  <si>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</si>
  <si>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</si>
  <si>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</si>
  <si>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</si>
  <si>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</si>
  <si>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</si>
  <si>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</si>
  <si>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</si>
  <si>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</si>
  <si>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</si>
  <si>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</si>
  <si>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</si>
  <si>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</si>
  <si>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</si>
  <si>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</si>
  <si>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</si>
  <si>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</si>
  <si>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</si>
  <si>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</si>
  <si>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</si>
  <si>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</si>
  <si>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</si>
  <si>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</si>
  <si>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</si>
  <si>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</si>
  <si>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</si>
  <si>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</si>
  <si>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</si>
  <si>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</si>
  <si>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</si>
  <si>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</si>
  <si>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</si>
  <si>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</si>
  <si>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</si>
  <si>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</si>
  <si>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</si>
  <si>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</si>
  <si>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</si>
  <si>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</si>
  <si>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</si>
  <si>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</si>
  <si>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</si>
  <si>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</si>
  <si>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</si>
  <si>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</si>
  <si>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</si>
  <si>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</si>
  <si>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</si>
  <si>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</si>
  <si>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</si>
  <si>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</si>
  <si>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</si>
  <si>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</si>
  <si>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</si>
  <si>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</si>
  <si>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</si>
  <si>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</si>
  <si>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</si>
  <si>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</si>
  <si>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</si>
  <si>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</si>
  <si>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</si>
  <si>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</si>
  <si>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</si>
  <si>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</si>
  <si>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</si>
  <si>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</si>
  <si>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</si>
  <si>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</si>
  <si>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</si>
  <si>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</si>
  <si>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</si>
  <si>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</si>
  <si>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</si>
  <si>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</si>
  <si>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</si>
  <si>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</si>
  <si>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</si>
  <si>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</si>
  <si>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</si>
  <si>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</si>
  <si>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</si>
  <si>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</si>
  <si>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</si>
  <si>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</si>
  <si>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</si>
  <si>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</si>
  <si>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</si>
  <si>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</si>
  <si>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</si>
  <si>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</si>
  <si>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</si>
  <si>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</si>
  <si>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</si>
  <si>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</si>
  <si>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</si>
  <si>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</si>
  <si>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</si>
  <si>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</si>
  <si>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</si>
  <si>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</si>
  <si>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</si>
  <si>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</si>
  <si>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</si>
  <si>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</si>
  <si>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</si>
  <si>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</si>
  <si>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</si>
  <si>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</si>
  <si>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</si>
  <si>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</si>
  <si>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</si>
  <si>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</si>
  <si>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</si>
  <si>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</si>
  <si>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</si>
  <si>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</si>
  <si>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</si>
  <si>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</si>
  <si>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</si>
  <si>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</si>
  <si>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</si>
  <si>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</si>
  <si>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</si>
  <si>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</si>
  <si>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</si>
  <si>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</si>
  <si>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</si>
  <si>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</si>
  <si>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</si>
  <si>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</si>
  <si>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</si>
  <si>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</si>
  <si>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</si>
  <si>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</si>
  <si>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</si>
  <si>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</si>
  <si>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</si>
  <si>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</si>
  <si>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</si>
  <si>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</si>
  <si>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</si>
  <si>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</si>
  <si>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</si>
  <si>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</si>
  <si>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</si>
  <si>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</si>
  <si>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</si>
  <si>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</si>
  <si>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</si>
  <si>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</si>
  <si>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</si>
  <si>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</si>
  <si>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</si>
  <si>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</si>
  <si>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</si>
  <si>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</si>
  <si>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</si>
  <si>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</si>
  <si>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</si>
  <si>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</si>
  <si>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</si>
  <si>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</si>
  <si>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</si>
  <si>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</si>
  <si>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</si>
  <si>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</si>
  <si>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</si>
  <si>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</si>
  <si>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</si>
  <si>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</si>
  <si>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</si>
  <si>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</si>
  <si>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</si>
  <si>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</si>
  <si>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</si>
  <si>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</si>
  <si>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</si>
  <si>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</si>
  <si>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</si>
  <si>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</si>
  <si>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</si>
  <si>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</si>
  <si>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</si>
  <si>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</si>
  <si>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</si>
  <si>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</si>
  <si>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</si>
  <si>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</si>
  <si>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</si>
  <si>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</si>
  <si>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</si>
  <si>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</si>
  <si>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</si>
  <si>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</si>
  <si>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</si>
  <si>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</si>
  <si>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</si>
  <si>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</si>
  <si>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</si>
  <si>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</si>
  <si>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</si>
  <si>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</si>
  <si>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</si>
  <si>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</si>
  <si>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</si>
  <si>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</si>
  <si>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</si>
  <si>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</si>
  <si>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</si>
  <si>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</si>
  <si>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</si>
  <si>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</si>
  <si>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</si>
  <si>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</si>
  <si>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</si>
  <si>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</si>
  <si>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</si>
  <si>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</si>
  <si>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</si>
  <si>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</si>
  <si>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</si>
  <si>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</si>
  <si>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</si>
  <si>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</si>
  <si>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</si>
  <si>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</si>
  <si>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</si>
  <si>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</si>
  <si>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</si>
  <si>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</si>
  <si>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</si>
  <si>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</si>
  <si>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</si>
  <si>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</si>
  <si>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</si>
  <si>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</si>
  <si>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</si>
  <si>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</si>
  <si>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</si>
  <si>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</si>
  <si>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</si>
  <si>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</si>
  <si>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</si>
  <si>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</si>
  <si>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</si>
  <si>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</si>
  <si>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</si>
  <si>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</si>
  <si>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</si>
  <si>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</si>
  <si>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</si>
  <si>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</si>
  <si>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</si>
  <si>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</si>
  <si>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</si>
  <si>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</si>
  <si>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</si>
  <si>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</si>
  <si>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</si>
  <si>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</si>
  <si>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</si>
  <si>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</si>
  <si>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</si>
  <si>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</si>
  <si>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</si>
  <si>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</si>
  <si>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</si>
  <si>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</si>
  <si>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</si>
  <si>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</si>
  <si>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</si>
  <si>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</si>
  <si>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</si>
  <si>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</si>
  <si>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</si>
  <si>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</si>
  <si>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</si>
  <si>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</si>
  <si>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</si>
  <si>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</si>
  <si>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</si>
  <si>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</si>
  <si>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</si>
  <si>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</si>
  <si>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</si>
  <si>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</si>
  <si>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</si>
  <si>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</si>
  <si>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</si>
  <si>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</si>
  <si>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</si>
  <si>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</si>
  <si>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</si>
  <si>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</si>
  <si>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</si>
  <si>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</si>
  <si>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</si>
  <si>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</si>
  <si>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</si>
  <si>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</si>
  <si>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</si>
  <si>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</si>
  <si>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</si>
  <si>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</si>
  <si>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</si>
  <si>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</si>
  <si>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</si>
  <si>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</si>
  <si>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</si>
  <si>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</si>
  <si>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</si>
  <si>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</si>
  <si>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</si>
  <si>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</si>
  <si>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</si>
  <si>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</si>
  <si>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</si>
  <si>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</si>
  <si>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</si>
  <si>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</si>
  <si>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</si>
  <si>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</si>
  <si>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</si>
  <si>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</si>
  <si>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</si>
  <si>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</si>
  <si>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</si>
  <si>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</si>
  <si>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</si>
  <si>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</si>
  <si>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</si>
  <si>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</si>
  <si>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</si>
  <si>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</si>
  <si>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</si>
  <si>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</si>
  <si>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</si>
  <si>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</si>
  <si>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</si>
  <si>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</si>
  <si>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</si>
  <si>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</si>
  <si>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</si>
  <si>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</si>
  <si>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</si>
  <si>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</si>
  <si>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</si>
  <si>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</si>
  <si>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</si>
  <si>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</si>
  <si>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</si>
  <si>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</si>
  <si>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</si>
  <si>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</si>
  <si>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</si>
  <si>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</si>
  <si>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</si>
  <si>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</si>
  <si>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</si>
  <si>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</si>
  <si>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</si>
  <si>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</si>
  <si>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</si>
  <si>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</si>
  <si>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</si>
  <si>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</si>
  <si>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</si>
  <si>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</si>
  <si>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</si>
  <si>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</si>
  <si>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</si>
  <si>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</si>
  <si>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</si>
  <si>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</si>
  <si>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</si>
  <si>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</si>
  <si>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</si>
  <si>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</si>
  <si>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</si>
  <si>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</si>
  <si>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</si>
  <si>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</si>
  <si>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</si>
  <si>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</si>
  <si>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</si>
  <si>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</si>
  <si>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</si>
  <si>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</si>
  <si>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</si>
  <si>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</si>
  <si>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</si>
  <si>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</si>
  <si>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</si>
  <si>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</si>
  <si>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</si>
  <si>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</si>
  <si>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</si>
  <si>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</si>
  <si>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</si>
  <si>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</si>
  <si>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</si>
  <si>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</si>
  <si>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</si>
  <si>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</si>
  <si>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</si>
  <si>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</si>
  <si>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</si>
  <si>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</si>
  <si>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</si>
  <si>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</si>
  <si>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</si>
  <si>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</si>
  <si>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</si>
  <si>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</si>
  <si>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</si>
  <si>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</si>
  <si>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</si>
  <si>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</si>
  <si>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</si>
  <si>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</si>
  <si>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</si>
  <si>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</si>
  <si>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</si>
  <si>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</si>
  <si>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</si>
  <si>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</si>
  <si>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</si>
  <si>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</si>
  <si>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</si>
  <si>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</si>
  <si>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</si>
  <si>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</si>
  <si>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</si>
  <si>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</si>
  <si>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</si>
  <si>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</si>
  <si>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</si>
  <si>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</si>
  <si>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</si>
  <si>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</si>
  <si>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</si>
  <si>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</si>
  <si>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</si>
  <si>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</si>
  <si>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</si>
  <si>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</si>
  <si>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</si>
  <si>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</si>
  <si>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</si>
  <si>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</si>
  <si>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</si>
  <si>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</si>
  <si>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</si>
  <si>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</si>
  <si>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</si>
  <si>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</si>
  <si>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</si>
  <si>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</si>
  <si>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</si>
  <si>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</si>
  <si>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</si>
  <si>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</si>
  <si>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</si>
  <si>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</si>
  <si>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</si>
  <si>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</si>
  <si>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</si>
  <si>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</si>
  <si>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</si>
  <si>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</si>
  <si>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</si>
  <si>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</si>
  <si>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</si>
  <si>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</si>
  <si>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</si>
  <si>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</si>
  <si>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</si>
  <si>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</si>
  <si>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</si>
  <si>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</si>
  <si>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</si>
  <si>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</si>
  <si>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</si>
  <si>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</si>
  <si>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</si>
  <si>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</si>
  <si>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</si>
  <si>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</si>
  <si>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</si>
  <si>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</si>
  <si>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</si>
  <si>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</si>
  <si>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</si>
  <si>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</si>
  <si>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</si>
  <si>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</si>
  <si>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</si>
  <si>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</si>
  <si>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</si>
  <si>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</si>
  <si>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</si>
  <si>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</si>
  <si>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</si>
  <si>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</si>
  <si>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</si>
  <si>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</si>
  <si>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</si>
  <si>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</si>
  <si>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</si>
  <si>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</si>
  <si>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</si>
  <si>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</si>
  <si>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</si>
  <si>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</si>
  <si>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</si>
  <si>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</si>
  <si>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</si>
  <si>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</si>
  <si>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</si>
  <si>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</si>
  <si>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</si>
  <si>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</si>
  <si>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</si>
  <si>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</si>
  <si>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</si>
  <si>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</si>
  <si>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</si>
  <si>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</si>
  <si>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</si>
  <si>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</si>
  <si>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</si>
  <si>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</si>
  <si>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</si>
  <si>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</si>
  <si>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</si>
  <si>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</si>
  <si>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</si>
  <si>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</si>
  <si>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</si>
  <si>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</si>
  <si>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</si>
  <si>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</si>
  <si>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</si>
  <si>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</si>
  <si>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</si>
  <si>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</si>
  <si>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</si>
  <si>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</si>
  <si>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</si>
  <si>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</si>
  <si>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</si>
  <si>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</si>
  <si>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</si>
  <si>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</si>
  <si>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</si>
  <si>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</si>
  <si>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</si>
  <si>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</si>
  <si>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</si>
  <si>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</si>
  <si>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</si>
  <si>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</si>
  <si>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</si>
  <si>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</si>
  <si>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</si>
  <si>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</si>
  <si>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</si>
  <si>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</si>
  <si>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</si>
  <si>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</si>
  <si>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</si>
  <si>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</si>
  <si>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</si>
  <si>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</si>
  <si>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</si>
  <si>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</si>
  <si>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</si>
  <si>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</si>
  <si>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</si>
  <si>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</si>
  <si>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</si>
  <si>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</si>
  <si>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</si>
  <si>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</si>
  <si>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</si>
  <si>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</si>
  <si>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</si>
  <si>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</si>
  <si>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</si>
  <si>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</si>
  <si>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</si>
  <si>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</si>
  <si>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</si>
  <si>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</si>
  <si>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</si>
  <si>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</si>
  <si>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</si>
  <si>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</si>
  <si>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</si>
  <si>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</si>
  <si>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</si>
  <si>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</si>
  <si>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</si>
  <si>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</si>
  <si>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</si>
  <si>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</si>
  <si>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</si>
  <si>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</si>
  <si>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</si>
  <si>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</si>
  <si>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</si>
  <si>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</si>
  <si>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</si>
  <si>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</si>
  <si>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</si>
  <si>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</si>
  <si>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</si>
  <si>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</si>
  <si>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</si>
  <si>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</si>
  <si>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</si>
  <si>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</si>
  <si>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</si>
  <si>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</si>
  <si>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</si>
  <si>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</si>
  <si>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</si>
  <si>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</si>
  <si>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</si>
  <si>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</si>
  <si>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</si>
  <si>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</si>
  <si>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</si>
  <si>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</si>
  <si>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</si>
  <si>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</si>
  <si>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</si>
  <si>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</si>
  <si>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</si>
  <si>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</si>
  <si>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</si>
  <si>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</si>
  <si>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</si>
  <si>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</si>
  <si>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</si>
  <si>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</si>
  <si>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</si>
  <si>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</si>
  <si>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</si>
  <si>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</si>
  <si>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</si>
  <si>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</si>
  <si>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</si>
  <si>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</si>
  <si>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</si>
  <si>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</si>
  <si>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</si>
  <si>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</si>
  <si>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</si>
  <si>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</si>
  <si>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</si>
  <si>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</si>
  <si>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</si>
  <si>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</si>
  <si>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</si>
  <si>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</si>
  <si>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</si>
  <si>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</si>
  <si>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</si>
  <si>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</si>
  <si>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</si>
  <si>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</si>
  <si>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</si>
  <si>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</si>
  <si>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</si>
  <si>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</si>
  <si>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</si>
  <si>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</si>
  <si>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</si>
  <si>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</si>
  <si>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</si>
  <si>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</si>
  <si>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</si>
  <si>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</si>
  <si>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</si>
  <si>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</si>
  <si>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</si>
  <si>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</si>
  <si>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</si>
  <si>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</si>
  <si>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</si>
  <si>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</si>
  <si>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</si>
  <si>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</si>
  <si>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</si>
  <si>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</si>
  <si>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</si>
  <si>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</si>
  <si>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</si>
  <si>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</si>
  <si>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</si>
  <si>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</si>
  <si>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</si>
  <si>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</si>
  <si>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</si>
  <si>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</si>
  <si>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</si>
  <si>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</si>
  <si>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</si>
  <si>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</si>
  <si>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</si>
  <si>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</si>
  <si>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</si>
  <si>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</si>
  <si>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</si>
  <si>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</si>
  <si>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</si>
  <si>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</si>
  <si>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</si>
  <si>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</si>
  <si>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</si>
  <si>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</si>
  <si>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</si>
  <si>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</si>
  <si>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</si>
  <si>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</si>
  <si>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</si>
  <si>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</si>
  <si>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</si>
  <si>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</si>
  <si>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</si>
  <si>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</si>
  <si>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</si>
  <si>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</si>
  <si>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</si>
  <si>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</si>
  <si>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</si>
  <si>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</si>
  <si>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</si>
  <si>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</si>
  <si>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</si>
  <si>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</si>
  <si>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</si>
  <si>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</si>
  <si>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</si>
  <si>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</si>
  <si>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</si>
  <si>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</si>
  <si>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</si>
  <si>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</si>
  <si>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</si>
  <si>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</si>
  <si>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</si>
  <si>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</si>
  <si>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</si>
  <si>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</si>
  <si>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</si>
  <si>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</si>
  <si>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</si>
  <si>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</si>
  <si>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</si>
  <si>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</si>
  <si>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</si>
  <si>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</si>
  <si>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</si>
  <si>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</si>
  <si>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</si>
  <si>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</si>
  <si>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</si>
  <si>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</si>
  <si>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</si>
  <si>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</si>
  <si>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</si>
  <si>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</si>
  <si>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</si>
  <si>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</si>
  <si>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</si>
  <si>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</si>
  <si>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</si>
  <si>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</si>
  <si>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</si>
  <si>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</si>
  <si>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</si>
  <si>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</si>
  <si>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</si>
  <si>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</si>
  <si>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</si>
  <si>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</si>
  <si>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</si>
  <si>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</si>
  <si>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</si>
  <si>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</si>
  <si>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</si>
  <si>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</si>
  <si>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</si>
  <si>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</si>
  <si>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</si>
  <si>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</si>
  <si>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</si>
  <si>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</si>
  <si>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</si>
  <si>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</si>
  <si>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</si>
  <si>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</si>
  <si>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</si>
  <si>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</si>
  <si>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</si>
  <si>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</si>
  <si>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</si>
  <si>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</si>
  <si>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</si>
  <si>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</si>
  <si>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</si>
  <si>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</si>
  <si>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</si>
  <si>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</si>
  <si>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</si>
  <si>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</si>
  <si>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</si>
  <si>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</si>
  <si>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</si>
  <si>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</si>
  <si>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</si>
  <si>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</si>
  <si>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</si>
  <si>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</si>
  <si>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</si>
  <si>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</si>
  <si>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</si>
  <si>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</si>
  <si>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</si>
  <si>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</si>
  <si>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</si>
  <si>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</si>
  <si>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</si>
  <si>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</si>
  <si>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</si>
  <si>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</si>
  <si>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</si>
  <si>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</si>
  <si>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</si>
  <si>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</si>
  <si>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</si>
  <si>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</si>
  <si>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</si>
  <si>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</si>
  <si>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</si>
  <si>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</si>
  <si>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</si>
  <si>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</si>
  <si>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</si>
  <si>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</si>
  <si>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</si>
  <si>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</si>
  <si>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</si>
  <si>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</si>
  <si>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</si>
  <si>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</si>
  <si>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</si>
  <si>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</si>
  <si>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</si>
  <si>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</si>
  <si>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</si>
  <si>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</si>
  <si>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</si>
  <si>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</si>
  <si>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</si>
  <si>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</si>
  <si>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</si>
  <si>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</si>
  <si>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</si>
  <si>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</si>
  <si>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</si>
  <si>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</si>
  <si>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</si>
  <si>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</si>
  <si>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</si>
  <si>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</si>
  <si>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</si>
  <si>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</si>
  <si>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</si>
  <si>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</si>
  <si>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</si>
  <si>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</si>
  <si>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</si>
  <si>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</si>
  <si>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</si>
  <si>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</si>
  <si>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</si>
  <si>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</si>
  <si>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</si>
  <si>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</si>
  <si>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</si>
  <si>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</si>
  <si>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</si>
  <si>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</si>
  <si>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</si>
  <si>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</si>
  <si>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</si>
  <si>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</si>
  <si>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</si>
  <si>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</si>
  <si>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</si>
  <si>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</si>
  <si>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</si>
  <si>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</si>
  <si>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</si>
  <si>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</si>
  <si>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</si>
  <si>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</si>
  <si>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</si>
  <si>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</si>
  <si>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</si>
  <si>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</si>
  <si>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</si>
  <si>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</si>
  <si>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</si>
  <si>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</si>
  <si>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</si>
  <si>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</si>
  <si>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</si>
  <si>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</si>
  <si>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</si>
  <si>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</si>
  <si>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</si>
  <si>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</si>
  <si>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</si>
  <si>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</si>
  <si>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</si>
  <si>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</si>
  <si>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</si>
  <si>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</si>
  <si>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</si>
  <si>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</si>
  <si>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</si>
  <si>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</si>
  <si>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</si>
  <si>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</si>
  <si>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</si>
  <si>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</si>
  <si>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</si>
  <si>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</si>
  <si>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</si>
  <si>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</si>
  <si>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</si>
  <si>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</si>
  <si>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</si>
  <si>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</si>
  <si>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</si>
  <si>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</si>
  <si>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</si>
  <si>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</si>
  <si>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</si>
  <si>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</si>
  <si>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</si>
  <si>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</si>
  <si>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</si>
  <si>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</si>
  <si>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</si>
  <si>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</si>
  <si>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</si>
  <si>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</si>
  <si>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</si>
  <si>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</si>
  <si>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</si>
  <si>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</si>
  <si>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</si>
  <si>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</si>
  <si>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</si>
  <si>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</si>
  <si>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</si>
  <si>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</si>
  <si>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</si>
  <si>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</si>
  <si>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</si>
  <si>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</si>
  <si>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</si>
  <si>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</si>
  <si>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</si>
  <si>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</si>
  <si>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</si>
  <si>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</si>
  <si>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</si>
  <si>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</si>
  <si>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</si>
  <si>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</si>
  <si>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</si>
  <si>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</si>
  <si>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</si>
  <si>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</si>
  <si>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</si>
  <si>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</si>
  <si>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</si>
  <si>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</si>
  <si>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</si>
  <si>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</si>
  <si>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</si>
  <si>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</si>
  <si>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</si>
  <si>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</si>
  <si>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</si>
  <si>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</si>
  <si>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</si>
  <si>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</si>
  <si>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</si>
  <si>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</si>
  <si>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</si>
  <si>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</si>
  <si>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</si>
  <si>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</si>
  <si>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</si>
  <si>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</si>
  <si>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</si>
  <si>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</si>
  <si>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</si>
  <si>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</si>
  <si>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</si>
  <si>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</si>
  <si>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</si>
  <si>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</si>
  <si>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</si>
  <si>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</si>
  <si>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</si>
  <si>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</si>
  <si>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</si>
  <si>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</si>
  <si>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</si>
  <si>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</si>
  <si>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</si>
  <si>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</si>
  <si>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</si>
  <si>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</si>
  <si>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</si>
  <si>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</si>
  <si>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</si>
  <si>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</si>
  <si>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</si>
  <si>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</si>
  <si>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</si>
  <si>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</si>
  <si>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</si>
  <si>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</si>
  <si>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</si>
  <si>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</si>
  <si>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</si>
  <si>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</si>
  <si>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</si>
  <si>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</si>
  <si>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</si>
  <si>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</si>
  <si>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</si>
  <si>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</si>
  <si>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</si>
  <si>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</si>
  <si>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</si>
  <si>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</si>
  <si>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</si>
  <si>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</si>
  <si>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</si>
  <si>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</si>
  <si>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</si>
  <si>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</si>
  <si>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</si>
  <si>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</si>
  <si>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</si>
  <si>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</si>
  <si>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</si>
  <si>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</si>
  <si>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</si>
  <si>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</si>
  <si>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</si>
  <si>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</si>
  <si>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</si>
  <si>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</si>
  <si>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</si>
  <si>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</si>
  <si>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</si>
  <si>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</si>
  <si>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</si>
  <si>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</si>
  <si>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</si>
  <si>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</si>
  <si>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</si>
  <si>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</si>
  <si>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</si>
  <si>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</si>
  <si>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</si>
  <si>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</si>
  <si>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</si>
  <si>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</si>
  <si>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</si>
  <si>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</si>
  <si>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</si>
  <si>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</si>
  <si>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</si>
  <si>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</si>
  <si>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</si>
  <si>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</si>
  <si>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</si>
  <si>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</si>
  <si>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</si>
  <si>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</si>
  <si>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</si>
  <si>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</si>
  <si>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</si>
  <si>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</si>
  <si>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</si>
  <si>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</si>
  <si>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</si>
  <si>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</si>
  <si>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</si>
  <si>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</si>
  <si>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</si>
  <si>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</si>
  <si>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</si>
  <si>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</si>
  <si>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</si>
  <si>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</si>
  <si>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</si>
  <si>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</si>
  <si>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</si>
  <si>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</si>
  <si>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</si>
  <si>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</si>
  <si>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</si>
  <si>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</si>
  <si>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</si>
  <si>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</si>
  <si>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</si>
  <si>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</si>
  <si>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</si>
  <si>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</si>
  <si>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</si>
  <si>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</si>
  <si>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</si>
  <si>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</si>
  <si>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</si>
  <si>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</si>
  <si>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</si>
  <si>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</si>
  <si>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</si>
  <si>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</si>
  <si>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</si>
  <si>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</si>
  <si>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</si>
  <si>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</si>
  <si>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</si>
  <si>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</si>
  <si>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</si>
  <si>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</si>
  <si>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</si>
  <si>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</si>
  <si>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</si>
  <si>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</si>
  <si>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</si>
  <si>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</si>
  <si>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</si>
  <si>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</si>
  <si>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</si>
  <si>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</si>
  <si>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</si>
  <si>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</si>
  <si>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</si>
  <si>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</si>
  <si>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</si>
  <si>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</si>
  <si>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</si>
  <si>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</si>
  <si>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</si>
  <si>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</si>
  <si>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</si>
  <si>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</si>
  <si>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</si>
  <si>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</si>
  <si>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</si>
  <si>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</si>
  <si>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</si>
  <si>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</si>
  <si>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</si>
  <si>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</si>
  <si>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</si>
  <si>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</si>
  <si>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</si>
  <si>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</si>
  <si>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</si>
  <si>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</si>
  <si>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</si>
  <si>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</si>
  <si>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</si>
  <si>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</si>
  <si>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</si>
  <si>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</si>
  <si>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</si>
  <si>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</si>
  <si>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</si>
  <si>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</si>
  <si>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</si>
  <si>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</si>
  <si>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</si>
  <si>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</si>
  <si>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</si>
  <si>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</si>
  <si>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</si>
  <si>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</si>
  <si>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</si>
  <si>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</si>
  <si>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</si>
  <si>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</si>
  <si>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</si>
  <si>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</si>
  <si>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</si>
  <si>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</si>
  <si>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</si>
  <si>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</si>
  <si>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</si>
  <si>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</si>
  <si>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</si>
  <si>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</si>
  <si>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</si>
  <si>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</si>
  <si>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</si>
  <si>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</si>
  <si>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</si>
  <si>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</si>
  <si>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</si>
  <si>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</si>
  <si>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</si>
  <si>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</si>
  <si>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</si>
  <si>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</si>
  <si>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</si>
  <si>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</si>
  <si>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</si>
  <si>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</si>
  <si>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</si>
  <si>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</si>
  <si>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</si>
  <si>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</si>
  <si>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</si>
  <si>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</si>
  <si>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</si>
  <si>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</si>
  <si>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</si>
  <si>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</si>
  <si>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</si>
  <si>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</si>
  <si>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</si>
  <si>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</si>
  <si>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</si>
  <si>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</si>
  <si>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</si>
  <si>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</si>
  <si>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</si>
  <si>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</si>
  <si>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</si>
  <si>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</si>
  <si>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</si>
  <si>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</si>
  <si>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</si>
  <si>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</si>
  <si>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</si>
  <si>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</si>
  <si>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</si>
  <si>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</si>
  <si>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</si>
  <si>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</si>
  <si>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</si>
  <si>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</si>
  <si>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</si>
  <si>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</si>
  <si>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</si>
  <si>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</si>
  <si>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</si>
  <si>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</si>
  <si>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</si>
  <si>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</si>
  <si>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</si>
  <si>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</si>
  <si>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</si>
  <si>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</si>
  <si>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</si>
  <si>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</si>
  <si>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</si>
  <si>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</si>
  <si>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</si>
  <si>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</si>
  <si>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</si>
  <si>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</si>
  <si>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</si>
  <si>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</si>
  <si>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</si>
  <si>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</si>
  <si>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</si>
  <si>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</si>
  <si>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</si>
  <si>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</si>
  <si>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</si>
  <si>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</si>
  <si>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</si>
  <si>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</si>
  <si>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</si>
  <si>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</si>
  <si>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</si>
  <si>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</si>
  <si>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</si>
  <si>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</si>
  <si>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</si>
  <si>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</si>
  <si>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</si>
  <si>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</si>
  <si>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</si>
  <si>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</si>
  <si>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</si>
  <si>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</si>
  <si>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</si>
  <si>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</si>
  <si>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</si>
  <si>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</si>
  <si>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</si>
  <si>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</si>
  <si>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</si>
  <si>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</si>
  <si>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</si>
  <si>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</si>
  <si>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</si>
  <si>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</si>
  <si>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</si>
  <si>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</si>
  <si>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</si>
  <si>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</si>
  <si>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</si>
  <si>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</si>
  <si>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</si>
  <si>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</si>
  <si>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</si>
  <si>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</si>
  <si>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</si>
  <si>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</si>
  <si>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</si>
  <si>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</si>
  <si>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</si>
  <si>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</si>
  <si>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</si>
  <si>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</si>
  <si>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</si>
  <si>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</si>
  <si>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</si>
  <si>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</si>
  <si>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</si>
  <si>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</si>
  <si>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</si>
  <si>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</si>
  <si>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</si>
  <si>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</si>
  <si>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</si>
  <si>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</si>
  <si>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</si>
  <si>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</si>
  <si>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</si>
  <si>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</si>
  <si>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</si>
  <si>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</si>
  <si>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</si>
  <si>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</si>
  <si>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</si>
  <si>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</si>
  <si>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</si>
  <si>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</si>
  <si>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</si>
  <si>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</si>
  <si>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</si>
  <si>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</si>
  <si>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</si>
  <si>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</si>
  <si>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</si>
  <si>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</si>
  <si>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</si>
  <si>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</si>
  <si>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</si>
  <si>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</si>
  <si>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</si>
  <si>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</si>
  <si>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</si>
  <si>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</si>
  <si>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</si>
  <si>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</si>
  <si>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</si>
  <si>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</si>
  <si>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</si>
  <si>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</si>
  <si>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</si>
  <si>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</si>
  <si>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</si>
  <si>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</si>
  <si>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</si>
  <si>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</si>
  <si>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</si>
  <si>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</si>
  <si>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</si>
  <si>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</si>
  <si>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</si>
  <si>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</si>
  <si>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</si>
  <si>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</si>
  <si>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</si>
  <si>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</si>
  <si>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</si>
  <si>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</si>
  <si>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</si>
  <si>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</si>
  <si>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</si>
  <si>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</si>
  <si>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</si>
  <si>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</si>
  <si>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</si>
  <si>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</si>
  <si>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</si>
  <si>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</si>
  <si>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</si>
  <si>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</si>
  <si>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</si>
  <si>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</si>
  <si>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</si>
  <si>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</si>
  <si>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</si>
  <si>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</si>
  <si>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</si>
  <si>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</si>
  <si>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</si>
  <si>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</si>
  <si>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</si>
  <si>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</si>
  <si>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</si>
  <si>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</si>
  <si>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</si>
  <si>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</si>
  <si>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</si>
  <si>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</si>
  <si>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</si>
  <si>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</si>
  <si>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</si>
  <si>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</si>
  <si>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</si>
  <si>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</si>
  <si>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</si>
  <si>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</si>
  <si>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</si>
  <si>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</si>
  <si>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</si>
  <si>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</si>
  <si>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</si>
  <si>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</si>
  <si>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</si>
  <si>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</si>
  <si>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</si>
  <si>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</si>
  <si>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</si>
  <si>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</si>
  <si>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</si>
  <si>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</si>
  <si>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</si>
  <si>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</si>
  <si>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</si>
  <si>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</si>
  <si>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</si>
  <si>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</si>
  <si>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</si>
  <si>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</si>
  <si>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</si>
  <si>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</si>
  <si>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</si>
  <si>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</si>
  <si>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</si>
  <si>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</si>
  <si>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</si>
  <si>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</si>
  <si>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</si>
  <si>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</si>
  <si>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</si>
  <si>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</si>
  <si>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</si>
  <si>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</si>
  <si>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</si>
  <si>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</si>
  <si>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</si>
  <si>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</si>
  <si>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</si>
  <si>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</si>
  <si>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</si>
  <si>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</si>
  <si>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</si>
  <si>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</si>
  <si>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</si>
  <si>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</si>
  <si>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</si>
  <si>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</si>
  <si>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</si>
  <si>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</si>
  <si>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</si>
  <si>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</si>
  <si>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</si>
  <si>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</si>
  <si>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</si>
  <si>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</si>
  <si>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</si>
  <si>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</si>
  <si>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</si>
  <si>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</si>
  <si>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</si>
  <si>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</si>
  <si>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</si>
  <si>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</si>
  <si>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</si>
  <si>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</si>
  <si>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</si>
  <si>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</si>
  <si>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</si>
  <si>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</si>
  <si>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</si>
  <si>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</si>
  <si>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</si>
  <si>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</si>
  <si>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</si>
  <si>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</si>
  <si>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</si>
  <si>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</si>
  <si>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</si>
  <si>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</si>
  <si>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</si>
  <si>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</si>
  <si>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</si>
  <si>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</si>
  <si>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</si>
  <si>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</si>
  <si>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</si>
  <si>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</si>
  <si>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</si>
  <si>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</si>
  <si>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</si>
  <si>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</si>
  <si>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</si>
  <si>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</si>
  <si>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</si>
  <si>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</si>
  <si>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</si>
  <si>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</si>
  <si>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</si>
  <si>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</si>
  <si>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</si>
  <si>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</si>
  <si>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</si>
  <si>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</si>
  <si>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</si>
  <si>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</si>
  <si>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</si>
  <si>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</si>
  <si>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</si>
  <si>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</si>
  <si>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</si>
  <si>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</si>
  <si>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</si>
  <si>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</si>
  <si>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</si>
  <si>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</si>
  <si>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</si>
  <si>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</si>
  <si>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</si>
  <si>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</si>
  <si>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</si>
  <si>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</si>
  <si>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</si>
  <si>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</si>
  <si>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</si>
  <si>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</si>
  <si>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</si>
  <si>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</si>
  <si>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</si>
  <si>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</si>
  <si>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</si>
  <si>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</si>
  <si>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</si>
  <si>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</si>
  <si>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</si>
  <si>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</si>
  <si>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</si>
  <si>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</si>
  <si>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</si>
  <si>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</si>
  <si>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</si>
  <si>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</si>
  <si>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</si>
  <si>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</si>
  <si>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</si>
  <si>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</si>
  <si>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</si>
  <si>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</si>
  <si>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</si>
  <si>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</si>
  <si>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</si>
  <si>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</si>
  <si>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</si>
  <si>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</si>
  <si>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</si>
  <si>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</si>
  <si>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</si>
  <si>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</si>
  <si>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</si>
  <si>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</si>
  <si>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</si>
  <si>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</si>
  <si>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</si>
  <si>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</si>
  <si>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</si>
  <si>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</si>
  <si>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</si>
  <si>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</si>
  <si>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</si>
  <si>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</si>
  <si>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</si>
  <si>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</si>
  <si>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</si>
  <si>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</si>
  <si>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</si>
  <si>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</si>
  <si>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</si>
  <si>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</si>
  <si>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</si>
  <si>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</si>
  <si>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</si>
  <si>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</si>
  <si>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</si>
  <si>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</si>
  <si>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</si>
  <si>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</si>
  <si>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</si>
  <si>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</si>
  <si>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</si>
  <si>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</si>
  <si>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</si>
  <si>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</si>
  <si>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</si>
  <si>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</si>
  <si>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</si>
  <si>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</si>
  <si>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</si>
  <si>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</si>
  <si>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</si>
  <si>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</si>
  <si>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</si>
  <si>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</si>
  <si>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</si>
  <si>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</si>
  <si>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</si>
  <si>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</si>
  <si>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</si>
  <si>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</si>
  <si>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</si>
  <si>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</si>
  <si>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</si>
  <si>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</si>
  <si>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</si>
  <si>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</si>
  <si>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</si>
  <si>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</si>
  <si>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</si>
  <si>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</si>
  <si>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</si>
  <si>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</si>
  <si>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</si>
  <si>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</si>
  <si>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</si>
  <si>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</si>
  <si>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</si>
  <si>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</si>
  <si>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</si>
  <si>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</si>
  <si>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</si>
  <si>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</si>
  <si>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</si>
  <si>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</si>
  <si>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</si>
  <si>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</si>
  <si>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</si>
  <si>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</si>
  <si>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</si>
  <si>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</si>
  <si>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</si>
  <si>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</si>
  <si>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</si>
  <si>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</si>
  <si>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</si>
  <si>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</si>
  <si>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</si>
  <si>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</si>
  <si>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</si>
  <si>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</si>
  <si>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</si>
  <si>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</si>
  <si>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</si>
  <si>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</si>
  <si>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</si>
  <si>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</si>
  <si>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</si>
  <si>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</si>
  <si>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</si>
  <si>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</si>
  <si>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</si>
  <si>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</si>
  <si>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</si>
  <si>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</si>
  <si>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</si>
  <si>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</si>
  <si>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</si>
  <si>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</si>
  <si>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</si>
  <si>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</si>
  <si>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</si>
  <si>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</si>
  <si>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</si>
  <si>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</si>
  <si>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</si>
  <si>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</si>
  <si>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</si>
  <si>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</si>
  <si>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</si>
  <si>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</si>
  <si>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</si>
  <si>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</si>
  <si>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</si>
  <si>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</si>
  <si>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</si>
  <si>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</si>
  <si>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</si>
  <si>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</si>
  <si>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</si>
  <si>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</si>
  <si>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</si>
  <si>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</si>
  <si>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</si>
  <si>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</si>
  <si>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</si>
  <si>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</si>
  <si>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</si>
  <si>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</si>
  <si>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</si>
  <si>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</si>
  <si>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</si>
  <si>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</si>
  <si>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</si>
  <si>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</si>
  <si>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</si>
  <si>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</si>
  <si>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</si>
  <si>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</si>
  <si>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</si>
  <si>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</si>
  <si>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</si>
  <si>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</si>
  <si>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</si>
  <si>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</si>
  <si>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</si>
  <si>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</si>
  <si>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</si>
  <si>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</si>
  <si>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</si>
  <si>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</si>
  <si>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</si>
  <si>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</si>
  <si>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</si>
  <si>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</si>
  <si>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</si>
  <si>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</si>
  <si>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</si>
  <si>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</si>
  <si>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</si>
  <si>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</si>
  <si>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</si>
  <si>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</si>
  <si>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</si>
  <si>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</si>
  <si>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</si>
  <si>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</si>
  <si>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</si>
  <si>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</si>
  <si>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</si>
  <si>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</si>
  <si>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</si>
  <si>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</si>
  <si>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</si>
  <si>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</si>
  <si>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</si>
  <si>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</si>
  <si>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</si>
  <si>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</si>
  <si>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</si>
  <si>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</si>
  <si>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</si>
  <si>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</si>
  <si>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</si>
  <si>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</si>
  <si>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</si>
  <si>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</si>
  <si>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</si>
  <si>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</si>
  <si>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</si>
  <si>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</si>
  <si>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</si>
  <si>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</si>
  <si>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</si>
  <si>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</si>
  <si>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</si>
  <si>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</si>
  <si>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</si>
  <si>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</si>
  <si>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</si>
  <si>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</si>
  <si>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</si>
  <si>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</si>
  <si>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</si>
  <si>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</si>
  <si>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</si>
  <si>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</si>
  <si>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</si>
  <si>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</si>
  <si>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</si>
  <si>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</si>
  <si>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</si>
  <si>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</si>
  <si>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</si>
  <si>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</si>
  <si>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</si>
  <si>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</si>
  <si>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</si>
  <si>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</si>
  <si>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</si>
  <si>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</si>
  <si>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</si>
  <si>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</si>
  <si>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</si>
  <si>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</si>
  <si>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</si>
  <si>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</si>
  <si>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</si>
  <si>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</si>
  <si>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</si>
  <si>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</si>
  <si>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</si>
  <si>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</si>
  <si>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</si>
  <si>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</si>
  <si>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</si>
  <si>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</si>
  <si>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</si>
  <si>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</si>
  <si>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</si>
  <si>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</si>
  <si>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</si>
  <si>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</si>
  <si>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</si>
  <si>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</si>
  <si>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</si>
  <si>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</si>
  <si>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</si>
  <si>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</si>
  <si>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</si>
  <si>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</si>
  <si>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</si>
  <si>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</si>
  <si>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</si>
  <si>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</si>
  <si>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</si>
  <si>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</si>
  <si>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</si>
  <si>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</si>
  <si>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</si>
  <si>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</si>
  <si>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</si>
  <si>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</si>
  <si>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</si>
  <si>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</si>
  <si>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</si>
  <si>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</si>
  <si>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</si>
  <si>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</si>
  <si>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</si>
  <si>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</si>
  <si>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</si>
  <si>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</si>
  <si>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</si>
  <si>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</si>
  <si>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</si>
  <si>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</si>
  <si>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</si>
  <si>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</si>
  <si>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</si>
  <si>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</si>
  <si>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</si>
  <si>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</si>
  <si>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</si>
  <si>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</si>
  <si>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</si>
  <si>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</si>
  <si>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</si>
  <si>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</si>
  <si>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</si>
  <si>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</si>
  <si>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</si>
  <si>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</si>
  <si>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</si>
  <si>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</si>
  <si>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</si>
  <si>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</si>
  <si>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</si>
  <si>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</si>
  <si>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</si>
  <si>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</si>
  <si>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</si>
  <si>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</si>
  <si>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</si>
  <si>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</si>
  <si>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</si>
  <si>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</si>
  <si>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</si>
  <si>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</si>
  <si>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</si>
  <si>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</si>
  <si>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</si>
  <si>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</si>
  <si>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</si>
  <si>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</si>
  <si>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</si>
  <si>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</si>
  <si>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</si>
  <si>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</si>
  <si>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</si>
  <si>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</si>
  <si>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</si>
  <si>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</si>
  <si>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</si>
  <si>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</si>
  <si>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</si>
  <si>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</si>
  <si>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</si>
  <si>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</si>
  <si>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</si>
  <si>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</si>
  <si>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</si>
  <si>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</si>
  <si>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</si>
  <si>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</si>
  <si>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</si>
  <si>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</si>
  <si>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</si>
  <si>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</si>
  <si>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</si>
  <si>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</si>
  <si>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</si>
  <si>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</si>
  <si>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</si>
  <si>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</si>
  <si>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</si>
  <si>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</si>
  <si>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</si>
  <si>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</si>
  <si>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</si>
  <si>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</si>
  <si>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</si>
  <si>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</si>
  <si>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</si>
  <si>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</si>
  <si>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</si>
  <si>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</si>
  <si>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</si>
  <si>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</si>
  <si>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</si>
  <si>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</si>
  <si>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</si>
  <si>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</si>
  <si>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</si>
  <si>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</si>
  <si>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</si>
  <si>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</si>
  <si>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</si>
  <si>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</si>
  <si>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</si>
  <si>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</si>
  <si>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</si>
  <si>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</si>
  <si>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</si>
  <si>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</si>
  <si>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</si>
  <si>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</si>
  <si>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</si>
  <si>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</si>
  <si>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</si>
  <si>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</si>
  <si>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</si>
  <si>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</si>
  <si>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</si>
  <si>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</si>
  <si>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</si>
  <si>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</si>
  <si>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</si>
  <si>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</si>
  <si>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</si>
  <si>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</si>
  <si>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</si>
  <si>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</si>
  <si>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</si>
  <si>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</si>
  <si>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</si>
  <si>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</si>
  <si>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</si>
  <si>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</si>
  <si>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</si>
  <si>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</si>
  <si>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</si>
  <si>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</si>
  <si>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</si>
  <si>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</si>
  <si>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</si>
  <si>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</si>
  <si>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</si>
  <si>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</si>
  <si>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</si>
  <si>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</si>
  <si>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</si>
  <si>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</si>
  <si>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</si>
  <si>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</si>
  <si>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</si>
  <si>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</si>
  <si>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</si>
  <si>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</si>
  <si>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</si>
  <si>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</si>
  <si>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</si>
  <si>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</si>
  <si>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</si>
  <si>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</si>
  <si>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</si>
  <si>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</si>
  <si>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</si>
  <si>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</si>
  <si>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</si>
  <si>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</si>
  <si>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</si>
  <si>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</si>
  <si>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</si>
  <si>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</si>
  <si>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</si>
  <si>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</si>
  <si>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</si>
  <si>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</si>
  <si>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</si>
  <si>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</si>
  <si>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</si>
  <si>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</si>
  <si>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</si>
  <si>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</si>
  <si>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</si>
  <si>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</si>
  <si>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</si>
  <si>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</si>
  <si>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</si>
  <si>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</si>
  <si>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</si>
  <si>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</si>
  <si>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</si>
  <si>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</si>
  <si>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</si>
  <si>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</si>
  <si>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</si>
  <si>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</si>
  <si>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</si>
  <si>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</si>
  <si>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</si>
  <si>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</si>
  <si>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</si>
  <si>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</si>
  <si>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</si>
  <si>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</si>
  <si>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</si>
  <si>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</si>
  <si>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</si>
  <si>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</si>
  <si>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</si>
  <si>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</si>
  <si>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</si>
  <si>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</si>
  <si>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</si>
  <si>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</si>
  <si>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</si>
  <si>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</si>
  <si>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</si>
  <si>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</si>
  <si>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</si>
  <si>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</si>
  <si>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</si>
  <si>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</si>
  <si>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</si>
  <si>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</si>
  <si>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</si>
  <si>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</si>
  <si>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</si>
  <si>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</si>
  <si>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</si>
  <si>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</si>
  <si>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</si>
  <si>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</si>
  <si>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</si>
  <si>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</si>
  <si>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</si>
  <si>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</si>
  <si>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</si>
  <si>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</si>
  <si>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</si>
  <si>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</si>
  <si>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</si>
  <si>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</si>
  <si>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</si>
  <si>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</si>
  <si>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</si>
  <si>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</si>
  <si>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</si>
  <si>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</si>
  <si>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</si>
  <si>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</si>
  <si>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</si>
  <si>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</si>
  <si>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</si>
  <si>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</si>
  <si>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</si>
  <si>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</si>
  <si>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</si>
  <si>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</si>
  <si>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</si>
  <si>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</si>
  <si>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</si>
  <si>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</si>
  <si>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</si>
  <si>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</si>
  <si>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</si>
  <si>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</si>
  <si>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</si>
  <si>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</si>
  <si>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</si>
  <si>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</si>
  <si>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</si>
  <si>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</si>
  <si>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</si>
  <si>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</si>
  <si>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</si>
  <si>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</si>
  <si>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</si>
  <si>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</si>
  <si>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</si>
  <si>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</si>
  <si>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</si>
  <si>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</si>
  <si>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</si>
  <si>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</si>
  <si>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</si>
  <si>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</si>
  <si>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</si>
  <si>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</si>
  <si>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</si>
  <si>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</si>
  <si>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</si>
  <si>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</si>
  <si>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</si>
  <si>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</si>
  <si>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</si>
  <si>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</si>
  <si>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</si>
  <si>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</si>
  <si>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</si>
  <si>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</si>
  <si>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</si>
  <si>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</si>
  <si>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</si>
  <si>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</si>
  <si>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</si>
  <si>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</si>
  <si>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</si>
  <si>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</si>
  <si>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</si>
  <si>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</si>
  <si>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</si>
  <si>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</si>
  <si>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</si>
  <si>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</si>
  <si>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</si>
  <si>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</si>
  <si>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</si>
  <si>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</si>
  <si>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</si>
  <si>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</si>
  <si>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</si>
  <si>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</si>
  <si>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</si>
  <si>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</si>
  <si>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</si>
  <si>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</si>
  <si>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</si>
  <si>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</si>
  <si>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</si>
  <si>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</si>
  <si>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</si>
  <si>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</si>
  <si>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</si>
  <si>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</si>
  <si>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</si>
  <si>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</si>
  <si>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</si>
  <si>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</si>
  <si>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</si>
  <si>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</si>
  <si>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</si>
  <si>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</si>
  <si>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</si>
  <si>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</si>
  <si>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</si>
  <si>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</si>
  <si>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</si>
  <si>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</si>
  <si>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</si>
  <si>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</si>
  <si>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</si>
  <si>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</si>
  <si>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</si>
  <si>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</si>
  <si>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</si>
  <si>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</si>
  <si>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</si>
  <si>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</si>
  <si>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</si>
  <si>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</si>
  <si>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</si>
  <si>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</si>
  <si>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</si>
  <si>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</si>
  <si>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</si>
  <si>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</si>
  <si>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</si>
  <si>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</si>
  <si>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</si>
  <si>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</si>
  <si>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</si>
  <si>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</si>
  <si>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</si>
  <si>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</si>
  <si>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</si>
  <si>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</si>
  <si>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</si>
  <si>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</si>
  <si>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</si>
  <si>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</si>
  <si>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</si>
  <si>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</si>
  <si>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</si>
  <si>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</si>
  <si>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</si>
  <si>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</si>
  <si>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</si>
  <si>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</si>
  <si>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</si>
  <si>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</si>
  <si>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</si>
  <si>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</si>
  <si>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</si>
  <si>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</si>
  <si>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</si>
  <si>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</si>
  <si>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</si>
  <si>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</si>
  <si>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</si>
  <si>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</si>
  <si>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</si>
  <si>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</si>
  <si>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</si>
  <si>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</si>
  <si>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</si>
  <si>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</si>
  <si>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</si>
  <si>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</si>
  <si>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</si>
  <si>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</si>
  <si>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</si>
  <si>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</si>
  <si>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</si>
  <si>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</si>
  <si>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</si>
  <si>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</si>
  <si>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</si>
  <si>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</si>
  <si>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</si>
  <si>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</si>
  <si>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</si>
  <si>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</si>
  <si>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</si>
  <si>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</si>
  <si>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</si>
  <si>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</si>
  <si>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</si>
  <si>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</si>
  <si>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</si>
  <si>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</si>
  <si>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</si>
  <si>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</si>
  <si>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</si>
  <si>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</si>
  <si>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</si>
  <si>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</si>
  <si>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</si>
  <si>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</si>
  <si>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</si>
  <si>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</si>
  <si>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</si>
  <si>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</si>
  <si>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</si>
  <si>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</si>
  <si>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</si>
  <si>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</si>
  <si>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</si>
  <si>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</si>
  <si>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</si>
  <si>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</si>
  <si>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</si>
  <si>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</si>
  <si>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</si>
  <si>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</si>
  <si>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</si>
  <si>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</si>
  <si>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</si>
  <si>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</si>
  <si>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</si>
  <si>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</si>
  <si>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</si>
  <si>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</si>
  <si>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</si>
  <si>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</si>
  <si>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</si>
  <si>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</si>
  <si>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</si>
  <si>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</si>
  <si>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</si>
  <si>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</si>
  <si>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</si>
  <si>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</si>
  <si>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</si>
  <si>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</si>
  <si>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</si>
  <si>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</si>
  <si>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</si>
  <si>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</si>
  <si>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</si>
  <si>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</si>
  <si>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</si>
  <si>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</si>
  <si>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</si>
  <si>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</si>
  <si>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</si>
  <si>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</si>
  <si>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</si>
  <si>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</si>
  <si>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</si>
  <si>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</si>
  <si>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</si>
  <si>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</si>
  <si>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</si>
  <si>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</si>
  <si>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</si>
  <si>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</si>
  <si>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</si>
  <si>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</si>
  <si>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</si>
  <si>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</si>
  <si>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</si>
  <si>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</si>
  <si>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</si>
  <si>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</si>
  <si>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</si>
  <si>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</si>
  <si>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</si>
  <si>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</si>
  <si>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</si>
  <si>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</si>
  <si>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</si>
  <si>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</si>
  <si>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</si>
  <si>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</si>
  <si>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</si>
  <si>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</si>
  <si>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</si>
  <si>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</si>
  <si>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</si>
  <si>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</si>
  <si>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</si>
  <si>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</si>
  <si>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</si>
  <si>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</si>
  <si>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</si>
  <si>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</si>
  <si>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</si>
  <si>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</si>
  <si>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</si>
  <si>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</si>
  <si>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</si>
  <si>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</si>
  <si>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</si>
  <si>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</si>
  <si>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</si>
  <si>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</si>
  <si>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</si>
  <si>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</si>
  <si>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</si>
  <si>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</si>
  <si>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</si>
  <si>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</si>
  <si>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</si>
  <si>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</si>
  <si>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</si>
  <si>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</si>
  <si>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</si>
  <si>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</si>
  <si>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</si>
  <si>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</si>
  <si>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</si>
  <si>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</si>
  <si>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</si>
  <si>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</si>
  <si>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</si>
  <si>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</si>
  <si>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</si>
  <si>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</si>
  <si>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</si>
  <si>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</si>
  <si>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</si>
  <si>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</si>
  <si>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</si>
  <si>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</si>
  <si>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</si>
  <si>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</si>
  <si>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</si>
  <si>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</si>
  <si>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</si>
  <si>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</si>
  <si>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</si>
  <si>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</si>
  <si>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</si>
  <si>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</si>
  <si>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</si>
  <si>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</si>
  <si>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</si>
  <si>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</si>
  <si>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</si>
  <si>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</si>
  <si>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</si>
  <si>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</si>
  <si>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</si>
  <si>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</si>
  <si>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</si>
  <si>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</si>
  <si>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</si>
  <si>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</si>
  <si>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</si>
  <si>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</si>
  <si>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</si>
  <si>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</si>
  <si>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</si>
  <si>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</si>
  <si>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</si>
  <si>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</si>
  <si>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</si>
  <si>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</si>
  <si>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</si>
  <si>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</si>
  <si>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</si>
  <si>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</si>
  <si>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</si>
  <si>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</si>
  <si>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</si>
  <si>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</si>
  <si>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</si>
  <si>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</si>
  <si>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</si>
  <si>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</si>
  <si>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</si>
  <si>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</si>
  <si>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</si>
  <si>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</si>
  <si>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</si>
  <si>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</si>
  <si>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</si>
  <si>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</si>
  <si>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</si>
  <si>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</si>
  <si>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</si>
  <si>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</si>
  <si>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</si>
  <si>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</si>
  <si>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</si>
  <si>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</si>
  <si>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</si>
  <si>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</si>
  <si>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</si>
  <si>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</si>
  <si>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</si>
  <si>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</si>
  <si>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</si>
  <si>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</si>
  <si>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</si>
  <si>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</si>
  <si>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</si>
  <si>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</si>
  <si>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</si>
  <si>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</si>
  <si>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</si>
  <si>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</si>
  <si>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</si>
  <si>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</si>
  <si>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</si>
  <si>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</si>
  <si>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</si>
  <si>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</si>
  <si>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</si>
  <si>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</si>
  <si>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</si>
  <si>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</si>
  <si>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</si>
  <si>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</si>
  <si>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</si>
  <si>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</si>
  <si>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</si>
  <si>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</si>
  <si>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</si>
  <si>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</si>
  <si>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</si>
  <si>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</si>
  <si>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</si>
  <si>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</si>
  <si>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</si>
  <si>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</si>
  <si>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</si>
  <si>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</si>
  <si>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</si>
  <si>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</si>
  <si>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</si>
  <si>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</si>
  <si>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</si>
  <si>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</si>
  <si>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</si>
  <si>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</si>
  <si>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</si>
  <si>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</si>
  <si>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</si>
  <si>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</si>
  <si>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</si>
  <si>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</si>
  <si>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</si>
  <si>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</si>
  <si>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</si>
  <si>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</si>
  <si>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</si>
  <si>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</si>
  <si>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</si>
  <si>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</si>
  <si>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</si>
  <si>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</si>
  <si>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</si>
  <si>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</si>
  <si>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</si>
  <si>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</si>
  <si>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</si>
  <si>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</si>
  <si>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</si>
  <si>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</si>
  <si>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</si>
  <si>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</si>
  <si>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</si>
  <si>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</si>
  <si>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</si>
  <si>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</si>
  <si>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</si>
  <si>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</si>
  <si>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</si>
  <si>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</si>
  <si>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</si>
  <si>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</si>
  <si>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</si>
  <si>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</si>
  <si>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</si>
  <si>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</si>
  <si>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</si>
  <si>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</si>
  <si>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</si>
  <si>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</si>
  <si>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</si>
  <si>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</si>
  <si>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</si>
  <si>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</si>
  <si>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</si>
  <si>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</si>
  <si>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</si>
  <si>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</si>
  <si>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</si>
  <si>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</si>
  <si>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</si>
  <si>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</si>
  <si>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</si>
  <si>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</si>
  <si>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</si>
  <si>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</si>
  <si>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</si>
  <si>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</si>
  <si>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</si>
  <si>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</si>
  <si>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</si>
  <si>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</si>
  <si>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</si>
  <si>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</si>
  <si>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</si>
  <si>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</si>
  <si>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</si>
  <si>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</si>
  <si>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</si>
  <si>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</si>
  <si>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</si>
  <si>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</si>
  <si>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</si>
  <si>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</si>
  <si>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</si>
  <si>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</si>
  <si>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</si>
  <si>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</si>
  <si>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</si>
  <si>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</si>
  <si>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</si>
  <si>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</si>
  <si>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</si>
  <si>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</si>
  <si>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</si>
  <si>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</si>
  <si>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</si>
  <si>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</si>
  <si>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</si>
  <si>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</si>
  <si>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</si>
  <si>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</si>
  <si>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</si>
  <si>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</si>
  <si>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</si>
  <si>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</si>
  <si>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</si>
  <si>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</si>
  <si>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</si>
  <si>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</si>
  <si>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</si>
  <si>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</si>
  <si>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</si>
  <si>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</si>
  <si>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</si>
  <si>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</si>
  <si>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</si>
  <si>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</si>
  <si>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</si>
  <si>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</si>
  <si>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</si>
  <si>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</si>
  <si>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</si>
  <si>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</si>
  <si>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</si>
  <si>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</si>
  <si>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</si>
  <si>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</si>
  <si>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</si>
  <si>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</si>
  <si>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</si>
  <si>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</si>
  <si>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</si>
  <si>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</si>
  <si>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</si>
  <si>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</si>
  <si>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</si>
  <si>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</si>
  <si>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</si>
  <si>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</si>
  <si>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</si>
  <si>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</si>
  <si>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</si>
  <si>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</si>
  <si>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</si>
  <si>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</si>
  <si>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</si>
  <si>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</si>
  <si>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</si>
  <si>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</si>
  <si>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</si>
  <si>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</si>
  <si>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</si>
  <si>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</si>
  <si>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</si>
  <si>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</si>
  <si>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</si>
  <si>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</si>
  <si>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</si>
  <si>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</si>
  <si>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</si>
  <si>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</si>
  <si>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</si>
  <si>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</si>
  <si>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</si>
  <si>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</si>
  <si>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</si>
  <si>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</si>
  <si>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</si>
  <si>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</si>
  <si>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</si>
  <si>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</si>
  <si>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</si>
  <si>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</si>
  <si>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</si>
  <si>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</si>
  <si>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</si>
  <si>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</si>
  <si>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</si>
  <si>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</si>
  <si>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</si>
  <si>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</si>
  <si>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</si>
  <si>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</si>
  <si>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</si>
  <si>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</si>
  <si>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</si>
  <si>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</si>
  <si>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</si>
  <si>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</si>
  <si>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</si>
  <si>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</si>
  <si>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</si>
  <si>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</si>
  <si>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</si>
  <si>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</si>
  <si>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</si>
  <si>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</si>
  <si>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</si>
  <si>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</si>
  <si>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</si>
  <si>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</si>
  <si>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</si>
  <si>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</si>
  <si>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</si>
  <si>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</si>
  <si>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</si>
  <si>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</si>
  <si>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</si>
  <si>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</si>
  <si>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</si>
  <si>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</si>
  <si>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</si>
  <si>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</si>
  <si>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</si>
  <si>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</si>
  <si>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</si>
  <si>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</si>
  <si>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</si>
  <si>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</si>
  <si>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</si>
  <si>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</si>
  <si>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</si>
  <si>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</si>
  <si>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</si>
  <si>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</si>
  <si>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</si>
  <si>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</si>
  <si>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</si>
  <si>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</si>
  <si>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</si>
  <si>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</si>
  <si>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</si>
  <si>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</si>
  <si>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</si>
  <si>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</si>
  <si>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</si>
  <si>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</si>
  <si>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</si>
  <si>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</si>
  <si>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</si>
  <si>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</si>
  <si>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</si>
  <si>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</si>
  <si>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</si>
  <si>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</si>
  <si>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</si>
  <si>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</si>
  <si>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</si>
  <si>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</si>
  <si>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</si>
  <si>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</si>
  <si>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</si>
  <si>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</si>
  <si>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</si>
  <si>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</si>
  <si>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</si>
  <si>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</si>
  <si>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</si>
  <si>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</si>
  <si>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</si>
  <si>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</si>
  <si>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</si>
  <si>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</si>
  <si>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</si>
  <si>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</si>
  <si>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</si>
  <si>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</si>
  <si>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</si>
  <si>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</si>
  <si>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</si>
  <si>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</si>
  <si>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</si>
  <si>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</si>
  <si>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</si>
  <si>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</si>
  <si>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</si>
  <si>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</si>
  <si>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</si>
  <si>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</si>
  <si>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</si>
  <si>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</si>
  <si>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</si>
  <si>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</si>
  <si>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</si>
  <si>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</si>
  <si>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</si>
  <si>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</si>
  <si>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</si>
  <si>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</si>
  <si>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</si>
  <si>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</si>
  <si>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</si>
  <si>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</si>
  <si>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</si>
  <si>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</si>
  <si>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</si>
  <si>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</si>
  <si>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</si>
  <si>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</si>
  <si>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</si>
  <si>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</si>
  <si>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</si>
  <si>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</si>
  <si>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</si>
  <si>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</si>
  <si>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</si>
  <si>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</si>
  <si>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</si>
  <si>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</si>
  <si>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</si>
  <si>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</si>
  <si>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</si>
  <si>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</si>
  <si>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</si>
  <si>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</si>
  <si>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</si>
  <si>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</si>
  <si>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</si>
  <si>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</si>
  <si>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</si>
  <si>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</si>
  <si>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</si>
  <si>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</si>
  <si>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</si>
  <si>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</si>
  <si>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</si>
  <si>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</si>
  <si>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</si>
  <si>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</si>
  <si>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</si>
  <si>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</si>
  <si>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</si>
  <si>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</si>
  <si>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</si>
  <si>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</si>
  <si>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</si>
  <si>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</si>
  <si>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</si>
  <si>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</si>
  <si>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</si>
  <si>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</si>
  <si>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</si>
  <si>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</si>
  <si>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</si>
  <si>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</si>
  <si>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</si>
  <si>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</si>
  <si>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</si>
  <si>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</si>
  <si>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</si>
  <si>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</si>
  <si>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</si>
  <si>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</si>
  <si>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</si>
  <si>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</si>
  <si>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</si>
  <si>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</si>
  <si>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</si>
  <si>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</si>
  <si>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</si>
  <si>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</si>
  <si>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</si>
  <si>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</si>
  <si>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</si>
  <si>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</si>
  <si>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</si>
  <si>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</si>
  <si>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</si>
  <si>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</si>
  <si>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</si>
  <si>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</si>
  <si>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</si>
  <si>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</si>
  <si>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</si>
  <si>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</si>
  <si>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</si>
  <si>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</si>
  <si>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</si>
  <si>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</si>
  <si>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</si>
  <si>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</si>
  <si>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</si>
  <si>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</si>
  <si>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</si>
  <si>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</si>
  <si>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</si>
  <si>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</si>
  <si>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</si>
  <si>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</si>
  <si>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</si>
  <si>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</si>
  <si>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</si>
  <si>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</si>
  <si>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</si>
  <si>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</si>
  <si>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</si>
  <si>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</si>
  <si>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</si>
  <si>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</si>
  <si>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</si>
  <si>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</si>
  <si>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</si>
  <si>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</si>
  <si>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</si>
  <si>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</si>
  <si>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</si>
  <si>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</si>
  <si>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</si>
  <si>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</si>
  <si>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</si>
  <si>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</si>
  <si>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</si>
  <si>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</si>
  <si>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</si>
  <si>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</si>
  <si>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</si>
  <si>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</si>
  <si>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</si>
  <si>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</si>
  <si>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</si>
  <si>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</si>
  <si>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</si>
  <si>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</si>
  <si>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</si>
  <si>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</si>
  <si>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</si>
  <si>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</si>
  <si>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</si>
  <si>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</si>
  <si>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</si>
  <si>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</si>
  <si>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</si>
  <si>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</si>
  <si>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</si>
  <si>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</si>
  <si>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</si>
  <si>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</si>
  <si>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</si>
  <si>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</si>
  <si>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</si>
  <si>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</si>
  <si>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</si>
  <si>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</si>
  <si>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</si>
  <si>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</si>
  <si>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</si>
  <si>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</si>
  <si>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</si>
  <si>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</si>
  <si>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</si>
  <si>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</si>
  <si>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</si>
  <si>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</si>
  <si>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</si>
  <si>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</si>
  <si>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</si>
  <si>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</si>
  <si>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</si>
  <si>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</si>
  <si>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</si>
  <si>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</si>
  <si>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</si>
  <si>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</si>
  <si>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</si>
  <si>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</si>
  <si>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</si>
  <si>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</si>
  <si>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</si>
  <si>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</si>
  <si>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</si>
  <si>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</si>
  <si>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</si>
  <si>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</si>
  <si>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</si>
  <si>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</si>
  <si>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</si>
  <si>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</si>
  <si>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</si>
  <si>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</si>
  <si>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</si>
  <si>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</si>
  <si>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</si>
  <si>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</si>
  <si>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</si>
  <si>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</si>
  <si>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</si>
  <si>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</si>
  <si>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</si>
  <si>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</si>
  <si>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</si>
  <si>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</si>
  <si>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</si>
  <si>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</si>
  <si>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</si>
  <si>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</si>
  <si>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</si>
  <si>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</si>
  <si>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</si>
  <si>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</si>
  <si>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</si>
  <si>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</si>
  <si>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</si>
  <si>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</si>
  <si>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</si>
  <si>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</si>
  <si>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</si>
  <si>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</si>
  <si>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</si>
  <si>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</si>
  <si>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</si>
  <si>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</si>
  <si>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</si>
  <si>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</si>
  <si>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</si>
  <si>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</si>
  <si>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</si>
  <si>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</si>
  <si>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</si>
  <si>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</si>
  <si>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</si>
  <si>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</si>
  <si>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</si>
  <si>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</si>
  <si>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</si>
  <si>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</si>
  <si>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</si>
  <si>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</si>
  <si>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</si>
  <si>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</si>
  <si>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</si>
  <si>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</si>
  <si>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</si>
  <si>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</si>
  <si>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</si>
  <si>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</si>
  <si>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</si>
  <si>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</si>
  <si>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</si>
  <si>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</si>
  <si>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</si>
  <si>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</si>
  <si>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</si>
  <si>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</si>
  <si>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</si>
  <si>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</si>
  <si>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</si>
  <si>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</si>
  <si>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</si>
  <si>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</si>
  <si>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</si>
  <si>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</si>
  <si>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</si>
  <si>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</si>
  <si>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</si>
  <si>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</si>
  <si>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</si>
  <si>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</si>
  <si>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</si>
  <si>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</si>
  <si>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</si>
  <si>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</si>
  <si>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</si>
  <si>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</si>
  <si>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</si>
  <si>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</si>
  <si>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</si>
  <si>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</si>
  <si>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</si>
  <si>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</si>
  <si>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</si>
  <si>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</si>
  <si>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</si>
  <si>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</si>
  <si>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</si>
  <si>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</si>
  <si>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</si>
  <si>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</si>
  <si>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</si>
  <si>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</si>
  <si>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</si>
  <si>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</si>
  <si>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</si>
  <si>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</si>
  <si>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</si>
  <si>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</si>
  <si>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</si>
  <si>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</si>
  <si>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</si>
  <si>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</si>
  <si>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</si>
  <si>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</si>
  <si>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</si>
  <si>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</si>
  <si>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</si>
  <si>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</si>
  <si>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</si>
  <si>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</si>
  <si>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</si>
  <si>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</si>
  <si>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</si>
  <si>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</si>
  <si>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</si>
  <si>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</si>
  <si>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</si>
  <si>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</si>
  <si>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</si>
  <si>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</si>
  <si>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</si>
  <si>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</si>
  <si>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</si>
  <si>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</si>
  <si>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</si>
  <si>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</si>
  <si>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</si>
  <si>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</si>
  <si>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</si>
  <si>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</si>
  <si>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</si>
  <si>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</si>
  <si>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</si>
  <si>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</si>
  <si>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</si>
  <si>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</si>
  <si>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</si>
  <si>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</si>
  <si>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</si>
  <si>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</si>
  <si>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</si>
  <si>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</si>
  <si>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</si>
  <si>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</si>
  <si>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</si>
  <si>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</si>
  <si>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</si>
  <si>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</si>
  <si>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</si>
  <si>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</si>
  <si>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</si>
  <si>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</si>
  <si>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</si>
  <si>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</si>
  <si>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</si>
  <si>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</si>
  <si>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</si>
  <si>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</si>
  <si>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</si>
  <si>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</si>
  <si>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</si>
  <si>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</si>
  <si>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</si>
  <si>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</si>
  <si>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</si>
  <si>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</si>
  <si>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</si>
  <si>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</si>
  <si>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</si>
  <si>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</si>
  <si>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</si>
  <si>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</si>
  <si>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</si>
  <si>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</si>
  <si>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</si>
  <si>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</si>
  <si>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</si>
  <si>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</si>
  <si>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</si>
  <si>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</si>
  <si>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</si>
  <si>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</si>
  <si>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</si>
  <si>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</si>
  <si>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</si>
  <si>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</si>
  <si>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</si>
  <si>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</si>
  <si>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</si>
  <si>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</si>
  <si>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</si>
  <si>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</si>
  <si>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</si>
  <si>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</si>
  <si>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</si>
  <si>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</si>
  <si>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</si>
  <si>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</si>
  <si>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</si>
  <si>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</si>
  <si>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</si>
  <si>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</si>
  <si>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</si>
  <si>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</si>
  <si>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</si>
  <si>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</si>
  <si>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</si>
  <si>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</si>
  <si>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</si>
  <si>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</si>
  <si>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</si>
  <si>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</si>
  <si>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</si>
  <si>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</si>
  <si>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</si>
  <si>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</si>
  <si>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</si>
  <si>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</si>
  <si>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</si>
  <si>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</si>
  <si>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</si>
  <si>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</si>
  <si>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</si>
  <si>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</si>
  <si>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</si>
  <si>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</si>
  <si>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</si>
  <si>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</si>
  <si>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</si>
  <si>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</si>
  <si>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</si>
  <si>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</si>
  <si>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</si>
  <si>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</si>
  <si>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</si>
  <si>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</si>
  <si>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</si>
  <si>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</si>
  <si>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</si>
  <si>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</si>
  <si>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</si>
  <si>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</si>
  <si>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</si>
  <si>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</si>
  <si>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</si>
  <si>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</si>
  <si>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</si>
  <si>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</si>
  <si>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</si>
  <si>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</si>
  <si>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</si>
  <si>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</si>
  <si>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</si>
  <si>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</si>
  <si>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</si>
  <si>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</si>
  <si>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</si>
  <si>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</si>
  <si>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</si>
  <si>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</si>
  <si>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</si>
  <si>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</si>
  <si>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</si>
  <si>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</si>
  <si>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</si>
  <si>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</si>
  <si>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</si>
  <si>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</si>
  <si>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</si>
  <si>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</si>
  <si>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</si>
  <si>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</si>
  <si>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</si>
  <si>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</si>
  <si>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</si>
  <si>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</si>
  <si>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</si>
  <si>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</si>
  <si>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</si>
  <si>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</si>
  <si>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</si>
  <si>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</si>
  <si>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</si>
  <si>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</si>
  <si>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</si>
  <si>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</si>
  <si>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</si>
  <si>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</si>
  <si>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</si>
  <si>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</si>
  <si>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</si>
  <si>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</si>
  <si>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</si>
  <si>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</si>
  <si>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</si>
  <si>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</si>
  <si>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</si>
  <si>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</si>
  <si>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</si>
  <si>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</si>
  <si>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</si>
  <si>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</si>
  <si>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</si>
  <si>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</si>
  <si>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</si>
  <si>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</si>
  <si>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</si>
  <si>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</si>
  <si>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</si>
  <si>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</si>
  <si>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</si>
  <si>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</si>
  <si>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</si>
  <si>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</si>
  <si>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</si>
  <si>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</si>
  <si>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</si>
  <si>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</si>
  <si>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</si>
  <si>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</si>
  <si>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</si>
  <si>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</si>
  <si>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</si>
  <si>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</si>
  <si>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</si>
  <si>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</si>
  <si>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</si>
  <si>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</si>
  <si>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</si>
  <si>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</si>
  <si>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</si>
  <si>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</si>
  <si>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</si>
  <si>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</si>
  <si>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</si>
  <si>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</si>
  <si>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</si>
  <si>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</si>
  <si>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</si>
  <si>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</si>
  <si>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</si>
  <si>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</si>
  <si>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</si>
  <si>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</si>
  <si>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</si>
  <si>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</si>
  <si>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</si>
  <si>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</si>
  <si>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</si>
  <si>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</si>
  <si>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</si>
  <si>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</si>
  <si>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</si>
  <si>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</si>
  <si>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</si>
  <si>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</si>
  <si>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</si>
  <si>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</si>
  <si>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</si>
  <si>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</si>
  <si>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</si>
  <si>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</si>
  <si>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</si>
  <si>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</si>
  <si>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</si>
  <si>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</si>
  <si>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</si>
  <si>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</si>
  <si>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</si>
  <si>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</si>
  <si>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</si>
  <si>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</si>
  <si>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</si>
  <si>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</si>
  <si>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</si>
  <si>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</si>
  <si>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</si>
  <si>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</si>
  <si>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</si>
  <si>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</si>
  <si>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</si>
  <si>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</si>
  <si>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</si>
  <si>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</si>
  <si>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</si>
  <si>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</si>
  <si>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</si>
  <si>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</si>
  <si>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</si>
  <si>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</si>
  <si>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</si>
  <si>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</si>
  <si>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</si>
  <si>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</si>
  <si>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</si>
  <si>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</si>
  <si>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</si>
  <si>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</si>
  <si>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</si>
  <si>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</si>
  <si>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</si>
  <si>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</si>
  <si>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</si>
  <si>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</si>
  <si>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</si>
  <si>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</si>
  <si>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</si>
  <si>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</si>
  <si>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</si>
  <si>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</si>
  <si>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</si>
  <si>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</si>
  <si>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</si>
  <si>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</si>
  <si>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</si>
  <si>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</si>
  <si>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</si>
  <si>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</si>
  <si>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</si>
  <si>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</si>
  <si>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</si>
  <si>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</si>
  <si>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</si>
  <si>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</si>
  <si>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</si>
  <si>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</si>
  <si>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</si>
  <si>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</si>
  <si>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</si>
  <si>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</si>
  <si>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</si>
  <si>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</si>
  <si>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</si>
  <si>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</si>
  <si>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</si>
  <si>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</si>
  <si>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</si>
  <si>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</si>
  <si>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</si>
  <si>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</si>
  <si>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</si>
  <si>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</si>
  <si>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</si>
  <si>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</si>
  <si>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</si>
  <si>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</si>
  <si>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</si>
  <si>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</si>
  <si>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</si>
  <si>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</si>
  <si>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</si>
  <si>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</si>
  <si>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</si>
  <si>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</si>
  <si>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</si>
  <si>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</si>
  <si>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</si>
  <si>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</si>
  <si>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</si>
  <si>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</si>
  <si>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</si>
  <si>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</si>
  <si>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</si>
  <si>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</si>
  <si>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</si>
  <si>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</si>
  <si>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</si>
  <si>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</si>
  <si>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</si>
  <si>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</si>
  <si>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</si>
  <si>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</si>
  <si>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</si>
  <si>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</si>
  <si>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</si>
  <si>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</si>
  <si>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</si>
  <si>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</si>
  <si>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</si>
  <si>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</si>
  <si>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</si>
  <si>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</si>
  <si>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</si>
  <si>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</si>
  <si>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</si>
  <si>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</si>
  <si>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</si>
  <si>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</si>
  <si>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</si>
  <si>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</si>
  <si>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</si>
  <si>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</si>
  <si>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</si>
  <si>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</si>
  <si>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</si>
  <si>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</si>
  <si>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</si>
  <si>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</si>
  <si>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</si>
  <si>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</si>
  <si>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</si>
  <si>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</si>
  <si>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</si>
  <si>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</si>
  <si>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</si>
  <si>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</si>
  <si>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</si>
  <si>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</si>
  <si>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</si>
  <si>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</si>
  <si>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</si>
  <si>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</si>
  <si>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</si>
  <si>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</si>
  <si>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</si>
  <si>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</si>
  <si>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</si>
  <si>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</si>
  <si>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</si>
  <si>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</si>
  <si>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</si>
  <si>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</si>
  <si>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</si>
  <si>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</si>
  <si>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</si>
  <si>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</si>
  <si>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</si>
  <si>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</si>
  <si>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</si>
  <si>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</si>
  <si>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</si>
  <si>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</si>
  <si>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</si>
  <si>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</si>
  <si>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</si>
  <si>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</si>
  <si>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</si>
  <si>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</si>
  <si>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</si>
  <si>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</si>
  <si>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</si>
  <si>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</si>
  <si>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</si>
  <si>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</si>
  <si>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</si>
  <si>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</si>
  <si>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</si>
  <si>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</si>
  <si>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</si>
  <si>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</si>
  <si>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</si>
  <si>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</si>
  <si>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</si>
  <si>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</si>
  <si>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</si>
  <si>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</si>
  <si>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</si>
  <si>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</si>
  <si>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</si>
  <si>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</si>
  <si>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</si>
  <si>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</si>
  <si>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</si>
  <si>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</si>
  <si>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</si>
  <si>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</si>
  <si>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</si>
  <si>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</si>
  <si>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</si>
  <si>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</si>
  <si>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</si>
  <si>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</si>
  <si>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</si>
  <si>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</si>
  <si>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</si>
  <si>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</si>
  <si>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</si>
  <si>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</si>
  <si>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</si>
  <si>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</si>
  <si>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</si>
  <si>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</si>
  <si>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</si>
  <si>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</si>
  <si>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</si>
  <si>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</si>
  <si>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</si>
  <si>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</si>
  <si>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</si>
  <si>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</si>
  <si>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</si>
  <si>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</si>
  <si>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</si>
  <si>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</si>
  <si>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</si>
  <si>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</si>
  <si>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</si>
  <si>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</si>
  <si>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</si>
  <si>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</si>
  <si>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</si>
  <si>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</si>
  <si>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</si>
  <si>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</si>
  <si>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</si>
  <si>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</si>
  <si>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</si>
  <si>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</si>
  <si>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</si>
  <si>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</si>
  <si>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</si>
  <si>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</si>
  <si>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</si>
  <si>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</si>
  <si>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</si>
  <si>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</si>
  <si>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</si>
  <si>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</si>
  <si>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</si>
  <si>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</si>
  <si>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</si>
  <si>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</si>
  <si>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</si>
  <si>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</si>
  <si>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</si>
  <si>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</si>
  <si>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</si>
  <si>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</si>
  <si>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</si>
  <si>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</si>
  <si>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</si>
  <si>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</si>
  <si>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</si>
  <si>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</si>
  <si>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</si>
  <si>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</si>
  <si>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</si>
  <si>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</si>
  <si>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</si>
  <si>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</si>
  <si>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</si>
  <si>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</si>
  <si>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</si>
  <si>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</si>
  <si>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</si>
  <si>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</si>
  <si>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</si>
  <si>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</si>
  <si>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</si>
  <si>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</si>
  <si>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</si>
  <si>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</si>
  <si>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</si>
  <si>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</si>
  <si>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</si>
  <si>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</si>
  <si>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</si>
  <si>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</si>
  <si>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</si>
  <si>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</si>
  <si>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</si>
  <si>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</si>
  <si>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</si>
  <si>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</si>
  <si>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</si>
  <si>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</si>
  <si>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</si>
  <si>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</si>
  <si>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</si>
  <si>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</si>
  <si>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</si>
  <si>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</si>
  <si>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</si>
  <si>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</si>
  <si>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</si>
  <si>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</si>
  <si>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</si>
  <si>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</si>
  <si>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</si>
  <si>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</si>
  <si>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</si>
  <si>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</si>
  <si>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</si>
  <si>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</si>
  <si>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</si>
  <si>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</si>
  <si>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</si>
  <si>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</si>
  <si>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</si>
  <si>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</si>
  <si>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</si>
  <si>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</si>
  <si>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</si>
  <si>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</si>
  <si>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</si>
  <si>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</si>
  <si>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</si>
  <si>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</si>
  <si>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</si>
  <si>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</si>
  <si>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</si>
  <si>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</si>
  <si>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</si>
  <si>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</si>
  <si>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</si>
  <si>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</si>
  <si>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</si>
  <si>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</si>
  <si>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</si>
  <si>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</si>
  <si>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</si>
  <si>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</si>
  <si>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</si>
  <si>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</si>
  <si>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</si>
  <si>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</si>
  <si>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</si>
  <si>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</si>
  <si>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</si>
  <si>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</si>
  <si>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</si>
  <si>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</si>
  <si>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</si>
  <si>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</si>
  <si>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</si>
  <si>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</si>
  <si>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</si>
  <si>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</si>
  <si>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</si>
  <si>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</si>
  <si>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</si>
  <si>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</si>
  <si>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</si>
  <si>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</si>
  <si>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</si>
  <si>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</si>
  <si>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</si>
  <si>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</si>
  <si>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</si>
  <si>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</si>
  <si>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D. 400 - 1000</t>
  </si>
  <si>
    <t xml:space="preserve"> A. 1 - 50 </t>
  </si>
  <si>
    <t>E. 1000 +</t>
  </si>
  <si>
    <t>N/A</t>
  </si>
  <si>
    <t>Year</t>
  </si>
  <si>
    <t>F</t>
  </si>
  <si>
    <t>Sum of Non-EEA Total</t>
  </si>
  <si>
    <t>Sum of EEA total</t>
  </si>
  <si>
    <t>Sum of Dutch total</t>
  </si>
  <si>
    <t>Column Labels</t>
  </si>
  <si>
    <t>type</t>
  </si>
  <si>
    <t>All</t>
  </si>
  <si>
    <t>Count of Ratio Active Non-EEA</t>
  </si>
  <si>
    <t>Total number of associations</t>
  </si>
  <si>
    <t>Number of responses</t>
  </si>
  <si>
    <t>total_committee_members</t>
  </si>
  <si>
    <t>Batavierenrace commissie</t>
  </si>
  <si>
    <t>BeermileCie</t>
  </si>
  <si>
    <t>GucCie</t>
  </si>
  <si>
    <t xml:space="preserve">Kas Commissie </t>
  </si>
  <si>
    <t>VakanCie</t>
  </si>
  <si>
    <t>Toecie</t>
  </si>
  <si>
    <t>Feecie</t>
  </si>
  <si>
    <t>Barco</t>
  </si>
  <si>
    <t>Arriblad</t>
  </si>
  <si>
    <t>Drescie</t>
  </si>
  <si>
    <t>SuperCie</t>
  </si>
  <si>
    <t>AITCie</t>
  </si>
  <si>
    <t>MediCie</t>
  </si>
  <si>
    <t>Skate commissie</t>
  </si>
  <si>
    <t>PR committee</t>
  </si>
  <si>
    <t>Event committee</t>
  </si>
  <si>
    <t>Bar commissioner</t>
  </si>
  <si>
    <t>Merch Committee</t>
  </si>
  <si>
    <t>Little Acorn committee</t>
  </si>
  <si>
    <t>Kick In committee</t>
  </si>
  <si>
    <t>Lustrum commissie</t>
  </si>
  <si>
    <t>Almanak commissie</t>
  </si>
  <si>
    <t>LED commissie</t>
  </si>
  <si>
    <t>Welzijnscommissie</t>
  </si>
  <si>
    <t>C&amp;C-cie Club en Compo weekend</t>
  </si>
  <si>
    <t>VVVcie vrienden van vroeger dag</t>
  </si>
  <si>
    <t>Zeezeilcommissie</t>
  </si>
  <si>
    <t>Zwaardbootkader</t>
  </si>
  <si>
    <t>Werkgroep Verbouwing</t>
  </si>
  <si>
    <t>Werkgroep XXL</t>
  </si>
  <si>
    <t>Kerstcommisie</t>
  </si>
  <si>
    <t>PRcommissie</t>
  </si>
  <si>
    <t>Tripcie</t>
  </si>
  <si>
    <t>Outside Harambee Committee</t>
  </si>
  <si>
    <t>KreaTie</t>
  </si>
  <si>
    <t>DAC</t>
  </si>
  <si>
    <t>Royale</t>
  </si>
  <si>
    <t>Tour en l Air</t>
  </si>
  <si>
    <t>Parte de Bourree</t>
  </si>
  <si>
    <t>RefParty</t>
  </si>
  <si>
    <t>Diescom</t>
  </si>
  <si>
    <t>PromCom</t>
  </si>
  <si>
    <t>EventCom</t>
  </si>
  <si>
    <t>AuditCom</t>
  </si>
  <si>
    <t>ChrisCom</t>
  </si>
  <si>
    <t>Bar Pool</t>
  </si>
  <si>
    <t>Clinic Pool</t>
  </si>
  <si>
    <t>KiddoCom</t>
  </si>
  <si>
    <t>CloCo</t>
  </si>
  <si>
    <t>EACom</t>
  </si>
  <si>
    <t>Merchie</t>
  </si>
  <si>
    <t>ChessCie</t>
  </si>
  <si>
    <t>DegeneraCie</t>
  </si>
  <si>
    <t>ChoCo</t>
  </si>
  <si>
    <t>Etcetera</t>
  </si>
  <si>
    <t>LustrumCom</t>
  </si>
  <si>
    <t>MediaCom</t>
  </si>
  <si>
    <t>LaCo</t>
  </si>
  <si>
    <t>CharCo</t>
  </si>
  <si>
    <t>Promotion committee</t>
  </si>
  <si>
    <t>Helping hands</t>
  </si>
  <si>
    <t>Hitch hiking committee</t>
  </si>
  <si>
    <t>LIMO committee</t>
  </si>
  <si>
    <t>CDC</t>
  </si>
  <si>
    <t>CupiCo</t>
  </si>
  <si>
    <t>LuCIE</t>
  </si>
  <si>
    <t>BE 2024</t>
  </si>
  <si>
    <t>BEUN</t>
  </si>
  <si>
    <t>CELV</t>
  </si>
  <si>
    <t>Candidate board 117</t>
  </si>
  <si>
    <t>Na-Intro 2023</t>
  </si>
  <si>
    <t>pvda</t>
  </si>
  <si>
    <t>TAP-bestuur</t>
  </si>
  <si>
    <t>Taskforce 5</t>
  </si>
  <si>
    <t>CelebraCie</t>
  </si>
  <si>
    <t>BeunCie</t>
  </si>
  <si>
    <t>ComFort</t>
  </si>
  <si>
    <t>External Affairs</t>
  </si>
  <si>
    <t>Cash Audit</t>
  </si>
  <si>
    <t>AXI</t>
  </si>
  <si>
    <t>First years Construction</t>
  </si>
  <si>
    <t>IC-tour</t>
  </si>
  <si>
    <t>CultureCie</t>
  </si>
  <si>
    <t>MESA s Gravesande</t>
  </si>
  <si>
    <t>FeesCie</t>
  </si>
  <si>
    <t>Sky is the Limit 2023</t>
  </si>
  <si>
    <t>UToberCie</t>
  </si>
  <si>
    <t xml:space="preserve">Social Engagement </t>
  </si>
  <si>
    <t xml:space="preserve">Professional Development </t>
  </si>
  <si>
    <t>Marketing &amp; Communication</t>
  </si>
  <si>
    <t>ProdacCie</t>
  </si>
  <si>
    <t>SurfSea</t>
  </si>
  <si>
    <t>SCEER</t>
  </si>
  <si>
    <t>TESLA</t>
  </si>
  <si>
    <t>MasterCLASS</t>
  </si>
  <si>
    <t>Sympo</t>
  </si>
  <si>
    <t>SKItilla</t>
  </si>
  <si>
    <t>Business Committee</t>
  </si>
  <si>
    <t>Support Committee</t>
  </si>
  <si>
    <t>Sirius Request Committee</t>
  </si>
  <si>
    <t>Quest</t>
  </si>
  <si>
    <t>StudyTour</t>
  </si>
  <si>
    <t>KerstCo</t>
  </si>
  <si>
    <t>onwi js</t>
  </si>
  <si>
    <t>Sport commissie</t>
  </si>
  <si>
    <t>De band</t>
  </si>
  <si>
    <t>Host</t>
  </si>
  <si>
    <t>Leeuwentemmer</t>
  </si>
  <si>
    <t>Pastorale GebedsCommissie</t>
  </si>
  <si>
    <t>Studiekringleider</t>
  </si>
  <si>
    <t>AcCie - Activity Committee</t>
  </si>
  <si>
    <t>ConFi - Confidential Advisory</t>
  </si>
  <si>
    <t>GalaxCie - Gala Committee</t>
  </si>
  <si>
    <t>KasCo - Financial Audit Committee</t>
  </si>
  <si>
    <t>PrivaCie - Privacy Committee</t>
  </si>
  <si>
    <t>WebCie - Website Committee</t>
  </si>
  <si>
    <t>RVA - Council of Advice</t>
  </si>
  <si>
    <t>RelaxCie - Relaxed Committee</t>
  </si>
  <si>
    <t>BudCie - Buddy Committee</t>
  </si>
  <si>
    <t>GraphicCie - Graphics Committee</t>
  </si>
  <si>
    <t>Website and social media</t>
  </si>
  <si>
    <t>HTCie</t>
  </si>
  <si>
    <t>CommiTea</t>
  </si>
  <si>
    <t>Fact Lustrum Committee</t>
  </si>
  <si>
    <t>Investment Team 1</t>
  </si>
  <si>
    <t>Investment Team 2</t>
  </si>
  <si>
    <t>SG Events</t>
  </si>
  <si>
    <t>Drinks</t>
  </si>
  <si>
    <t>Career Events</t>
  </si>
  <si>
    <t>KIVI</t>
  </si>
  <si>
    <t>Senior Board</t>
  </si>
  <si>
    <t>Financie</t>
  </si>
  <si>
    <t>Innovation Team</t>
  </si>
  <si>
    <t>AxieCom</t>
  </si>
  <si>
    <t>CCC</t>
  </si>
  <si>
    <t>FTPCom</t>
  </si>
  <si>
    <t>GamesCom</t>
  </si>
  <si>
    <t>Hornet</t>
  </si>
  <si>
    <t>Lustrum comittee</t>
  </si>
  <si>
    <t>SysCom</t>
  </si>
  <si>
    <t>WebCom</t>
  </si>
  <si>
    <t>T-week Commissie</t>
  </si>
  <si>
    <t>WOYoCo</t>
  </si>
  <si>
    <t>Programmeercie</t>
  </si>
  <si>
    <t>Socio-co</t>
  </si>
  <si>
    <t>Huisstijlcie</t>
  </si>
  <si>
    <t>Zokacie</t>
  </si>
  <si>
    <t>WKK-cie</t>
  </si>
  <si>
    <t>Tegenbestuur</t>
  </si>
  <si>
    <t>Verhuurpoule</t>
  </si>
  <si>
    <t>SSN</t>
  </si>
  <si>
    <t>Student team</t>
  </si>
  <si>
    <t>Electric Superbike Twente</t>
  </si>
  <si>
    <t>ICOS</t>
  </si>
  <si>
    <t>Ordecommissie</t>
  </si>
  <si>
    <t>Onderhoudscommissie</t>
  </si>
  <si>
    <t>Netwerkcommissie</t>
  </si>
  <si>
    <t>Muziek- en lichtcommissie</t>
  </si>
  <si>
    <t>Bus- en aanhangercommissie</t>
  </si>
  <si>
    <t>Hoofdtappers</t>
  </si>
  <si>
    <t>Beunhazen</t>
  </si>
  <si>
    <t>Klokkendise</t>
  </si>
  <si>
    <t>number_of_students_with_dutch_nationality</t>
  </si>
  <si>
    <t>number_of_active_students_with_dutch_nationality</t>
  </si>
  <si>
    <t>secretary@siriusenschede.nl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</si>
</sst>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074BA"/>
        <bgColor indexed="64"/>
      </patternFill>
    </fill>
    <fill>
      <patternFill patternType="solid">
        <fgColor rgb="FF7FA3D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4074BA"/>
      </top>
      <bottom style="thin">
        <color rgb="FF4074BA"/>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9" fontId="0" fillId="0" borderId="0" xfId="0" applyNumberFormat="1"/>
    <xf numFmtId="0" fontId="0" fillId="0" borderId="0" xfId="0" applyProtection="1">
      <protection locked="0"/>
    </xf>
    <xf numFmtId="0" fontId="0" fillId="33" borderId="0" xfId="0" applyFill="1"/>
    <xf numFmtId="0" fontId="0" fillId="34" borderId="10" xfId="0" applyFill="1" applyBorder="1"/>
    <xf numFmtId="0" fontId="14" fillId="0" borderId="0" xfId="0" applyFont="1"/>
    <xf numFmtId="2" fontId="0" fillId="0" borderId="0" xfId="0" applyNumberFormat="1"/>
    <xf numFmtId="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4">
    <dxf>
      <border diagonalUp="0" diagonalDown="0">
        <left style="thin">
          <color rgb="FF4074BA"/>
        </left>
        <right style="thin">
          <color rgb="FF4074BA"/>
        </right>
        <top style="thin">
          <color rgb="FF4074BA"/>
        </top>
        <bottom style="thin">
          <color rgb="FF4074BA"/>
        </bottom>
      </border>
    </dxf>
    <dxf>
      <fill>
        <patternFill patternType="solid">
          <fgColor indexed="64"/>
          <bgColor rgb="FF4074BA"/>
        </patternFill>
      </fill>
    </dxf>
    <dxf>
      <numFmt numFmtId="0" formatCode="General"/>
    </dxf>
    <dxf>
      <numFmt numFmtId="0" formatCode="General"/>
    </dxf>
    <dxf>
      <numFmt numFmtId="0" formatCode="General"/>
    </dxf>
    <dxf>
      <numFmt numFmtId="0" formatCode="General"/>
    </dxf>
    <dxf>
      <numFmt numFmtId="0" formatCode="General"/>
    </dxf>
    <dxf>
      <numFmt numFmtId="2" formatCode="0.00"/>
    </dxf>
    <dxf>
      <numFmt numFmtId="2" formatCode="0.00"/>
    </dxf>
    <dxf>
      <numFmt numFmtId="2"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protection locked="0" hidden="0"/>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color theme="0"/>
      </font>
      <fill>
        <patternFill patternType="solid">
          <fgColor theme="6"/>
          <bgColor theme="6"/>
        </patternFill>
      </fill>
    </dxf>
    <dxf>
      <fill>
        <patternFill>
          <fgColor auto="1"/>
        </patternFill>
      </fill>
      <border>
        <left style="thin">
          <color rgb="FF4074BA"/>
        </left>
        <right style="thin">
          <color rgb="FF4074BA"/>
        </right>
        <top style="thin">
          <color rgb="FF4074BA"/>
        </top>
        <bottom style="thin">
          <color rgb="FF4074BA"/>
        </bottom>
        <vertical style="thin">
          <color rgb="FF4074BA"/>
        </vertical>
        <horizontal style="thin">
          <color rgb="FF4074BA"/>
        </horizontal>
      </border>
    </dxf>
    <dxf>
      <fill>
        <gradientFill degree="90">
          <stop position="0">
            <color theme="0"/>
          </stop>
          <stop position="1">
            <color rgb="FF4074BA"/>
          </stop>
        </gradientFill>
      </fill>
    </dxf>
    <dxf>
      <fill>
        <patternFill>
          <bgColor rgb="FF4074BA"/>
        </patternFill>
      </fill>
    </dxf>
    <dxf>
      <fill>
        <patternFill patternType="solid">
          <bgColor rgb="FF89BCE5"/>
        </patternFill>
      </fill>
    </dxf>
    <dxf>
      <fill>
        <patternFill>
          <bgColor rgb="FFF2F0F5"/>
        </patternFill>
      </fill>
    </dxf>
  </dxfs>
  <tableStyles count="6" defaultTableStyle="TableStyleMedium2" defaultPivotStyle="PivotStyleLight16">
    <tableStyle name="Slicerstijl 1" pivot="0" table="0" count="2" xr9:uid="{9840EF34-B79C-408C-8B08-D766F1DDD306}">
      <tableStyleElement type="wholeTable" dxfId="43"/>
    </tableStyle>
    <tableStyle name="Table Style 1" pivot="0" count="1" xr9:uid="{0A016E09-0515-44BD-A07A-86B0BE821AB0}">
      <tableStyleElement type="wholeTable" dxfId="42"/>
    </tableStyle>
    <tableStyle name="Table Style 2" pivot="0" count="1" xr9:uid="{9E5E3108-88D2-4A65-9EB6-C55478A59DF5}">
      <tableStyleElement type="wholeTable" dxfId="41"/>
    </tableStyle>
    <tableStyle name="Table Style 3" pivot="0" count="1" xr9:uid="{3B058739-7C68-4AE9-BED5-3BD0C9E4C9A9}">
      <tableStyleElement type="wholeTable" dxfId="40"/>
    </tableStyle>
    <tableStyle name="Table Style 4" pivot="0" count="0" xr9:uid="{9F352C27-EF48-4A5B-96E5-1CD21FCE0AA9}"/>
    <tableStyle name="TableStyleMedium4 2" pivot="0" count="7" xr9:uid="{A1DB8F0A-DE43-4A29-A062-2AF61BC5E6F1}">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s>
  <colors>
    <mruColors>
      <color rgb="FF31598F"/>
      <color rgb="FFC4DDF2"/>
      <color rgb="FF89BCE5"/>
      <color rgb="FF4074BA"/>
      <color rgb="FFF2F0F5"/>
      <color rgb="FF7FA3D3"/>
      <color rgb="FFBDD9F1"/>
      <color rgb="FFCCE2F4"/>
      <color rgb="FF0074C8"/>
      <color rgb="FF902C60"/>
    </mruColors>
  </colors>
  <extLst>
    <ext xmlns:x14="http://schemas.microsoft.com/office/spreadsheetml/2009/9/main" uri="{46F421CA-312F-682f-3DD2-61675219B42D}">
      <x14:dxfs count="1">
        <dxf>
          <fill>
            <patternFill>
              <bgColor theme="4" tint="0.59996337778862885"/>
            </patternFill>
          </fill>
        </dxf>
      </x14:dxfs>
    </ext>
    <ext xmlns:x14="http://schemas.microsoft.com/office/spreadsheetml/2009/9/main" uri="{EB79DEF2-80B8-43e5-95BD-54CBDDF9020C}">
      <x14:slicerStyles defaultSlicerStyle="Slicerstijl 1">
        <x14:slicerStyle name="Slicerstijl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7.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microsoft.com/office/2007/relationships/slicerCache" Target="slicerCaches/slicerCache3.xml"/><Relationship Id="rId47" Type="http://schemas.microsoft.com/office/2007/relationships/slicerCache" Target="slicerCaches/slicerCache8.xml"/><Relationship Id="rId50" Type="http://schemas.microsoft.com/office/2007/relationships/slicerCache" Target="slicerCaches/slicerCache11.xml"/><Relationship Id="rId55" Type="http://schemas.microsoft.com/office/2007/relationships/slicerCache" Target="slicerCaches/slicerCache1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5.xml"/><Relationship Id="rId40" Type="http://schemas.microsoft.com/office/2007/relationships/slicerCache" Target="slicerCaches/slicerCache1.xml"/><Relationship Id="rId45" Type="http://schemas.microsoft.com/office/2007/relationships/slicerCache" Target="slicerCaches/slicerCache6.xml"/><Relationship Id="rId53" Type="http://schemas.microsoft.com/office/2007/relationships/slicerCache" Target="slicerCaches/slicerCache14.xml"/><Relationship Id="rId58" Type="http://schemas.microsoft.com/office/2007/relationships/slicerCache" Target="slicerCaches/slicerCache19.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4.xml"/><Relationship Id="rId49" Type="http://schemas.microsoft.com/office/2007/relationships/slicerCache" Target="slicerCaches/slicerCache10.xml"/><Relationship Id="rId57" Type="http://schemas.microsoft.com/office/2007/relationships/slicerCache" Target="slicerCaches/slicerCache18.xml"/><Relationship Id="rId61"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5.xml"/><Relationship Id="rId52" Type="http://schemas.microsoft.com/office/2007/relationships/slicerCache" Target="slicerCaches/slicerCache13.xml"/><Relationship Id="rId60" Type="http://schemas.openxmlformats.org/officeDocument/2006/relationships/theme" Target="theme/theme1.xml"/><Relationship Id="rId65"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3.xml"/><Relationship Id="rId43" Type="http://schemas.microsoft.com/office/2007/relationships/slicerCache" Target="slicerCaches/slicerCache4.xml"/><Relationship Id="rId48" Type="http://schemas.microsoft.com/office/2007/relationships/slicerCache" Target="slicerCaches/slicerCache9.xml"/><Relationship Id="rId56" Type="http://schemas.microsoft.com/office/2007/relationships/slicerCache" Target="slicerCaches/slicerCache17.xml"/><Relationship Id="rId64" Type="http://schemas.openxmlformats.org/officeDocument/2006/relationships/sheetMetadata" Target="metadata.xml"/><Relationship Id="rId8" Type="http://schemas.openxmlformats.org/officeDocument/2006/relationships/worksheet" Target="worksheets/sheet8.xml"/><Relationship Id="rId51" Type="http://schemas.microsoft.com/office/2007/relationships/slicerCache" Target="slicerCaches/slicerCache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pivotCacheDefinition" Target="pivotCache/pivotCacheDefinition6.xml"/><Relationship Id="rId46" Type="http://schemas.microsoft.com/office/2007/relationships/slicerCache" Target="slicerCaches/slicerCache7.xml"/><Relationship Id="rId59" Type="http://schemas.microsoft.com/office/2007/relationships/slicerCache" Target="slicerCaches/slicerCache20.xml"/><Relationship Id="rId67" Type="http://schemas.openxmlformats.org/officeDocument/2006/relationships/customXml" Target="../customXml/item1.xml"/><Relationship Id="rId20" Type="http://schemas.openxmlformats.org/officeDocument/2006/relationships/worksheet" Target="worksheets/sheet20.xml"/><Relationship Id="rId41" Type="http://schemas.microsoft.com/office/2007/relationships/slicerCache" Target="slicerCaches/slicerCache2.xml"/><Relationship Id="rId54" Type="http://schemas.microsoft.com/office/2007/relationships/slicerCache" Target="slicerCaches/slicerCache15.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Final.xlsx]Response Rate sheet!Draaitabel11</c:name>
    <c:fmtId val="13"/>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nl-NL" sz="2000"/>
              <a:t>Response</a:t>
            </a:r>
            <a:r>
              <a:rPr lang="nl-NL" sz="2000" baseline="0"/>
              <a:t> Rate per Sector</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pivotFmt>
      <c:pivotFmt>
        <c:idx val="3"/>
        <c:spPr>
          <a:solidFill>
            <a:schemeClr val="accent1"/>
          </a:solidFill>
          <a:ln>
            <a:noFill/>
          </a:ln>
          <a:effectLst/>
          <a:sp3d/>
        </c:spPr>
        <c:dLbl>
          <c:idx val="0"/>
          <c:layout>
            <c:manualLayout>
              <c:x val="1.6666666666666614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dLbl>
          <c:idx val="0"/>
          <c:layout>
            <c:manualLayout>
              <c:x val="1.1111111111111059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dLbl>
          <c:idx val="0"/>
          <c:layout>
            <c:manualLayout>
              <c:x val="1.1111111111111059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dLbl>
          <c:idx val="0"/>
          <c:layout>
            <c:manualLayout>
              <c:x val="1.388888888888888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dLbl>
          <c:idx val="0"/>
          <c:layout>
            <c:manualLayout>
              <c:x val="1.666666666666656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dLbl>
          <c:idx val="0"/>
          <c:layout>
            <c:manualLayout>
              <c:x val="1.9444444444444445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spPr>
        <c:dLbl>
          <c:idx val="0"/>
          <c:layout>
            <c:manualLayout>
              <c:x val="1.388888888888888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a:sp3d/>
        </c:spPr>
        <c:dLbl>
          <c:idx val="0"/>
          <c:layout>
            <c:manualLayout>
              <c:x val="1.1111111111111059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a:sp3d/>
        </c:spPr>
        <c:dLbl>
          <c:idx val="0"/>
          <c:layout>
            <c:manualLayout>
              <c:x val="1.1111111111111059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a:sp3d/>
        </c:spPr>
        <c:dLbl>
          <c:idx val="0"/>
          <c:layout>
            <c:manualLayout>
              <c:x val="1.6666666666666614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a:sp3d/>
        </c:spPr>
        <c:dLbl>
          <c:idx val="0"/>
          <c:layout>
            <c:manualLayout>
              <c:x val="1.9444444444444445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a:sp3d/>
        </c:spPr>
        <c:dLbl>
          <c:idx val="0"/>
          <c:layout>
            <c:manualLayout>
              <c:x val="1.666666666666656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dLbl>
          <c:idx val="0"/>
          <c:layout>
            <c:manualLayout>
              <c:x val="1.388888888888888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dLbl>
          <c:idx val="0"/>
          <c:layout>
            <c:manualLayout>
              <c:x val="1.1111111111111059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dLbl>
          <c:idx val="0"/>
          <c:layout>
            <c:manualLayout>
              <c:x val="1.1111111111111059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dLbl>
          <c:idx val="0"/>
          <c:layout>
            <c:manualLayout>
              <c:x val="1.6666666666666614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dLbl>
          <c:idx val="0"/>
          <c:layout>
            <c:manualLayout>
              <c:x val="1.9444444444444445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dLbl>
          <c:idx val="0"/>
          <c:layout>
            <c:manualLayout>
              <c:x val="1.666666666666656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'Response Rate sheet'!$G$17</c:f>
              <c:strCache>
                <c:ptCount val="1"/>
                <c:pt idx="0">
                  <c:v>Number of responses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'Response Rate sheet'!$F$18:$F$24</c:f>
              <c:strCache>
                <c:ptCount val="6"/>
                <c:pt idx="0">
                  <c:v>Culture</c:v>
                </c:pt>
                <c:pt idx="1">
                  <c:v>Other</c:v>
                </c:pt>
                <c:pt idx="2">
                  <c:v>Social</c:v>
                </c:pt>
                <c:pt idx="3">
                  <c:v>Sports</c:v>
                </c:pt>
                <c:pt idx="4">
                  <c:v>Study</c:v>
                </c:pt>
                <c:pt idx="5">
                  <c:v>World</c:v>
                </c:pt>
              </c:strCache>
            </c:strRef>
          </c:cat>
          <c:val>
            <c:numRef>
              <c:f>'Response Rate sheet'!$G$18:$G$24</c:f>
              <c:numCache>
                <c:formatCode>General</c:formatCode>
                <c:ptCount val="6"/>
                <c:pt idx="0">
                  <c:v>15</c:v>
                </c:pt>
                <c:pt idx="1">
                  <c:v>27</c:v>
                </c:pt>
                <c:pt idx="2">
                  <c:v>9</c:v>
                </c:pt>
                <c:pt idx="3">
                  <c:v>34</c:v>
                </c:pt>
                <c:pt idx="4">
                  <c:v>20</c:v>
                </c:pt>
                <c:pt idx="5">
                  <c:v>8</c:v>
                </c:pt>
              </c:numCache>
            </c:numRef>
          </c:val>
          <c:extLst>
            <c:ext xmlns:c16="http://schemas.microsoft.com/office/drawing/2014/chart" uri="{C3380CC4-5D6E-409C-BE32-E72D297353CC}">
              <c16:uniqueId val="{00000000-CC09-4C6D-BE2B-73903AFFCDD6}"/>
            </c:ext>
          </c:extLst>
        </c:ser>
        <c:ser>
          <c:idx val="1"/>
          <c:order val="1"/>
          <c:tx>
            <c:strRef>
              <c:f>'Response Rate sheet'!$H$17</c:f>
              <c:strCache>
                <c:ptCount val="1"/>
                <c:pt idx="0">
                  <c:v>Total number of associations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'Response Rate sheet'!$F$18:$F$24</c:f>
              <c:strCache>
                <c:ptCount val="6"/>
                <c:pt idx="0">
                  <c:v>Culture</c:v>
                </c:pt>
                <c:pt idx="1">
                  <c:v>Other</c:v>
                </c:pt>
                <c:pt idx="2">
                  <c:v>Social</c:v>
                </c:pt>
                <c:pt idx="3">
                  <c:v>Sports</c:v>
                </c:pt>
                <c:pt idx="4">
                  <c:v>Study</c:v>
                </c:pt>
                <c:pt idx="5">
                  <c:v>World</c:v>
                </c:pt>
              </c:strCache>
            </c:strRef>
          </c:cat>
          <c:val>
            <c:numRef>
              <c:f>'Response Rate sheet'!$H$18:$H$24</c:f>
              <c:numCache>
                <c:formatCode>General</c:formatCode>
                <c:ptCount val="6"/>
                <c:pt idx="0">
                  <c:v>18</c:v>
                </c:pt>
                <c:pt idx="1">
                  <c:v>34</c:v>
                </c:pt>
                <c:pt idx="2">
                  <c:v>11</c:v>
                </c:pt>
                <c:pt idx="3">
                  <c:v>43</c:v>
                </c:pt>
                <c:pt idx="4">
                  <c:v>22</c:v>
                </c:pt>
                <c:pt idx="5">
                  <c:v>11</c:v>
                </c:pt>
              </c:numCache>
            </c:numRef>
          </c:val>
          <c:extLst>
            <c:ext xmlns:c16="http://schemas.microsoft.com/office/drawing/2014/chart" uri="{C3380CC4-5D6E-409C-BE32-E72D297353CC}">
              <c16:uniqueId val="{00000001-CC09-4C6D-BE2B-73903AFFCDD6}"/>
            </c:ext>
          </c:extLst>
        </c:ser>
        <c:dLbls>
          <c:showLegendKey val="0"/>
          <c:showVal val="1"/>
          <c:showCatName val="0"/>
          <c:showSerName val="0"/>
          <c:showPercent val="0"/>
          <c:showBubbleSize val="0"/>
        </c:dLbls>
        <c:gapWidth val="150"/>
        <c:axId val="1460362704"/>
        <c:axId val="1460356464"/>
      </c:barChart>
      <c:catAx>
        <c:axId val="1460362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0356464"/>
        <c:crosses val="autoZero"/>
        <c:auto val="1"/>
        <c:lblAlgn val="ctr"/>
        <c:lblOffset val="100"/>
        <c:noMultiLvlLbl val="0"/>
      </c:catAx>
      <c:valAx>
        <c:axId val="14603564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460362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Final.xlsx]Pivot Table Background!Draaitabel27</c:name>
    <c:fmtId val="11"/>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nl-NL" sz="2000"/>
              <a:t>Proportions</a:t>
            </a:r>
            <a:r>
              <a:rPr lang="nl-NL" sz="2000" baseline="0"/>
              <a:t> of Active and Inactive Members of Associations</a:t>
            </a:r>
            <a:endParaRPr lang="nl-NL" sz="2000"/>
          </a:p>
        </c:rich>
      </c:tx>
      <c:layout>
        <c:manualLayout>
          <c:xMode val="edge"/>
          <c:yMode val="edge"/>
          <c:x val="0.38892044747795845"/>
          <c:y val="8.0347328014333363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2F0F5"/>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2F0F5"/>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4074B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9BCE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9456859277241729"/>
          <c:y val="0.13942634024646772"/>
          <c:w val="0.58672705677135906"/>
          <c:h val="0.75656536137800834"/>
        </c:manualLayout>
      </c:layout>
      <c:barChart>
        <c:barDir val="bar"/>
        <c:grouping val="percentStacked"/>
        <c:varyColors val="0"/>
        <c:ser>
          <c:idx val="0"/>
          <c:order val="0"/>
          <c:tx>
            <c:strRef>
              <c:f>'Pivot Table Background'!$B$5</c:f>
              <c:strCache>
                <c:ptCount val="1"/>
                <c:pt idx="0">
                  <c:v>Average of Percentage active members</c:v>
                </c:pt>
              </c:strCache>
            </c:strRef>
          </c:tx>
          <c:spPr>
            <a:solidFill>
              <a:srgbClr val="4074B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Background'!$A$6:$A$11</c:f>
              <c:strCache>
                <c:ptCount val="5"/>
                <c:pt idx="0">
                  <c:v>Culture</c:v>
                </c:pt>
                <c:pt idx="1">
                  <c:v>Other</c:v>
                </c:pt>
                <c:pt idx="2">
                  <c:v>Sports</c:v>
                </c:pt>
                <c:pt idx="3">
                  <c:v>Study</c:v>
                </c:pt>
                <c:pt idx="4">
                  <c:v>World</c:v>
                </c:pt>
              </c:strCache>
            </c:strRef>
          </c:cat>
          <c:val>
            <c:numRef>
              <c:f>'Pivot Table Background'!$B$6:$B$11</c:f>
              <c:numCache>
                <c:formatCode>0%</c:formatCode>
                <c:ptCount val="5"/>
                <c:pt idx="0">
                  <c:v>0.18208946608946608</c:v>
                </c:pt>
                <c:pt idx="1">
                  <c:v>0.17105263157894735</c:v>
                </c:pt>
                <c:pt idx="2">
                  <c:v>0.37787541235817096</c:v>
                </c:pt>
                <c:pt idx="3">
                  <c:v>0</c:v>
                </c:pt>
                <c:pt idx="4">
                  <c:v>0</c:v>
                </c:pt>
              </c:numCache>
            </c:numRef>
          </c:val>
          <c:extLst>
            <c:ext xmlns:c16="http://schemas.microsoft.com/office/drawing/2014/chart" uri="{C3380CC4-5D6E-409C-BE32-E72D297353CC}">
              <c16:uniqueId val="{00000001-3B86-4C34-8989-827905C0673B}"/>
            </c:ext>
          </c:extLst>
        </c:ser>
        <c:ser>
          <c:idx val="1"/>
          <c:order val="1"/>
          <c:tx>
            <c:strRef>
              <c:f>'Pivot Table Background'!$C$5</c:f>
              <c:strCache>
                <c:ptCount val="1"/>
                <c:pt idx="0">
                  <c:v>Average of Percentage inactive members</c:v>
                </c:pt>
              </c:strCache>
            </c:strRef>
          </c:tx>
          <c:spPr>
            <a:solidFill>
              <a:srgbClr val="89BC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Background'!$A$6:$A$11</c:f>
              <c:strCache>
                <c:ptCount val="5"/>
                <c:pt idx="0">
                  <c:v>Culture</c:v>
                </c:pt>
                <c:pt idx="1">
                  <c:v>Other</c:v>
                </c:pt>
                <c:pt idx="2">
                  <c:v>Sports</c:v>
                </c:pt>
                <c:pt idx="3">
                  <c:v>Study</c:v>
                </c:pt>
                <c:pt idx="4">
                  <c:v>World</c:v>
                </c:pt>
              </c:strCache>
            </c:strRef>
          </c:cat>
          <c:val>
            <c:numRef>
              <c:f>'Pivot Table Background'!$C$6:$C$11</c:f>
              <c:numCache>
                <c:formatCode>0%</c:formatCode>
                <c:ptCount val="5"/>
                <c:pt idx="0">
                  <c:v>0.81791053391053392</c:v>
                </c:pt>
                <c:pt idx="1">
                  <c:v>0.82894736842105265</c:v>
                </c:pt>
                <c:pt idx="2">
                  <c:v>0.62212458764182899</c:v>
                </c:pt>
                <c:pt idx="3">
                  <c:v>1</c:v>
                </c:pt>
                <c:pt idx="4">
                  <c:v>1</c:v>
                </c:pt>
              </c:numCache>
            </c:numRef>
          </c:val>
          <c:extLst>
            <c:ext xmlns:c16="http://schemas.microsoft.com/office/drawing/2014/chart" uri="{C3380CC4-5D6E-409C-BE32-E72D297353CC}">
              <c16:uniqueId val="{00000002-3B86-4C34-8989-827905C0673B}"/>
            </c:ext>
          </c:extLst>
        </c:ser>
        <c:dLbls>
          <c:dLblPos val="ctr"/>
          <c:showLegendKey val="0"/>
          <c:showVal val="1"/>
          <c:showCatName val="0"/>
          <c:showSerName val="0"/>
          <c:showPercent val="0"/>
          <c:showBubbleSize val="0"/>
        </c:dLbls>
        <c:gapWidth val="182"/>
        <c:overlap val="100"/>
        <c:axId val="1866681136"/>
        <c:axId val="1866679888"/>
      </c:barChart>
      <c:catAx>
        <c:axId val="1866681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866679888"/>
        <c:crosses val="autoZero"/>
        <c:auto val="1"/>
        <c:lblAlgn val="ctr"/>
        <c:lblOffset val="100"/>
        <c:noMultiLvlLbl val="0"/>
      </c:catAx>
      <c:valAx>
        <c:axId val="1866679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866681136"/>
        <c:crosses val="autoZero"/>
        <c:crossBetween val="between"/>
      </c:valAx>
      <c:spPr>
        <a:noFill/>
        <a:ln>
          <a:noFill/>
        </a:ln>
        <a:effectLst/>
      </c:spPr>
    </c:plotArea>
    <c:legend>
      <c:legendPos val="r"/>
      <c:layout>
        <c:manualLayout>
          <c:xMode val="edge"/>
          <c:yMode val="edge"/>
          <c:x val="1.7115227889933183E-2"/>
          <c:y val="0.13442094123443765"/>
          <c:w val="0.25510016857388357"/>
          <c:h val="9.57391341862084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solidFill>
        <a:schemeClr val="bg2">
          <a:lumMod val="20000"/>
          <a:lumOff val="80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[AM 2023 Student Union Final.xlsx]Jaren vergelijken!PivotTable2</c:name>
    <c:fmtId val="2"/>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nl-NL"/>
              <a:t>Active members </a:t>
            </a:r>
            <a:r>
              <a:rPr lang="nl-NL" baseline="0"/>
              <a:t>throughout the years</a:t>
            </a:r>
            <a:endParaRPr lang="nl-NL"/>
          </a:p>
        </c:rich>
      </c:tx>
      <c:layout>
        <c:manualLayout>
          <c:xMode val="edge"/>
          <c:yMode val="edge"/>
          <c:x val="0.38892045344618326"/>
          <c:y val="5.1030603588404916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2F0F5"/>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2F0F5"/>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4074B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9BCE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4074BA"/>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9BCE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9BCE5"/>
          </a:solidFill>
          <a:ln>
            <a:noFill/>
          </a:ln>
          <a:effectLst/>
        </c:spPr>
      </c:pivotFmt>
      <c:pivotFmt>
        <c:idx val="19"/>
      </c:pivotFmt>
      <c:pivotFmt>
        <c:idx val="20"/>
      </c:pivotFmt>
      <c:pivotFmt>
        <c:idx val="21"/>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563C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5C0FB"/>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5C0FB"/>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a:t>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27"/>
        <c:spPr>
          <a:solidFill>
            <a:srgbClr val="85C0FB"/>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5C0FB"/>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a:t>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29"/>
        <c:spPr>
          <a:solidFill>
            <a:srgbClr val="0563C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5C0FB"/>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5C0FB"/>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a:t>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2"/>
        <c:spPr>
          <a:solidFill>
            <a:srgbClr val="0563C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31598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5"/>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13%</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6"/>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14%</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7"/>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8"/>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11%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39"/>
        <c:spPr>
          <a:solidFill>
            <a:srgbClr val="31598F"/>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5%</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s>
    <c:plotArea>
      <c:layout>
        <c:manualLayout>
          <c:layoutTarget val="inner"/>
          <c:xMode val="edge"/>
          <c:yMode val="edge"/>
          <c:x val="0.30517467006394539"/>
          <c:y val="0.13942634024646772"/>
          <c:w val="0.67612097013088635"/>
          <c:h val="0.75656536137800834"/>
        </c:manualLayout>
      </c:layout>
      <c:barChart>
        <c:barDir val="col"/>
        <c:grouping val="clustered"/>
        <c:varyColors val="0"/>
        <c:ser>
          <c:idx val="0"/>
          <c:order val="0"/>
          <c:tx>
            <c:strRef>
              <c:f>'Jaren vergelijken'!$C$4:$C$5</c:f>
              <c:strCache>
                <c:ptCount val="1"/>
                <c:pt idx="0">
                  <c:v>2021</c:v>
                </c:pt>
              </c:strCache>
            </c:strRef>
          </c:tx>
          <c:spPr>
            <a:solidFill>
              <a:srgbClr val="85C0FB"/>
            </a:solidFill>
            <a:ln>
              <a:noFill/>
            </a:ln>
            <a:effectLst/>
          </c:spPr>
          <c:invertIfNegative val="0"/>
          <c:dPt>
            <c:idx val="1"/>
            <c:invertIfNegative val="0"/>
            <c:bubble3D val="0"/>
            <c:spPr>
              <a:solidFill>
                <a:srgbClr val="85C0FB"/>
              </a:solidFill>
              <a:ln>
                <a:noFill/>
              </a:ln>
              <a:effectLst/>
            </c:spPr>
            <c:extLst>
              <c:ext xmlns:c16="http://schemas.microsoft.com/office/drawing/2014/chart" uri="{C3380CC4-5D6E-409C-BE32-E72D297353CC}">
                <c16:uniqueId val="{00000001-A3F1-4989-A101-0246E8BAD4C8}"/>
              </c:ext>
            </c:extLst>
          </c:dPt>
          <c:dLbls>
            <c:dLbl>
              <c:idx val="1"/>
              <c:tx>
                <c:rich>
                  <a:bodyPr/>
                  <a:lstStyle/>
                  <a:p>
                    <a:r>
                      <a:rPr lang="en-US"/>
                      <a:t>0%</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F1-4989-A101-0246E8BAD4C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'Jaren vergelijken'!$B$6:$B$12</c:f>
              <c:strCache>
                <c:ptCount val="6"/>
                <c:pt idx="0">
                  <c:v>Culture</c:v>
                </c:pt>
                <c:pt idx="1">
                  <c:v>Other</c:v>
                </c:pt>
                <c:pt idx="2">
                  <c:v>Social</c:v>
                </c:pt>
                <c:pt idx="3">
                  <c:v>Sports</c:v>
                </c:pt>
                <c:pt idx="4">
                  <c:v>Study</c:v>
                </c:pt>
                <c:pt idx="5">
                  <c:v>World</c:v>
                </c:pt>
              </c:strCache>
            </c:strRef>
          </c:cat>
          <c:val>
            <c:numRef>
              <c:f>'Jaren vergelijken'!$C$6:$C$12</c:f>
              <c:numCache>
                <c:formatCode>General</c:formatCode>
                <c:ptCount val="6"/>
                <c:pt idx="0">
                  <c:v>0.15875302923702311</c:v>
                </c:pt>
                <c:pt idx="1">
                  <c:v>#N/A</c:v>
                </c:pt>
                <c:pt idx="2">
                  <c:v>0.15175075585552583</c:v>
                </c:pt>
                <c:pt idx="3">
                  <c:v>0.18794920847330143</c:v>
                </c:pt>
                <c:pt idx="4">
                  <c:v>0.16673658145535616</c:v>
                </c:pt>
                <c:pt idx="5">
                  <c:v>8.1359649122807021E-2</c:v>
                </c:pt>
              </c:numCache>
            </c:numRef>
          </c:val>
          <c:extLst>
            <c:ext xmlns:c16="http://schemas.microsoft.com/office/drawing/2014/chart" uri="{C3380CC4-5D6E-409C-BE32-E72D297353CC}">
              <c16:uniqueId val="{00000002-A3F1-4989-A101-0246E8BAD4C8}"/>
            </c:ext>
          </c:extLst>
        </c:ser>
        <c:ser>
          <c:idx val="1"/>
          <c:order val="1"/>
          <c:tx>
            <c:strRef>
              <c:f>'Jaren vergelijken'!$D$4:$D$5</c:f>
              <c:strCache>
                <c:ptCount val="1"/>
                <c:pt idx="0">
                  <c:v>2022</c:v>
                </c:pt>
              </c:strCache>
            </c:strRef>
          </c:tx>
          <c:spPr>
            <a:solidFill>
              <a:srgbClr val="0563C1"/>
            </a:solidFill>
            <a:ln>
              <a:noFill/>
            </a:ln>
            <a:effectLst/>
          </c:spPr>
          <c:invertIfNegative val="0"/>
          <c:dPt>
            <c:idx val="1"/>
            <c:invertIfNegative val="0"/>
            <c:bubble3D val="0"/>
            <c:extLst>
              <c:ext xmlns:c16="http://schemas.microsoft.com/office/drawing/2014/chart" uri="{C3380CC4-5D6E-409C-BE32-E72D297353CC}">
                <c16:uniqueId val="{00000002-6F7B-44FF-B09E-3B556937C7B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'Jaren vergelijken'!$B$6:$B$12</c:f>
              <c:strCache>
                <c:ptCount val="6"/>
                <c:pt idx="0">
                  <c:v>Culture</c:v>
                </c:pt>
                <c:pt idx="1">
                  <c:v>Other</c:v>
                </c:pt>
                <c:pt idx="2">
                  <c:v>Social</c:v>
                </c:pt>
                <c:pt idx="3">
                  <c:v>Sports</c:v>
                </c:pt>
                <c:pt idx="4">
                  <c:v>Study</c:v>
                </c:pt>
                <c:pt idx="5">
                  <c:v>World</c:v>
                </c:pt>
              </c:strCache>
            </c:strRef>
          </c:cat>
          <c:val>
            <c:numRef>
              <c:f>'Jaren vergelijken'!$D$6:$D$12</c:f>
              <c:numCache>
                <c:formatCode>General</c:formatCode>
                <c:ptCount val="6"/>
                <c:pt idx="0">
                  <c:v>0.21821350945979795</c:v>
                </c:pt>
                <c:pt idx="1">
                  <c:v>9.9451305535961251E-2</c:v>
                </c:pt>
                <c:pt idx="2">
                  <c:v>0.13718815513626834</c:v>
                </c:pt>
                <c:pt idx="3">
                  <c:v>0.21563312185558772</c:v>
                </c:pt>
                <c:pt idx="4">
                  <c:v>0.15825815227951848</c:v>
                </c:pt>
                <c:pt idx="5">
                  <c:v>8.1359649122807021E-2</c:v>
                </c:pt>
              </c:numCache>
            </c:numRef>
          </c:val>
          <c:extLst>
            <c:ext xmlns:c16="http://schemas.microsoft.com/office/drawing/2014/chart" uri="{C3380CC4-5D6E-409C-BE32-E72D297353CC}">
              <c16:uniqueId val="{00000003-A3F1-4989-A101-0246E8BAD4C8}"/>
            </c:ext>
          </c:extLst>
        </c:ser>
        <c:ser>
          <c:idx val="2"/>
          <c:order val="2"/>
          <c:tx>
            <c:strRef>
              <c:f>'Jaren vergelijken'!$E$4:$E$5</c:f>
              <c:strCache>
                <c:ptCount val="1"/>
                <c:pt idx="0">
                  <c:v>2023</c:v>
                </c:pt>
              </c:strCache>
            </c:strRef>
          </c:tx>
          <c:spPr>
            <a:solidFill>
              <a:srgbClr val="31598F"/>
            </a:solidFill>
            <a:ln>
              <a:noFill/>
            </a:ln>
            <a:effectLst/>
          </c:spPr>
          <c:invertIfNegative val="0"/>
          <c:dPt>
            <c:idx val="0"/>
            <c:invertIfNegative val="0"/>
            <c:bubble3D val="0"/>
            <c:extLst>
              <c:ext xmlns:c16="http://schemas.microsoft.com/office/drawing/2014/chart" uri="{C3380CC4-5D6E-409C-BE32-E72D297353CC}">
                <c16:uniqueId val="{00000003-0B4D-4B09-B658-601A0EC4F2AB}"/>
              </c:ext>
            </c:extLst>
          </c:dPt>
          <c:dPt>
            <c:idx val="1"/>
            <c:invertIfNegative val="0"/>
            <c:bubble3D val="0"/>
            <c:extLst>
              <c:ext xmlns:c16="http://schemas.microsoft.com/office/drawing/2014/chart" uri="{C3380CC4-5D6E-409C-BE32-E72D297353CC}">
                <c16:uniqueId val="{00000005-6F7B-44FF-B09E-3B556937C7B0}"/>
              </c:ext>
            </c:extLst>
          </c:dPt>
          <c:dPt>
            <c:idx val="2"/>
            <c:invertIfNegative val="0"/>
            <c:bubble3D val="0"/>
            <c:extLst>
              <c:ext xmlns:c16="http://schemas.microsoft.com/office/drawing/2014/chart" uri="{C3380CC4-5D6E-409C-BE32-E72D297353CC}">
                <c16:uniqueId val="{00000004-0B4D-4B09-B658-601A0EC4F2AB}"/>
              </c:ext>
            </c:extLst>
          </c:dPt>
          <c:dPt>
            <c:idx val="3"/>
            <c:invertIfNegative val="0"/>
            <c:bubble3D val="0"/>
            <c:extLst>
              <c:ext xmlns:c16="http://schemas.microsoft.com/office/drawing/2014/chart" uri="{C3380CC4-5D6E-409C-BE32-E72D297353CC}">
                <c16:uniqueId val="{00000005-0B4D-4B09-B658-601A0EC4F2AB}"/>
              </c:ext>
            </c:extLst>
          </c:dPt>
          <c:dPt>
            <c:idx val="4"/>
            <c:invertIfNegative val="0"/>
            <c:bubble3D val="0"/>
            <c:extLst>
              <c:ext xmlns:c16="http://schemas.microsoft.com/office/drawing/2014/chart" uri="{C3380CC4-5D6E-409C-BE32-E72D297353CC}">
                <c16:uniqueId val="{00000006-0B4D-4B09-B658-601A0EC4F2AB}"/>
              </c:ext>
            </c:extLst>
          </c:dPt>
          <c:dPt>
            <c:idx val="5"/>
            <c:invertIfNegative val="0"/>
            <c:bubble3D val="0"/>
            <c:extLst>
              <c:ext xmlns:c16="http://schemas.microsoft.com/office/drawing/2014/chart" uri="{C3380CC4-5D6E-409C-BE32-E72D297353CC}">
                <c16:uniqueId val="{00000007-0B4D-4B09-B658-601A0EC4F2AB}"/>
              </c:ext>
            </c:extLst>
          </c:dPt>
          <c:dLbls>
            <c:dLbl>
              <c:idx val="0"/>
              <c:tx>
                <c:rich>
                  <a:bodyPr/>
                  <a:lstStyle/>
                  <a:p>
                    <a:r>
                      <a:rPr lang="en-US"/>
                      <a:t>20%</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4D-4B09-B658-601A0EC4F2AB}"/>
                </c:ext>
              </c:extLst>
            </c:dLbl>
            <c:dLbl>
              <c:idx val="1"/>
              <c:tx>
                <c:rich>
                  <a:bodyPr/>
                  <a:lstStyle/>
                  <a:p>
                    <a:r>
                      <a:rPr lang="en-US"/>
                      <a:t>13%</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7B-44FF-B09E-3B556937C7B0}"/>
                </c:ext>
              </c:extLst>
            </c:dLbl>
            <c:dLbl>
              <c:idx val="2"/>
              <c:tx>
                <c:rich>
                  <a:bodyPr/>
                  <a:lstStyle/>
                  <a:p>
                    <a:r>
                      <a:rPr lang="en-US"/>
                      <a:t>14%</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4D-4B09-B658-601A0EC4F2AB}"/>
                </c:ext>
              </c:extLst>
            </c:dLbl>
            <c:dLbl>
              <c:idx val="3"/>
              <c:tx>
                <c:rich>
                  <a:bodyPr/>
                  <a:lstStyle/>
                  <a:p>
                    <a:r>
                      <a:rPr lang="en-US"/>
                      <a:t>21%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4D-4B09-B658-601A0EC4F2AB}"/>
                </c:ext>
              </c:extLst>
            </c:dLbl>
            <c:dLbl>
              <c:idx val="4"/>
              <c:tx>
                <c:rich>
                  <a:bodyPr/>
                  <a:lstStyle/>
                  <a:p>
                    <a:r>
                      <a:rPr lang="en-US"/>
                      <a:t>11%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B4D-4B09-B658-601A0EC4F2AB}"/>
                </c:ext>
              </c:extLst>
            </c:dLbl>
            <c:dLbl>
              <c:idx val="5"/>
              <c:tx>
                <c:rich>
                  <a:bodyPr/>
                  <a:lstStyle/>
                  <a:p>
                    <a:r>
                      <a:rPr lang="en-US"/>
                      <a:t>5%</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B4D-4B09-B658-601A0EC4F2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'Jaren vergelijken'!$B$6:$B$12</c:f>
              <c:strCache>
                <c:ptCount val="6"/>
                <c:pt idx="0">
                  <c:v>Culture</c:v>
                </c:pt>
                <c:pt idx="1">
                  <c:v>Other</c:v>
                </c:pt>
                <c:pt idx="2">
                  <c:v>Social</c:v>
                </c:pt>
                <c:pt idx="3">
                  <c:v>Sports</c:v>
                </c:pt>
                <c:pt idx="4">
                  <c:v>Study</c:v>
                </c:pt>
                <c:pt idx="5">
                  <c:v>World</c:v>
                </c:pt>
              </c:strCache>
            </c:strRef>
          </c:cat>
          <c:val>
            <c:numRef>
              <c:f>'Jaren vergelijken'!$E$6:$E$12</c:f>
              <c:numCache>
                <c:formatCode>General</c:formatCode>
                <c:ptCount val="6"/>
                <c:pt idx="0">
                  <c:v>0.2025885160543415</c:v>
                </c:pt>
                <c:pt idx="1">
                  <c:v>0.12953850695157515</c:v>
                </c:pt>
                <c:pt idx="2">
                  <c:v>0.13583532585352398</c:v>
                </c:pt>
                <c:pt idx="3">
                  <c:v>0.21295738614487592</c:v>
                </c:pt>
                <c:pt idx="4">
                  <c:v>0.10710052524319769</c:v>
                </c:pt>
                <c:pt idx="5">
                  <c:v>5.4239766081871345E-2</c:v>
                </c:pt>
              </c:numCache>
            </c:numRef>
          </c:val>
          <c:extLst>
            <c:ext xmlns:c16="http://schemas.microsoft.com/office/drawing/2014/chart" uri="{C3380CC4-5D6E-409C-BE32-E72D297353CC}">
              <c16:uniqueId val="{00000004-6F7B-44FF-B09E-3B556937C7B0}"/>
            </c:ext>
          </c:extLst>
        </c:ser>
        <c:dLbls>
          <c:dLblPos val="outEnd"/>
          <c:showLegendKey val="0"/>
          <c:showVal val="1"/>
          <c:showCatName val="0"/>
          <c:showSerName val="0"/>
          <c:showPercent val="0"/>
          <c:showBubbleSize val="0"/>
        </c:dLbls>
        <c:gapWidth val="182"/>
        <c:axId val="1866681136"/>
        <c:axId val="1866679888"/>
      </c:barChart>
      <c:catAx>
        <c:axId val="186668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866679888"/>
        <c:crosses val="autoZero"/>
        <c:auto val="1"/>
        <c:lblAlgn val="ctr"/>
        <c:lblOffset val="100"/>
        <c:noMultiLvlLbl val="0"/>
      </c:catAx>
      <c:valAx>
        <c:axId val="1866679888"/>
        <c:scaling>
          <c:orientation val="minMax"/>
          <c:max val="0.3000000000000000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866681136"/>
        <c:crosses val="autoZero"/>
        <c:crossBetween val="between"/>
      </c:valAx>
      <c:spPr>
        <a:noFill/>
        <a:ln>
          <a:noFill/>
        </a:ln>
        <a:effectLst/>
      </c:spPr>
    </c:plotArea>
    <c:legend>
      <c:legendPos val="r"/>
      <c:layout>
        <c:manualLayout>
          <c:xMode val="edge"/>
          <c:yMode val="edge"/>
          <c:x val="1.7115227889933183E-2"/>
          <c:y val="0.13442094123443765"/>
          <c:w val="7.9656527299026988E-2"/>
          <c:h val="0.14955250029554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spPr>
    <a:solidFill>
      <a:srgbClr val="F2F0F5"/>
    </a:solidFill>
    <a:ln w="9525" cap="flat" cmpd="sng" algn="ctr">
      <a:solidFill>
        <a:schemeClr val="bg2">
          <a:lumMod val="20000"/>
          <a:lumOff val="80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Final.xlsx]Pivot Table Internationals !Draaitabel1</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1381518886226173"/>
          <c:y val="0.1244684588911512"/>
          <c:w val="0.66122560766860661"/>
          <c:h val="0.82347699958557807"/>
        </c:manualLayout>
      </c:layout>
      <c:barChart>
        <c:barDir val="bar"/>
        <c:grouping val="clustered"/>
        <c:varyColors val="0"/>
        <c:ser>
          <c:idx val="0"/>
          <c:order val="0"/>
          <c:tx>
            <c:strRef>
              <c:f>'Pivot Table Internationals '!$B$4</c:f>
              <c:strCache>
                <c:ptCount val="1"/>
                <c:pt idx="0">
                  <c:v>Average of Ratio Active Non-EEA</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Internationals '!$A$5:$A$10</c:f>
              <c:strCache>
                <c:ptCount val="5"/>
                <c:pt idx="0">
                  <c:v>Culture</c:v>
                </c:pt>
                <c:pt idx="1">
                  <c:v>Other</c:v>
                </c:pt>
                <c:pt idx="2">
                  <c:v>Social</c:v>
                </c:pt>
                <c:pt idx="3">
                  <c:v>Sports</c:v>
                </c:pt>
                <c:pt idx="4">
                  <c:v>Study</c:v>
                </c:pt>
              </c:strCache>
            </c:strRef>
          </c:cat>
          <c:val>
            <c:numRef>
              <c:f>'Pivot Table Internationals '!$B$5:$B$10</c:f>
              <c:numCache>
                <c:formatCode>0%</c:formatCode>
                <c:ptCount val="5"/>
                <c:pt idx="0">
                  <c:v>9.3939393939393948E-2</c:v>
                </c:pt>
                <c:pt idx="1">
                  <c:v>5.8333333333333327E-2</c:v>
                </c:pt>
                <c:pt idx="2">
                  <c:v>0</c:v>
                </c:pt>
                <c:pt idx="3">
                  <c:v>2.4743589743589742E-2</c:v>
                </c:pt>
                <c:pt idx="4">
                  <c:v>9.990032123960696E-2</c:v>
                </c:pt>
              </c:numCache>
            </c:numRef>
          </c:val>
          <c:extLst>
            <c:ext xmlns:c16="http://schemas.microsoft.com/office/drawing/2014/chart" uri="{C3380CC4-5D6E-409C-BE32-E72D297353CC}">
              <c16:uniqueId val="{00000000-6706-44C5-8A44-760D7049A77B}"/>
            </c:ext>
          </c:extLst>
        </c:ser>
        <c:ser>
          <c:idx val="1"/>
          <c:order val="1"/>
          <c:tx>
            <c:strRef>
              <c:f>'Pivot Table Internationals '!$C$4</c:f>
              <c:strCache>
                <c:ptCount val="1"/>
                <c:pt idx="0">
                  <c:v>Average of Ratio Active EEA</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Internationals '!$A$5:$A$10</c:f>
              <c:strCache>
                <c:ptCount val="5"/>
                <c:pt idx="0">
                  <c:v>Culture</c:v>
                </c:pt>
                <c:pt idx="1">
                  <c:v>Other</c:v>
                </c:pt>
                <c:pt idx="2">
                  <c:v>Social</c:v>
                </c:pt>
                <c:pt idx="3">
                  <c:v>Sports</c:v>
                </c:pt>
                <c:pt idx="4">
                  <c:v>Study</c:v>
                </c:pt>
              </c:strCache>
            </c:strRef>
          </c:cat>
          <c:val>
            <c:numRef>
              <c:f>'Pivot Table Internationals '!$C$5:$C$10</c:f>
              <c:numCache>
                <c:formatCode>0%</c:formatCode>
                <c:ptCount val="5"/>
                <c:pt idx="0">
                  <c:v>0.43744588744588742</c:v>
                </c:pt>
                <c:pt idx="1">
                  <c:v>0.34583333333333333</c:v>
                </c:pt>
                <c:pt idx="2">
                  <c:v>1</c:v>
                </c:pt>
                <c:pt idx="3">
                  <c:v>0.41893939393939394</c:v>
                </c:pt>
                <c:pt idx="4">
                  <c:v>0.35483120509403432</c:v>
                </c:pt>
              </c:numCache>
            </c:numRef>
          </c:val>
          <c:extLst>
            <c:ext xmlns:c16="http://schemas.microsoft.com/office/drawing/2014/chart" uri="{C3380CC4-5D6E-409C-BE32-E72D297353CC}">
              <c16:uniqueId val="{00000001-6706-44C5-8A44-760D7049A77B}"/>
            </c:ext>
          </c:extLst>
        </c:ser>
        <c:ser>
          <c:idx val="2"/>
          <c:order val="2"/>
          <c:tx>
            <c:strRef>
              <c:f>'Pivot Table Internationals '!$D$4</c:f>
              <c:strCache>
                <c:ptCount val="1"/>
                <c:pt idx="0">
                  <c:v>Average of Ratio Active Dutch</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Internationals '!$A$5:$A$10</c:f>
              <c:strCache>
                <c:ptCount val="5"/>
                <c:pt idx="0">
                  <c:v>Culture</c:v>
                </c:pt>
                <c:pt idx="1">
                  <c:v>Other</c:v>
                </c:pt>
                <c:pt idx="2">
                  <c:v>Social</c:v>
                </c:pt>
                <c:pt idx="3">
                  <c:v>Sports</c:v>
                </c:pt>
                <c:pt idx="4">
                  <c:v>Study</c:v>
                </c:pt>
              </c:strCache>
            </c:strRef>
          </c:cat>
          <c:val>
            <c:numRef>
              <c:f>'Pivot Table Internationals '!$D$5:$D$10</c:f>
              <c:numCache>
                <c:formatCode>0%</c:formatCode>
                <c:ptCount val="5"/>
                <c:pt idx="0">
                  <c:v>0.31969403882880809</c:v>
                </c:pt>
                <c:pt idx="1">
                  <c:v>0.12909139683618295</c:v>
                </c:pt>
                <c:pt idx="2">
                  <c:v>0.33291056052326545</c:v>
                </c:pt>
                <c:pt idx="3">
                  <c:v>0.36935440214243848</c:v>
                </c:pt>
                <c:pt idx="4">
                  <c:v>0.14995306278427709</c:v>
                </c:pt>
              </c:numCache>
            </c:numRef>
          </c:val>
          <c:extLst>
            <c:ext xmlns:c16="http://schemas.microsoft.com/office/drawing/2014/chart" uri="{C3380CC4-5D6E-409C-BE32-E72D297353CC}">
              <c16:uniqueId val="{00000002-6706-44C5-8A44-760D7049A77B}"/>
            </c:ext>
          </c:extLst>
        </c:ser>
        <c:dLbls>
          <c:dLblPos val="outEnd"/>
          <c:showLegendKey val="0"/>
          <c:showVal val="1"/>
          <c:showCatName val="0"/>
          <c:showSerName val="0"/>
          <c:showPercent val="0"/>
          <c:showBubbleSize val="0"/>
        </c:dLbls>
        <c:gapWidth val="219"/>
        <c:axId val="551525328"/>
        <c:axId val="551526992"/>
      </c:barChart>
      <c:catAx>
        <c:axId val="551525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551526992"/>
        <c:crosses val="autoZero"/>
        <c:auto val="1"/>
        <c:lblAlgn val="ctr"/>
        <c:lblOffset val="100"/>
        <c:noMultiLvlLbl val="0"/>
      </c:catAx>
      <c:valAx>
        <c:axId val="551526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1525328"/>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7.6412254517246522E-3"/>
          <c:y val="9.262329669004829E-2"/>
          <c:w val="0.14037388956188168"/>
          <c:h val="0.397753046735367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Final.xlsx]Amount of Internationals!Draaitabel1</c:name>
    <c:fmtId val="5"/>
  </c:pivotSource>
  <c:chart>
    <c:autoTitleDeleted val="0"/>
    <c:pivotFmts>
      <c:pivotFmt>
        <c:idx val="0"/>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spPr>
          <a:solidFill>
            <a:schemeClr val="accent3"/>
          </a:solidFill>
          <a:ln>
            <a:noFill/>
          </a:ln>
          <a:effectLst/>
        </c:spPr>
        <c:dLbl>
          <c:idx val="0"/>
          <c:layout>
            <c:manualLayout>
              <c:x val="0"/>
              <c:y val="1.8107741059302879E-2"/>
            </c:manualLayout>
          </c:layout>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spPr>
          <a:solidFill>
            <a:schemeClr val="accent3"/>
          </a:solidFill>
          <a:ln>
            <a:noFill/>
          </a:ln>
          <a:effectLst/>
        </c:spPr>
        <c:dLbl>
          <c:idx val="0"/>
          <c:layout>
            <c:manualLayout>
              <c:x val="0"/>
              <c:y val="1.8107741059302879E-2"/>
            </c:manualLayout>
          </c:layout>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spPr>
          <a:solidFill>
            <a:schemeClr val="accent1"/>
          </a:solidFill>
          <a:ln>
            <a:noFill/>
          </a:ln>
          <a:effectLst/>
        </c:spPr>
        <c:dLbl>
          <c:idx val="0"/>
          <c:layout>
            <c:manualLayout>
              <c:x val="0"/>
              <c:y val="1.8107741059302879E-2"/>
            </c:manualLayout>
          </c:layout>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manualLayout>
          <c:layoutTarget val="inner"/>
          <c:xMode val="edge"/>
          <c:yMode val="edge"/>
          <c:x val="2.6456089914798614E-2"/>
          <c:y val="0.17685594478851011"/>
          <c:w val="0.93732541023244387"/>
          <c:h val="0.6967050210855924"/>
        </c:manualLayout>
      </c:layout>
      <c:barChart>
        <c:barDir val="col"/>
        <c:grouping val="percentStacked"/>
        <c:varyColors val="0"/>
        <c:ser>
          <c:idx val="0"/>
          <c:order val="0"/>
          <c:tx>
            <c:strRef>
              <c:f>'Amount of Internationals'!$B$5</c:f>
              <c:strCache>
                <c:ptCount val="1"/>
                <c:pt idx="0">
                  <c:v>Som van EEA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'Amount of Internationals'!$A$6:$A$11</c:f>
              <c:strCache>
                <c:ptCount val="5"/>
                <c:pt idx="0">
                  <c:v>Culture</c:v>
                </c:pt>
                <c:pt idx="1">
                  <c:v>Other</c:v>
                </c:pt>
                <c:pt idx="2">
                  <c:v>Social</c:v>
                </c:pt>
                <c:pt idx="3">
                  <c:v>Sports</c:v>
                </c:pt>
                <c:pt idx="4">
                  <c:v>Study</c:v>
                </c:pt>
              </c:strCache>
            </c:strRef>
          </c:cat>
          <c:val>
            <c:numRef>
              <c:f>'Amount of Internationals'!$B$6:$B$11</c:f>
              <c:numCache>
                <c:formatCode>General</c:formatCode>
                <c:ptCount val="5"/>
                <c:pt idx="0">
                  <c:v>69</c:v>
                </c:pt>
                <c:pt idx="1">
                  <c:v>26</c:v>
                </c:pt>
                <c:pt idx="2">
                  <c:v>5</c:v>
                </c:pt>
                <c:pt idx="3">
                  <c:v>123</c:v>
                </c:pt>
                <c:pt idx="4">
                  <c:v>941</c:v>
                </c:pt>
              </c:numCache>
            </c:numRef>
          </c:val>
          <c:extLst>
            <c:ext xmlns:c16="http://schemas.microsoft.com/office/drawing/2014/chart" uri="{C3380CC4-5D6E-409C-BE32-E72D297353CC}">
              <c16:uniqueId val="{00000000-00C9-40D4-A743-FED0A85C7C58}"/>
            </c:ext>
          </c:extLst>
        </c:ser>
        <c:ser>
          <c:idx val="1"/>
          <c:order val="1"/>
          <c:tx>
            <c:strRef>
              <c:f>'Amount of Internationals'!$C$5</c:f>
              <c:strCache>
                <c:ptCount val="1"/>
                <c:pt idx="0">
                  <c:v>Som van Dutch 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'Amount of Internationals'!$A$6:$A$11</c:f>
              <c:strCache>
                <c:ptCount val="5"/>
                <c:pt idx="0">
                  <c:v>Culture</c:v>
                </c:pt>
                <c:pt idx="1">
                  <c:v>Other</c:v>
                </c:pt>
                <c:pt idx="2">
                  <c:v>Social</c:v>
                </c:pt>
                <c:pt idx="3">
                  <c:v>Sports</c:v>
                </c:pt>
                <c:pt idx="4">
                  <c:v>Study</c:v>
                </c:pt>
              </c:strCache>
            </c:strRef>
          </c:cat>
          <c:val>
            <c:numRef>
              <c:f>'Amount of Internationals'!$C$6:$C$11</c:f>
              <c:numCache>
                <c:formatCode>General</c:formatCode>
                <c:ptCount val="5"/>
                <c:pt idx="0">
                  <c:v>552</c:v>
                </c:pt>
                <c:pt idx="1">
                  <c:v>445</c:v>
                </c:pt>
                <c:pt idx="2">
                  <c:v>997</c:v>
                </c:pt>
                <c:pt idx="3">
                  <c:v>1869</c:v>
                </c:pt>
                <c:pt idx="4">
                  <c:v>6379</c:v>
                </c:pt>
              </c:numCache>
            </c:numRef>
          </c:val>
          <c:extLst>
            <c:ext xmlns:c16="http://schemas.microsoft.com/office/drawing/2014/chart" uri="{C3380CC4-5D6E-409C-BE32-E72D297353CC}">
              <c16:uniqueId val="{00000001-00C9-40D4-A743-FED0A85C7C58}"/>
            </c:ext>
          </c:extLst>
        </c:ser>
        <c:ser>
          <c:idx val="2"/>
          <c:order val="2"/>
          <c:tx>
            <c:strRef>
              <c:f>'Amount of Internationals'!$D$5</c:f>
              <c:strCache>
                <c:ptCount val="1"/>
                <c:pt idx="0">
                  <c:v>Som van Non-EEA Total</c:v>
                </c:pt>
              </c:strCache>
            </c:strRef>
          </c:tx>
          <c:spPr>
            <a:solidFill>
              <a:schemeClr val="accent3"/>
            </a:solidFill>
            <a:ln>
              <a:noFill/>
            </a:ln>
            <a:effectLst/>
          </c:spPr>
          <c:invertIfNegative val="0"/>
          <c:dPt>
            <c:idx val="1"/>
            <c:invertIfNegative val="0"/>
            <c:bubble3D val="0"/>
            <c:extLst>
              <c:ext xmlns:c16="http://schemas.microsoft.com/office/drawing/2014/chart" uri="{C3380CC4-5D6E-409C-BE32-E72D297353CC}">
                <c16:uniqueId val="{00000000-A12D-40DC-A704-AE2F49AFD885}"/>
              </c:ext>
            </c:extLst>
          </c:dPt>
          <c:dLbls>
            <c:spPr>
              <a:noFill/>
              <a:ln>
                <a:noFill/>
              </a:ln>
              <a:effectLst/>
            </c:spPr>
            <c:txPr>
              <a:bodyPr rot="0" spcFirstLastPara="1" vertOverflow="ellipsis" horzOverflow="clip" vert="horz" wrap="square" lIns="0" tIns="19050" rIns="38100" bIns="19050" anchor="ctr" anchorCtr="1">
                <a:spAutoFit/>
              </a:bodyPr>
              <a:lstStyle/>
              <a:p>
                <a:pPr>
                  <a:defRPr sz="900" b="0"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'Amount of Internationals'!$A$6:$A$11</c:f>
              <c:strCache>
                <c:ptCount val="5"/>
                <c:pt idx="0">
                  <c:v>Culture</c:v>
                </c:pt>
                <c:pt idx="1">
                  <c:v>Other</c:v>
                </c:pt>
                <c:pt idx="2">
                  <c:v>Social</c:v>
                </c:pt>
                <c:pt idx="3">
                  <c:v>Sports</c:v>
                </c:pt>
                <c:pt idx="4">
                  <c:v>Study</c:v>
                </c:pt>
              </c:strCache>
            </c:strRef>
          </c:cat>
          <c:val>
            <c:numRef>
              <c:f>'Amount of Internationals'!$D$6:$D$11</c:f>
              <c:numCache>
                <c:formatCode>General</c:formatCode>
                <c:ptCount val="5"/>
                <c:pt idx="0">
                  <c:v>218</c:v>
                </c:pt>
                <c:pt idx="1">
                  <c:v>160</c:v>
                </c:pt>
                <c:pt idx="2">
                  <c:v>610</c:v>
                </c:pt>
                <c:pt idx="3">
                  <c:v>722</c:v>
                </c:pt>
                <c:pt idx="4">
                  <c:v>1375</c:v>
                </c:pt>
              </c:numCache>
            </c:numRef>
          </c:val>
          <c:extLst>
            <c:ext xmlns:c16="http://schemas.microsoft.com/office/drawing/2014/chart" uri="{C3380CC4-5D6E-409C-BE32-E72D297353CC}">
              <c16:uniqueId val="{00000003-00C9-40D4-A743-FED0A85C7C58}"/>
            </c:ext>
          </c:extLst>
        </c:ser>
        <c:dLbls>
          <c:dLblPos val="ctr"/>
          <c:showLegendKey val="0"/>
          <c:showVal val="1"/>
          <c:showCatName val="0"/>
          <c:showSerName val="0"/>
          <c:showPercent val="0"/>
          <c:showBubbleSize val="0"/>
        </c:dLbls>
        <c:gapWidth val="79"/>
        <c:overlap val="100"/>
        <c:axId val="244486047"/>
        <c:axId val="244483967"/>
      </c:barChart>
      <c:catAx>
        <c:axId val="244486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nl-NL"/>
          </a:p>
        </c:txPr>
        <c:crossAx val="244483967"/>
        <c:crosses val="autoZero"/>
        <c:auto val="1"/>
        <c:lblAlgn val="ctr"/>
        <c:lblOffset val="100"/>
        <c:noMultiLvlLbl val="0"/>
      </c:catAx>
      <c:valAx>
        <c:axId val="244483967"/>
        <c:scaling>
          <c:orientation val="minMax"/>
        </c:scaling>
        <c:delete val="1"/>
        <c:axPos val="l"/>
        <c:numFmt formatCode="0%" sourceLinked="1"/>
        <c:majorTickMark val="none"/>
        <c:minorTickMark val="none"/>
        <c:tickLblPos val="nextTo"/>
        <c:crossAx val="244486047"/>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0.50090664159994047"/>
          <c:y val="7.2004299188141562E-3"/>
          <c:w val="0.49159459687661822"/>
          <c:h val="0.1507939031618465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a:softEdge rad="317500"/>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pivotSource>
    <c:name>[AM 2023 Student Union Final.xlsx]Pivot Table Committees Year!Draaitabel4</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Committee Division Study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353337364538256E-2"/>
          <c:y val="0.29464219232680772"/>
          <c:w val="0.65679350750703602"/>
          <c:h val="0.54014935465495328"/>
        </c:manualLayout>
      </c:layout>
      <c:barChart>
        <c:barDir val="col"/>
        <c:grouping val="percentStacked"/>
        <c:varyColors val="0"/>
        <c:ser>
          <c:idx val="0"/>
          <c:order val="0"/>
          <c:tx>
            <c:strRef>
              <c:f>'Pivot Table Committees Year'!$B$4</c:f>
              <c:strCache>
                <c:ptCount val="1"/>
                <c:pt idx="0">
                  <c:v>Sum of Number of first year comittee members</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Committees Year'!$A$5:$A$11</c:f>
              <c:strCache>
                <c:ptCount val="6"/>
                <c:pt idx="0">
                  <c:v>Culture</c:v>
                </c:pt>
                <c:pt idx="1">
                  <c:v>Other</c:v>
                </c:pt>
                <c:pt idx="2">
                  <c:v>Social</c:v>
                </c:pt>
                <c:pt idx="3">
                  <c:v>Sports</c:v>
                </c:pt>
                <c:pt idx="4">
                  <c:v>Study</c:v>
                </c:pt>
                <c:pt idx="5">
                  <c:v>World</c:v>
                </c:pt>
              </c:strCache>
            </c:strRef>
          </c:cat>
          <c:val>
            <c:numRef>
              <c:f>'Pivot Table Committees Year'!$B$5:$B$11</c:f>
              <c:numCache>
                <c:formatCode>General</c:formatCode>
                <c:ptCount val="6"/>
                <c:pt idx="0">
                  <c:v>5</c:v>
                </c:pt>
                <c:pt idx="1">
                  <c:v>2</c:v>
                </c:pt>
                <c:pt idx="2">
                  <c:v>97</c:v>
                </c:pt>
                <c:pt idx="3">
                  <c:v>83</c:v>
                </c:pt>
                <c:pt idx="4">
                  <c:v>291</c:v>
                </c:pt>
                <c:pt idx="5">
                  <c:v>18</c:v>
                </c:pt>
              </c:numCache>
            </c:numRef>
          </c:val>
          <c:extLst>
            <c:ext xmlns:c16="http://schemas.microsoft.com/office/drawing/2014/chart" uri="{C3380CC4-5D6E-409C-BE32-E72D297353CC}">
              <c16:uniqueId val="{00000000-2E48-4DE3-9032-BBE3A71B53BD}"/>
            </c:ext>
          </c:extLst>
        </c:ser>
        <c:ser>
          <c:idx val="1"/>
          <c:order val="1"/>
          <c:tx>
            <c:strRef>
              <c:f>'Pivot Table Committees Year'!$C$4</c:f>
              <c:strCache>
                <c:ptCount val="1"/>
                <c:pt idx="0">
                  <c:v>Sum of Number of second year comittee members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Committees Year'!$A$5:$A$11</c:f>
              <c:strCache>
                <c:ptCount val="6"/>
                <c:pt idx="0">
                  <c:v>Culture</c:v>
                </c:pt>
                <c:pt idx="1">
                  <c:v>Other</c:v>
                </c:pt>
                <c:pt idx="2">
                  <c:v>Social</c:v>
                </c:pt>
                <c:pt idx="3">
                  <c:v>Sports</c:v>
                </c:pt>
                <c:pt idx="4">
                  <c:v>Study</c:v>
                </c:pt>
                <c:pt idx="5">
                  <c:v>World</c:v>
                </c:pt>
              </c:strCache>
            </c:strRef>
          </c:cat>
          <c:val>
            <c:numRef>
              <c:f>'Pivot Table Committees Year'!$C$5:$C$11</c:f>
              <c:numCache>
                <c:formatCode>General</c:formatCode>
                <c:ptCount val="6"/>
                <c:pt idx="0">
                  <c:v>20</c:v>
                </c:pt>
                <c:pt idx="1">
                  <c:v>21</c:v>
                </c:pt>
                <c:pt idx="2">
                  <c:v>138</c:v>
                </c:pt>
                <c:pt idx="3">
                  <c:v>105</c:v>
                </c:pt>
                <c:pt idx="4">
                  <c:v>480</c:v>
                </c:pt>
                <c:pt idx="5">
                  <c:v>6</c:v>
                </c:pt>
              </c:numCache>
            </c:numRef>
          </c:val>
          <c:extLst>
            <c:ext xmlns:c16="http://schemas.microsoft.com/office/drawing/2014/chart" uri="{C3380CC4-5D6E-409C-BE32-E72D297353CC}">
              <c16:uniqueId val="{00000001-2E48-4DE3-9032-BBE3A71B53BD}"/>
            </c:ext>
          </c:extLst>
        </c:ser>
        <c:ser>
          <c:idx val="2"/>
          <c:order val="2"/>
          <c:tx>
            <c:strRef>
              <c:f>'Pivot Table Committees Year'!$D$4</c:f>
              <c:strCache>
                <c:ptCount val="1"/>
                <c:pt idx="0">
                  <c:v>Sum of Number of third year comittee members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Committees Year'!$A$5:$A$11</c:f>
              <c:strCache>
                <c:ptCount val="6"/>
                <c:pt idx="0">
                  <c:v>Culture</c:v>
                </c:pt>
                <c:pt idx="1">
                  <c:v>Other</c:v>
                </c:pt>
                <c:pt idx="2">
                  <c:v>Social</c:v>
                </c:pt>
                <c:pt idx="3">
                  <c:v>Sports</c:v>
                </c:pt>
                <c:pt idx="4">
                  <c:v>Study</c:v>
                </c:pt>
                <c:pt idx="5">
                  <c:v>World</c:v>
                </c:pt>
              </c:strCache>
            </c:strRef>
          </c:cat>
          <c:val>
            <c:numRef>
              <c:f>'Pivot Table Committees Year'!$D$5:$D$11</c:f>
              <c:numCache>
                <c:formatCode>General</c:formatCode>
                <c:ptCount val="6"/>
                <c:pt idx="0">
                  <c:v>54</c:v>
                </c:pt>
                <c:pt idx="1">
                  <c:v>27</c:v>
                </c:pt>
                <c:pt idx="2">
                  <c:v>166</c:v>
                </c:pt>
                <c:pt idx="3">
                  <c:v>166</c:v>
                </c:pt>
                <c:pt idx="4">
                  <c:v>540</c:v>
                </c:pt>
                <c:pt idx="5">
                  <c:v>5</c:v>
                </c:pt>
              </c:numCache>
            </c:numRef>
          </c:val>
          <c:extLst>
            <c:ext xmlns:c16="http://schemas.microsoft.com/office/drawing/2014/chart" uri="{C3380CC4-5D6E-409C-BE32-E72D297353CC}">
              <c16:uniqueId val="{00000002-2E48-4DE3-9032-BBE3A71B53BD}"/>
            </c:ext>
          </c:extLst>
        </c:ser>
        <c:ser>
          <c:idx val="3"/>
          <c:order val="3"/>
          <c:tx>
            <c:strRef>
              <c:f>'Pivot Table Committees Year'!$E$4</c:f>
              <c:strCache>
                <c:ptCount val="1"/>
                <c:pt idx="0">
                  <c:v>Sum of Number of fourth year comittee members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Committees Year'!$A$5:$A$11</c:f>
              <c:strCache>
                <c:ptCount val="6"/>
                <c:pt idx="0">
                  <c:v>Culture</c:v>
                </c:pt>
                <c:pt idx="1">
                  <c:v>Other</c:v>
                </c:pt>
                <c:pt idx="2">
                  <c:v>Social</c:v>
                </c:pt>
                <c:pt idx="3">
                  <c:v>Sports</c:v>
                </c:pt>
                <c:pt idx="4">
                  <c:v>Study</c:v>
                </c:pt>
                <c:pt idx="5">
                  <c:v>World</c:v>
                </c:pt>
              </c:strCache>
            </c:strRef>
          </c:cat>
          <c:val>
            <c:numRef>
              <c:f>'Pivot Table Committees Year'!$E$5:$E$11</c:f>
              <c:numCache>
                <c:formatCode>General</c:formatCode>
                <c:ptCount val="6"/>
                <c:pt idx="0">
                  <c:v>40</c:v>
                </c:pt>
                <c:pt idx="1">
                  <c:v>13</c:v>
                </c:pt>
                <c:pt idx="2">
                  <c:v>123</c:v>
                </c:pt>
                <c:pt idx="3">
                  <c:v>107</c:v>
                </c:pt>
                <c:pt idx="4">
                  <c:v>378</c:v>
                </c:pt>
                <c:pt idx="5">
                  <c:v>3</c:v>
                </c:pt>
              </c:numCache>
            </c:numRef>
          </c:val>
          <c:extLst>
            <c:ext xmlns:c16="http://schemas.microsoft.com/office/drawing/2014/chart" uri="{C3380CC4-5D6E-409C-BE32-E72D297353CC}">
              <c16:uniqueId val="{00000003-2E48-4DE3-9032-BBE3A71B53BD}"/>
            </c:ext>
          </c:extLst>
        </c:ser>
        <c:ser>
          <c:idx val="4"/>
          <c:order val="4"/>
          <c:tx>
            <c:strRef>
              <c:f>'Pivot Table Committees Year'!$F$4</c:f>
              <c:strCache>
                <c:ptCount val="1"/>
                <c:pt idx="0">
                  <c:v>Sum of Number of 4+ year comittee members</c:v>
                </c:pt>
              </c:strCache>
            </c:strRef>
          </c:tx>
          <c:spPr>
            <a:solidFill>
              <a:schemeClr val="accent1">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Committees Year'!$A$5:$A$11</c:f>
              <c:strCache>
                <c:ptCount val="6"/>
                <c:pt idx="0">
                  <c:v>Culture</c:v>
                </c:pt>
                <c:pt idx="1">
                  <c:v>Other</c:v>
                </c:pt>
                <c:pt idx="2">
                  <c:v>Social</c:v>
                </c:pt>
                <c:pt idx="3">
                  <c:v>Sports</c:v>
                </c:pt>
                <c:pt idx="4">
                  <c:v>Study</c:v>
                </c:pt>
                <c:pt idx="5">
                  <c:v>World</c:v>
                </c:pt>
              </c:strCache>
            </c:strRef>
          </c:cat>
          <c:val>
            <c:numRef>
              <c:f>'Pivot Table Committees Year'!$F$5:$F$11</c:f>
              <c:numCache>
                <c:formatCode>General</c:formatCode>
                <c:ptCount val="6"/>
                <c:pt idx="0">
                  <c:v>55</c:v>
                </c:pt>
                <c:pt idx="1">
                  <c:v>6</c:v>
                </c:pt>
                <c:pt idx="2">
                  <c:v>58</c:v>
                </c:pt>
                <c:pt idx="3">
                  <c:v>189</c:v>
                </c:pt>
                <c:pt idx="4">
                  <c:v>229</c:v>
                </c:pt>
                <c:pt idx="5">
                  <c:v>16</c:v>
                </c:pt>
              </c:numCache>
            </c:numRef>
          </c:val>
          <c:extLst>
            <c:ext xmlns:c16="http://schemas.microsoft.com/office/drawing/2014/chart" uri="{C3380CC4-5D6E-409C-BE32-E72D297353CC}">
              <c16:uniqueId val="{00000004-2E48-4DE3-9032-BBE3A71B53BD}"/>
            </c:ext>
          </c:extLst>
        </c:ser>
        <c:dLbls>
          <c:dLblPos val="ctr"/>
          <c:showLegendKey val="0"/>
          <c:showVal val="1"/>
          <c:showCatName val="0"/>
          <c:showSerName val="0"/>
          <c:showPercent val="0"/>
          <c:showBubbleSize val="0"/>
        </c:dLbls>
        <c:gapWidth val="219"/>
        <c:overlap val="100"/>
        <c:axId val="1531912256"/>
        <c:axId val="1531916416"/>
      </c:barChart>
      <c:catAx>
        <c:axId val="15319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531916416"/>
        <c:crosses val="autoZero"/>
        <c:auto val="1"/>
        <c:lblAlgn val="ctr"/>
        <c:lblOffset val="100"/>
        <c:noMultiLvlLbl val="0"/>
      </c:catAx>
      <c:valAx>
        <c:axId val="15319164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1531912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 Amount of Committees!Draaitabel5</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Committees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 Amount of Committees'!$B$1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Amount of Committees'!$A$2:$A$8</c:f>
              <c:strCache>
                <c:ptCount val="6"/>
                <c:pt idx="0">
                  <c:v>Culture</c:v>
                </c:pt>
                <c:pt idx="1">
                  <c:v>Other</c:v>
                </c:pt>
                <c:pt idx="2">
                  <c:v>Social</c:v>
                </c:pt>
                <c:pt idx="3">
                  <c:v>Sports</c:v>
                </c:pt>
                <c:pt idx="4">
                  <c:v>Study</c:v>
                </c:pt>
                <c:pt idx="5">
                  <c:v>World</c:v>
                </c:pt>
              </c:strCache>
            </c:strRef>
          </c:cat>
          <c:val>
            <c:numRef>
              <c:f>' Amount of Committees'!$B$2:$B$8</c:f>
              <c:numCache>
                <c:formatCode>General</c:formatCode>
                <c:ptCount val="6"/>
                <c:pt idx="0">
                  <c:v>137</c:v>
                </c:pt>
                <c:pt idx="1">
                  <c:v>36</c:v>
                </c:pt>
                <c:pt idx="2">
                  <c:v>182</c:v>
                </c:pt>
                <c:pt idx="3">
                  <c:v>391</c:v>
                </c:pt>
                <c:pt idx="4">
                  <c:v>413</c:v>
                </c:pt>
                <c:pt idx="5">
                  <c:v>15</c:v>
                </c:pt>
              </c:numCache>
            </c:numRef>
          </c:val>
          <c:extLst>
            <c:ext xmlns:c16="http://schemas.microsoft.com/office/drawing/2014/chart" uri="{C3380CC4-5D6E-409C-BE32-E72D297353CC}">
              <c16:uniqueId val="{00000000-5E0C-4F08-ABD8-A78352E407EC}"/>
            </c:ext>
          </c:extLst>
        </c:ser>
        <c:dLbls>
          <c:dLblPos val="outEnd"/>
          <c:showLegendKey val="0"/>
          <c:showVal val="1"/>
          <c:showCatName val="0"/>
          <c:showSerName val="0"/>
          <c:showPercent val="0"/>
          <c:showBubbleSize val="0"/>
        </c:dLbls>
        <c:gapWidth val="219"/>
        <c:overlap val="-27"/>
        <c:axId val="403429296"/>
        <c:axId val="403465072"/>
      </c:barChart>
      <c:catAx>
        <c:axId val="40342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403465072"/>
        <c:crosses val="autoZero"/>
        <c:auto val="1"/>
        <c:lblAlgn val="ctr"/>
        <c:lblOffset val="100"/>
        <c:noMultiLvlLbl val="0"/>
      </c:catAx>
      <c:valAx>
        <c:axId val="4034650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4034292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pivotSource>
    <c:name>[AM 2023 Student Union Final.xlsx]Pivot Table Covid Influence!Draaitabel7</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Covid</a:t>
            </a:r>
            <a:r>
              <a:rPr lang="nl-NL" baseline="0"/>
              <a:t> impact per sector</a:t>
            </a:r>
          </a:p>
        </c:rich>
      </c:tx>
      <c:layout>
        <c:manualLayout>
          <c:xMode val="edge"/>
          <c:yMode val="edge"/>
          <c:x val="0.27662626915313593"/>
          <c:y val="0.1342587736925200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dLbl>
          <c:idx val="0"/>
          <c:showLegendKey val="0"/>
          <c:showVal val="1"/>
          <c:showCatName val="0"/>
          <c:showSerName val="0"/>
          <c:showPercent val="0"/>
          <c:showBubbleSize val="0"/>
          <c:extLst>
            <c:ext xmlns:c15="http://schemas.microsoft.com/office/drawing/2012/chart" uri="{CE6537A1-D6FC-4f65-9D91-7224C49458BB}"/>
          </c:extLst>
        </c:dLbl>
      </c:pivotFmt>
      <c:pivotFmt>
        <c:idx val="25"/>
        <c:dLbl>
          <c:idx val="0"/>
          <c:showLegendKey val="0"/>
          <c:showVal val="1"/>
          <c:showCatName val="0"/>
          <c:showSerName val="0"/>
          <c:showPercent val="0"/>
          <c:showBubbleSize val="0"/>
          <c:extLst>
            <c:ext xmlns:c15="http://schemas.microsoft.com/office/drawing/2012/chart" uri="{CE6537A1-D6FC-4f65-9D91-7224C49458BB}"/>
          </c:extLst>
        </c:dLbl>
      </c:pivotFmt>
      <c:pivotFmt>
        <c:idx val="26"/>
        <c:dLbl>
          <c:idx val="0"/>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BDD9F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9BCE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FA3D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4074B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31598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31598F"/>
          </a:solidFill>
          <a:ln>
            <a:noFill/>
          </a:ln>
          <a:effectLst/>
        </c:spPr>
        <c:dLbl>
          <c:idx val="0"/>
          <c:layout>
            <c:manualLayout>
              <c:x val="0"/>
              <c:y val="-1.509091743034245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112456153159056E-2"/>
          <c:y val="0.23868735511727851"/>
          <c:w val="0.68873642701715065"/>
          <c:h val="0.63721045733927895"/>
        </c:manualLayout>
      </c:layout>
      <c:barChart>
        <c:barDir val="col"/>
        <c:grouping val="percentStacked"/>
        <c:varyColors val="0"/>
        <c:dLbls>
          <c:dLblPos val="ctr"/>
          <c:showLegendKey val="0"/>
          <c:showVal val="1"/>
          <c:showCatName val="0"/>
          <c:showSerName val="0"/>
          <c:showPercent val="0"/>
          <c:showBubbleSize val="0"/>
        </c:dLbls>
        <c:gapWidth val="150"/>
        <c:overlap val="100"/>
        <c:axId val="403452592"/>
        <c:axId val="403464656"/>
      </c:barChart>
      <c:catAx>
        <c:axId val="40345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403464656"/>
        <c:crosses val="autoZero"/>
        <c:auto val="1"/>
        <c:lblAlgn val="ctr"/>
        <c:lblOffset val="100"/>
        <c:noMultiLvlLbl val="0"/>
      </c:catAx>
      <c:valAx>
        <c:axId val="4034646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403452592"/>
        <c:crosses val="autoZero"/>
        <c:crossBetween val="between"/>
      </c:valAx>
      <c:spPr>
        <a:noFill/>
        <a:ln>
          <a:noFill/>
        </a:ln>
        <a:effectLst/>
      </c:spPr>
    </c:plotArea>
    <c:legend>
      <c:legendPos val="r"/>
      <c:layout>
        <c:manualLayout>
          <c:xMode val="edge"/>
          <c:yMode val="edge"/>
          <c:x val="0.7382962546966686"/>
          <c:y val="0.29683475210434285"/>
          <c:w val="0.25102039746588645"/>
          <c:h val="0.521398639265534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0F5"/>
    </a:solid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[AM 2023 Student Union Final.xlsx]Covid-19 Influence sheet!Draaitabel2</c:name>
    <c:fmtId val="3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Covid</a:t>
            </a:r>
            <a:r>
              <a:rPr lang="en-US" baseline="0"/>
              <a:t> Impact</a:t>
            </a:r>
          </a:p>
          <a:p>
            <a:pPr>
              <a:defRPr sz="1400" b="0" spc="0">
                <a:solidFill>
                  <a:schemeClr val="tx1">
                    <a:lumMod val="65000"/>
                    <a:lumOff val="35000"/>
                  </a:schemeClr>
                </a:solidFill>
              </a:defRPr>
            </a:pPr>
            <a:endParaRPr lang="en-US"/>
          </a:p>
        </c:rich>
      </c:tx>
      <c:layout>
        <c:manualLayout>
          <c:xMode val="edge"/>
          <c:yMode val="edge"/>
          <c:x val="0.42374945438054262"/>
          <c:y val="1.89183941908116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'Covid-19 Influence sheet'!$B$3</c:f>
              <c:strCache>
                <c:ptCount val="1"/>
                <c:pt idx="0">
                  <c:v>Total</c:v>
                </c:pt>
              </c:strCache>
            </c:strRef>
          </c:tx>
          <c:spPr>
            <a:solidFill>
              <a:schemeClr val="accent1"/>
            </a:solidFill>
            <a:ln>
              <a:noFill/>
            </a:ln>
            <a:effectLst/>
          </c:spPr>
          <c:invertIfNegative val="0"/>
          <c:cat>
            <c:strRef>
              <c:f>'Covid-19 Influence sheet'!$A$4:$A$9</c:f>
              <c:strCache>
                <c:ptCount val="5"/>
                <c:pt idx="0">
                  <c:v>strong decrease</c:v>
                </c:pt>
                <c:pt idx="1">
                  <c:v>slight decrease</c:v>
                </c:pt>
                <c:pt idx="2">
                  <c:v>no influence</c:v>
                </c:pt>
                <c:pt idx="3">
                  <c:v>slight increase</c:v>
                </c:pt>
                <c:pt idx="4">
                  <c:v>strong increase</c:v>
                </c:pt>
              </c:strCache>
            </c:strRef>
          </c:cat>
          <c:val>
            <c:numRef>
              <c:f>'Covid-19 Influence sheet'!$B$4:$B$9</c:f>
              <c:numCache>
                <c:formatCode>General</c:formatCode>
                <c:ptCount val="5"/>
                <c:pt idx="0">
                  <c:v>160</c:v>
                </c:pt>
                <c:pt idx="1">
                  <c:v>144</c:v>
                </c:pt>
                <c:pt idx="2">
                  <c:v>295</c:v>
                </c:pt>
                <c:pt idx="3">
                  <c:v>97</c:v>
                </c:pt>
                <c:pt idx="4">
                  <c:v>27</c:v>
                </c:pt>
              </c:numCache>
            </c:numRef>
          </c:val>
          <c:extLst>
            <c:ext xmlns:c16="http://schemas.microsoft.com/office/drawing/2014/chart" uri="{C3380CC4-5D6E-409C-BE32-E72D297353CC}">
              <c16:uniqueId val="{00000001-4386-471C-B5A5-A90A0A3D2302}"/>
            </c:ext>
          </c:extLst>
        </c:ser>
        <c:dLbls>
          <c:showLegendKey val="0"/>
          <c:showVal val="0"/>
          <c:showCatName val="0"/>
          <c:showSerName val="0"/>
          <c:showPercent val="0"/>
          <c:showBubbleSize val="0"/>
        </c:dLbls>
        <c:gapWidth val="219"/>
        <c:overlap val="-27"/>
        <c:axId val="962525071"/>
        <c:axId val="962524239"/>
      </c:barChart>
      <c:catAx>
        <c:axId val="96252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962524239"/>
        <c:crosses val="autoZero"/>
        <c:auto val="1"/>
        <c:lblAlgn val="ctr"/>
        <c:lblOffset val="100"/>
        <c:noMultiLvlLbl val="0"/>
      </c:catAx>
      <c:valAx>
        <c:axId val="962524239"/>
        <c:scaling>
          <c:orientation val="minMax"/>
        </c:scaling>
        <c:delete val="0"/>
        <c:axPos val="l"/>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962525071"/>
        <c:crosses val="autoZero"/>
        <c:crossBetween val="between"/>
      </c:valAx>
      <c:spPr>
        <a:solidFill>
          <a:srgbClr val="F2F0F5"/>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spPr>
    <a:solidFill>
      <a:srgbClr val="F2F0F5"/>
    </a:solidFill>
    <a:ln w="6350" cap="flat" cmpd="sng" algn="ctr">
      <a:noFill/>
      <a:prstDash val="solid"/>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su.utwente.nl/" TargetMode="External"/><Relationship Id="rId3" Type="http://schemas.openxmlformats.org/officeDocument/2006/relationships/hyperlink" Target="#Committees!A1"/><Relationship Id="rId7" Type="http://schemas.openxmlformats.org/officeDocument/2006/relationships/hyperlink" Target="#'Main Dashboard'!A1"/><Relationship Id="rId12" Type="http://schemas.openxmlformats.org/officeDocument/2006/relationships/hyperlink" Target="#Conclusions!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Active members'!A1"/><Relationship Id="rId11" Type="http://schemas.openxmlformats.org/officeDocument/2006/relationships/hyperlink" Target="#'Reading Guide'!A1"/><Relationship Id="rId5" Type="http://schemas.openxmlformats.org/officeDocument/2006/relationships/hyperlink" Target="#'Response Rate'!A1"/><Relationship Id="rId10" Type="http://schemas.openxmlformats.org/officeDocument/2006/relationships/image" Target="../media/image4.png"/><Relationship Id="rId4" Type="http://schemas.openxmlformats.org/officeDocument/2006/relationships/hyperlink" Target="#Internationals!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Active members'!A1"/></Relationships>
</file>

<file path=xl/drawings/_rels/drawing11.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International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Committee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Committee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Covid Influen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Active members'!A1"/></Relationships>
</file>

<file path=xl/drawings/_rels/drawing16.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International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Response Rat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Covid-19 Influence'!A1"/></Relationships>
</file>

<file path=xl/drawings/_rels/drawing19.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Response Rate'!A1"/></Relationships>
</file>

<file path=xl/drawings/_rels/drawing2.xml.rels><?xml version="1.0" encoding="UTF-8" standalone="yes"?>
<Relationships xmlns="http://schemas.openxmlformats.org/package/2006/relationships"><Relationship Id="rId8" Type="http://schemas.openxmlformats.org/officeDocument/2006/relationships/hyperlink" Target="#'Response Rate'!A1"/><Relationship Id="rId13" Type="http://schemas.openxmlformats.org/officeDocument/2006/relationships/image" Target="../media/image1.png"/><Relationship Id="rId3" Type="http://schemas.openxmlformats.org/officeDocument/2006/relationships/image" Target="../media/image4.png"/><Relationship Id="rId7" Type="http://schemas.openxmlformats.org/officeDocument/2006/relationships/hyperlink" Target="#Internationals!A1"/><Relationship Id="rId12" Type="http://schemas.openxmlformats.org/officeDocument/2006/relationships/hyperlink" Target="#'Reading Guide'!A1"/><Relationship Id="rId2" Type="http://schemas.openxmlformats.org/officeDocument/2006/relationships/image" Target="../media/image3.png"/><Relationship Id="rId1" Type="http://schemas.openxmlformats.org/officeDocument/2006/relationships/hyperlink" Target="https://su.utwente.nl/" TargetMode="External"/><Relationship Id="rId6" Type="http://schemas.openxmlformats.org/officeDocument/2006/relationships/hyperlink" Target="#Committees!A1"/><Relationship Id="rId11" Type="http://schemas.openxmlformats.org/officeDocument/2006/relationships/hyperlink" Target="#Conclusions!A1"/><Relationship Id="rId5" Type="http://schemas.openxmlformats.org/officeDocument/2006/relationships/image" Target="../media/image6.png"/><Relationship Id="rId10" Type="http://schemas.openxmlformats.org/officeDocument/2006/relationships/hyperlink" Target="#'Main Dashboard'!A1"/><Relationship Id="rId4" Type="http://schemas.openxmlformats.org/officeDocument/2006/relationships/image" Target="../media/image5.png"/><Relationship Id="rId9" Type="http://schemas.openxmlformats.org/officeDocument/2006/relationships/hyperlink" Target="#'Active members'!A1"/><Relationship Id="rId14" Type="http://schemas.openxmlformats.org/officeDocument/2006/relationships/image" Target="../media/image2.svg"/></Relationships>
</file>

<file path=xl/drawings/_rels/drawing20.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Internationals!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Main Dashboard'!A1"/><Relationship Id="rId3" Type="http://schemas.openxmlformats.org/officeDocument/2006/relationships/image" Target="../media/image4.png"/><Relationship Id="rId7" Type="http://schemas.openxmlformats.org/officeDocument/2006/relationships/hyperlink" Target="#'Active members'!A1"/><Relationship Id="rId12"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https://su.utwente.nl/" TargetMode="External"/><Relationship Id="rId6" Type="http://schemas.openxmlformats.org/officeDocument/2006/relationships/hyperlink" Target="#'Response Rate'!A1"/><Relationship Id="rId11" Type="http://schemas.openxmlformats.org/officeDocument/2006/relationships/image" Target="../media/image1.png"/><Relationship Id="rId5" Type="http://schemas.openxmlformats.org/officeDocument/2006/relationships/hyperlink" Target="#Internationals!A1"/><Relationship Id="rId10" Type="http://schemas.openxmlformats.org/officeDocument/2006/relationships/hyperlink" Target="#'Reading Guide'!A1"/><Relationship Id="rId4" Type="http://schemas.openxmlformats.org/officeDocument/2006/relationships/hyperlink" Target="#Committees!A1"/><Relationship Id="rId9" Type="http://schemas.openxmlformats.org/officeDocument/2006/relationships/hyperlink" Target="#Conclusions!A1"/></Relationships>
</file>

<file path=xl/drawings/_rels/drawing4.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hyperlink" Target="#'Main Dashboard'!A1"/><Relationship Id="rId3" Type="http://schemas.openxmlformats.org/officeDocument/2006/relationships/chart" Target="../charts/chart1.xml"/><Relationship Id="rId7" Type="http://schemas.openxmlformats.org/officeDocument/2006/relationships/image" Target="../media/image8.png"/><Relationship Id="rId12" Type="http://schemas.openxmlformats.org/officeDocument/2006/relationships/hyperlink" Target="#'Active members'!A1"/><Relationship Id="rId2" Type="http://schemas.openxmlformats.org/officeDocument/2006/relationships/image" Target="../media/image2.svg"/><Relationship Id="rId16" Type="http://schemas.openxmlformats.org/officeDocument/2006/relationships/hyperlink" Target="#'Reading Guide'!A1"/><Relationship Id="rId1" Type="http://schemas.openxmlformats.org/officeDocument/2006/relationships/image" Target="../media/image1.png"/><Relationship Id="rId6" Type="http://schemas.openxmlformats.org/officeDocument/2006/relationships/hyperlink" Target="#'Response Rate sheet'!A1"/><Relationship Id="rId11" Type="http://schemas.openxmlformats.org/officeDocument/2006/relationships/hyperlink" Target="#Internationals!A1"/><Relationship Id="rId5" Type="http://schemas.openxmlformats.org/officeDocument/2006/relationships/image" Target="../media/image7.png"/><Relationship Id="rId15" Type="http://schemas.openxmlformats.org/officeDocument/2006/relationships/hyperlink" Target="#Conclusions!A1"/><Relationship Id="rId10" Type="http://schemas.openxmlformats.org/officeDocument/2006/relationships/hyperlink" Target="#Committees!A1"/><Relationship Id="rId4" Type="http://schemas.openxmlformats.org/officeDocument/2006/relationships/hyperlink" Target="https://su.utwente.nl/" TargetMode="External"/><Relationship Id="rId9" Type="http://schemas.openxmlformats.org/officeDocument/2006/relationships/image" Target="../media/image4.png"/><Relationship Id="rId14" Type="http://schemas.openxmlformats.org/officeDocument/2006/relationships/hyperlink" Target="#'Response Rate'!A1"/></Relationships>
</file>

<file path=xl/drawings/_rels/drawing5.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hyperlink" Target="#'Main Dashboard'!A1"/><Relationship Id="rId3" Type="http://schemas.openxmlformats.org/officeDocument/2006/relationships/chart" Target="../charts/chart2.xml"/><Relationship Id="rId7" Type="http://schemas.openxmlformats.org/officeDocument/2006/relationships/image" Target="../media/image11.png"/><Relationship Id="rId12" Type="http://schemas.openxmlformats.org/officeDocument/2006/relationships/hyperlink" Target="#'Active members'!A1"/><Relationship Id="rId17" Type="http://schemas.openxmlformats.org/officeDocument/2006/relationships/chart" Target="../charts/chart3.xml"/><Relationship Id="rId2" Type="http://schemas.openxmlformats.org/officeDocument/2006/relationships/image" Target="../media/image2.svg"/><Relationship Id="rId16" Type="http://schemas.openxmlformats.org/officeDocument/2006/relationships/hyperlink" Target="#'Reading Guide'!A1"/><Relationship Id="rId1" Type="http://schemas.openxmlformats.org/officeDocument/2006/relationships/image" Target="../media/image1.png"/><Relationship Id="rId6" Type="http://schemas.openxmlformats.org/officeDocument/2006/relationships/hyperlink" Target="#'Active members sheet'!A1"/><Relationship Id="rId11" Type="http://schemas.openxmlformats.org/officeDocument/2006/relationships/hyperlink" Target="#Internationals!A1"/><Relationship Id="rId5" Type="http://schemas.openxmlformats.org/officeDocument/2006/relationships/image" Target="../media/image10.png"/><Relationship Id="rId15" Type="http://schemas.openxmlformats.org/officeDocument/2006/relationships/hyperlink" Target="#Conclusions!A1"/><Relationship Id="rId10" Type="http://schemas.openxmlformats.org/officeDocument/2006/relationships/hyperlink" Target="#Committees!A1"/><Relationship Id="rId4" Type="http://schemas.openxmlformats.org/officeDocument/2006/relationships/hyperlink" Target="https://su.utwente.nl/" TargetMode="External"/><Relationship Id="rId9" Type="http://schemas.openxmlformats.org/officeDocument/2006/relationships/image" Target="../media/image4.png"/><Relationship Id="rId14" Type="http://schemas.openxmlformats.org/officeDocument/2006/relationships/hyperlink" Target="#'Response Rate'!A1"/></Relationships>
</file>

<file path=xl/drawings/_rels/drawing6.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hyperlink" Target="#Internationals!A1"/><Relationship Id="rId18" Type="http://schemas.openxmlformats.org/officeDocument/2006/relationships/hyperlink" Target="#'Reading Guide'!A1"/><Relationship Id="rId3" Type="http://schemas.openxmlformats.org/officeDocument/2006/relationships/chart" Target="../charts/chart4.xml"/><Relationship Id="rId7" Type="http://schemas.openxmlformats.org/officeDocument/2006/relationships/image" Target="../media/image11.png"/><Relationship Id="rId12" Type="http://schemas.openxmlformats.org/officeDocument/2006/relationships/hyperlink" Target="#Committees!A1"/><Relationship Id="rId17" Type="http://schemas.openxmlformats.org/officeDocument/2006/relationships/hyperlink" Target="#Conclusions!A1"/><Relationship Id="rId2" Type="http://schemas.openxmlformats.org/officeDocument/2006/relationships/image" Target="../media/image2.svg"/><Relationship Id="rId16" Type="http://schemas.openxmlformats.org/officeDocument/2006/relationships/hyperlink" Target="#'Response Rate'!A1"/><Relationship Id="rId1" Type="http://schemas.openxmlformats.org/officeDocument/2006/relationships/image" Target="../media/image1.png"/><Relationship Id="rId6" Type="http://schemas.openxmlformats.org/officeDocument/2006/relationships/hyperlink" Target="#'Pivot Table Internationals '!A1"/><Relationship Id="rId11" Type="http://schemas.openxmlformats.org/officeDocument/2006/relationships/hyperlink" Target="#'Amount of Internationals'!A1"/><Relationship Id="rId5" Type="http://schemas.openxmlformats.org/officeDocument/2006/relationships/image" Target="../media/image7.png"/><Relationship Id="rId15" Type="http://schemas.openxmlformats.org/officeDocument/2006/relationships/hyperlink" Target="#'Main Dashboard'!A1"/><Relationship Id="rId10" Type="http://schemas.openxmlformats.org/officeDocument/2006/relationships/chart" Target="../charts/chart5.xml"/><Relationship Id="rId4" Type="http://schemas.openxmlformats.org/officeDocument/2006/relationships/hyperlink" Target="https://su.utwente.nl/" TargetMode="External"/><Relationship Id="rId9" Type="http://schemas.openxmlformats.org/officeDocument/2006/relationships/image" Target="../media/image4.png"/><Relationship Id="rId14" Type="http://schemas.openxmlformats.org/officeDocument/2006/relationships/hyperlink" Target="#'Active members'!A1"/></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nternationals!A1"/><Relationship Id="rId18" Type="http://schemas.openxmlformats.org/officeDocument/2006/relationships/hyperlink" Target="#'Reading Guide'!A1"/><Relationship Id="rId3" Type="http://schemas.openxmlformats.org/officeDocument/2006/relationships/chart" Target="../charts/chart6.xml"/><Relationship Id="rId7" Type="http://schemas.openxmlformats.org/officeDocument/2006/relationships/hyperlink" Target="#'Division Study Year Committees'!A1"/><Relationship Id="rId12" Type="http://schemas.openxmlformats.org/officeDocument/2006/relationships/hyperlink" Target="#Committees!A1"/><Relationship Id="rId17" Type="http://schemas.openxmlformats.org/officeDocument/2006/relationships/hyperlink" Target="#Conclusions!A1"/><Relationship Id="rId2" Type="http://schemas.openxmlformats.org/officeDocument/2006/relationships/image" Target="../media/image2.svg"/><Relationship Id="rId16" Type="http://schemas.openxmlformats.org/officeDocument/2006/relationships/hyperlink" Target="#'Response Rate'!A1"/><Relationship Id="rId1" Type="http://schemas.openxmlformats.org/officeDocument/2006/relationships/image" Target="../media/image1.png"/><Relationship Id="rId6" Type="http://schemas.openxmlformats.org/officeDocument/2006/relationships/image" Target="../media/image7.png"/><Relationship Id="rId11" Type="http://schemas.openxmlformats.org/officeDocument/2006/relationships/image" Target="../media/image4.png"/><Relationship Id="rId5" Type="http://schemas.openxmlformats.org/officeDocument/2006/relationships/hyperlink" Target="https://su.utwente.nl/" TargetMode="External"/><Relationship Id="rId15" Type="http://schemas.openxmlformats.org/officeDocument/2006/relationships/hyperlink" Target="#'Main Dashboard'!A1"/><Relationship Id="rId10" Type="http://schemas.openxmlformats.org/officeDocument/2006/relationships/hyperlink" Target="#' Amount of Committees'!A1"/><Relationship Id="rId4" Type="http://schemas.openxmlformats.org/officeDocument/2006/relationships/chart" Target="../charts/chart7.xml"/><Relationship Id="rId9" Type="http://schemas.openxmlformats.org/officeDocument/2006/relationships/image" Target="../media/image12.svg"/><Relationship Id="rId14" Type="http://schemas.openxmlformats.org/officeDocument/2006/relationships/hyperlink" Target="#'Active members'!A1"/></Relationships>
</file>

<file path=xl/drawings/_rels/drawing8.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hyperlink" Target="#Internationals!A1"/><Relationship Id="rId18" Type="http://schemas.openxmlformats.org/officeDocument/2006/relationships/hyperlink" Target="#'Reading Guide'!A1"/><Relationship Id="rId3" Type="http://schemas.openxmlformats.org/officeDocument/2006/relationships/chart" Target="../charts/chart8.xml"/><Relationship Id="rId7" Type="http://schemas.openxmlformats.org/officeDocument/2006/relationships/image" Target="../media/image11.png"/><Relationship Id="rId12" Type="http://schemas.openxmlformats.org/officeDocument/2006/relationships/hyperlink" Target="#'Covid-19 Influence'!A1"/><Relationship Id="rId17" Type="http://schemas.openxmlformats.org/officeDocument/2006/relationships/hyperlink" Target="#Conclusions!A1"/><Relationship Id="rId2" Type="http://schemas.openxmlformats.org/officeDocument/2006/relationships/image" Target="../media/image2.svg"/><Relationship Id="rId16" Type="http://schemas.openxmlformats.org/officeDocument/2006/relationships/hyperlink" Target="#'Response Rate'!A1"/><Relationship Id="rId1" Type="http://schemas.openxmlformats.org/officeDocument/2006/relationships/image" Target="../media/image1.png"/><Relationship Id="rId6" Type="http://schemas.openxmlformats.org/officeDocument/2006/relationships/hyperlink" Target="#'Pivot Table Covid Influence'!A1"/><Relationship Id="rId11" Type="http://schemas.openxmlformats.org/officeDocument/2006/relationships/hyperlink" Target="#Committees!A1"/><Relationship Id="rId5" Type="http://schemas.openxmlformats.org/officeDocument/2006/relationships/image" Target="../media/image10.png"/><Relationship Id="rId15" Type="http://schemas.openxmlformats.org/officeDocument/2006/relationships/hyperlink" Target="#'Main Dashboard'!A1"/><Relationship Id="rId10" Type="http://schemas.openxmlformats.org/officeDocument/2006/relationships/image" Target="../media/image4.png"/><Relationship Id="rId4" Type="http://schemas.openxmlformats.org/officeDocument/2006/relationships/hyperlink" Target="https://su.utwente.nl/" TargetMode="External"/><Relationship Id="rId9" Type="http://schemas.openxmlformats.org/officeDocument/2006/relationships/chart" Target="../charts/chart9.xml"/><Relationship Id="rId14" Type="http://schemas.openxmlformats.org/officeDocument/2006/relationships/hyperlink" Target="#'Active members'!A1"/></Relationships>
</file>

<file path=xl/drawings/_rels/drawing9.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Response Rate'!A1"/></Relationships>
</file>

<file path=xl/drawings/drawing1.xml><?xml version="1.0" encoding="utf-8"?>
<xdr:wsDr xmlns:xdr="http://schemas.openxmlformats.org/drawingml/2006/spreadsheetDrawing" xmlns:a="http://schemas.openxmlformats.org/drawingml/2006/main">
  <xdr:twoCellAnchor>
    <xdr:from>
      <xdr:col>4</xdr:col>
      <xdr:colOff>16903</xdr:colOff>
      <xdr:row>2</xdr:row>
      <xdr:rowOff>60620</xdr:rowOff>
    </xdr:from>
    <xdr:to>
      <xdr:col>30</xdr:col>
      <xdr:colOff>523467</xdr:colOff>
      <xdr:row>48</xdr:row>
      <xdr:rowOff>8710</xdr:rowOff>
    </xdr:to>
    <xdr:sp macro="" textlink="">
      <xdr:nvSpPr>
        <xdr:cNvPr id="2" name="Rectangle: Top Corners Rounded 1">
          <a:extLst>
            <a:ext uri="{FF2B5EF4-FFF2-40B4-BE49-F238E27FC236}">
              <a16:creationId xmlns:a16="http://schemas.microsoft.com/office/drawing/2014/main" id="{CD1E61E4-9296-49B9-A0EE-3CB3E6A8F75B}"/>
            </a:ext>
          </a:extLst>
        </xdr:cNvPr>
        <xdr:cNvSpPr/>
      </xdr:nvSpPr>
      <xdr:spPr>
        <a:xfrm rot="5400000">
          <a:off x="6868390" y="-3933367"/>
          <a:ext cx="8085161" cy="16780707"/>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 </a:t>
          </a:r>
        </a:p>
      </xdr:txBody>
    </xdr:sp>
    <xdr:clientData/>
  </xdr:twoCellAnchor>
  <xdr:twoCellAnchor>
    <xdr:from>
      <xdr:col>0</xdr:col>
      <xdr:colOff>0</xdr:colOff>
      <xdr:row>0</xdr:row>
      <xdr:rowOff>0</xdr:rowOff>
    </xdr:from>
    <xdr:to>
      <xdr:col>4</xdr:col>
      <xdr:colOff>31200</xdr:colOff>
      <xdr:row>49</xdr:row>
      <xdr:rowOff>0</xdr:rowOff>
    </xdr:to>
    <xdr:sp macro="" textlink="">
      <xdr:nvSpPr>
        <xdr:cNvPr id="3" name="Rectangle 2">
          <a:extLst>
            <a:ext uri="{FF2B5EF4-FFF2-40B4-BE49-F238E27FC236}">
              <a16:creationId xmlns:a16="http://schemas.microsoft.com/office/drawing/2014/main" id="{D5B229B4-9F12-4073-AB7C-8A5941D59704}"/>
            </a:ext>
          </a:extLst>
        </xdr:cNvPr>
        <xdr:cNvSpPr/>
      </xdr:nvSpPr>
      <xdr:spPr>
        <a:xfrm>
          <a:off x="0" y="0"/>
          <a:ext cx="2543895" cy="8867775"/>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70C0"/>
            </a:solidFill>
          </a:endParaRPr>
        </a:p>
      </xdr:txBody>
    </xdr:sp>
    <xdr:clientData/>
  </xdr:twoCellAnchor>
  <xdr:twoCellAnchor>
    <xdr:from>
      <xdr:col>1</xdr:col>
      <xdr:colOff>29294</xdr:colOff>
      <xdr:row>2</xdr:row>
      <xdr:rowOff>58786</xdr:rowOff>
    </xdr:from>
    <xdr:to>
      <xdr:col>4</xdr:col>
      <xdr:colOff>29294</xdr:colOff>
      <xdr:row>48</xdr:row>
      <xdr:rowOff>16877</xdr:rowOff>
    </xdr:to>
    <xdr:sp macro="" textlink="">
      <xdr:nvSpPr>
        <xdr:cNvPr id="4" name="Rectangle: Top Corners Rounded 3">
          <a:extLst>
            <a:ext uri="{FF2B5EF4-FFF2-40B4-BE49-F238E27FC236}">
              <a16:creationId xmlns:a16="http://schemas.microsoft.com/office/drawing/2014/main" id="{A236537C-2137-4BDE-BFB2-0002AD181E8C}"/>
            </a:ext>
          </a:extLst>
        </xdr:cNvPr>
        <xdr:cNvSpPr/>
      </xdr:nvSpPr>
      <xdr:spPr>
        <a:xfrm rot="16200000">
          <a:off x="-2453465" y="3521260"/>
          <a:ext cx="8095162"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B0F0"/>
            </a:solidFill>
          </a:endParaRPr>
        </a:p>
      </xdr:txBody>
    </xdr:sp>
    <xdr:clientData/>
  </xdr:twoCellAnchor>
  <xdr:twoCellAnchor>
    <xdr:from>
      <xdr:col>1</xdr:col>
      <xdr:colOff>179891</xdr:colOff>
      <xdr:row>8</xdr:row>
      <xdr:rowOff>107243</xdr:rowOff>
    </xdr:from>
    <xdr:to>
      <xdr:col>4</xdr:col>
      <xdr:colOff>142922</xdr:colOff>
      <xdr:row>16</xdr:row>
      <xdr:rowOff>6277</xdr:rowOff>
    </xdr:to>
    <xdr:sp macro="" textlink="">
      <xdr:nvSpPr>
        <xdr:cNvPr id="5" name="Freeform: Shape 4">
          <a:extLst>
            <a:ext uri="{FF2B5EF4-FFF2-40B4-BE49-F238E27FC236}">
              <a16:creationId xmlns:a16="http://schemas.microsoft.com/office/drawing/2014/main" id="{73482850-FEDD-4977-A42E-5830E592DCD8}"/>
            </a:ext>
          </a:extLst>
        </xdr:cNvPr>
        <xdr:cNvSpPr/>
      </xdr:nvSpPr>
      <xdr:spPr>
        <a:xfrm rot="16200000">
          <a:off x="1075093" y="1271822"/>
          <a:ext cx="1327784" cy="1856125"/>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5</xdr:col>
      <xdr:colOff>41230</xdr:colOff>
      <xdr:row>2</xdr:row>
      <xdr:rowOff>111236</xdr:rowOff>
    </xdr:from>
    <xdr:to>
      <xdr:col>29</xdr:col>
      <xdr:colOff>560820</xdr:colOff>
      <xdr:row>5</xdr:row>
      <xdr:rowOff>91166</xdr:rowOff>
    </xdr:to>
    <xdr:sp macro="" textlink="">
      <xdr:nvSpPr>
        <xdr:cNvPr id="7" name="Rectangle 6">
          <a:extLst>
            <a:ext uri="{FF2B5EF4-FFF2-40B4-BE49-F238E27FC236}">
              <a16:creationId xmlns:a16="http://schemas.microsoft.com/office/drawing/2014/main" id="{40E2EC24-E139-485C-8079-12EBB2A9B2AD}"/>
            </a:ext>
          </a:extLst>
        </xdr:cNvPr>
        <xdr:cNvSpPr/>
      </xdr:nvSpPr>
      <xdr:spPr>
        <a:xfrm>
          <a:off x="3102837" y="492236"/>
          <a:ext cx="15215304" cy="551430"/>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13</xdr:col>
      <xdr:colOff>449036</xdr:colOff>
      <xdr:row>2</xdr:row>
      <xdr:rowOff>68443</xdr:rowOff>
    </xdr:from>
    <xdr:to>
      <xdr:col>18</xdr:col>
      <xdr:colOff>611505</xdr:colOff>
      <xdr:row>4</xdr:row>
      <xdr:rowOff>89943</xdr:rowOff>
    </xdr:to>
    <xdr:sp macro="" textlink="">
      <xdr:nvSpPr>
        <xdr:cNvPr id="8" name="TextBox 7">
          <a:extLst>
            <a:ext uri="{FF2B5EF4-FFF2-40B4-BE49-F238E27FC236}">
              <a16:creationId xmlns:a16="http://schemas.microsoft.com/office/drawing/2014/main" id="{D473B4BE-35EE-42C4-9A7D-D4348FA61C2F}"/>
            </a:ext>
          </a:extLst>
        </xdr:cNvPr>
        <xdr:cNvSpPr txBox="1"/>
      </xdr:nvSpPr>
      <xdr:spPr>
        <a:xfrm>
          <a:off x="8409215" y="449443"/>
          <a:ext cx="3224076" cy="40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2400">
              <a:solidFill>
                <a:srgbClr val="4074BA"/>
              </a:solidFill>
              <a:latin typeface="Abadi" panose="020B0604020104020204" pitchFamily="34" charset="0"/>
            </a:rPr>
            <a:t>Activism</a:t>
          </a:r>
          <a:r>
            <a:rPr lang="nl-NL" sz="2400">
              <a:solidFill>
                <a:srgbClr val="0070C0"/>
              </a:solidFill>
              <a:latin typeface="Abadi" panose="020B0604020104020204" pitchFamily="34" charset="0"/>
            </a:rPr>
            <a:t> </a:t>
          </a:r>
          <a:r>
            <a:rPr lang="nl-NL" sz="2400">
              <a:solidFill>
                <a:srgbClr val="4074BA"/>
              </a:solidFill>
              <a:latin typeface="Abadi" panose="020B0604020104020204" pitchFamily="34" charset="0"/>
            </a:rPr>
            <a:t>Monitor 2023</a:t>
          </a:r>
        </a:p>
      </xdr:txBody>
    </xdr:sp>
    <xdr:clientData/>
  </xdr:twoCellAnchor>
  <xdr:oneCellAnchor>
    <xdr:from>
      <xdr:col>28</xdr:col>
      <xdr:colOff>571503</xdr:colOff>
      <xdr:row>2</xdr:row>
      <xdr:rowOff>2721</xdr:rowOff>
    </xdr:from>
    <xdr:ext cx="526867" cy="486044"/>
    <xdr:pic>
      <xdr:nvPicPr>
        <xdr:cNvPr id="10" name="Graphic 9" descr="Blog with solid fill">
          <a:extLst>
            <a:ext uri="{FF2B5EF4-FFF2-40B4-BE49-F238E27FC236}">
              <a16:creationId xmlns:a16="http://schemas.microsoft.com/office/drawing/2014/main" id="{E03A86B2-D192-4A32-8F30-C666938832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1</xdr:col>
      <xdr:colOff>364710</xdr:colOff>
      <xdr:row>32</xdr:row>
      <xdr:rowOff>54780</xdr:rowOff>
    </xdr:from>
    <xdr:to>
      <xdr:col>3</xdr:col>
      <xdr:colOff>319807</xdr:colOff>
      <xdr:row>35</xdr:row>
      <xdr:rowOff>142953</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C635250B-1C83-4A60-831D-98327BFDF2F5}"/>
            </a:ext>
          </a:extLst>
        </xdr:cNvPr>
        <xdr:cNvSpPr txBox="1"/>
      </xdr:nvSpPr>
      <xdr:spPr>
        <a:xfrm>
          <a:off x="990639" y="5715351"/>
          <a:ext cx="1206954" cy="618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338381</xdr:colOff>
      <xdr:row>28</xdr:row>
      <xdr:rowOff>96767</xdr:rowOff>
    </xdr:from>
    <xdr:to>
      <xdr:col>3</xdr:col>
      <xdr:colOff>346136</xdr:colOff>
      <xdr:row>32</xdr:row>
      <xdr:rowOff>55946</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2D50ADDE-1097-494C-8252-4EDF1032959C}"/>
            </a:ext>
          </a:extLst>
        </xdr:cNvPr>
        <xdr:cNvSpPr txBox="1"/>
      </xdr:nvSpPr>
      <xdr:spPr>
        <a:xfrm>
          <a:off x="964310" y="5049767"/>
          <a:ext cx="1259612"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308786</xdr:colOff>
      <xdr:row>21</xdr:row>
      <xdr:rowOff>30792</xdr:rowOff>
    </xdr:from>
    <xdr:to>
      <xdr:col>3</xdr:col>
      <xdr:colOff>375732</xdr:colOff>
      <xdr:row>24</xdr:row>
      <xdr:rowOff>159243</xdr:rowOff>
    </xdr:to>
    <xdr:sp macro="" textlink="">
      <xdr:nvSpPr>
        <xdr:cNvPr id="15" name="TextBox 14">
          <a:hlinkClick xmlns:r="http://schemas.openxmlformats.org/officeDocument/2006/relationships" r:id="rId5"/>
          <a:extLst>
            <a:ext uri="{FF2B5EF4-FFF2-40B4-BE49-F238E27FC236}">
              <a16:creationId xmlns:a16="http://schemas.microsoft.com/office/drawing/2014/main" id="{19751425-83E4-495E-8DD1-3C5581266AD8}"/>
            </a:ext>
          </a:extLst>
        </xdr:cNvPr>
        <xdr:cNvSpPr txBox="1"/>
      </xdr:nvSpPr>
      <xdr:spPr>
        <a:xfrm>
          <a:off x="934715" y="3745542"/>
          <a:ext cx="1318803"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98419</xdr:colOff>
      <xdr:row>24</xdr:row>
      <xdr:rowOff>146647</xdr:rowOff>
    </xdr:from>
    <xdr:to>
      <xdr:col>3</xdr:col>
      <xdr:colOff>586099</xdr:colOff>
      <xdr:row>28</xdr:row>
      <xdr:rowOff>107458</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0BBCEEEB-CCF3-4B11-990D-29D2719F9A21}"/>
            </a:ext>
          </a:extLst>
        </xdr:cNvPr>
        <xdr:cNvSpPr txBox="1"/>
      </xdr:nvSpPr>
      <xdr:spPr>
        <a:xfrm>
          <a:off x="724348" y="4392076"/>
          <a:ext cx="1739537" cy="668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363758</xdr:colOff>
      <xdr:row>10</xdr:row>
      <xdr:rowOff>93075</xdr:rowOff>
    </xdr:from>
    <xdr:to>
      <xdr:col>3</xdr:col>
      <xdr:colOff>320760</xdr:colOff>
      <xdr:row>14</xdr:row>
      <xdr:rowOff>21501</xdr:rowOff>
    </xdr:to>
    <xdr:sp macro="" textlink="">
      <xdr:nvSpPr>
        <xdr:cNvPr id="17" name="TextBox 16">
          <a:hlinkClick xmlns:r="http://schemas.openxmlformats.org/officeDocument/2006/relationships" r:id="rId7"/>
          <a:extLst>
            <a:ext uri="{FF2B5EF4-FFF2-40B4-BE49-F238E27FC236}">
              <a16:creationId xmlns:a16="http://schemas.microsoft.com/office/drawing/2014/main" id="{FD3ABB7C-AB9A-4727-B7B9-01C8ED6B9104}"/>
            </a:ext>
          </a:extLst>
        </xdr:cNvPr>
        <xdr:cNvSpPr txBox="1"/>
      </xdr:nvSpPr>
      <xdr:spPr>
        <a:xfrm>
          <a:off x="989687" y="1862004"/>
          <a:ext cx="1208859" cy="63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Dashboard</a:t>
          </a:r>
        </a:p>
      </xdr:txBody>
    </xdr:sp>
    <xdr:clientData/>
  </xdr:twoCellAnchor>
  <xdr:twoCellAnchor>
    <xdr:from>
      <xdr:col>1</xdr:col>
      <xdr:colOff>419615</xdr:colOff>
      <xdr:row>3</xdr:row>
      <xdr:rowOff>15444</xdr:rowOff>
    </xdr:from>
    <xdr:to>
      <xdr:col>3</xdr:col>
      <xdr:colOff>308851</xdr:colOff>
      <xdr:row>9</xdr:row>
      <xdr:rowOff>86402</xdr:rowOff>
    </xdr:to>
    <xdr:sp macro="" textlink="">
      <xdr:nvSpPr>
        <xdr:cNvPr id="23" name="Oval 22">
          <a:extLst>
            <a:ext uri="{FF2B5EF4-FFF2-40B4-BE49-F238E27FC236}">
              <a16:creationId xmlns:a16="http://schemas.microsoft.com/office/drawing/2014/main" id="{8CD7FD30-3ED0-4BE4-95C4-2A8373F3BCBD}"/>
            </a:ext>
          </a:extLst>
        </xdr:cNvPr>
        <xdr:cNvSpPr/>
      </xdr:nvSpPr>
      <xdr:spPr>
        <a:xfrm>
          <a:off x="1050646" y="551225"/>
          <a:ext cx="1151299" cy="114252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329565</xdr:colOff>
      <xdr:row>41</xdr:row>
      <xdr:rowOff>71437</xdr:rowOff>
    </xdr:from>
    <xdr:to>
      <xdr:col>3</xdr:col>
      <xdr:colOff>360997</xdr:colOff>
      <xdr:row>46</xdr:row>
      <xdr:rowOff>51434</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8114CCC1-AC1B-4224-B3AA-265AE16B486A}"/>
            </a:ext>
          </a:extLst>
        </xdr:cNvPr>
        <xdr:cNvSpPr/>
      </xdr:nvSpPr>
      <xdr:spPr>
        <a:xfrm>
          <a:off x="960596" y="7393781"/>
          <a:ext cx="1293495" cy="872966"/>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483873</xdr:colOff>
      <xdr:row>42</xdr:row>
      <xdr:rowOff>90644</xdr:rowOff>
    </xdr:from>
    <xdr:to>
      <xdr:col>3</xdr:col>
      <xdr:colOff>151449</xdr:colOff>
      <xdr:row>45</xdr:row>
      <xdr:rowOff>57626</xdr:rowOff>
    </xdr:to>
    <xdr:pic>
      <xdr:nvPicPr>
        <xdr:cNvPr id="28" name="Picture 27">
          <a:hlinkClick xmlns:r="http://schemas.openxmlformats.org/officeDocument/2006/relationships" r:id="rId8"/>
          <a:extLst>
            <a:ext uri="{FF2B5EF4-FFF2-40B4-BE49-F238E27FC236}">
              <a16:creationId xmlns:a16="http://schemas.microsoft.com/office/drawing/2014/main" id="{C0BC07F3-635C-419C-B534-7A09302568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14904" y="7591582"/>
          <a:ext cx="929639" cy="506573"/>
        </a:xfrm>
        <a:prstGeom prst="rect">
          <a:avLst/>
        </a:prstGeom>
      </xdr:spPr>
    </xdr:pic>
    <xdr:clientData/>
  </xdr:twoCellAnchor>
  <xdr:twoCellAnchor>
    <xdr:from>
      <xdr:col>6</xdr:col>
      <xdr:colOff>64225</xdr:colOff>
      <xdr:row>33</xdr:row>
      <xdr:rowOff>57301</xdr:rowOff>
    </xdr:from>
    <xdr:to>
      <xdr:col>29</xdr:col>
      <xdr:colOff>375557</xdr:colOff>
      <xdr:row>36</xdr:row>
      <xdr:rowOff>56349</xdr:rowOff>
    </xdr:to>
    <xdr:sp macro="" textlink="">
      <xdr:nvSpPr>
        <xdr:cNvPr id="46" name="TextBox 45">
          <a:extLst>
            <a:ext uri="{FF2B5EF4-FFF2-40B4-BE49-F238E27FC236}">
              <a16:creationId xmlns:a16="http://schemas.microsoft.com/office/drawing/2014/main" id="{30F2FABB-18E1-48F0-957D-10A8C161875E}"/>
            </a:ext>
          </a:extLst>
        </xdr:cNvPr>
        <xdr:cNvSpPr txBox="1"/>
      </xdr:nvSpPr>
      <xdr:spPr>
        <a:xfrm>
          <a:off x="3738154" y="6343801"/>
          <a:ext cx="14394724" cy="570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endParaRPr lang="nl-NL" sz="1400">
            <a:latin typeface="Abadi" panose="020B0604020104020204" pitchFamily="34" charset="0"/>
          </a:endParaRPr>
        </a:p>
      </xdr:txBody>
    </xdr:sp>
    <xdr:clientData/>
  </xdr:twoCellAnchor>
  <xdr:twoCellAnchor>
    <xdr:from>
      <xdr:col>5</xdr:col>
      <xdr:colOff>567690</xdr:colOff>
      <xdr:row>10</xdr:row>
      <xdr:rowOff>156369</xdr:rowOff>
    </xdr:from>
    <xdr:to>
      <xdr:col>19</xdr:col>
      <xdr:colOff>446722</xdr:colOff>
      <xdr:row>13</xdr:row>
      <xdr:rowOff>172562</xdr:rowOff>
    </xdr:to>
    <xdr:sp macro="" textlink="">
      <xdr:nvSpPr>
        <xdr:cNvPr id="30" name="TextBox 44">
          <a:extLst>
            <a:ext uri="{FF2B5EF4-FFF2-40B4-BE49-F238E27FC236}">
              <a16:creationId xmlns:a16="http://schemas.microsoft.com/office/drawing/2014/main" id="{C983FF0B-C9D8-4804-8E1F-A87E4B40B028}"/>
            </a:ext>
          </a:extLst>
        </xdr:cNvPr>
        <xdr:cNvSpPr txBox="1"/>
      </xdr:nvSpPr>
      <xdr:spPr>
        <a:xfrm>
          <a:off x="3679190" y="1934369"/>
          <a:ext cx="8591232" cy="549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r>
            <a:rPr lang="nl-NL" sz="2000" b="1">
              <a:solidFill>
                <a:srgbClr val="4074BA"/>
              </a:solidFill>
              <a:latin typeface="Abadi" panose="020B0604020104020204" pitchFamily="34" charset="0"/>
            </a:rPr>
            <a:t>This dashboard monitors the</a:t>
          </a:r>
          <a:r>
            <a:rPr lang="nl-NL" sz="2000" b="1" baseline="0">
              <a:solidFill>
                <a:srgbClr val="4074BA"/>
              </a:solidFill>
              <a:latin typeface="Abadi" panose="020B0604020104020204" pitchFamily="34" charset="0"/>
            </a:rPr>
            <a:t> activism</a:t>
          </a:r>
          <a:r>
            <a:rPr lang="nl-NL" sz="2000" b="1">
              <a:solidFill>
                <a:srgbClr val="4074BA"/>
              </a:solidFill>
              <a:latin typeface="Abadi" panose="020B0604020104020204" pitchFamily="34" charset="0"/>
            </a:rPr>
            <a:t> at</a:t>
          </a:r>
          <a:r>
            <a:rPr lang="nl-NL" sz="2000" b="1" baseline="0">
              <a:solidFill>
                <a:srgbClr val="4074BA"/>
              </a:solidFill>
              <a:latin typeface="Abadi" panose="020B0604020104020204" pitchFamily="34" charset="0"/>
            </a:rPr>
            <a:t> the University of Twente </a:t>
          </a:r>
          <a:endParaRPr lang="nl-NL" sz="2000" b="1">
            <a:solidFill>
              <a:srgbClr val="4074BA"/>
            </a:solidFill>
            <a:latin typeface="Abadi" panose="020B0604020104020204" pitchFamily="34" charset="0"/>
          </a:endParaRPr>
        </a:p>
        <a:p>
          <a:endParaRPr lang="nl-NL" sz="1400"/>
        </a:p>
      </xdr:txBody>
    </xdr:sp>
    <xdr:clientData/>
  </xdr:twoCellAnchor>
  <xdr:twoCellAnchor>
    <xdr:from>
      <xdr:col>5</xdr:col>
      <xdr:colOff>554083</xdr:colOff>
      <xdr:row>13</xdr:row>
      <xdr:rowOff>124369</xdr:rowOff>
    </xdr:from>
    <xdr:to>
      <xdr:col>27</xdr:col>
      <xdr:colOff>554083</xdr:colOff>
      <xdr:row>40</xdr:row>
      <xdr:rowOff>136072</xdr:rowOff>
    </xdr:to>
    <xdr:sp macro="" textlink="">
      <xdr:nvSpPr>
        <xdr:cNvPr id="6" name="TextBox 5">
          <a:extLst>
            <a:ext uri="{FF2B5EF4-FFF2-40B4-BE49-F238E27FC236}">
              <a16:creationId xmlns:a16="http://schemas.microsoft.com/office/drawing/2014/main" id="{6BE8C75C-5D59-448C-926E-2B5A7F47A664}"/>
            </a:ext>
          </a:extLst>
        </xdr:cNvPr>
        <xdr:cNvSpPr txBox="1"/>
      </xdr:nvSpPr>
      <xdr:spPr>
        <a:xfrm>
          <a:off x="3683726" y="2423976"/>
          <a:ext cx="13770428" cy="4787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nl-NL" sz="1600" baseline="0"/>
            <a:t>The student community in Enschede is completely powered by motivated students. Whether it is a full-time board year at a study association or a small committee at a sports association; activism is vital for keeping the student community at our university going. The Student Union stimulates activism and want to encourage students to develop themselves so they can achieve </a:t>
          </a:r>
          <a:r>
            <a:rPr lang="nl-NL" sz="1600" i="1" baseline="0"/>
            <a:t>More Than A Degree</a:t>
          </a:r>
          <a:r>
            <a:rPr lang="nl-NL" sz="1600" baseline="0"/>
            <a:t>. With activism we mean organising extra-curricular activities that students partake in next to their studies at the University of Twente (UT). </a:t>
          </a:r>
          <a:r>
            <a:rPr lang="nl-NL" sz="1600" i="1" baseline="0"/>
            <a:t>A membership at an association and/or participating in activities alone, does not count as activism. </a:t>
          </a:r>
        </a:p>
        <a:p>
          <a:pPr algn="l"/>
          <a:endParaRPr lang="nl-NL" sz="1600" baseline="0"/>
        </a:p>
        <a:p>
          <a:pPr algn="l"/>
          <a:r>
            <a:rPr lang="nl-NL" sz="1600" baseline="0"/>
            <a:t>Every year, the Student Union sends out a survey to monitor the activism at the UT. The results are displayed in the activism monitor, visualised with this dashboard. This monitor gives insight into how student activities in Enschede develop throughout the years. Furthermore, the monitor aims to inform student organisations on the stance of activism in their organisation compared to others in their sector. With this dashboard, you can compare your organisation to other similar organisations within your sector or in different sectors. </a:t>
          </a:r>
        </a:p>
        <a:p>
          <a:pPr algn="l"/>
          <a:endParaRPr lang="nl-NL" sz="1600" baseline="0"/>
        </a:p>
        <a:p>
          <a:pPr algn="l"/>
          <a:r>
            <a:rPr lang="nl-NL" sz="1600" baseline="0"/>
            <a:t>Please note that the data and conclusions have been based on the information from the respondents, which was not 100% of all recognised organisations. Therefore, a 100% in this dashboard means 100% of the organisations who responded to the survey send out in September.  </a:t>
          </a:r>
        </a:p>
        <a:p>
          <a:pPr algn="l"/>
          <a:endParaRPr lang="nl-NL" sz="1600" baseline="0"/>
        </a:p>
        <a:p>
          <a:pPr algn="l"/>
          <a:r>
            <a:rPr lang="nl-NL" sz="1600" baseline="0"/>
            <a:t>This contributes to the mission of the Student Union: </a:t>
          </a:r>
        </a:p>
        <a:p>
          <a:pPr algn="l"/>
          <a:endParaRPr lang="nl-NL" sz="1600" baseline="0"/>
        </a:p>
        <a:p>
          <a:pPr algn="ctr"/>
          <a:r>
            <a:rPr lang="nl-NL" sz="1600" baseline="0">
              <a:latin typeface="Bahnschrift SemiBold" panose="020B0502040204020203" pitchFamily="34" charset="0"/>
            </a:rPr>
            <a:t>"EVERYTHING WE DO IS DONE FOR OUR FELLOW STUDENTS – TO EMPOWER THEM TO ACHIEVE MORE THAN A DEGREE" </a:t>
          </a:r>
        </a:p>
        <a:p>
          <a:pPr algn="l"/>
          <a:endParaRPr lang="nl-NL" sz="1600" baseline="0"/>
        </a:p>
        <a:p>
          <a:pPr algn="l"/>
          <a:endParaRPr lang="nl-NL" sz="1600" baseline="0"/>
        </a:p>
      </xdr:txBody>
    </xdr:sp>
    <xdr:clientData/>
  </xdr:twoCellAnchor>
  <xdr:twoCellAnchor editAs="oneCell">
    <xdr:from>
      <xdr:col>2</xdr:col>
      <xdr:colOff>57324</xdr:colOff>
      <xdr:row>4</xdr:row>
      <xdr:rowOff>6940</xdr:rowOff>
    </xdr:from>
    <xdr:to>
      <xdr:col>3</xdr:col>
      <xdr:colOff>60020</xdr:colOff>
      <xdr:row>8</xdr:row>
      <xdr:rowOff>132262</xdr:rowOff>
    </xdr:to>
    <xdr:pic>
      <xdr:nvPicPr>
        <xdr:cNvPr id="33" name="Picture 32">
          <a:extLst>
            <a:ext uri="{FF2B5EF4-FFF2-40B4-BE49-F238E27FC236}">
              <a16:creationId xmlns:a16="http://schemas.microsoft.com/office/drawing/2014/main" id="{760B3AF2-BC18-4AF0-82F7-285D3418105D}"/>
            </a:ext>
          </a:extLst>
        </xdr:cNvPr>
        <xdr:cNvPicPr>
          <a:picLocks noChangeAspect="1"/>
        </xdr:cNvPicPr>
      </xdr:nvPicPr>
      <xdr:blipFill>
        <a:blip xmlns:r="http://schemas.openxmlformats.org/officeDocument/2006/relationships" r:embed="rId10"/>
        <a:stretch>
          <a:fillRect/>
        </a:stretch>
      </xdr:blipFill>
      <xdr:spPr>
        <a:xfrm>
          <a:off x="1281967" y="768940"/>
          <a:ext cx="615017" cy="887322"/>
        </a:xfrm>
        <a:prstGeom prst="rect">
          <a:avLst/>
        </a:prstGeom>
      </xdr:spPr>
    </xdr:pic>
    <xdr:clientData/>
  </xdr:twoCellAnchor>
  <xdr:twoCellAnchor>
    <xdr:from>
      <xdr:col>1</xdr:col>
      <xdr:colOff>258339</xdr:colOff>
      <xdr:row>14</xdr:row>
      <xdr:rowOff>16525</xdr:rowOff>
    </xdr:from>
    <xdr:to>
      <xdr:col>3</xdr:col>
      <xdr:colOff>426179</xdr:colOff>
      <xdr:row>17</xdr:row>
      <xdr:rowOff>121843</xdr:rowOff>
    </xdr:to>
    <xdr:sp macro="" textlink="">
      <xdr:nvSpPr>
        <xdr:cNvPr id="24" name="TextBox 23">
          <a:hlinkClick xmlns:r="http://schemas.openxmlformats.org/officeDocument/2006/relationships" r:id="rId11"/>
          <a:extLst>
            <a:ext uri="{FF2B5EF4-FFF2-40B4-BE49-F238E27FC236}">
              <a16:creationId xmlns:a16="http://schemas.microsoft.com/office/drawing/2014/main" id="{328FA3D8-0877-4828-AB15-5B4CFFCBE8E2}"/>
            </a:ext>
          </a:extLst>
        </xdr:cNvPr>
        <xdr:cNvSpPr txBox="1"/>
      </xdr:nvSpPr>
      <xdr:spPr>
        <a:xfrm>
          <a:off x="884268" y="2493025"/>
          <a:ext cx="1419697" cy="63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twoCellAnchor>
    <xdr:from>
      <xdr:col>1</xdr:col>
      <xdr:colOff>361853</xdr:colOff>
      <xdr:row>17</xdr:row>
      <xdr:rowOff>111152</xdr:rowOff>
    </xdr:from>
    <xdr:to>
      <xdr:col>3</xdr:col>
      <xdr:colOff>322665</xdr:colOff>
      <xdr:row>21</xdr:row>
      <xdr:rowOff>41483</xdr:rowOff>
    </xdr:to>
    <xdr:sp macro="" textlink="">
      <xdr:nvSpPr>
        <xdr:cNvPr id="25" name="TextBox 24">
          <a:hlinkClick xmlns:r="http://schemas.openxmlformats.org/officeDocument/2006/relationships" r:id="rId12"/>
          <a:extLst>
            <a:ext uri="{FF2B5EF4-FFF2-40B4-BE49-F238E27FC236}">
              <a16:creationId xmlns:a16="http://schemas.microsoft.com/office/drawing/2014/main" id="{EC253237-EBED-4BA8-B4EC-3E4604E53EA8}"/>
            </a:ext>
          </a:extLst>
        </xdr:cNvPr>
        <xdr:cNvSpPr txBox="1"/>
      </xdr:nvSpPr>
      <xdr:spPr>
        <a:xfrm>
          <a:off x="987782" y="3118331"/>
          <a:ext cx="1212669" cy="637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464547</xdr:colOff>
      <xdr:row>3</xdr:row>
      <xdr:rowOff>1</xdr:rowOff>
    </xdr:from>
    <xdr:to>
      <xdr:col>8</xdr:col>
      <xdr:colOff>455020</xdr:colOff>
      <xdr:row>8</xdr:row>
      <xdr:rowOff>112668</xdr:rowOff>
    </xdr:to>
    <mc:AlternateContent xmlns:mc="http://schemas.openxmlformats.org/markup-compatibility/2006" xmlns:a14="http://schemas.microsoft.com/office/drawing/2010/main">
      <mc:Choice Requires="a14">
        <xdr:graphicFrame macro="">
          <xdr:nvGraphicFramePr>
            <xdr:cNvPr id="2" name="organisation_type">
              <a:extLst>
                <a:ext uri="{FF2B5EF4-FFF2-40B4-BE49-F238E27FC236}">
                  <a16:creationId xmlns:a16="http://schemas.microsoft.com/office/drawing/2014/main" id="{461020A2-E7FE-4C05-BB8D-6ADF83013EFA}"/>
                </a:ext>
              </a:extLst>
            </xdr:cNvPr>
            <xdr:cNvGraphicFramePr/>
          </xdr:nvGraphicFramePr>
          <xdr:xfrm>
            <a:off x="0" y="0"/>
            <a:ext cx="0" cy="0"/>
          </xdr:xfrm>
          <a:graphic>
            <a:graphicData uri="http://schemas.microsoft.com/office/drawing/2010/slicer">
              <sle:slicer xmlns:sle="http://schemas.microsoft.com/office/drawing/2010/slicer" name="organisation_type"/>
            </a:graphicData>
          </a:graphic>
        </xdr:graphicFrame>
      </mc:Choice>
      <mc:Fallback xmlns="">
        <xdr:sp macro="" textlink="">
          <xdr:nvSpPr>
            <xdr:cNvPr id="0" name=""/>
            <xdr:cNvSpPr>
              <a:spLocks noTextEdit="1"/>
            </xdr:cNvSpPr>
          </xdr:nvSpPr>
          <xdr:spPr>
            <a:xfrm>
              <a:off x="14781166" y="530680"/>
              <a:ext cx="1825533" cy="997131"/>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530951</xdr:colOff>
      <xdr:row>9</xdr:row>
      <xdr:rowOff>126818</xdr:rowOff>
    </xdr:from>
    <xdr:to>
      <xdr:col>8</xdr:col>
      <xdr:colOff>492033</xdr:colOff>
      <xdr:row>23</xdr:row>
      <xdr:rowOff>58510</xdr:rowOff>
    </xdr:to>
    <mc:AlternateContent xmlns:mc="http://schemas.openxmlformats.org/markup-compatibility/2006" xmlns:a14="http://schemas.microsoft.com/office/drawing/2010/main">
      <mc:Choice Requires="a14">
        <xdr:graphicFrame macro="">
          <xdr:nvGraphicFramePr>
            <xdr:cNvPr id="3" name="sector 1">
              <a:extLst>
                <a:ext uri="{FF2B5EF4-FFF2-40B4-BE49-F238E27FC236}">
                  <a16:creationId xmlns:a16="http://schemas.microsoft.com/office/drawing/2014/main" id="{4C5980C3-2CF7-462A-9374-76A9291B11CD}"/>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14845665" y="1722664"/>
              <a:ext cx="1798047" cy="2391047"/>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9</xdr:col>
      <xdr:colOff>277177</xdr:colOff>
      <xdr:row>2</xdr:row>
      <xdr:rowOff>8164</xdr:rowOff>
    </xdr:from>
    <xdr:to>
      <xdr:col>9</xdr:col>
      <xdr:colOff>991552</xdr:colOff>
      <xdr:row>6</xdr:row>
      <xdr:rowOff>60360</xdr:rowOff>
    </xdr:to>
    <xdr:pic>
      <xdr:nvPicPr>
        <xdr:cNvPr id="5" name="Graphic 4" descr="Back with solid fill">
          <a:hlinkClick xmlns:r="http://schemas.openxmlformats.org/officeDocument/2006/relationships" r:id="rId1"/>
          <a:extLst>
            <a:ext uri="{FF2B5EF4-FFF2-40B4-BE49-F238E27FC236}">
              <a16:creationId xmlns:a16="http://schemas.microsoft.com/office/drawing/2014/main" id="{05992974-447B-4C90-AAF7-638E360809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17707927" y="361950"/>
          <a:ext cx="712470" cy="750242"/>
        </a:xfrm>
        <a:prstGeom prst="rect">
          <a:avLst/>
        </a:prstGeom>
      </xdr:spPr>
    </xdr:pic>
    <xdr:clientData/>
  </xdr:twoCellAnchor>
  <xdr:twoCellAnchor>
    <xdr:from>
      <xdr:col>9</xdr:col>
      <xdr:colOff>0</xdr:colOff>
      <xdr:row>0</xdr:row>
      <xdr:rowOff>0</xdr:rowOff>
    </xdr:from>
    <xdr:to>
      <xdr:col>9</xdr:col>
      <xdr:colOff>1266825</xdr:colOff>
      <xdr:row>2</xdr:row>
      <xdr:rowOff>43951</xdr:rowOff>
    </xdr:to>
    <xdr:sp macro="" textlink="">
      <xdr:nvSpPr>
        <xdr:cNvPr id="6" name="TextBox 5">
          <a:extLst>
            <a:ext uri="{FF2B5EF4-FFF2-40B4-BE49-F238E27FC236}">
              <a16:creationId xmlns:a16="http://schemas.microsoft.com/office/drawing/2014/main" id="{EDD88A1D-F8C8-4356-9A7F-68CB93C6A7CE}"/>
            </a:ext>
          </a:extLst>
        </xdr:cNvPr>
        <xdr:cNvSpPr txBox="1"/>
      </xdr:nvSpPr>
      <xdr:spPr>
        <a:xfrm>
          <a:off x="17430750" y="0"/>
          <a:ext cx="1266825" cy="39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229552</xdr:colOff>
      <xdr:row>2</xdr:row>
      <xdr:rowOff>104775</xdr:rowOff>
    </xdr:from>
    <xdr:to>
      <xdr:col>10</xdr:col>
      <xdr:colOff>326706</xdr:colOff>
      <xdr:row>6</xdr:row>
      <xdr:rowOff>134927</xdr:rowOff>
    </xdr:to>
    <xdr:pic>
      <xdr:nvPicPr>
        <xdr:cNvPr id="2" name="Graphic 1" descr="Back with solid fill">
          <a:hlinkClick xmlns:r="http://schemas.openxmlformats.org/officeDocument/2006/relationships" r:id="rId1"/>
          <a:extLst>
            <a:ext uri="{FF2B5EF4-FFF2-40B4-BE49-F238E27FC236}">
              <a16:creationId xmlns:a16="http://schemas.microsoft.com/office/drawing/2014/main" id="{5A69D09A-D600-4DC6-8671-D1D9724D8A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11726227" y="466725"/>
          <a:ext cx="712470" cy="746432"/>
        </a:xfrm>
        <a:prstGeom prst="rect">
          <a:avLst/>
        </a:prstGeom>
      </xdr:spPr>
    </xdr:pic>
    <xdr:clientData/>
  </xdr:twoCellAnchor>
  <xdr:twoCellAnchor>
    <xdr:from>
      <xdr:col>8</xdr:col>
      <xdr:colOff>452438</xdr:colOff>
      <xdr:row>0</xdr:row>
      <xdr:rowOff>104775</xdr:rowOff>
    </xdr:from>
    <xdr:to>
      <xdr:col>11</xdr:col>
      <xdr:colOff>0</xdr:colOff>
      <xdr:row>2</xdr:row>
      <xdr:rowOff>140562</xdr:rowOff>
    </xdr:to>
    <xdr:sp macro="" textlink="">
      <xdr:nvSpPr>
        <xdr:cNvPr id="3" name="TextBox 2">
          <a:extLst>
            <a:ext uri="{FF2B5EF4-FFF2-40B4-BE49-F238E27FC236}">
              <a16:creationId xmlns:a16="http://schemas.microsoft.com/office/drawing/2014/main" id="{5A5CD68F-D63C-4B8E-8674-668EF06742AD}"/>
            </a:ext>
          </a:extLst>
        </xdr:cNvPr>
        <xdr:cNvSpPr txBox="1"/>
      </xdr:nvSpPr>
      <xdr:spPr>
        <a:xfrm>
          <a:off x="12203907" y="104775"/>
          <a:ext cx="1333499" cy="416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twoCellAnchor editAs="oneCell">
    <xdr:from>
      <xdr:col>7</xdr:col>
      <xdr:colOff>125730</xdr:colOff>
      <xdr:row>1</xdr:row>
      <xdr:rowOff>38102</xdr:rowOff>
    </xdr:from>
    <xdr:to>
      <xdr:col>8</xdr:col>
      <xdr:colOff>363856</xdr:colOff>
      <xdr:row>10</xdr:row>
      <xdr:rowOff>95251</xdr:rowOff>
    </xdr:to>
    <mc:AlternateContent xmlns:mc="http://schemas.openxmlformats.org/markup-compatibility/2006" xmlns:a14="http://schemas.microsoft.com/office/drawing/2010/main">
      <mc:Choice Requires="a14">
        <xdr:graphicFrame macro="">
          <xdr:nvGraphicFramePr>
            <xdr:cNvPr id="4" name="Sector  7">
              <a:extLst>
                <a:ext uri="{FF2B5EF4-FFF2-40B4-BE49-F238E27FC236}">
                  <a16:creationId xmlns:a16="http://schemas.microsoft.com/office/drawing/2014/main" id="{1600ED22-D7A1-4BA0-8ADA-3D798339DB1B}"/>
                </a:ext>
              </a:extLst>
            </xdr:cNvPr>
            <xdr:cNvGraphicFramePr/>
          </xdr:nvGraphicFramePr>
          <xdr:xfrm>
            <a:off x="0" y="0"/>
            <a:ext cx="0" cy="0"/>
          </xdr:xfrm>
          <a:graphic>
            <a:graphicData uri="http://schemas.microsoft.com/office/drawing/2010/slicer">
              <sle:slicer xmlns:sle="http://schemas.microsoft.com/office/drawing/2010/slicer" name="Sector  7"/>
            </a:graphicData>
          </a:graphic>
        </xdr:graphicFrame>
      </mc:Choice>
      <mc:Fallback xmlns="">
        <xdr:sp macro="" textlink="">
          <xdr:nvSpPr>
            <xdr:cNvPr id="0" name=""/>
            <xdr:cNvSpPr>
              <a:spLocks noTextEdit="1"/>
            </xdr:cNvSpPr>
          </xdr:nvSpPr>
          <xdr:spPr>
            <a:xfrm>
              <a:off x="10782300" y="220981"/>
              <a:ext cx="1478280" cy="2225040"/>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123825</xdr:colOff>
      <xdr:row>10</xdr:row>
      <xdr:rowOff>47626</xdr:rowOff>
    </xdr:from>
    <xdr:to>
      <xdr:col>8</xdr:col>
      <xdr:colOff>361951</xdr:colOff>
      <xdr:row>20</xdr:row>
      <xdr:rowOff>1</xdr:rowOff>
    </xdr:to>
    <mc:AlternateContent xmlns:mc="http://schemas.openxmlformats.org/markup-compatibility/2006" xmlns:a14="http://schemas.microsoft.com/office/drawing/2010/main">
      <mc:Choice Requires="a14">
        <xdr:graphicFrame macro="">
          <xdr:nvGraphicFramePr>
            <xdr:cNvPr id="5" name="Interval number of members 5">
              <a:extLst>
                <a:ext uri="{FF2B5EF4-FFF2-40B4-BE49-F238E27FC236}">
                  <a16:creationId xmlns:a16="http://schemas.microsoft.com/office/drawing/2014/main" id="{075349E9-90E2-426E-BC51-CD2FC0E41D32}"/>
                </a:ext>
              </a:extLst>
            </xdr:cNvPr>
            <xdr:cNvGraphicFramePr/>
          </xdr:nvGraphicFramePr>
          <xdr:xfrm>
            <a:off x="0" y="0"/>
            <a:ext cx="0" cy="0"/>
          </xdr:xfrm>
          <a:graphic>
            <a:graphicData uri="http://schemas.microsoft.com/office/drawing/2010/slicer">
              <sle:slicer xmlns:sle="http://schemas.microsoft.com/office/drawing/2010/slicer" name="Interval number of members 5"/>
            </a:graphicData>
          </a:graphic>
        </xdr:graphicFrame>
      </mc:Choice>
      <mc:Fallback xmlns="">
        <xdr:sp macro="" textlink="">
          <xdr:nvSpPr>
            <xdr:cNvPr id="0" name=""/>
            <xdr:cNvSpPr>
              <a:spLocks noTextEdit="1"/>
            </xdr:cNvSpPr>
          </xdr:nvSpPr>
          <xdr:spPr>
            <a:xfrm>
              <a:off x="11012805" y="1859281"/>
              <a:ext cx="1461135" cy="176022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277177</xdr:colOff>
      <xdr:row>2</xdr:row>
      <xdr:rowOff>0</xdr:rowOff>
    </xdr:from>
    <xdr:to>
      <xdr:col>4</xdr:col>
      <xdr:colOff>381952</xdr:colOff>
      <xdr:row>6</xdr:row>
      <xdr:rowOff>22532</xdr:rowOff>
    </xdr:to>
    <xdr:pic>
      <xdr:nvPicPr>
        <xdr:cNvPr id="3" name="Graphic 2" descr="Back with solid fill">
          <a:hlinkClick xmlns:r="http://schemas.openxmlformats.org/officeDocument/2006/relationships" r:id="rId1"/>
          <a:extLst>
            <a:ext uri="{FF2B5EF4-FFF2-40B4-BE49-F238E27FC236}">
              <a16:creationId xmlns:a16="http://schemas.microsoft.com/office/drawing/2014/main" id="{2B431BC8-0B3C-4228-9E00-A87E86A39E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3877627" y="361950"/>
          <a:ext cx="712470" cy="750242"/>
        </a:xfrm>
        <a:prstGeom prst="rect">
          <a:avLst/>
        </a:prstGeom>
      </xdr:spPr>
    </xdr:pic>
    <xdr:clientData/>
  </xdr:twoCellAnchor>
  <xdr:twoCellAnchor>
    <xdr:from>
      <xdr:col>3</xdr:col>
      <xdr:colOff>0</xdr:colOff>
      <xdr:row>0</xdr:row>
      <xdr:rowOff>0</xdr:rowOff>
    </xdr:from>
    <xdr:to>
      <xdr:col>16384</xdr:col>
      <xdr:colOff>47625</xdr:colOff>
      <xdr:row>2</xdr:row>
      <xdr:rowOff>35787</xdr:rowOff>
    </xdr:to>
    <xdr:sp macro="" textlink="">
      <xdr:nvSpPr>
        <xdr:cNvPr id="4" name="TextBox 3">
          <a:extLst>
            <a:ext uri="{FF2B5EF4-FFF2-40B4-BE49-F238E27FC236}">
              <a16:creationId xmlns:a16="http://schemas.microsoft.com/office/drawing/2014/main" id="{DE44FB68-CADF-4BFF-B9AC-E3E71C2BFCC7}"/>
            </a:ext>
          </a:extLst>
        </xdr:cNvPr>
        <xdr:cNvSpPr txBox="1"/>
      </xdr:nvSpPr>
      <xdr:spPr>
        <a:xfrm>
          <a:off x="3600450" y="0"/>
          <a:ext cx="1266825" cy="39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600">
              <a:solidFill>
                <a:srgbClr val="4074BA"/>
              </a:solidFill>
              <a:latin typeface="Abadi" panose="020B0604020104020204" pitchFamily="34" charset="0"/>
            </a:rPr>
            <a:t>Dashboard</a:t>
          </a:r>
        </a:p>
      </xdr:txBody>
    </xdr:sp>
    <xdr:clientData/>
  </xdr:twoCellAnchor>
  <xdr:twoCellAnchor editAs="oneCell">
    <xdr:from>
      <xdr:col>2</xdr:col>
      <xdr:colOff>297180</xdr:colOff>
      <xdr:row>7</xdr:row>
      <xdr:rowOff>68580</xdr:rowOff>
    </xdr:from>
    <xdr:to>
      <xdr:col>4</xdr:col>
      <xdr:colOff>381000</xdr:colOff>
      <xdr:row>18</xdr:row>
      <xdr:rowOff>148590</xdr:rowOff>
    </xdr:to>
    <mc:AlternateContent xmlns:mc="http://schemas.openxmlformats.org/markup-compatibility/2006" xmlns:a14="http://schemas.microsoft.com/office/drawing/2010/main">
      <mc:Choice Requires="a14">
        <xdr:graphicFrame macro="">
          <xdr:nvGraphicFramePr>
            <xdr:cNvPr id="2" name="Sector  8">
              <a:extLst>
                <a:ext uri="{FF2B5EF4-FFF2-40B4-BE49-F238E27FC236}">
                  <a16:creationId xmlns:a16="http://schemas.microsoft.com/office/drawing/2014/main" id="{98C03AF5-46B0-40AF-8F63-31D53C915D2F}"/>
                </a:ext>
              </a:extLst>
            </xdr:cNvPr>
            <xdr:cNvGraphicFramePr/>
          </xdr:nvGraphicFramePr>
          <xdr:xfrm>
            <a:off x="0" y="0"/>
            <a:ext cx="0" cy="0"/>
          </xdr:xfrm>
          <a:graphic>
            <a:graphicData uri="http://schemas.microsoft.com/office/drawing/2010/slicer">
              <sle:slicer xmlns:sle="http://schemas.microsoft.com/office/drawing/2010/slicer" name="Sector  8"/>
            </a:graphicData>
          </a:graphic>
        </xdr:graphicFrame>
      </mc:Choice>
      <mc:Fallback xmlns="">
        <xdr:sp macro="" textlink="">
          <xdr:nvSpPr>
            <xdr:cNvPr id="0" name=""/>
            <xdr:cNvSpPr>
              <a:spLocks noTextEdit="1"/>
            </xdr:cNvSpPr>
          </xdr:nvSpPr>
          <xdr:spPr>
            <a:xfrm>
              <a:off x="3101340" y="1348740"/>
              <a:ext cx="1303020" cy="2085975"/>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289560</xdr:colOff>
      <xdr:row>19</xdr:row>
      <xdr:rowOff>15241</xdr:rowOff>
    </xdr:from>
    <xdr:to>
      <xdr:col>4</xdr:col>
      <xdr:colOff>415290</xdr:colOff>
      <xdr:row>28</xdr:row>
      <xdr:rowOff>76201</xdr:rowOff>
    </xdr:to>
    <mc:AlternateContent xmlns:mc="http://schemas.openxmlformats.org/markup-compatibility/2006" xmlns:a14="http://schemas.microsoft.com/office/drawing/2010/main">
      <mc:Choice Requires="a14">
        <xdr:graphicFrame macro="">
          <xdr:nvGraphicFramePr>
            <xdr:cNvPr id="5" name="Interval number of members 6">
              <a:extLst>
                <a:ext uri="{FF2B5EF4-FFF2-40B4-BE49-F238E27FC236}">
                  <a16:creationId xmlns:a16="http://schemas.microsoft.com/office/drawing/2014/main" id="{AFB386A8-32B1-4CFC-9004-7BB71E83B8F1}"/>
                </a:ext>
              </a:extLst>
            </xdr:cNvPr>
            <xdr:cNvGraphicFramePr/>
          </xdr:nvGraphicFramePr>
          <xdr:xfrm>
            <a:off x="0" y="0"/>
            <a:ext cx="0" cy="0"/>
          </xdr:xfrm>
          <a:graphic>
            <a:graphicData uri="http://schemas.microsoft.com/office/drawing/2010/slicer">
              <sle:slicer xmlns:sle="http://schemas.microsoft.com/office/drawing/2010/slicer" name="Interval number of members 6"/>
            </a:graphicData>
          </a:graphic>
        </xdr:graphicFrame>
      </mc:Choice>
      <mc:Fallback xmlns="">
        <xdr:sp macro="" textlink="">
          <xdr:nvSpPr>
            <xdr:cNvPr id="0" name=""/>
            <xdr:cNvSpPr>
              <a:spLocks noTextEdit="1"/>
            </xdr:cNvSpPr>
          </xdr:nvSpPr>
          <xdr:spPr>
            <a:xfrm>
              <a:off x="3093720" y="3489961"/>
              <a:ext cx="1333500" cy="1706880"/>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218682</xdr:colOff>
      <xdr:row>2</xdr:row>
      <xdr:rowOff>70597</xdr:rowOff>
    </xdr:from>
    <xdr:to>
      <xdr:col>8</xdr:col>
      <xdr:colOff>320320</xdr:colOff>
      <xdr:row>6</xdr:row>
      <xdr:rowOff>97947</xdr:rowOff>
    </xdr:to>
    <xdr:pic>
      <xdr:nvPicPr>
        <xdr:cNvPr id="3" name="Graphic 2" descr="Back with solid fill">
          <a:hlinkClick xmlns:r="http://schemas.openxmlformats.org/officeDocument/2006/relationships" r:id="rId1"/>
          <a:extLst>
            <a:ext uri="{FF2B5EF4-FFF2-40B4-BE49-F238E27FC236}">
              <a16:creationId xmlns:a16="http://schemas.microsoft.com/office/drawing/2014/main" id="{4B56F36D-2E50-4E67-97C5-D61941E5BA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9676447" y="429185"/>
          <a:ext cx="714375" cy="750242"/>
        </a:xfrm>
        <a:prstGeom prst="rect">
          <a:avLst/>
        </a:prstGeom>
      </xdr:spPr>
    </xdr:pic>
    <xdr:clientData/>
  </xdr:twoCellAnchor>
  <xdr:twoCellAnchor>
    <xdr:from>
      <xdr:col>6</xdr:col>
      <xdr:colOff>392906</xdr:colOff>
      <xdr:row>0</xdr:row>
      <xdr:rowOff>67235</xdr:rowOff>
    </xdr:from>
    <xdr:to>
      <xdr:col>9</xdr:col>
      <xdr:colOff>0</xdr:colOff>
      <xdr:row>2</xdr:row>
      <xdr:rowOff>106384</xdr:rowOff>
    </xdr:to>
    <xdr:sp macro="" textlink="">
      <xdr:nvSpPr>
        <xdr:cNvPr id="5" name="TextBox 4">
          <a:extLst>
            <a:ext uri="{FF2B5EF4-FFF2-40B4-BE49-F238E27FC236}">
              <a16:creationId xmlns:a16="http://schemas.microsoft.com/office/drawing/2014/main" id="{29644F48-4265-437E-9024-B9C4C4A94837}"/>
            </a:ext>
          </a:extLst>
        </xdr:cNvPr>
        <xdr:cNvSpPr txBox="1"/>
      </xdr:nvSpPr>
      <xdr:spPr>
        <a:xfrm>
          <a:off x="9096375" y="67235"/>
          <a:ext cx="1393031" cy="420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1554087</xdr:colOff>
      <xdr:row>2</xdr:row>
      <xdr:rowOff>135927</xdr:rowOff>
    </xdr:from>
    <xdr:to>
      <xdr:col>2</xdr:col>
      <xdr:colOff>2274177</xdr:colOff>
      <xdr:row>7</xdr:row>
      <xdr:rowOff>10653</xdr:rowOff>
    </xdr:to>
    <xdr:pic>
      <xdr:nvPicPr>
        <xdr:cNvPr id="4" name="Graphic 3" descr="Back with solid fill">
          <a:hlinkClick xmlns:r="http://schemas.openxmlformats.org/officeDocument/2006/relationships" r:id="rId1"/>
          <a:extLst>
            <a:ext uri="{FF2B5EF4-FFF2-40B4-BE49-F238E27FC236}">
              <a16:creationId xmlns:a16="http://schemas.microsoft.com/office/drawing/2014/main" id="{34B0E46D-FAB3-4368-B39F-E05EA5A38C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4187469" y="494515"/>
          <a:ext cx="714375" cy="746432"/>
        </a:xfrm>
        <a:prstGeom prst="rect">
          <a:avLst/>
        </a:prstGeom>
      </xdr:spPr>
    </xdr:pic>
    <xdr:clientData/>
  </xdr:twoCellAnchor>
  <xdr:twoCellAnchor>
    <xdr:from>
      <xdr:col>2</xdr:col>
      <xdr:colOff>1021977</xdr:colOff>
      <xdr:row>0</xdr:row>
      <xdr:rowOff>102533</xdr:rowOff>
    </xdr:from>
    <xdr:to>
      <xdr:col>3</xdr:col>
      <xdr:colOff>0</xdr:colOff>
      <xdr:row>2</xdr:row>
      <xdr:rowOff>141682</xdr:rowOff>
    </xdr:to>
    <xdr:sp macro="" textlink="">
      <xdr:nvSpPr>
        <xdr:cNvPr id="5" name="TextBox 4">
          <a:extLst>
            <a:ext uri="{FF2B5EF4-FFF2-40B4-BE49-F238E27FC236}">
              <a16:creationId xmlns:a16="http://schemas.microsoft.com/office/drawing/2014/main" id="{3399E653-DCE2-42F2-896E-043E234B74DD}"/>
            </a:ext>
          </a:extLst>
        </xdr:cNvPr>
        <xdr:cNvSpPr txBox="1"/>
      </xdr:nvSpPr>
      <xdr:spPr>
        <a:xfrm>
          <a:off x="3783106" y="102533"/>
          <a:ext cx="1425388" cy="39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twoCellAnchor editAs="oneCell">
    <xdr:from>
      <xdr:col>2</xdr:col>
      <xdr:colOff>399378</xdr:colOff>
      <xdr:row>8</xdr:row>
      <xdr:rowOff>100854</xdr:rowOff>
    </xdr:from>
    <xdr:to>
      <xdr:col>2</xdr:col>
      <xdr:colOff>2237703</xdr:colOff>
      <xdr:row>22</xdr:row>
      <xdr:rowOff>27231</xdr:rowOff>
    </xdr:to>
    <mc:AlternateContent xmlns:mc="http://schemas.openxmlformats.org/markup-compatibility/2006" xmlns:a14="http://schemas.microsoft.com/office/drawing/2010/main">
      <mc:Choice Requires="a14">
        <xdr:graphicFrame macro="">
          <xdr:nvGraphicFramePr>
            <xdr:cNvPr id="2" name="covid_impact 1">
              <a:extLst>
                <a:ext uri="{FF2B5EF4-FFF2-40B4-BE49-F238E27FC236}">
                  <a16:creationId xmlns:a16="http://schemas.microsoft.com/office/drawing/2014/main" id="{0D1F69ED-9571-4FD2-B2A5-69E7DD0702D2}"/>
                </a:ext>
              </a:extLst>
            </xdr:cNvPr>
            <xdr:cNvGraphicFramePr/>
          </xdr:nvGraphicFramePr>
          <xdr:xfrm>
            <a:off x="0" y="0"/>
            <a:ext cx="0" cy="0"/>
          </xdr:xfrm>
          <a:graphic>
            <a:graphicData uri="http://schemas.microsoft.com/office/drawing/2010/slicer">
              <sle:slicer xmlns:sle="http://schemas.microsoft.com/office/drawing/2010/slicer" name="covid_impact 1"/>
            </a:graphicData>
          </a:graphic>
        </xdr:graphicFrame>
      </mc:Choice>
      <mc:Fallback xmlns="">
        <xdr:sp macro="" textlink="">
          <xdr:nvSpPr>
            <xdr:cNvPr id="0" name=""/>
            <xdr:cNvSpPr>
              <a:spLocks noTextEdit="1"/>
            </xdr:cNvSpPr>
          </xdr:nvSpPr>
          <xdr:spPr>
            <a:xfrm>
              <a:off x="3752178" y="1504726"/>
              <a:ext cx="1828800" cy="2466975"/>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875664</xdr:colOff>
      <xdr:row>3</xdr:row>
      <xdr:rowOff>115253</xdr:rowOff>
    </xdr:from>
    <xdr:to>
      <xdr:col>4</xdr:col>
      <xdr:colOff>213042</xdr:colOff>
      <xdr:row>7</xdr:row>
      <xdr:rowOff>133340</xdr:rowOff>
    </xdr:to>
    <xdr:pic>
      <xdr:nvPicPr>
        <xdr:cNvPr id="6" name="Graphic 5" descr="Back with solid fill">
          <a:hlinkClick xmlns:r="http://schemas.openxmlformats.org/officeDocument/2006/relationships" r:id="rId1"/>
          <a:extLst>
            <a:ext uri="{FF2B5EF4-FFF2-40B4-BE49-F238E27FC236}">
              <a16:creationId xmlns:a16="http://schemas.microsoft.com/office/drawing/2014/main" id="{906AB3DD-F6C8-4611-A3BE-2560B4189C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7058977" y="662941"/>
          <a:ext cx="721995" cy="757862"/>
        </a:xfrm>
        <a:prstGeom prst="rect">
          <a:avLst/>
        </a:prstGeom>
      </xdr:spPr>
    </xdr:pic>
    <xdr:clientData/>
  </xdr:twoCellAnchor>
  <xdr:twoCellAnchor>
    <xdr:from>
      <xdr:col>3</xdr:col>
      <xdr:colOff>531812</xdr:colOff>
      <xdr:row>1</xdr:row>
      <xdr:rowOff>127000</xdr:rowOff>
    </xdr:from>
    <xdr:to>
      <xdr:col>4</xdr:col>
      <xdr:colOff>499269</xdr:colOff>
      <xdr:row>3</xdr:row>
      <xdr:rowOff>98108</xdr:rowOff>
    </xdr:to>
    <xdr:sp macro="" textlink="">
      <xdr:nvSpPr>
        <xdr:cNvPr id="7" name="TextBox 10">
          <a:extLst>
            <a:ext uri="{FF2B5EF4-FFF2-40B4-BE49-F238E27FC236}">
              <a16:creationId xmlns:a16="http://schemas.microsoft.com/office/drawing/2014/main" id="{39547C09-53E3-4A93-A7C3-BA27F2599B67}"/>
            </a:ext>
          </a:extLst>
        </xdr:cNvPr>
        <xdr:cNvSpPr txBox="1"/>
      </xdr:nvSpPr>
      <xdr:spPr>
        <a:xfrm>
          <a:off x="6715125" y="309563"/>
          <a:ext cx="1340644" cy="336233"/>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800" b="0" i="0" u="none" strike="noStrike" kern="0" cap="none" spc="0" normalizeH="0" baseline="0" noProof="0">
              <a:ln>
                <a:noFill/>
              </a:ln>
              <a:solidFill>
                <a:srgbClr val="4074BA"/>
              </a:solidFill>
              <a:effectLst/>
              <a:uLnTx/>
              <a:uFillTx/>
              <a:latin typeface="Abadi" panose="020B0604020104020204" pitchFamily="34" charset="0"/>
              <a:ea typeface="+mn-ea"/>
              <a:cs typeface="+mn-cs"/>
            </a:rPr>
            <a:t>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105727</xdr:colOff>
      <xdr:row>3</xdr:row>
      <xdr:rowOff>105728</xdr:rowOff>
    </xdr:from>
    <xdr:to>
      <xdr:col>6</xdr:col>
      <xdr:colOff>208597</xdr:colOff>
      <xdr:row>7</xdr:row>
      <xdr:rowOff>135880</xdr:rowOff>
    </xdr:to>
    <xdr:pic>
      <xdr:nvPicPr>
        <xdr:cNvPr id="4" name="Graphic 3" descr="Back with solid fill">
          <a:hlinkClick xmlns:r="http://schemas.openxmlformats.org/officeDocument/2006/relationships" r:id="rId1"/>
          <a:extLst>
            <a:ext uri="{FF2B5EF4-FFF2-40B4-BE49-F238E27FC236}">
              <a16:creationId xmlns:a16="http://schemas.microsoft.com/office/drawing/2014/main" id="{3D069419-D4B5-48F4-88FF-94CB53E451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7868602" y="648653"/>
          <a:ext cx="721995" cy="750242"/>
        </a:xfrm>
        <a:prstGeom prst="rect">
          <a:avLst/>
        </a:prstGeom>
      </xdr:spPr>
    </xdr:pic>
    <xdr:clientData/>
  </xdr:twoCellAnchor>
  <xdr:twoCellAnchor>
    <xdr:from>
      <xdr:col>4</xdr:col>
      <xdr:colOff>371475</xdr:colOff>
      <xdr:row>1</xdr:row>
      <xdr:rowOff>114300</xdr:rowOff>
    </xdr:from>
    <xdr:to>
      <xdr:col>6</xdr:col>
      <xdr:colOff>492919</xdr:colOff>
      <xdr:row>3</xdr:row>
      <xdr:rowOff>88583</xdr:rowOff>
    </xdr:to>
    <xdr:sp macro="" textlink="">
      <xdr:nvSpPr>
        <xdr:cNvPr id="5" name="TextBox 10">
          <a:extLst>
            <a:ext uri="{FF2B5EF4-FFF2-40B4-BE49-F238E27FC236}">
              <a16:creationId xmlns:a16="http://schemas.microsoft.com/office/drawing/2014/main" id="{AE9F4E50-8B78-45AB-BF6B-3F319CEF29FC}"/>
            </a:ext>
          </a:extLst>
        </xdr:cNvPr>
        <xdr:cNvSpPr txBox="1"/>
      </xdr:nvSpPr>
      <xdr:spPr>
        <a:xfrm>
          <a:off x="7524750" y="295275"/>
          <a:ext cx="1340644" cy="336233"/>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800" b="0" i="0" u="none" strike="noStrike" kern="0" cap="none" spc="0" normalizeH="0" baseline="0" noProof="0">
              <a:ln>
                <a:noFill/>
              </a:ln>
              <a:solidFill>
                <a:srgbClr val="4074BA"/>
              </a:solidFill>
              <a:effectLst/>
              <a:uLnTx/>
              <a:uFillTx/>
              <a:latin typeface="Abadi" panose="020B0604020104020204" pitchFamily="34" charset="0"/>
              <a:ea typeface="+mn-ea"/>
              <a:cs typeface="+mn-cs"/>
            </a:rPr>
            <a:t>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389625</xdr:colOff>
      <xdr:row>3</xdr:row>
      <xdr:rowOff>131128</xdr:rowOff>
    </xdr:from>
    <xdr:to>
      <xdr:col>6</xdr:col>
      <xdr:colOff>1107810</xdr:colOff>
      <xdr:row>7</xdr:row>
      <xdr:rowOff>155988</xdr:rowOff>
    </xdr:to>
    <xdr:pic>
      <xdr:nvPicPr>
        <xdr:cNvPr id="2" name="Graphic 1" descr="Back with solid fill">
          <a:hlinkClick xmlns:r="http://schemas.openxmlformats.org/officeDocument/2006/relationships" r:id="rId1"/>
          <a:extLst>
            <a:ext uri="{FF2B5EF4-FFF2-40B4-BE49-F238E27FC236}">
              <a16:creationId xmlns:a16="http://schemas.microsoft.com/office/drawing/2014/main" id="{40CEB331-AE60-416C-8496-B125714ADD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16878458" y="670878"/>
          <a:ext cx="721995" cy="752147"/>
        </a:xfrm>
        <a:prstGeom prst="rect">
          <a:avLst/>
        </a:prstGeom>
      </xdr:spPr>
    </xdr:pic>
    <xdr:clientData/>
  </xdr:twoCellAnchor>
  <xdr:twoCellAnchor>
    <xdr:from>
      <xdr:col>6</xdr:col>
      <xdr:colOff>45773</xdr:colOff>
      <xdr:row>1</xdr:row>
      <xdr:rowOff>137583</xdr:rowOff>
    </xdr:from>
    <xdr:to>
      <xdr:col>7</xdr:col>
      <xdr:colOff>0</xdr:colOff>
      <xdr:row>3</xdr:row>
      <xdr:rowOff>115888</xdr:rowOff>
    </xdr:to>
    <xdr:sp macro="" textlink="">
      <xdr:nvSpPr>
        <xdr:cNvPr id="3" name="TextBox 10">
          <a:extLst>
            <a:ext uri="{FF2B5EF4-FFF2-40B4-BE49-F238E27FC236}">
              <a16:creationId xmlns:a16="http://schemas.microsoft.com/office/drawing/2014/main" id="{8B3183B4-A621-4568-BD83-0289C7C5C6F2}"/>
            </a:ext>
          </a:extLst>
        </xdr:cNvPr>
        <xdr:cNvSpPr txBox="1"/>
      </xdr:nvSpPr>
      <xdr:spPr>
        <a:xfrm>
          <a:off x="16534606" y="317500"/>
          <a:ext cx="1340644" cy="338138"/>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800" b="0" i="0" u="none" strike="noStrike" kern="0" cap="none" spc="0" normalizeH="0" baseline="0" noProof="0">
              <a:ln>
                <a:noFill/>
              </a:ln>
              <a:solidFill>
                <a:srgbClr val="4074BA"/>
              </a:solidFill>
              <a:effectLst/>
              <a:uLnTx/>
              <a:uFillTx/>
              <a:latin typeface="Abadi" panose="020B0604020104020204" pitchFamily="34" charset="0"/>
              <a:ea typeface="+mn-ea"/>
              <a:cs typeface="+mn-cs"/>
            </a:rPr>
            <a:t>Dashboard</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55860</xdr:colOff>
      <xdr:row>4</xdr:row>
      <xdr:rowOff>47177</xdr:rowOff>
    </xdr:from>
    <xdr:to>
      <xdr:col>8</xdr:col>
      <xdr:colOff>168255</xdr:colOff>
      <xdr:row>8</xdr:row>
      <xdr:rowOff>75424</xdr:rowOff>
    </xdr:to>
    <xdr:pic>
      <xdr:nvPicPr>
        <xdr:cNvPr id="2" name="Graphic 1" descr="Back with solid fill">
          <a:hlinkClick xmlns:r="http://schemas.openxmlformats.org/officeDocument/2006/relationships" r:id="rId1"/>
          <a:extLst>
            <a:ext uri="{FF2B5EF4-FFF2-40B4-BE49-F238E27FC236}">
              <a16:creationId xmlns:a16="http://schemas.microsoft.com/office/drawing/2014/main" id="{65F8AB84-D227-4B2E-9B16-9C1891C670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14448135" y="771077"/>
          <a:ext cx="716280" cy="752147"/>
        </a:xfrm>
        <a:prstGeom prst="rect">
          <a:avLst/>
        </a:prstGeom>
      </xdr:spPr>
    </xdr:pic>
    <xdr:clientData/>
  </xdr:twoCellAnchor>
  <xdr:twoCellAnchor>
    <xdr:from>
      <xdr:col>6</xdr:col>
      <xdr:colOff>133350</xdr:colOff>
      <xdr:row>2</xdr:row>
      <xdr:rowOff>9525</xdr:rowOff>
    </xdr:from>
    <xdr:to>
      <xdr:col>8</xdr:col>
      <xdr:colOff>342675</xdr:colOff>
      <xdr:row>4</xdr:row>
      <xdr:rowOff>47217</xdr:rowOff>
    </xdr:to>
    <xdr:sp macro="" textlink="">
      <xdr:nvSpPr>
        <xdr:cNvPr id="3" name="TextBox 4">
          <a:extLst>
            <a:ext uri="{FF2B5EF4-FFF2-40B4-BE49-F238E27FC236}">
              <a16:creationId xmlns:a16="http://schemas.microsoft.com/office/drawing/2014/main" id="{D7257C69-846B-4668-B390-D58CC5877322}"/>
            </a:ext>
          </a:extLst>
        </xdr:cNvPr>
        <xdr:cNvSpPr txBox="1"/>
      </xdr:nvSpPr>
      <xdr:spPr>
        <a:xfrm>
          <a:off x="13916025" y="371475"/>
          <a:ext cx="1428525" cy="399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567690</xdr:colOff>
      <xdr:row>0</xdr:row>
      <xdr:rowOff>57150</xdr:rowOff>
    </xdr:from>
    <xdr:to>
      <xdr:col>4</xdr:col>
      <xdr:colOff>401955</xdr:colOff>
      <xdr:row>13</xdr:row>
      <xdr:rowOff>131445</xdr:rowOff>
    </xdr:to>
    <mc:AlternateContent xmlns:mc="http://schemas.openxmlformats.org/markup-compatibility/2006" xmlns:a14="http://schemas.microsoft.com/office/drawing/2010/main">
      <mc:Choice Requires="a14">
        <xdr:graphicFrame macro="">
          <xdr:nvGraphicFramePr>
            <xdr:cNvPr id="3" name="Sector  1">
              <a:extLst>
                <a:ext uri="{FF2B5EF4-FFF2-40B4-BE49-F238E27FC236}">
                  <a16:creationId xmlns:a16="http://schemas.microsoft.com/office/drawing/2014/main" id="{C78B5F94-C9D0-4E5B-8880-ADBE57E5778D}"/>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3158490" y="53340"/>
              <a:ext cx="1815465" cy="243078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1277302</xdr:colOff>
      <xdr:row>18</xdr:row>
      <xdr:rowOff>63818</xdr:rowOff>
    </xdr:from>
    <xdr:to>
      <xdr:col>4</xdr:col>
      <xdr:colOff>18097</xdr:colOff>
      <xdr:row>22</xdr:row>
      <xdr:rowOff>97780</xdr:rowOff>
    </xdr:to>
    <xdr:pic>
      <xdr:nvPicPr>
        <xdr:cNvPr id="4" name="Graphic 3" descr="Back with solid fill">
          <a:hlinkClick xmlns:r="http://schemas.openxmlformats.org/officeDocument/2006/relationships" r:id="rId1"/>
          <a:extLst>
            <a:ext uri="{FF2B5EF4-FFF2-40B4-BE49-F238E27FC236}">
              <a16:creationId xmlns:a16="http://schemas.microsoft.com/office/drawing/2014/main" id="{9C827EA1-7C46-4658-977C-59FA1948CD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3706177" y="3321368"/>
          <a:ext cx="721995" cy="757862"/>
        </a:xfrm>
        <a:prstGeom prst="rect">
          <a:avLst/>
        </a:prstGeom>
      </xdr:spPr>
    </xdr:pic>
    <xdr:clientData/>
  </xdr:twoCellAnchor>
  <xdr:twoCellAnchor>
    <xdr:from>
      <xdr:col>2</xdr:col>
      <xdr:colOff>933450</xdr:colOff>
      <xdr:row>16</xdr:row>
      <xdr:rowOff>76200</xdr:rowOff>
    </xdr:from>
    <xdr:to>
      <xdr:col>4</xdr:col>
      <xdr:colOff>294799</xdr:colOff>
      <xdr:row>18</xdr:row>
      <xdr:rowOff>50483</xdr:rowOff>
    </xdr:to>
    <xdr:sp macro="" textlink="">
      <xdr:nvSpPr>
        <xdr:cNvPr id="5" name="TextBox 10">
          <a:extLst>
            <a:ext uri="{FF2B5EF4-FFF2-40B4-BE49-F238E27FC236}">
              <a16:creationId xmlns:a16="http://schemas.microsoft.com/office/drawing/2014/main" id="{39D5CC8D-D515-4EEB-A0EB-B49BC628852A}"/>
            </a:ext>
          </a:extLst>
        </xdr:cNvPr>
        <xdr:cNvSpPr txBox="1"/>
      </xdr:nvSpPr>
      <xdr:spPr>
        <a:xfrm>
          <a:off x="3362325" y="2971800"/>
          <a:ext cx="1342549" cy="336233"/>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800" b="0" i="0" u="none" strike="noStrike" kern="0" cap="none" spc="0" normalizeH="0" baseline="0" noProof="0">
              <a:ln>
                <a:noFill/>
              </a:ln>
              <a:solidFill>
                <a:srgbClr val="4074BA"/>
              </a:solidFill>
              <a:effectLst/>
              <a:uLnTx/>
              <a:uFillTx/>
              <a:latin typeface="Abadi" panose="020B0604020104020204" pitchFamily="34" charset="0"/>
              <a:ea typeface="+mn-ea"/>
              <a:cs typeface="+mn-cs"/>
            </a:rPr>
            <a:t>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24523</xdr:colOff>
      <xdr:row>2</xdr:row>
      <xdr:rowOff>60620</xdr:rowOff>
    </xdr:from>
    <xdr:to>
      <xdr:col>30</xdr:col>
      <xdr:colOff>527277</xdr:colOff>
      <xdr:row>48</xdr:row>
      <xdr:rowOff>4900</xdr:rowOff>
    </xdr:to>
    <xdr:sp macro="" textlink="">
      <xdr:nvSpPr>
        <xdr:cNvPr id="2" name="Rectangle: Top Corners Rounded 1">
          <a:extLst>
            <a:ext uri="{FF2B5EF4-FFF2-40B4-BE49-F238E27FC236}">
              <a16:creationId xmlns:a16="http://schemas.microsoft.com/office/drawing/2014/main" id="{D3925291-627A-4439-AEDB-845B67AE77EB}"/>
            </a:ext>
          </a:extLst>
        </xdr:cNvPr>
        <xdr:cNvSpPr/>
      </xdr:nvSpPr>
      <xdr:spPr>
        <a:xfrm rot="5400000">
          <a:off x="6160274" y="-3244845"/>
          <a:ext cx="8957651" cy="16352354"/>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33105</xdr:colOff>
      <xdr:row>49</xdr:row>
      <xdr:rowOff>0</xdr:rowOff>
    </xdr:to>
    <xdr:sp macro="" textlink="">
      <xdr:nvSpPr>
        <xdr:cNvPr id="3" name="Rectangle 2">
          <a:extLst>
            <a:ext uri="{FF2B5EF4-FFF2-40B4-BE49-F238E27FC236}">
              <a16:creationId xmlns:a16="http://schemas.microsoft.com/office/drawing/2014/main" id="{F66976F6-A271-4F3E-874B-5773F8884208}"/>
            </a:ext>
          </a:extLst>
        </xdr:cNvPr>
        <xdr:cNvSpPr/>
      </xdr:nvSpPr>
      <xdr:spPr>
        <a:xfrm>
          <a:off x="0" y="0"/>
          <a:ext cx="2471505" cy="9601200"/>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70C0"/>
            </a:solidFill>
          </a:endParaRPr>
        </a:p>
      </xdr:txBody>
    </xdr:sp>
    <xdr:clientData/>
  </xdr:twoCellAnchor>
  <xdr:twoCellAnchor>
    <xdr:from>
      <xdr:col>1</xdr:col>
      <xdr:colOff>31472</xdr:colOff>
      <xdr:row>2</xdr:row>
      <xdr:rowOff>54429</xdr:rowOff>
    </xdr:from>
    <xdr:to>
      <xdr:col>4</xdr:col>
      <xdr:colOff>31472</xdr:colOff>
      <xdr:row>48</xdr:row>
      <xdr:rowOff>22045</xdr:rowOff>
    </xdr:to>
    <xdr:sp macro="" textlink="">
      <xdr:nvSpPr>
        <xdr:cNvPr id="4" name="Rectangle: Top Corners Rounded 3">
          <a:extLst>
            <a:ext uri="{FF2B5EF4-FFF2-40B4-BE49-F238E27FC236}">
              <a16:creationId xmlns:a16="http://schemas.microsoft.com/office/drawing/2014/main" id="{D822ACC5-D446-4125-8E0C-B67585A14C42}"/>
            </a:ext>
          </a:extLst>
        </xdr:cNvPr>
        <xdr:cNvSpPr/>
      </xdr:nvSpPr>
      <xdr:spPr>
        <a:xfrm rot="16200000">
          <a:off x="-2456050" y="3521666"/>
          <a:ext cx="8104687"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B0F0"/>
            </a:solidFill>
          </a:endParaRPr>
        </a:p>
      </xdr:txBody>
    </xdr:sp>
    <xdr:clientData/>
  </xdr:twoCellAnchor>
  <xdr:twoCellAnchor>
    <xdr:from>
      <xdr:col>5</xdr:col>
      <xdr:colOff>41230</xdr:colOff>
      <xdr:row>2</xdr:row>
      <xdr:rowOff>111236</xdr:rowOff>
    </xdr:from>
    <xdr:to>
      <xdr:col>29</xdr:col>
      <xdr:colOff>560820</xdr:colOff>
      <xdr:row>5</xdr:row>
      <xdr:rowOff>91166</xdr:rowOff>
    </xdr:to>
    <xdr:sp macro="" textlink="">
      <xdr:nvSpPr>
        <xdr:cNvPr id="6" name="Rectangle 5">
          <a:extLst>
            <a:ext uri="{FF2B5EF4-FFF2-40B4-BE49-F238E27FC236}">
              <a16:creationId xmlns:a16="http://schemas.microsoft.com/office/drawing/2014/main" id="{210D84B1-D402-409B-9859-FAC629B6FFE2}"/>
            </a:ext>
          </a:extLst>
        </xdr:cNvPr>
        <xdr:cNvSpPr/>
      </xdr:nvSpPr>
      <xdr:spPr>
        <a:xfrm>
          <a:off x="3089230" y="492236"/>
          <a:ext cx="15151895" cy="555240"/>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13</xdr:col>
      <xdr:colOff>449036</xdr:colOff>
      <xdr:row>2</xdr:row>
      <xdr:rowOff>68443</xdr:rowOff>
    </xdr:from>
    <xdr:to>
      <xdr:col>18</xdr:col>
      <xdr:colOff>611505</xdr:colOff>
      <xdr:row>4</xdr:row>
      <xdr:rowOff>89943</xdr:rowOff>
    </xdr:to>
    <xdr:sp macro="" textlink="">
      <xdr:nvSpPr>
        <xdr:cNvPr id="7" name="TextBox 6">
          <a:extLst>
            <a:ext uri="{FF2B5EF4-FFF2-40B4-BE49-F238E27FC236}">
              <a16:creationId xmlns:a16="http://schemas.microsoft.com/office/drawing/2014/main" id="{72385845-5DFB-4008-9605-A764E3C1635F}"/>
            </a:ext>
          </a:extLst>
        </xdr:cNvPr>
        <xdr:cNvSpPr txBox="1"/>
      </xdr:nvSpPr>
      <xdr:spPr>
        <a:xfrm>
          <a:off x="8375741" y="451348"/>
          <a:ext cx="3208564" cy="398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400">
              <a:solidFill>
                <a:srgbClr val="4074BA"/>
              </a:solidFill>
              <a:latin typeface="Abadi" panose="020B0604020104020204" pitchFamily="34" charset="0"/>
            </a:rPr>
            <a:t>Reading guide</a:t>
          </a:r>
        </a:p>
      </xdr:txBody>
    </xdr:sp>
    <xdr:clientData/>
  </xdr:twoCellAnchor>
  <xdr:twoCellAnchor>
    <xdr:from>
      <xdr:col>1</xdr:col>
      <xdr:colOff>419615</xdr:colOff>
      <xdr:row>3</xdr:row>
      <xdr:rowOff>19254</xdr:rowOff>
    </xdr:from>
    <xdr:to>
      <xdr:col>3</xdr:col>
      <xdr:colOff>308851</xdr:colOff>
      <xdr:row>9</xdr:row>
      <xdr:rowOff>84497</xdr:rowOff>
    </xdr:to>
    <xdr:sp macro="" textlink="">
      <xdr:nvSpPr>
        <xdr:cNvPr id="16" name="Oval 15">
          <a:extLst>
            <a:ext uri="{FF2B5EF4-FFF2-40B4-BE49-F238E27FC236}">
              <a16:creationId xmlns:a16="http://schemas.microsoft.com/office/drawing/2014/main" id="{9227A4CB-EEB6-4FE6-85A8-0A91FAA166B1}"/>
            </a:ext>
          </a:extLst>
        </xdr:cNvPr>
        <xdr:cNvSpPr/>
      </xdr:nvSpPr>
      <xdr:spPr>
        <a:xfrm>
          <a:off x="1029215" y="607083"/>
          <a:ext cx="1108436" cy="124090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331470</xdr:colOff>
      <xdr:row>41</xdr:row>
      <xdr:rowOff>73342</xdr:rowOff>
    </xdr:from>
    <xdr:to>
      <xdr:col>3</xdr:col>
      <xdr:colOff>364807</xdr:colOff>
      <xdr:row>46</xdr:row>
      <xdr:rowOff>49529</xdr:rowOff>
    </xdr:to>
    <xdr:sp macro="" textlink="">
      <xdr:nvSpPr>
        <xdr:cNvPr id="17" name="Rectangle: Rounded Corners 16">
          <a:hlinkClick xmlns:r="http://schemas.openxmlformats.org/officeDocument/2006/relationships" r:id="rId1"/>
          <a:extLst>
            <a:ext uri="{FF2B5EF4-FFF2-40B4-BE49-F238E27FC236}">
              <a16:creationId xmlns:a16="http://schemas.microsoft.com/office/drawing/2014/main" id="{5CB22F66-DA4D-414F-8D5B-365AB0763F12}"/>
            </a:ext>
          </a:extLst>
        </xdr:cNvPr>
        <xdr:cNvSpPr/>
      </xdr:nvSpPr>
      <xdr:spPr>
        <a:xfrm>
          <a:off x="941070" y="8106999"/>
          <a:ext cx="1252537" cy="95590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487683</xdr:colOff>
      <xdr:row>42</xdr:row>
      <xdr:rowOff>98264</xdr:rowOff>
    </xdr:from>
    <xdr:to>
      <xdr:col>3</xdr:col>
      <xdr:colOff>151449</xdr:colOff>
      <xdr:row>45</xdr:row>
      <xdr:rowOff>59531</xdr:rowOff>
    </xdr:to>
    <xdr:pic>
      <xdr:nvPicPr>
        <xdr:cNvPr id="18" name="Picture 17">
          <a:hlinkClick xmlns:r="http://schemas.openxmlformats.org/officeDocument/2006/relationships" r:id="rId1"/>
          <a:extLst>
            <a:ext uri="{FF2B5EF4-FFF2-40B4-BE49-F238E27FC236}">
              <a16:creationId xmlns:a16="http://schemas.microsoft.com/office/drawing/2014/main" id="{6201214B-C079-4C2A-A10A-4377EB71C5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7283" y="8327864"/>
          <a:ext cx="882966" cy="558621"/>
        </a:xfrm>
        <a:prstGeom prst="rect">
          <a:avLst/>
        </a:prstGeom>
      </xdr:spPr>
    </xdr:pic>
    <xdr:clientData/>
  </xdr:twoCellAnchor>
  <xdr:twoCellAnchor>
    <xdr:from>
      <xdr:col>6</xdr:col>
      <xdr:colOff>64225</xdr:colOff>
      <xdr:row>33</xdr:row>
      <xdr:rowOff>57301</xdr:rowOff>
    </xdr:from>
    <xdr:to>
      <xdr:col>29</xdr:col>
      <xdr:colOff>375557</xdr:colOff>
      <xdr:row>36</xdr:row>
      <xdr:rowOff>56349</xdr:rowOff>
    </xdr:to>
    <xdr:sp macro="" textlink="">
      <xdr:nvSpPr>
        <xdr:cNvPr id="19" name="TextBox 18">
          <a:extLst>
            <a:ext uri="{FF2B5EF4-FFF2-40B4-BE49-F238E27FC236}">
              <a16:creationId xmlns:a16="http://schemas.microsoft.com/office/drawing/2014/main" id="{2DB145FA-6D19-4605-9D46-C4DA6EB898F3}"/>
            </a:ext>
          </a:extLst>
        </xdr:cNvPr>
        <xdr:cNvSpPr txBox="1"/>
      </xdr:nvSpPr>
      <xdr:spPr>
        <a:xfrm>
          <a:off x="3723730" y="6347611"/>
          <a:ext cx="14332132" cy="570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endParaRPr lang="nl-NL" sz="1400">
            <a:latin typeface="Abadi" panose="020B0604020104020204" pitchFamily="34" charset="0"/>
          </a:endParaRPr>
        </a:p>
      </xdr:txBody>
    </xdr:sp>
    <xdr:clientData/>
  </xdr:twoCellAnchor>
  <xdr:twoCellAnchor>
    <xdr:from>
      <xdr:col>5</xdr:col>
      <xdr:colOff>355691</xdr:colOff>
      <xdr:row>4</xdr:row>
      <xdr:rowOff>117836</xdr:rowOff>
    </xdr:from>
    <xdr:to>
      <xdr:col>30</xdr:col>
      <xdr:colOff>17417</xdr:colOff>
      <xdr:row>49</xdr:row>
      <xdr:rowOff>0</xdr:rowOff>
    </xdr:to>
    <xdr:sp macro="" textlink="">
      <xdr:nvSpPr>
        <xdr:cNvPr id="21" name="TextBox 20">
          <a:extLst>
            <a:ext uri="{FF2B5EF4-FFF2-40B4-BE49-F238E27FC236}">
              <a16:creationId xmlns:a16="http://schemas.microsoft.com/office/drawing/2014/main" id="{87B3EDE3-9499-4AD7-AD6D-19D89B69D341}"/>
            </a:ext>
          </a:extLst>
        </xdr:cNvPr>
        <xdr:cNvSpPr txBox="1"/>
      </xdr:nvSpPr>
      <xdr:spPr>
        <a:xfrm>
          <a:off x="3485334" y="825407"/>
          <a:ext cx="15309940" cy="784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2000" b="1">
              <a:solidFill>
                <a:srgbClr val="4074BA"/>
              </a:solidFill>
              <a:effectLst/>
              <a:latin typeface="Abadi" panose="020B0604020104020204" pitchFamily="34" charset="0"/>
              <a:ea typeface="+mn-ea"/>
              <a:cs typeface="+mn-cs"/>
            </a:rPr>
            <a:t>General</a:t>
          </a:r>
        </a:p>
        <a:p>
          <a:r>
            <a:rPr lang="en-US" sz="1600">
              <a:solidFill>
                <a:schemeClr val="dk1"/>
              </a:solidFill>
              <a:effectLst/>
              <a:latin typeface="+mn-lt"/>
              <a:ea typeface="+mn-ea"/>
              <a:cs typeface="+mn-cs"/>
            </a:rPr>
            <a:t>On every worksheet you will find one or more graphs. For every graph, you can apply a certain filter to view a sector or interval numbers of members in more detail. You can add the filter by clicking on one of the buttons saying </a:t>
          </a:r>
          <a:r>
            <a:rPr lang="en-US" sz="1600" i="1">
              <a:solidFill>
                <a:schemeClr val="dk1"/>
              </a:solidFill>
              <a:effectLst/>
              <a:latin typeface="+mn-lt"/>
              <a:ea typeface="+mn-ea"/>
              <a:cs typeface="+mn-cs"/>
            </a:rPr>
            <a:t>Culture, Social, </a:t>
          </a:r>
          <a:r>
            <a:rPr lang="en-US" sz="1600">
              <a:solidFill>
                <a:schemeClr val="dk1"/>
              </a:solidFill>
              <a:effectLst/>
              <a:latin typeface="+mn-lt"/>
              <a:ea typeface="+mn-ea"/>
              <a:cs typeface="+mn-cs"/>
            </a:rPr>
            <a:t>etc. and remove the filter by clicking on this button: </a:t>
          </a:r>
          <a:endParaRPr lang="nl-NL" sz="1600">
            <a:solidFill>
              <a:schemeClr val="dk1"/>
            </a:solidFill>
            <a:effectLst/>
            <a:latin typeface="+mn-lt"/>
            <a:ea typeface="+mn-ea"/>
            <a:cs typeface="+mn-cs"/>
          </a:endParaRPr>
        </a:p>
        <a:p>
          <a:r>
            <a:rPr lang="en-US" sz="1600">
              <a:solidFill>
                <a:schemeClr val="dk1"/>
              </a:solidFill>
              <a:effectLst/>
              <a:latin typeface="+mn-lt"/>
              <a:ea typeface="+mn-ea"/>
              <a:cs typeface="+mn-cs"/>
            </a:rPr>
            <a:t>You can also see the graph in more or less detail by clicking the + and – buttons: </a:t>
          </a:r>
          <a:endParaRPr lang="nl-NL" sz="1600">
            <a:solidFill>
              <a:schemeClr val="dk1"/>
            </a:solidFill>
            <a:effectLst/>
            <a:latin typeface="+mn-lt"/>
            <a:ea typeface="+mn-ea"/>
            <a:cs typeface="+mn-cs"/>
          </a:endParaRPr>
        </a:p>
        <a:p>
          <a:r>
            <a:rPr lang="en-US" sz="1600">
              <a:solidFill>
                <a:schemeClr val="dk1"/>
              </a:solidFill>
              <a:effectLst/>
              <a:latin typeface="+mn-lt"/>
              <a:ea typeface="+mn-ea"/>
              <a:cs typeface="+mn-cs"/>
            </a:rPr>
            <a:t>Every worksheet has a “More info” button, this will take you to a worksheet where you can view all of the data in detail that was used to make that graph. </a:t>
          </a:r>
        </a:p>
        <a:p>
          <a:endParaRPr lang="en-US" sz="1600">
            <a:solidFill>
              <a:schemeClr val="dk1"/>
            </a:solidFill>
            <a:effectLst/>
            <a:latin typeface="+mn-lt"/>
            <a:ea typeface="+mn-ea"/>
            <a:cs typeface="+mn-cs"/>
          </a:endParaRPr>
        </a:p>
        <a:p>
          <a:r>
            <a:rPr lang="en-US" sz="1600">
              <a:solidFill>
                <a:schemeClr val="tx1"/>
              </a:solidFill>
              <a:effectLst/>
              <a:latin typeface="+mn-lt"/>
              <a:ea typeface="+mn-ea"/>
              <a:cs typeface="+mn-cs"/>
            </a:rPr>
            <a:t>As you can see we did not include the sector 'Other'</a:t>
          </a:r>
          <a:r>
            <a:rPr lang="en-US" sz="1600" baseline="0">
              <a:solidFill>
                <a:schemeClr val="tx1"/>
              </a:solidFill>
              <a:effectLst/>
              <a:latin typeface="+mn-lt"/>
              <a:ea typeface="+mn-ea"/>
              <a:cs typeface="+mn-cs"/>
            </a:rPr>
            <a:t> in all graphs. This is due to the fact that a lot of organisations in this sector are in fact foundations. In the other sectors, we compare members of associations with each other, for example international or active members. This cannot be done in the sector Other, as a foundation does not have any members.</a:t>
          </a:r>
          <a:endParaRPr lang="en-US" sz="1600">
            <a:solidFill>
              <a:schemeClr val="tx1"/>
            </a:solidFill>
            <a:effectLst/>
            <a:latin typeface="+mn-lt"/>
            <a:ea typeface="+mn-ea"/>
            <a:cs typeface="+mn-cs"/>
          </a:endParaRPr>
        </a:p>
        <a:p>
          <a:endParaRPr lang="en-US"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Response rate</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On this worksheet you can find the response rate per sector. In dark blue you can see the number of organisations that responded and in light blue you can see the number of organisations in total. </a:t>
          </a:r>
        </a:p>
        <a:p>
          <a:endParaRPr lang="nl-NL"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Active members</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On this worksheet you will find two graphs. On the left, a graph that shows proportions of active and inactive members of associations per sector. In dark blue is the percentage of active members and in lighter blue the percentage of inactive members. Using the graph on the right, the percentage</a:t>
          </a:r>
          <a:r>
            <a:rPr lang="en-US" sz="1600" baseline="0">
              <a:solidFill>
                <a:schemeClr val="dk1"/>
              </a:solidFill>
              <a:effectLst/>
              <a:latin typeface="+mn-lt"/>
              <a:ea typeface="+mn-ea"/>
              <a:cs typeface="+mn-cs"/>
            </a:rPr>
            <a:t> of active students per sector over the last three years can be compared. </a:t>
          </a:r>
          <a:r>
            <a:rPr lang="en-US" sz="1600">
              <a:solidFill>
                <a:schemeClr val="dk1"/>
              </a:solidFill>
              <a:effectLst/>
              <a:latin typeface="+mn-lt"/>
              <a:ea typeface="+mn-ea"/>
              <a:cs typeface="+mn-cs"/>
            </a:rPr>
            <a:t> </a:t>
          </a:r>
        </a:p>
        <a:p>
          <a:endParaRPr lang="nl-NL"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Internationals</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On the left you can find a graph detailing the proportion of internationals per sector. In light blue the number of Dutch students, blue the number of EEA students and in dark blue the number of non-EEA students. The graph on the right then shows the percentage of active students per background per sector. It is important to look at these graphs together and not separate.</a:t>
          </a:r>
        </a:p>
        <a:p>
          <a:endParaRPr lang="nl-NL"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Committees</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In the upper graph we can see the committee member division per study year per sector. So for example, the social sector has 97 first year committee members, 138 second year committee members, 166 third year committee members, 123 fourth year committee members and 58 fifth year and older committee members. From this graph, you could read off which study year is the most active per sector.</a:t>
          </a:r>
          <a:r>
            <a:rPr lang="nl-NL" sz="1600" baseline="0">
              <a:solidFill>
                <a:schemeClr val="dk1"/>
              </a:solidFill>
              <a:effectLst/>
              <a:latin typeface="+mn-lt"/>
              <a:ea typeface="+mn-ea"/>
              <a:cs typeface="+mn-cs"/>
            </a:rPr>
            <a:t> </a:t>
          </a:r>
          <a:r>
            <a:rPr lang="en-US" sz="1600">
              <a:solidFill>
                <a:schemeClr val="dk1"/>
              </a:solidFill>
              <a:effectLst/>
              <a:latin typeface="+mn-lt"/>
              <a:ea typeface="+mn-ea"/>
              <a:cs typeface="+mn-cs"/>
            </a:rPr>
            <a:t>In the lower graph we can see the number of committees per sector.</a:t>
          </a:r>
        </a:p>
        <a:p>
          <a:endParaRPr lang="nl-NL" sz="1600">
            <a:solidFill>
              <a:schemeClr val="dk1"/>
            </a:solidFill>
            <a:effectLst/>
            <a:latin typeface="+mn-lt"/>
            <a:ea typeface="+mn-ea"/>
            <a:cs typeface="+mn-cs"/>
          </a:endParaRPr>
        </a:p>
      </xdr:txBody>
    </xdr:sp>
    <xdr:clientData/>
  </xdr:twoCellAnchor>
  <xdr:twoCellAnchor editAs="oneCell">
    <xdr:from>
      <xdr:col>2</xdr:col>
      <xdr:colOff>61134</xdr:colOff>
      <xdr:row>4</xdr:row>
      <xdr:rowOff>5035</xdr:rowOff>
    </xdr:from>
    <xdr:to>
      <xdr:col>3</xdr:col>
      <xdr:colOff>56210</xdr:colOff>
      <xdr:row>8</xdr:row>
      <xdr:rowOff>136072</xdr:rowOff>
    </xdr:to>
    <xdr:pic>
      <xdr:nvPicPr>
        <xdr:cNvPr id="22" name="Picture 21">
          <a:extLst>
            <a:ext uri="{FF2B5EF4-FFF2-40B4-BE49-F238E27FC236}">
              <a16:creationId xmlns:a16="http://schemas.microsoft.com/office/drawing/2014/main" id="{81F279E1-1116-4157-B2A7-C00F955AFAE7}"/>
            </a:ext>
          </a:extLst>
        </xdr:cNvPr>
        <xdr:cNvPicPr>
          <a:picLocks noChangeAspect="1"/>
        </xdr:cNvPicPr>
      </xdr:nvPicPr>
      <xdr:blipFill>
        <a:blip xmlns:r="http://schemas.openxmlformats.org/officeDocument/2006/relationships" r:embed="rId3"/>
        <a:stretch>
          <a:fillRect/>
        </a:stretch>
      </xdr:blipFill>
      <xdr:spPr>
        <a:xfrm>
          <a:off x="1280334" y="788806"/>
          <a:ext cx="619916" cy="924334"/>
        </a:xfrm>
        <a:prstGeom prst="rect">
          <a:avLst/>
        </a:prstGeom>
      </xdr:spPr>
    </xdr:pic>
    <xdr:clientData/>
  </xdr:twoCellAnchor>
  <xdr:twoCellAnchor editAs="oneCell">
    <xdr:from>
      <xdr:col>20</xdr:col>
      <xdr:colOff>604158</xdr:colOff>
      <xdr:row>7</xdr:row>
      <xdr:rowOff>103415</xdr:rowOff>
    </xdr:from>
    <xdr:to>
      <xdr:col>21</xdr:col>
      <xdr:colOff>230778</xdr:colOff>
      <xdr:row>8</xdr:row>
      <xdr:rowOff>136072</xdr:rowOff>
    </xdr:to>
    <xdr:pic>
      <xdr:nvPicPr>
        <xdr:cNvPr id="23" name="Picture 22">
          <a:extLst>
            <a:ext uri="{FF2B5EF4-FFF2-40B4-BE49-F238E27FC236}">
              <a16:creationId xmlns:a16="http://schemas.microsoft.com/office/drawing/2014/main" id="{44A3048F-8619-4499-B72A-47798036D708}"/>
            </a:ext>
          </a:extLst>
        </xdr:cNvPr>
        <xdr:cNvPicPr>
          <a:picLocks noChangeAspect="1"/>
        </xdr:cNvPicPr>
      </xdr:nvPicPr>
      <xdr:blipFill>
        <a:blip xmlns:r="http://schemas.openxmlformats.org/officeDocument/2006/relationships" r:embed="rId4"/>
        <a:stretch>
          <a:fillRect/>
        </a:stretch>
      </xdr:blipFill>
      <xdr:spPr>
        <a:xfrm>
          <a:off x="12850587" y="1436915"/>
          <a:ext cx="238941" cy="232682"/>
        </a:xfrm>
        <a:prstGeom prst="rect">
          <a:avLst/>
        </a:prstGeom>
      </xdr:spPr>
    </xdr:pic>
    <xdr:clientData/>
  </xdr:twoCellAnchor>
  <xdr:twoCellAnchor editAs="oneCell">
    <xdr:from>
      <xdr:col>16</xdr:col>
      <xdr:colOff>337457</xdr:colOff>
      <xdr:row>8</xdr:row>
      <xdr:rowOff>166008</xdr:rowOff>
    </xdr:from>
    <xdr:to>
      <xdr:col>17</xdr:col>
      <xdr:colOff>55517</xdr:colOff>
      <xdr:row>9</xdr:row>
      <xdr:rowOff>170090</xdr:rowOff>
    </xdr:to>
    <xdr:pic>
      <xdr:nvPicPr>
        <xdr:cNvPr id="24" name="Picture 23">
          <a:extLst>
            <a:ext uri="{FF2B5EF4-FFF2-40B4-BE49-F238E27FC236}">
              <a16:creationId xmlns:a16="http://schemas.microsoft.com/office/drawing/2014/main" id="{88FCD810-B82B-48AA-8244-244BD48BB1D8}"/>
            </a:ext>
          </a:extLst>
        </xdr:cNvPr>
        <xdr:cNvPicPr>
          <a:picLocks noChangeAspect="1"/>
        </xdr:cNvPicPr>
      </xdr:nvPicPr>
      <xdr:blipFill>
        <a:blip xmlns:r="http://schemas.openxmlformats.org/officeDocument/2006/relationships" r:embed="rId5"/>
        <a:stretch>
          <a:fillRect/>
        </a:stretch>
      </xdr:blipFill>
      <xdr:spPr>
        <a:xfrm>
          <a:off x="10134600" y="1690008"/>
          <a:ext cx="345621" cy="194582"/>
        </a:xfrm>
        <a:prstGeom prst="rect">
          <a:avLst/>
        </a:prstGeom>
      </xdr:spPr>
    </xdr:pic>
    <xdr:clientData/>
  </xdr:twoCellAnchor>
  <xdr:twoCellAnchor>
    <xdr:from>
      <xdr:col>1</xdr:col>
      <xdr:colOff>353280</xdr:colOff>
      <xdr:row>31</xdr:row>
      <xdr:rowOff>171526</xdr:rowOff>
    </xdr:from>
    <xdr:to>
      <xdr:col>3</xdr:col>
      <xdr:colOff>315997</xdr:colOff>
      <xdr:row>35</xdr:row>
      <xdr:rowOff>78997</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C20C3B5A-BFA9-43A0-B4E5-CB95AA0C4349}"/>
            </a:ext>
          </a:extLst>
        </xdr:cNvPr>
        <xdr:cNvSpPr txBox="1"/>
      </xdr:nvSpPr>
      <xdr:spPr>
        <a:xfrm>
          <a:off x="979209" y="5655205"/>
          <a:ext cx="1214574" cy="61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325046</xdr:colOff>
      <xdr:row>28</xdr:row>
      <xdr:rowOff>34716</xdr:rowOff>
    </xdr:from>
    <xdr:to>
      <xdr:col>3</xdr:col>
      <xdr:colOff>344231</xdr:colOff>
      <xdr:row>31</xdr:row>
      <xdr:rowOff>168882</xdr:rowOff>
    </xdr:to>
    <xdr:sp macro="" textlink="">
      <xdr:nvSpPr>
        <xdr:cNvPr id="20" name="TextBox 19">
          <a:hlinkClick xmlns:r="http://schemas.openxmlformats.org/officeDocument/2006/relationships" r:id="rId7"/>
          <a:extLst>
            <a:ext uri="{FF2B5EF4-FFF2-40B4-BE49-F238E27FC236}">
              <a16:creationId xmlns:a16="http://schemas.microsoft.com/office/drawing/2014/main" id="{5F8C9A78-E21E-4226-A2BF-A6F81006684B}"/>
            </a:ext>
          </a:extLst>
        </xdr:cNvPr>
        <xdr:cNvSpPr txBox="1"/>
      </xdr:nvSpPr>
      <xdr:spPr>
        <a:xfrm>
          <a:off x="950975" y="4987716"/>
          <a:ext cx="1271042" cy="664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307832</xdr:colOff>
      <xdr:row>20</xdr:row>
      <xdr:rowOff>136109</xdr:rowOff>
    </xdr:from>
    <xdr:to>
      <xdr:col>3</xdr:col>
      <xdr:colOff>489856</xdr:colOff>
      <xdr:row>24</xdr:row>
      <xdr:rowOff>91477</xdr:rowOff>
    </xdr:to>
    <xdr:sp macro="" textlink="">
      <xdr:nvSpPr>
        <xdr:cNvPr id="26" name="TextBox 25">
          <a:hlinkClick xmlns:r="http://schemas.openxmlformats.org/officeDocument/2006/relationships" r:id="rId8"/>
          <a:extLst>
            <a:ext uri="{FF2B5EF4-FFF2-40B4-BE49-F238E27FC236}">
              <a16:creationId xmlns:a16="http://schemas.microsoft.com/office/drawing/2014/main" id="{59952D40-0D0B-4FAE-81E9-FC8FEE8C666E}"/>
            </a:ext>
          </a:extLst>
        </xdr:cNvPr>
        <xdr:cNvSpPr txBox="1"/>
      </xdr:nvSpPr>
      <xdr:spPr>
        <a:xfrm>
          <a:off x="928318" y="3837252"/>
          <a:ext cx="1422995" cy="695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86989</xdr:colOff>
      <xdr:row>24</xdr:row>
      <xdr:rowOff>92216</xdr:rowOff>
    </xdr:from>
    <xdr:to>
      <xdr:col>3</xdr:col>
      <xdr:colOff>582289</xdr:colOff>
      <xdr:row>28</xdr:row>
      <xdr:rowOff>58742</xdr:rowOff>
    </xdr:to>
    <xdr:sp macro="" textlink="">
      <xdr:nvSpPr>
        <xdr:cNvPr id="27" name="TextBox 26">
          <a:hlinkClick xmlns:r="http://schemas.openxmlformats.org/officeDocument/2006/relationships" r:id="rId9"/>
          <a:extLst>
            <a:ext uri="{FF2B5EF4-FFF2-40B4-BE49-F238E27FC236}">
              <a16:creationId xmlns:a16="http://schemas.microsoft.com/office/drawing/2014/main" id="{B6CB1085-B0BA-4241-8042-DF263BB75A5D}"/>
            </a:ext>
          </a:extLst>
        </xdr:cNvPr>
        <xdr:cNvSpPr txBox="1"/>
      </xdr:nvSpPr>
      <xdr:spPr>
        <a:xfrm>
          <a:off x="712918" y="4337645"/>
          <a:ext cx="1747157" cy="674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351375</xdr:colOff>
      <xdr:row>10</xdr:row>
      <xdr:rowOff>21499</xdr:rowOff>
    </xdr:from>
    <xdr:to>
      <xdr:col>3</xdr:col>
      <xdr:colOff>317902</xdr:colOff>
      <xdr:row>13</xdr:row>
      <xdr:rowOff>130628</xdr:rowOff>
    </xdr:to>
    <xdr:sp macro="" textlink="">
      <xdr:nvSpPr>
        <xdr:cNvPr id="28" name="TextBox 27">
          <a:hlinkClick xmlns:r="http://schemas.openxmlformats.org/officeDocument/2006/relationships" r:id="rId10"/>
          <a:extLst>
            <a:ext uri="{FF2B5EF4-FFF2-40B4-BE49-F238E27FC236}">
              <a16:creationId xmlns:a16="http://schemas.microsoft.com/office/drawing/2014/main" id="{93F2012B-3737-4A19-8553-25DD72212037}"/>
            </a:ext>
          </a:extLst>
        </xdr:cNvPr>
        <xdr:cNvSpPr txBox="1"/>
      </xdr:nvSpPr>
      <xdr:spPr>
        <a:xfrm>
          <a:off x="977304" y="1790428"/>
          <a:ext cx="1218384" cy="639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358043</xdr:colOff>
      <xdr:row>17</xdr:row>
      <xdr:rowOff>54816</xdr:rowOff>
    </xdr:from>
    <xdr:to>
      <xdr:col>3</xdr:col>
      <xdr:colOff>311235</xdr:colOff>
      <xdr:row>20</xdr:row>
      <xdr:rowOff>150610</xdr:rowOff>
    </xdr:to>
    <xdr:sp macro="" textlink="">
      <xdr:nvSpPr>
        <xdr:cNvPr id="30" name="TextBox 29">
          <a:hlinkClick xmlns:r="http://schemas.openxmlformats.org/officeDocument/2006/relationships" r:id="rId11"/>
          <a:extLst>
            <a:ext uri="{FF2B5EF4-FFF2-40B4-BE49-F238E27FC236}">
              <a16:creationId xmlns:a16="http://schemas.microsoft.com/office/drawing/2014/main" id="{0CB4A9ED-4003-475E-A646-C9FE153FD636}"/>
            </a:ext>
          </a:extLst>
        </xdr:cNvPr>
        <xdr:cNvSpPr txBox="1"/>
      </xdr:nvSpPr>
      <xdr:spPr>
        <a:xfrm>
          <a:off x="983972" y="3061995"/>
          <a:ext cx="1205049" cy="626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192406</xdr:colOff>
      <xdr:row>11</xdr:row>
      <xdr:rowOff>134168</xdr:rowOff>
    </xdr:from>
    <xdr:to>
      <xdr:col>4</xdr:col>
      <xdr:colOff>142102</xdr:colOff>
      <xdr:row>19</xdr:row>
      <xdr:rowOff>44632</xdr:rowOff>
    </xdr:to>
    <xdr:sp macro="" textlink="">
      <xdr:nvSpPr>
        <xdr:cNvPr id="31" name="Freeform: Shape 30">
          <a:extLst>
            <a:ext uri="{FF2B5EF4-FFF2-40B4-BE49-F238E27FC236}">
              <a16:creationId xmlns:a16="http://schemas.microsoft.com/office/drawing/2014/main" id="{201D02BC-374E-40B4-A04F-361B3CBC99E0}"/>
            </a:ext>
          </a:extLst>
        </xdr:cNvPr>
        <xdr:cNvSpPr/>
      </xdr:nvSpPr>
      <xdr:spPr>
        <a:xfrm rot="16200000">
          <a:off x="1069272" y="1829052"/>
          <a:ext cx="1325607" cy="1827481"/>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rgbClr val="89BCE5"/>
            </a:solidFill>
          </a:endParaRPr>
        </a:p>
      </xdr:txBody>
    </xdr:sp>
    <xdr:clientData/>
  </xdr:twoCellAnchor>
  <xdr:twoCellAnchor>
    <xdr:from>
      <xdr:col>1</xdr:col>
      <xdr:colOff>241194</xdr:colOff>
      <xdr:row>13</xdr:row>
      <xdr:rowOff>131367</xdr:rowOff>
    </xdr:from>
    <xdr:to>
      <xdr:col>3</xdr:col>
      <xdr:colOff>428084</xdr:colOff>
      <xdr:row>17</xdr:row>
      <xdr:rowOff>54077</xdr:rowOff>
    </xdr:to>
    <xdr:sp macro="" textlink="">
      <xdr:nvSpPr>
        <xdr:cNvPr id="29" name="TextBox 28">
          <a:hlinkClick xmlns:r="http://schemas.openxmlformats.org/officeDocument/2006/relationships" r:id="rId12"/>
          <a:extLst>
            <a:ext uri="{FF2B5EF4-FFF2-40B4-BE49-F238E27FC236}">
              <a16:creationId xmlns:a16="http://schemas.microsoft.com/office/drawing/2014/main" id="{280DEAC2-9CDC-4620-B073-C3A59A25E17D}"/>
            </a:ext>
          </a:extLst>
        </xdr:cNvPr>
        <xdr:cNvSpPr txBox="1"/>
      </xdr:nvSpPr>
      <xdr:spPr>
        <a:xfrm>
          <a:off x="867123" y="2430974"/>
          <a:ext cx="1438747" cy="63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Reading Guide</a:t>
          </a:r>
        </a:p>
      </xdr:txBody>
    </xdr:sp>
    <xdr:clientData/>
  </xdr:twoCellAnchor>
  <xdr:twoCellAnchor>
    <xdr:from>
      <xdr:col>25</xdr:col>
      <xdr:colOff>217714</xdr:colOff>
      <xdr:row>2</xdr:row>
      <xdr:rowOff>131989</xdr:rowOff>
    </xdr:from>
    <xdr:to>
      <xdr:col>29</xdr:col>
      <xdr:colOff>229414</xdr:colOff>
      <xdr:row>4</xdr:row>
      <xdr:rowOff>142059</xdr:rowOff>
    </xdr:to>
    <xdr:sp macro="" textlink="">
      <xdr:nvSpPr>
        <xdr:cNvPr id="32" name="TextBox 31">
          <a:extLst>
            <a:ext uri="{FF2B5EF4-FFF2-40B4-BE49-F238E27FC236}">
              <a16:creationId xmlns:a16="http://schemas.microsoft.com/office/drawing/2014/main" id="{5B288AE4-E4B0-44F3-8C34-5F087ED1FDD0}"/>
            </a:ext>
          </a:extLst>
        </xdr:cNvPr>
        <xdr:cNvSpPr txBox="1"/>
      </xdr:nvSpPr>
      <xdr:spPr>
        <a:xfrm>
          <a:off x="15865928" y="485775"/>
          <a:ext cx="2515415"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29</xdr:col>
      <xdr:colOff>274320</xdr:colOff>
      <xdr:row>2</xdr:row>
      <xdr:rowOff>81643</xdr:rowOff>
    </xdr:from>
    <xdr:ext cx="526867" cy="486044"/>
    <xdr:pic>
      <xdr:nvPicPr>
        <xdr:cNvPr id="33" name="Graphic 32" descr="Blog with solid fill">
          <a:extLst>
            <a:ext uri="{FF2B5EF4-FFF2-40B4-BE49-F238E27FC236}">
              <a16:creationId xmlns:a16="http://schemas.microsoft.com/office/drawing/2014/main" id="{11043CBD-5895-4F71-91CC-BC8FE9D54EC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8426249" y="435429"/>
          <a:ext cx="526867" cy="486044"/>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4</xdr:col>
      <xdr:colOff>53340</xdr:colOff>
      <xdr:row>0</xdr:row>
      <xdr:rowOff>81915</xdr:rowOff>
    </xdr:from>
    <xdr:to>
      <xdr:col>7</xdr:col>
      <xdr:colOff>40005</xdr:colOff>
      <xdr:row>9</xdr:row>
      <xdr:rowOff>59055</xdr:rowOff>
    </xdr:to>
    <mc:AlternateContent xmlns:mc="http://schemas.openxmlformats.org/markup-compatibility/2006" xmlns:a14="http://schemas.microsoft.com/office/drawing/2010/main">
      <mc:Choice Requires="a14">
        <xdr:graphicFrame macro="">
          <xdr:nvGraphicFramePr>
            <xdr:cNvPr id="5" name="Sector  10">
              <a:extLst>
                <a:ext uri="{FF2B5EF4-FFF2-40B4-BE49-F238E27FC236}">
                  <a16:creationId xmlns:a16="http://schemas.microsoft.com/office/drawing/2014/main" id="{7209D8E6-BA81-48E2-953B-ADF32FA317D3}"/>
                </a:ext>
              </a:extLst>
            </xdr:cNvPr>
            <xdr:cNvGraphicFramePr/>
          </xdr:nvGraphicFramePr>
          <xdr:xfrm>
            <a:off x="0" y="0"/>
            <a:ext cx="0" cy="0"/>
          </xdr:xfrm>
          <a:graphic>
            <a:graphicData uri="http://schemas.microsoft.com/office/drawing/2010/slicer">
              <sle:slicer xmlns:sle="http://schemas.microsoft.com/office/drawing/2010/slicer" name="Sector  10"/>
            </a:graphicData>
          </a:graphic>
        </xdr:graphicFrame>
      </mc:Choice>
      <mc:Fallback xmlns="">
        <xdr:sp macro="" textlink="">
          <xdr:nvSpPr>
            <xdr:cNvPr id="0" name=""/>
            <xdr:cNvSpPr>
              <a:spLocks noTextEdit="1"/>
            </xdr:cNvSpPr>
          </xdr:nvSpPr>
          <xdr:spPr>
            <a:xfrm>
              <a:off x="5600700" y="83820"/>
              <a:ext cx="1811655" cy="160401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588645</xdr:colOff>
      <xdr:row>0</xdr:row>
      <xdr:rowOff>72390</xdr:rowOff>
    </xdr:from>
    <xdr:to>
      <xdr:col>9</xdr:col>
      <xdr:colOff>590550</xdr:colOff>
      <xdr:row>10</xdr:row>
      <xdr:rowOff>57150</xdr:rowOff>
    </xdr:to>
    <mc:AlternateContent xmlns:mc="http://schemas.openxmlformats.org/markup-compatibility/2006" xmlns:a14="http://schemas.microsoft.com/office/drawing/2010/main">
      <mc:Choice Requires="a14">
        <xdr:graphicFrame macro="">
          <xdr:nvGraphicFramePr>
            <xdr:cNvPr id="6" name="Interval number of members 8">
              <a:extLst>
                <a:ext uri="{FF2B5EF4-FFF2-40B4-BE49-F238E27FC236}">
                  <a16:creationId xmlns:a16="http://schemas.microsoft.com/office/drawing/2014/main" id="{81B46BC3-2962-4EC4-8071-01C90A92E121}"/>
                </a:ext>
              </a:extLst>
            </xdr:cNvPr>
            <xdr:cNvGraphicFramePr/>
          </xdr:nvGraphicFramePr>
          <xdr:xfrm>
            <a:off x="0" y="0"/>
            <a:ext cx="0" cy="0"/>
          </xdr:xfrm>
          <a:graphic>
            <a:graphicData uri="http://schemas.microsoft.com/office/drawing/2010/slicer">
              <sle:slicer xmlns:sle="http://schemas.microsoft.com/office/drawing/2010/slicer" name="Interval number of members 8"/>
            </a:graphicData>
          </a:graphic>
        </xdr:graphicFrame>
      </mc:Choice>
      <mc:Fallback xmlns="">
        <xdr:sp macro="" textlink="">
          <xdr:nvSpPr>
            <xdr:cNvPr id="0" name=""/>
            <xdr:cNvSpPr>
              <a:spLocks noTextEdit="1"/>
            </xdr:cNvSpPr>
          </xdr:nvSpPr>
          <xdr:spPr>
            <a:xfrm>
              <a:off x="7355205" y="72390"/>
              <a:ext cx="1826895" cy="179451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10</xdr:col>
      <xdr:colOff>261225</xdr:colOff>
      <xdr:row>4</xdr:row>
      <xdr:rowOff>12382</xdr:rowOff>
    </xdr:from>
    <xdr:to>
      <xdr:col>11</xdr:col>
      <xdr:colOff>323372</xdr:colOff>
      <xdr:row>8</xdr:row>
      <xdr:rowOff>36819</xdr:rowOff>
    </xdr:to>
    <xdr:pic>
      <xdr:nvPicPr>
        <xdr:cNvPr id="9" name="Graphic 8" descr="Back with solid fill">
          <a:hlinkClick xmlns:r="http://schemas.openxmlformats.org/officeDocument/2006/relationships" r:id="rId1"/>
          <a:extLst>
            <a:ext uri="{FF2B5EF4-FFF2-40B4-BE49-F238E27FC236}">
              <a16:creationId xmlns:a16="http://schemas.microsoft.com/office/drawing/2014/main" id="{D401180C-0F07-41CD-9EBA-D4277840EC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9462375" y="736282"/>
          <a:ext cx="681272" cy="748337"/>
        </a:xfrm>
        <a:prstGeom prst="rect">
          <a:avLst/>
        </a:prstGeom>
      </xdr:spPr>
    </xdr:pic>
    <xdr:clientData/>
  </xdr:twoCellAnchor>
  <xdr:twoCellAnchor>
    <xdr:from>
      <xdr:col>9</xdr:col>
      <xdr:colOff>561975</xdr:colOff>
      <xdr:row>2</xdr:row>
      <xdr:rowOff>15240</xdr:rowOff>
    </xdr:from>
    <xdr:to>
      <xdr:col>12</xdr:col>
      <xdr:colOff>0</xdr:colOff>
      <xdr:row>3</xdr:row>
      <xdr:rowOff>170498</xdr:rowOff>
    </xdr:to>
    <xdr:sp macro="" textlink="">
      <xdr:nvSpPr>
        <xdr:cNvPr id="10" name="TextBox 10">
          <a:extLst>
            <a:ext uri="{FF2B5EF4-FFF2-40B4-BE49-F238E27FC236}">
              <a16:creationId xmlns:a16="http://schemas.microsoft.com/office/drawing/2014/main" id="{181A9A46-E24B-4922-B940-CF445195A52D}"/>
            </a:ext>
          </a:extLst>
        </xdr:cNvPr>
        <xdr:cNvSpPr txBox="1"/>
      </xdr:nvSpPr>
      <xdr:spPr>
        <a:xfrm>
          <a:off x="9153525" y="377190"/>
          <a:ext cx="1266825" cy="336233"/>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800" b="0" i="0" u="none" strike="noStrike" kern="0" cap="none" spc="0" normalizeH="0" baseline="0" noProof="0">
              <a:ln>
                <a:noFill/>
              </a:ln>
              <a:solidFill>
                <a:srgbClr val="4074BA"/>
              </a:solidFill>
              <a:effectLst/>
              <a:uLnTx/>
              <a:uFillTx/>
              <a:latin typeface="Abadi" panose="020B0604020104020204" pitchFamily="34" charset="0"/>
              <a:ea typeface="+mn-ea"/>
              <a:cs typeface="+mn-cs"/>
            </a:rPr>
            <a:t>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360476</xdr:colOff>
      <xdr:row>5</xdr:row>
      <xdr:rowOff>57150</xdr:rowOff>
    </xdr:from>
    <xdr:to>
      <xdr:col>4</xdr:col>
      <xdr:colOff>161925</xdr:colOff>
      <xdr:row>12</xdr:row>
      <xdr:rowOff>184426</xdr:rowOff>
    </xdr:to>
    <xdr:pic>
      <xdr:nvPicPr>
        <xdr:cNvPr id="2" name="Picture 1">
          <a:extLst>
            <a:ext uri="{FF2B5EF4-FFF2-40B4-BE49-F238E27FC236}">
              <a16:creationId xmlns:a16="http://schemas.microsoft.com/office/drawing/2014/main" id="{E8C25521-0B1B-4C9A-979F-C6F081740F6C}"/>
            </a:ext>
          </a:extLst>
        </xdr:cNvPr>
        <xdr:cNvPicPr>
          <a:picLocks noChangeAspect="1"/>
        </xdr:cNvPicPr>
      </xdr:nvPicPr>
      <xdr:blipFill>
        <a:blip xmlns:r="http://schemas.openxmlformats.org/officeDocument/2006/relationships" r:embed="rId1"/>
        <a:stretch>
          <a:fillRect/>
        </a:stretch>
      </xdr:blipFill>
      <xdr:spPr>
        <a:xfrm>
          <a:off x="1579676" y="1009650"/>
          <a:ext cx="1020649" cy="1460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20713</xdr:colOff>
      <xdr:row>2</xdr:row>
      <xdr:rowOff>56810</xdr:rowOff>
    </xdr:from>
    <xdr:to>
      <xdr:col>30</xdr:col>
      <xdr:colOff>525372</xdr:colOff>
      <xdr:row>48</xdr:row>
      <xdr:rowOff>6805</xdr:rowOff>
    </xdr:to>
    <xdr:sp macro="" textlink="">
      <xdr:nvSpPr>
        <xdr:cNvPr id="2" name="Rectangle: Top Corners Rounded 1">
          <a:extLst>
            <a:ext uri="{FF2B5EF4-FFF2-40B4-BE49-F238E27FC236}">
              <a16:creationId xmlns:a16="http://schemas.microsoft.com/office/drawing/2014/main" id="{4676F1C1-BADF-4348-996A-7E1E6268232D}"/>
            </a:ext>
          </a:extLst>
        </xdr:cNvPr>
        <xdr:cNvSpPr/>
      </xdr:nvSpPr>
      <xdr:spPr>
        <a:xfrm rot="5400000">
          <a:off x="6870295" y="-3935272"/>
          <a:ext cx="8087066" cy="16778802"/>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33105</xdr:colOff>
      <xdr:row>49</xdr:row>
      <xdr:rowOff>0</xdr:rowOff>
    </xdr:to>
    <xdr:sp macro="" textlink="">
      <xdr:nvSpPr>
        <xdr:cNvPr id="3" name="Rectangle 2">
          <a:extLst>
            <a:ext uri="{FF2B5EF4-FFF2-40B4-BE49-F238E27FC236}">
              <a16:creationId xmlns:a16="http://schemas.microsoft.com/office/drawing/2014/main" id="{2FC2CCCC-40EA-4A4F-A2EF-34C267D9D55B}"/>
            </a:ext>
          </a:extLst>
        </xdr:cNvPr>
        <xdr:cNvSpPr/>
      </xdr:nvSpPr>
      <xdr:spPr>
        <a:xfrm>
          <a:off x="0" y="0"/>
          <a:ext cx="2473410" cy="9334500"/>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70C0"/>
            </a:solidFill>
          </a:endParaRPr>
        </a:p>
      </xdr:txBody>
    </xdr:sp>
    <xdr:clientData/>
  </xdr:twoCellAnchor>
  <xdr:twoCellAnchor>
    <xdr:from>
      <xdr:col>1</xdr:col>
      <xdr:colOff>27390</xdr:colOff>
      <xdr:row>2</xdr:row>
      <xdr:rowOff>58239</xdr:rowOff>
    </xdr:from>
    <xdr:to>
      <xdr:col>4</xdr:col>
      <xdr:colOff>27390</xdr:colOff>
      <xdr:row>48</xdr:row>
      <xdr:rowOff>18235</xdr:rowOff>
    </xdr:to>
    <xdr:sp macro="" textlink="">
      <xdr:nvSpPr>
        <xdr:cNvPr id="4" name="Rectangle: Top Corners Rounded 3">
          <a:extLst>
            <a:ext uri="{FF2B5EF4-FFF2-40B4-BE49-F238E27FC236}">
              <a16:creationId xmlns:a16="http://schemas.microsoft.com/office/drawing/2014/main" id="{7C49F3E0-4C8C-4711-A997-5E76D1BBF953}"/>
            </a:ext>
          </a:extLst>
        </xdr:cNvPr>
        <xdr:cNvSpPr/>
      </xdr:nvSpPr>
      <xdr:spPr>
        <a:xfrm rot="16200000">
          <a:off x="-2456322" y="3521666"/>
          <a:ext cx="8097067"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B0F0"/>
            </a:solidFill>
          </a:endParaRPr>
        </a:p>
      </xdr:txBody>
    </xdr:sp>
    <xdr:clientData/>
  </xdr:twoCellAnchor>
  <xdr:twoCellAnchor>
    <xdr:from>
      <xdr:col>5</xdr:col>
      <xdr:colOff>41230</xdr:colOff>
      <xdr:row>2</xdr:row>
      <xdr:rowOff>111236</xdr:rowOff>
    </xdr:from>
    <xdr:to>
      <xdr:col>29</xdr:col>
      <xdr:colOff>560820</xdr:colOff>
      <xdr:row>5</xdr:row>
      <xdr:rowOff>91166</xdr:rowOff>
    </xdr:to>
    <xdr:sp macro="" textlink="">
      <xdr:nvSpPr>
        <xdr:cNvPr id="5" name="Rectangle 4">
          <a:extLst>
            <a:ext uri="{FF2B5EF4-FFF2-40B4-BE49-F238E27FC236}">
              <a16:creationId xmlns:a16="http://schemas.microsoft.com/office/drawing/2014/main" id="{24625F5B-A28F-4847-8370-CEEC8B388709}"/>
            </a:ext>
          </a:extLst>
        </xdr:cNvPr>
        <xdr:cNvSpPr/>
      </xdr:nvSpPr>
      <xdr:spPr>
        <a:xfrm>
          <a:off x="3143659" y="481350"/>
          <a:ext cx="15411247" cy="535102"/>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13</xdr:col>
      <xdr:colOff>449036</xdr:colOff>
      <xdr:row>4</xdr:row>
      <xdr:rowOff>68440</xdr:rowOff>
    </xdr:from>
    <xdr:to>
      <xdr:col>18</xdr:col>
      <xdr:colOff>611505</xdr:colOff>
      <xdr:row>6</xdr:row>
      <xdr:rowOff>89941</xdr:rowOff>
    </xdr:to>
    <xdr:sp macro="" textlink="">
      <xdr:nvSpPr>
        <xdr:cNvPr id="6" name="TextBox 5">
          <a:extLst>
            <a:ext uri="{FF2B5EF4-FFF2-40B4-BE49-F238E27FC236}">
              <a16:creationId xmlns:a16="http://schemas.microsoft.com/office/drawing/2014/main" id="{AA0FA139-E423-408E-A5D5-3982C8A29C0C}"/>
            </a:ext>
          </a:extLst>
        </xdr:cNvPr>
        <xdr:cNvSpPr txBox="1"/>
      </xdr:nvSpPr>
      <xdr:spPr>
        <a:xfrm>
          <a:off x="8515350" y="808669"/>
          <a:ext cx="3264898" cy="391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2400">
              <a:solidFill>
                <a:srgbClr val="4074BA"/>
              </a:solidFill>
              <a:latin typeface="Abadi" panose="020B0604020104020204" pitchFamily="34" charset="0"/>
            </a:rPr>
            <a:t>Conclusions</a:t>
          </a:r>
        </a:p>
      </xdr:txBody>
    </xdr:sp>
    <xdr:clientData/>
  </xdr:twoCellAnchor>
  <xdr:twoCellAnchor>
    <xdr:from>
      <xdr:col>1</xdr:col>
      <xdr:colOff>419615</xdr:colOff>
      <xdr:row>3</xdr:row>
      <xdr:rowOff>19254</xdr:rowOff>
    </xdr:from>
    <xdr:to>
      <xdr:col>3</xdr:col>
      <xdr:colOff>308851</xdr:colOff>
      <xdr:row>9</xdr:row>
      <xdr:rowOff>84497</xdr:rowOff>
    </xdr:to>
    <xdr:sp macro="" textlink="">
      <xdr:nvSpPr>
        <xdr:cNvPr id="9" name="Oval 8">
          <a:extLst>
            <a:ext uri="{FF2B5EF4-FFF2-40B4-BE49-F238E27FC236}">
              <a16:creationId xmlns:a16="http://schemas.microsoft.com/office/drawing/2014/main" id="{AE58D47D-0BD9-44E6-9C20-B280486283DB}"/>
            </a:ext>
          </a:extLst>
        </xdr:cNvPr>
        <xdr:cNvSpPr/>
      </xdr:nvSpPr>
      <xdr:spPr>
        <a:xfrm>
          <a:off x="1029215" y="594564"/>
          <a:ext cx="1108436" cy="1202528"/>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331470</xdr:colOff>
      <xdr:row>41</xdr:row>
      <xdr:rowOff>73342</xdr:rowOff>
    </xdr:from>
    <xdr:to>
      <xdr:col>3</xdr:col>
      <xdr:colOff>364807</xdr:colOff>
      <xdr:row>46</xdr:row>
      <xdr:rowOff>49529</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49A8DB25-78FA-49A0-8B31-93D5B6B93DFE}"/>
            </a:ext>
          </a:extLst>
        </xdr:cNvPr>
        <xdr:cNvSpPr/>
      </xdr:nvSpPr>
      <xdr:spPr>
        <a:xfrm>
          <a:off x="942975" y="7883842"/>
          <a:ext cx="1254442" cy="926782"/>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487683</xdr:colOff>
      <xdr:row>42</xdr:row>
      <xdr:rowOff>98264</xdr:rowOff>
    </xdr:from>
    <xdr:to>
      <xdr:col>3</xdr:col>
      <xdr:colOff>151449</xdr:colOff>
      <xdr:row>45</xdr:row>
      <xdr:rowOff>72866</xdr:rowOff>
    </xdr:to>
    <xdr:pic>
      <xdr:nvPicPr>
        <xdr:cNvPr id="11" name="Picture 10">
          <a:hlinkClick xmlns:r="http://schemas.openxmlformats.org/officeDocument/2006/relationships" r:id="rId1"/>
          <a:extLst>
            <a:ext uri="{FF2B5EF4-FFF2-40B4-BE49-F238E27FC236}">
              <a16:creationId xmlns:a16="http://schemas.microsoft.com/office/drawing/2014/main" id="{4FF26501-1E0E-4602-A8C4-239BD3145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188" y="8103074"/>
          <a:ext cx="881061" cy="540387"/>
        </a:xfrm>
        <a:prstGeom prst="rect">
          <a:avLst/>
        </a:prstGeom>
      </xdr:spPr>
    </xdr:pic>
    <xdr:clientData/>
  </xdr:twoCellAnchor>
  <xdr:twoCellAnchor>
    <xdr:from>
      <xdr:col>6</xdr:col>
      <xdr:colOff>64225</xdr:colOff>
      <xdr:row>33</xdr:row>
      <xdr:rowOff>57301</xdr:rowOff>
    </xdr:from>
    <xdr:to>
      <xdr:col>29</xdr:col>
      <xdr:colOff>375557</xdr:colOff>
      <xdr:row>36</xdr:row>
      <xdr:rowOff>56349</xdr:rowOff>
    </xdr:to>
    <xdr:sp macro="" textlink="">
      <xdr:nvSpPr>
        <xdr:cNvPr id="12" name="TextBox 11">
          <a:extLst>
            <a:ext uri="{FF2B5EF4-FFF2-40B4-BE49-F238E27FC236}">
              <a16:creationId xmlns:a16="http://schemas.microsoft.com/office/drawing/2014/main" id="{16350BBF-3B82-458B-8354-656B3D795BB3}"/>
            </a:ext>
          </a:extLst>
        </xdr:cNvPr>
        <xdr:cNvSpPr txBox="1"/>
      </xdr:nvSpPr>
      <xdr:spPr>
        <a:xfrm>
          <a:off x="3723730" y="6347611"/>
          <a:ext cx="14332132" cy="570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endParaRPr lang="nl-NL" sz="1400">
            <a:latin typeface="Abadi" panose="020B0604020104020204" pitchFamily="34" charset="0"/>
          </a:endParaRPr>
        </a:p>
      </xdr:txBody>
    </xdr:sp>
    <xdr:clientData/>
  </xdr:twoCellAnchor>
  <xdr:twoCellAnchor>
    <xdr:from>
      <xdr:col>5</xdr:col>
      <xdr:colOff>570683</xdr:colOff>
      <xdr:row>6</xdr:row>
      <xdr:rowOff>185871</xdr:rowOff>
    </xdr:from>
    <xdr:to>
      <xdr:col>29</xdr:col>
      <xdr:colOff>557076</xdr:colOff>
      <xdr:row>46</xdr:row>
      <xdr:rowOff>141514</xdr:rowOff>
    </xdr:to>
    <xdr:sp macro="" textlink="">
      <xdr:nvSpPr>
        <xdr:cNvPr id="13" name="TextBox 12">
          <a:extLst>
            <a:ext uri="{FF2B5EF4-FFF2-40B4-BE49-F238E27FC236}">
              <a16:creationId xmlns:a16="http://schemas.microsoft.com/office/drawing/2014/main" id="{685168F5-9E75-4711-9700-36F98B0EEFCF}"/>
            </a:ext>
          </a:extLst>
        </xdr:cNvPr>
        <xdr:cNvSpPr txBox="1"/>
      </xdr:nvSpPr>
      <xdr:spPr>
        <a:xfrm>
          <a:off x="3618683" y="1328871"/>
          <a:ext cx="14620603" cy="7577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2000" b="1">
              <a:solidFill>
                <a:srgbClr val="4074BA"/>
              </a:solidFill>
              <a:effectLst/>
              <a:latin typeface="Abadi" panose="020B0604020104020204" pitchFamily="34" charset="0"/>
              <a:ea typeface="+mn-ea"/>
              <a:cs typeface="+mn-cs"/>
            </a:rPr>
            <a:t>Response rate</a:t>
          </a:r>
          <a:endParaRPr lang="nl-NL" sz="2000" b="1">
            <a:solidFill>
              <a:srgbClr val="4074BA"/>
            </a:solidFill>
            <a:effectLst/>
            <a:latin typeface="Abadi" panose="020B0604020104020204" pitchFamily="34" charset="0"/>
            <a:ea typeface="+mn-ea"/>
            <a:cs typeface="+mn-cs"/>
          </a:endParaRPr>
        </a:p>
        <a:p>
          <a:r>
            <a:rPr lang="en-US" sz="1600" baseline="0">
              <a:solidFill>
                <a:schemeClr val="dk1"/>
              </a:solidFill>
              <a:effectLst/>
              <a:latin typeface="+mn-lt"/>
              <a:ea typeface="+mn-ea"/>
              <a:cs typeface="+mn-cs"/>
            </a:rPr>
            <a:t>For data gathering, the improved format of 2022 was used, which made it easier for the boards to fill in the data, based on data from previous years. This year checks were added to increase the reliability of the data. The response rate increased from 74% to 81%. We can therefore conclude that the added checks did not increase the barrier to fill in the activism survey. </a:t>
          </a:r>
          <a:endParaRPr lang="en-US" sz="1600">
            <a:solidFill>
              <a:schemeClr val="dk1"/>
            </a:solidFill>
            <a:effectLst/>
            <a:latin typeface="+mn-lt"/>
            <a:ea typeface="+mn-ea"/>
            <a:cs typeface="+mn-cs"/>
          </a:endParaRPr>
        </a:p>
        <a:p>
          <a:endParaRPr lang="nl-NL"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Active members</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The number of active members shows relatively minor variations across different sectors. Smaller associations tend to have a higher percentage of active members. While there are some sector-specific differences, an overall decline in the proportion of active members is noticeable when compared to data from 2021 and 2022. This downward trend is particularly pronounced in the study and world sectors, whereas it is less apparent in the social, sports, and cultural sectors.</a:t>
          </a:r>
          <a:br>
            <a:rPr lang="en-US" sz="1600">
              <a:solidFill>
                <a:schemeClr val="dk1"/>
              </a:solidFill>
              <a:effectLst/>
              <a:latin typeface="+mn-lt"/>
              <a:ea typeface="+mn-ea"/>
              <a:cs typeface="+mn-cs"/>
            </a:rPr>
          </a:br>
          <a:endParaRPr lang="nl-NL" sz="1600">
            <a:solidFill>
              <a:schemeClr val="dk1"/>
            </a:solidFill>
            <a:effectLst/>
            <a:latin typeface="+mn-lt"/>
            <a:ea typeface="+mn-ea"/>
            <a:cs typeface="+mn-cs"/>
          </a:endParaRPr>
        </a:p>
        <a:p>
          <a:r>
            <a:rPr lang="en-US" sz="2000" b="1">
              <a:solidFill>
                <a:srgbClr val="4074BA"/>
              </a:solidFill>
              <a:effectLst/>
              <a:latin typeface="Abadi" panose="020B0604020104020204" pitchFamily="34" charset="0"/>
              <a:ea typeface="+mn-ea"/>
              <a:cs typeface="+mn-cs"/>
            </a:rPr>
            <a:t>Internationals</a:t>
          </a:r>
          <a:endParaRPr lang="nl-NL" sz="2000" b="1">
            <a:solidFill>
              <a:srgbClr val="4074BA"/>
            </a:solidFill>
            <a:effectLst/>
            <a:latin typeface="Abadi" panose="020B0604020104020204" pitchFamily="34" charset="0"/>
            <a:ea typeface="+mn-ea"/>
            <a:cs typeface="+mn-cs"/>
          </a:endParaRPr>
        </a:p>
        <a:p>
          <a:r>
            <a:rPr lang="en-US" sz="1600">
              <a:solidFill>
                <a:schemeClr val="dk1"/>
              </a:solidFill>
              <a:effectLst/>
              <a:latin typeface="+mn-lt"/>
              <a:ea typeface="+mn-ea"/>
              <a:cs typeface="+mn-cs"/>
            </a:rPr>
            <a:t>When looking at the graph on the right, it it important to take into account that these are percentages. When looking at it quickly, the social sector seems</a:t>
          </a:r>
          <a:r>
            <a:rPr lang="en-US" sz="1600" baseline="0">
              <a:solidFill>
                <a:schemeClr val="dk1"/>
              </a:solidFill>
              <a:effectLst/>
              <a:latin typeface="+mn-lt"/>
              <a:ea typeface="+mn-ea"/>
              <a:cs typeface="+mn-cs"/>
            </a:rPr>
            <a:t> to have</a:t>
          </a:r>
          <a:r>
            <a:rPr lang="en-US" sz="1600">
              <a:solidFill>
                <a:schemeClr val="dk1"/>
              </a:solidFill>
              <a:effectLst/>
              <a:latin typeface="+mn-lt"/>
              <a:ea typeface="+mn-ea"/>
              <a:cs typeface="+mn-cs"/>
            </a:rPr>
            <a:t> a very high proportion of active EEA members, especially when comparing it to the percentage of active Dutch members. However,</a:t>
          </a:r>
          <a:r>
            <a:rPr lang="en-US" sz="1600" baseline="0">
              <a:solidFill>
                <a:schemeClr val="dk1"/>
              </a:solidFill>
              <a:effectLst/>
              <a:latin typeface="+mn-lt"/>
              <a:ea typeface="+mn-ea"/>
              <a:cs typeface="+mn-cs"/>
            </a:rPr>
            <a:t> there are little EEA members at social associations in general, so therefore this data is not truly represantative. </a:t>
          </a:r>
          <a:r>
            <a:rPr lang="nl-NL" sz="1600">
              <a:solidFill>
                <a:schemeClr val="dk1"/>
              </a:solidFill>
              <a:effectLst/>
              <a:latin typeface="+mn-lt"/>
              <a:ea typeface="+mn-ea"/>
              <a:cs typeface="+mn-cs"/>
            </a:rPr>
            <a:t>Overall, it can be</a:t>
          </a:r>
          <a:r>
            <a:rPr lang="nl-NL" sz="1600" baseline="0">
              <a:solidFill>
                <a:schemeClr val="dk1"/>
              </a:solidFill>
              <a:effectLst/>
              <a:latin typeface="+mn-lt"/>
              <a:ea typeface="+mn-ea"/>
              <a:cs typeface="+mn-cs"/>
            </a:rPr>
            <a:t> noted that international students are less often a member of an association, but the international students that are a member of an association are often active, especially regarding students from within the EEA. </a:t>
          </a:r>
        </a:p>
        <a:p>
          <a:endParaRPr lang="nl-NL" sz="1600">
            <a:solidFill>
              <a:schemeClr val="dk1"/>
            </a:solidFill>
            <a:effectLst/>
            <a:latin typeface="+mn-lt"/>
            <a:ea typeface="+mn-ea"/>
            <a:cs typeface="+mn-cs"/>
          </a:endParaRPr>
        </a:p>
        <a:p>
          <a:r>
            <a:rPr lang="nl-NL" sz="2000" b="1">
              <a:solidFill>
                <a:srgbClr val="4074BA"/>
              </a:solidFill>
              <a:effectLst/>
              <a:latin typeface="Abadi" panose="020B0604020104020204" pitchFamily="34" charset="0"/>
              <a:ea typeface="+mn-ea"/>
              <a:cs typeface="+mn-cs"/>
            </a:rPr>
            <a:t>Committees</a:t>
          </a:r>
        </a:p>
        <a:p>
          <a:r>
            <a:rPr lang="en-GB" sz="1600">
              <a:solidFill>
                <a:schemeClr val="dk1"/>
              </a:solidFill>
              <a:effectLst/>
              <a:latin typeface="+mn-lt"/>
              <a:ea typeface="+mn-ea"/>
              <a:cs typeface="+mn-cs"/>
            </a:rPr>
            <a:t>There is a large difference between the different</a:t>
          </a:r>
          <a:r>
            <a:rPr lang="en-GB" sz="1600" baseline="0">
              <a:solidFill>
                <a:schemeClr val="dk1"/>
              </a:solidFill>
              <a:effectLst/>
              <a:latin typeface="+mn-lt"/>
              <a:ea typeface="+mn-ea"/>
              <a:cs typeface="+mn-cs"/>
            </a:rPr>
            <a:t> sectors regarding the study year of the members involved in committees. In the sectors Culture, Sports and World, 5th year students and older make up a significant part of the committee members, whilst in the Other, Social and Study sector, the committees mostly consist of 1st up until 3rd year students, where the 3rd year students make up the largest portion.</a:t>
          </a:r>
          <a:endParaRPr lang="en-US" sz="1600">
            <a:solidFill>
              <a:schemeClr val="dk1"/>
            </a:solidFill>
            <a:effectLst/>
            <a:latin typeface="+mn-lt"/>
            <a:ea typeface="+mn-ea"/>
            <a:cs typeface="+mn-cs"/>
          </a:endParaRPr>
        </a:p>
        <a:p>
          <a:endParaRPr lang="nl-NL" sz="1600">
            <a:solidFill>
              <a:schemeClr val="dk1"/>
            </a:solidFill>
            <a:effectLst/>
            <a:latin typeface="+mn-lt"/>
            <a:ea typeface="+mn-ea"/>
            <a:cs typeface="+mn-cs"/>
          </a:endParaRPr>
        </a:p>
        <a:p>
          <a:r>
            <a:rPr lang="nl-NL" sz="1600" b="1">
              <a:solidFill>
                <a:schemeClr val="dk1"/>
              </a:solidFill>
              <a:effectLst/>
              <a:latin typeface="+mn-lt"/>
              <a:ea typeface="+mn-ea"/>
              <a:cs typeface="+mn-cs"/>
            </a:rPr>
            <a:t>Remark:</a:t>
          </a:r>
          <a:r>
            <a:rPr lang="nl-NL" sz="1600" b="1" baseline="0">
              <a:solidFill>
                <a:schemeClr val="dk1"/>
              </a:solidFill>
              <a:effectLst/>
              <a:latin typeface="+mn-lt"/>
              <a:ea typeface="+mn-ea"/>
              <a:cs typeface="+mn-cs"/>
            </a:rPr>
            <a:t> </a:t>
          </a:r>
          <a:r>
            <a:rPr lang="nl-NL" sz="1600">
              <a:solidFill>
                <a:schemeClr val="dk1"/>
              </a:solidFill>
              <a:effectLst/>
              <a:latin typeface="+mn-lt"/>
              <a:ea typeface="+mn-ea"/>
              <a:cs typeface="+mn-cs"/>
            </a:rPr>
            <a:t>The conclusions mentioned above are derived from self-reported data provided by associations. Consequently, these conclusions are constrained by limitations in reliability and validity.</a:t>
          </a:r>
        </a:p>
      </xdr:txBody>
    </xdr:sp>
    <xdr:clientData/>
  </xdr:twoCellAnchor>
  <xdr:twoCellAnchor editAs="oneCell">
    <xdr:from>
      <xdr:col>2</xdr:col>
      <xdr:colOff>61134</xdr:colOff>
      <xdr:row>4</xdr:row>
      <xdr:rowOff>5035</xdr:rowOff>
    </xdr:from>
    <xdr:to>
      <xdr:col>3</xdr:col>
      <xdr:colOff>71450</xdr:colOff>
      <xdr:row>8</xdr:row>
      <xdr:rowOff>149407</xdr:rowOff>
    </xdr:to>
    <xdr:pic>
      <xdr:nvPicPr>
        <xdr:cNvPr id="14" name="Picture 13">
          <a:extLst>
            <a:ext uri="{FF2B5EF4-FFF2-40B4-BE49-F238E27FC236}">
              <a16:creationId xmlns:a16="http://schemas.microsoft.com/office/drawing/2014/main" id="{BCBE192E-053D-42D9-8283-D19F925595C7}"/>
            </a:ext>
          </a:extLst>
        </xdr:cNvPr>
        <xdr:cNvPicPr>
          <a:picLocks noChangeAspect="1"/>
        </xdr:cNvPicPr>
      </xdr:nvPicPr>
      <xdr:blipFill>
        <a:blip xmlns:r="http://schemas.openxmlformats.org/officeDocument/2006/relationships" r:embed="rId3"/>
        <a:stretch>
          <a:fillRect/>
        </a:stretch>
      </xdr:blipFill>
      <xdr:spPr>
        <a:xfrm>
          <a:off x="1284144" y="765130"/>
          <a:ext cx="616106" cy="906372"/>
        </a:xfrm>
        <a:prstGeom prst="rect">
          <a:avLst/>
        </a:prstGeom>
      </xdr:spPr>
    </xdr:pic>
    <xdr:clientData/>
  </xdr:twoCellAnchor>
  <xdr:twoCellAnchor>
    <xdr:from>
      <xdr:col>1</xdr:col>
      <xdr:colOff>358995</xdr:colOff>
      <xdr:row>32</xdr:row>
      <xdr:rowOff>21576</xdr:rowOff>
    </xdr:from>
    <xdr:to>
      <xdr:col>3</xdr:col>
      <xdr:colOff>321712</xdr:colOff>
      <xdr:row>35</xdr:row>
      <xdr:rowOff>98319</xdr:rowOff>
    </xdr:to>
    <xdr:sp macro="" textlink="">
      <xdr:nvSpPr>
        <xdr:cNvPr id="15" name="TextBox 14">
          <a:hlinkClick xmlns:r="http://schemas.openxmlformats.org/officeDocument/2006/relationships" r:id="rId4"/>
          <a:extLst>
            <a:ext uri="{FF2B5EF4-FFF2-40B4-BE49-F238E27FC236}">
              <a16:creationId xmlns:a16="http://schemas.microsoft.com/office/drawing/2014/main" id="{14E54884-7E0C-4DC0-B467-230288D9290C}"/>
            </a:ext>
          </a:extLst>
        </xdr:cNvPr>
        <xdr:cNvSpPr txBox="1"/>
      </xdr:nvSpPr>
      <xdr:spPr>
        <a:xfrm>
          <a:off x="984924" y="5682147"/>
          <a:ext cx="1214574" cy="60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333619</xdr:colOff>
      <xdr:row>28</xdr:row>
      <xdr:rowOff>54038</xdr:rowOff>
    </xdr:from>
    <xdr:to>
      <xdr:col>3</xdr:col>
      <xdr:colOff>347089</xdr:colOff>
      <xdr:row>32</xdr:row>
      <xdr:rowOff>18932</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3B635182-4281-44DF-A5BE-463758834565}"/>
            </a:ext>
          </a:extLst>
        </xdr:cNvPr>
        <xdr:cNvSpPr txBox="1"/>
      </xdr:nvSpPr>
      <xdr:spPr>
        <a:xfrm>
          <a:off x="959548" y="5007038"/>
          <a:ext cx="1265327" cy="67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307833</xdr:colOff>
      <xdr:row>20</xdr:row>
      <xdr:rowOff>155431</xdr:rowOff>
    </xdr:from>
    <xdr:to>
      <xdr:col>3</xdr:col>
      <xdr:colOff>372874</xdr:colOff>
      <xdr:row>24</xdr:row>
      <xdr:rowOff>122229</xdr:rowOff>
    </xdr:to>
    <xdr:sp macro="" textlink="">
      <xdr:nvSpPr>
        <xdr:cNvPr id="18" name="TextBox 17">
          <a:hlinkClick xmlns:r="http://schemas.openxmlformats.org/officeDocument/2006/relationships" r:id="rId6"/>
          <a:extLst>
            <a:ext uri="{FF2B5EF4-FFF2-40B4-BE49-F238E27FC236}">
              <a16:creationId xmlns:a16="http://schemas.microsoft.com/office/drawing/2014/main" id="{6DDD1F07-0B56-4205-8811-59B6540B35C3}"/>
            </a:ext>
          </a:extLst>
        </xdr:cNvPr>
        <xdr:cNvSpPr txBox="1"/>
      </xdr:nvSpPr>
      <xdr:spPr>
        <a:xfrm>
          <a:off x="933762" y="3693288"/>
          <a:ext cx="1316898" cy="67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92704</xdr:colOff>
      <xdr:row>24</xdr:row>
      <xdr:rowOff>122968</xdr:rowOff>
    </xdr:from>
    <xdr:to>
      <xdr:col>3</xdr:col>
      <xdr:colOff>588004</xdr:colOff>
      <xdr:row>28</xdr:row>
      <xdr:rowOff>78064</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E6F3D6B2-AB49-4E2D-8584-647FCFA3339F}"/>
            </a:ext>
          </a:extLst>
        </xdr:cNvPr>
        <xdr:cNvSpPr txBox="1"/>
      </xdr:nvSpPr>
      <xdr:spPr>
        <a:xfrm>
          <a:off x="718633" y="4368397"/>
          <a:ext cx="1747157" cy="66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351375</xdr:colOff>
      <xdr:row>10</xdr:row>
      <xdr:rowOff>40821</xdr:rowOff>
    </xdr:from>
    <xdr:to>
      <xdr:col>3</xdr:col>
      <xdr:colOff>329332</xdr:colOff>
      <xdr:row>13</xdr:row>
      <xdr:rowOff>161380</xdr:rowOff>
    </xdr:to>
    <xdr:sp macro="" textlink="">
      <xdr:nvSpPr>
        <xdr:cNvPr id="20" name="TextBox 19">
          <a:hlinkClick xmlns:r="http://schemas.openxmlformats.org/officeDocument/2006/relationships" r:id="rId8"/>
          <a:extLst>
            <a:ext uri="{FF2B5EF4-FFF2-40B4-BE49-F238E27FC236}">
              <a16:creationId xmlns:a16="http://schemas.microsoft.com/office/drawing/2014/main" id="{411AA085-F43C-41EF-8584-83AB947D8DBC}"/>
            </a:ext>
          </a:extLst>
        </xdr:cNvPr>
        <xdr:cNvSpPr txBox="1"/>
      </xdr:nvSpPr>
      <xdr:spPr>
        <a:xfrm>
          <a:off x="977304" y="1809750"/>
          <a:ext cx="1229814" cy="651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238941</xdr:colOff>
      <xdr:row>15</xdr:row>
      <xdr:rowOff>83546</xdr:rowOff>
    </xdr:from>
    <xdr:to>
      <xdr:col>4</xdr:col>
      <xdr:colOff>181017</xdr:colOff>
      <xdr:row>22</xdr:row>
      <xdr:rowOff>174713</xdr:rowOff>
    </xdr:to>
    <xdr:sp macro="" textlink="">
      <xdr:nvSpPr>
        <xdr:cNvPr id="23" name="Freeform: Shape 22">
          <a:extLst>
            <a:ext uri="{FF2B5EF4-FFF2-40B4-BE49-F238E27FC236}">
              <a16:creationId xmlns:a16="http://schemas.microsoft.com/office/drawing/2014/main" id="{126CAE82-B488-42B3-B954-4784B47F213C}"/>
            </a:ext>
          </a:extLst>
        </xdr:cNvPr>
        <xdr:cNvSpPr/>
      </xdr:nvSpPr>
      <xdr:spPr>
        <a:xfrm rot="16200000">
          <a:off x="1110092" y="2491717"/>
          <a:ext cx="1329417" cy="1819861"/>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rgbClr val="89BCE5"/>
            </a:solidFill>
          </a:endParaRPr>
        </a:p>
      </xdr:txBody>
    </xdr:sp>
    <xdr:clientData/>
  </xdr:twoCellAnchor>
  <xdr:twoCellAnchor>
    <xdr:from>
      <xdr:col>1</xdr:col>
      <xdr:colOff>370425</xdr:colOff>
      <xdr:row>17</xdr:row>
      <xdr:rowOff>85568</xdr:rowOff>
    </xdr:from>
    <xdr:to>
      <xdr:col>3</xdr:col>
      <xdr:colOff>310282</xdr:colOff>
      <xdr:row>21</xdr:row>
      <xdr:rowOff>659</xdr:rowOff>
    </xdr:to>
    <xdr:sp macro="" textlink="">
      <xdr:nvSpPr>
        <xdr:cNvPr id="21" name="TextBox 20">
          <a:hlinkClick xmlns:r="http://schemas.openxmlformats.org/officeDocument/2006/relationships" r:id="rId9"/>
          <a:extLst>
            <a:ext uri="{FF2B5EF4-FFF2-40B4-BE49-F238E27FC236}">
              <a16:creationId xmlns:a16="http://schemas.microsoft.com/office/drawing/2014/main" id="{A40B86EA-1376-4446-B7BC-3D5F0AD237AA}"/>
            </a:ext>
          </a:extLst>
        </xdr:cNvPr>
        <xdr:cNvSpPr txBox="1"/>
      </xdr:nvSpPr>
      <xdr:spPr>
        <a:xfrm>
          <a:off x="996354" y="3092747"/>
          <a:ext cx="1191714" cy="622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Conclusions</a:t>
          </a:r>
        </a:p>
      </xdr:txBody>
    </xdr:sp>
    <xdr:clientData/>
  </xdr:twoCellAnchor>
  <xdr:twoCellAnchor>
    <xdr:from>
      <xdr:col>1</xdr:col>
      <xdr:colOff>249766</xdr:colOff>
      <xdr:row>13</xdr:row>
      <xdr:rowOff>162119</xdr:rowOff>
    </xdr:from>
    <xdr:to>
      <xdr:col>3</xdr:col>
      <xdr:colOff>430941</xdr:colOff>
      <xdr:row>17</xdr:row>
      <xdr:rowOff>84829</xdr:rowOff>
    </xdr:to>
    <xdr:sp macro="" textlink="">
      <xdr:nvSpPr>
        <xdr:cNvPr id="22" name="TextBox 21">
          <a:hlinkClick xmlns:r="http://schemas.openxmlformats.org/officeDocument/2006/relationships" r:id="rId10"/>
          <a:extLst>
            <a:ext uri="{FF2B5EF4-FFF2-40B4-BE49-F238E27FC236}">
              <a16:creationId xmlns:a16="http://schemas.microsoft.com/office/drawing/2014/main" id="{D00C0439-0A38-438F-99ED-78FB4BFAF394}"/>
            </a:ext>
          </a:extLst>
        </xdr:cNvPr>
        <xdr:cNvSpPr txBox="1"/>
      </xdr:nvSpPr>
      <xdr:spPr>
        <a:xfrm>
          <a:off x="875695" y="2461726"/>
          <a:ext cx="1433032" cy="63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twoCellAnchor>
    <xdr:from>
      <xdr:col>25</xdr:col>
      <xdr:colOff>204108</xdr:colOff>
      <xdr:row>4</xdr:row>
      <xdr:rowOff>62866</xdr:rowOff>
    </xdr:from>
    <xdr:to>
      <xdr:col>29</xdr:col>
      <xdr:colOff>219618</xdr:colOff>
      <xdr:row>6</xdr:row>
      <xdr:rowOff>76747</xdr:rowOff>
    </xdr:to>
    <xdr:sp macro="" textlink="">
      <xdr:nvSpPr>
        <xdr:cNvPr id="24" name="TextBox 23">
          <a:extLst>
            <a:ext uri="{FF2B5EF4-FFF2-40B4-BE49-F238E27FC236}">
              <a16:creationId xmlns:a16="http://schemas.microsoft.com/office/drawing/2014/main" id="{186560DC-D7E3-43BB-AB60-6AE2614F28B8}"/>
            </a:ext>
          </a:extLst>
        </xdr:cNvPr>
        <xdr:cNvSpPr txBox="1"/>
      </xdr:nvSpPr>
      <xdr:spPr>
        <a:xfrm>
          <a:off x="15716251" y="803095"/>
          <a:ext cx="2497453" cy="383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29</xdr:col>
      <xdr:colOff>279220</xdr:colOff>
      <xdr:row>3</xdr:row>
      <xdr:rowOff>70762</xdr:rowOff>
    </xdr:from>
    <xdr:ext cx="526867" cy="486044"/>
    <xdr:pic>
      <xdr:nvPicPr>
        <xdr:cNvPr id="25" name="Graphic 24" descr="Blog with solid fill">
          <a:extLst>
            <a:ext uri="{FF2B5EF4-FFF2-40B4-BE49-F238E27FC236}">
              <a16:creationId xmlns:a16="http://schemas.microsoft.com/office/drawing/2014/main" id="{FC0FEA0D-B19D-4664-8B82-6C8EEDE979E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8273306" y="625933"/>
          <a:ext cx="526867" cy="4860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18154</xdr:colOff>
      <xdr:row>2</xdr:row>
      <xdr:rowOff>34290</xdr:rowOff>
    </xdr:from>
    <xdr:to>
      <xdr:col>30</xdr:col>
      <xdr:colOff>511085</xdr:colOff>
      <xdr:row>47</xdr:row>
      <xdr:rowOff>173084</xdr:rowOff>
    </xdr:to>
    <xdr:sp macro="" textlink="">
      <xdr:nvSpPr>
        <xdr:cNvPr id="2" name="Rectangle: Top Corners Rounded 1">
          <a:extLst>
            <a:ext uri="{FF2B5EF4-FFF2-40B4-BE49-F238E27FC236}">
              <a16:creationId xmlns:a16="http://schemas.microsoft.com/office/drawing/2014/main" id="{9B66FE85-23C9-4682-A7FC-C11B299B96D4}"/>
            </a:ext>
          </a:extLst>
        </xdr:cNvPr>
        <xdr:cNvSpPr/>
      </xdr:nvSpPr>
      <xdr:spPr>
        <a:xfrm rot="5400000">
          <a:off x="6855919" y="-3945975"/>
          <a:ext cx="8098972" cy="16767074"/>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31200</xdr:colOff>
      <xdr:row>49</xdr:row>
      <xdr:rowOff>0</xdr:rowOff>
    </xdr:to>
    <xdr:sp macro="" textlink="">
      <xdr:nvSpPr>
        <xdr:cNvPr id="3" name="Rectangle 2">
          <a:extLst>
            <a:ext uri="{FF2B5EF4-FFF2-40B4-BE49-F238E27FC236}">
              <a16:creationId xmlns:a16="http://schemas.microsoft.com/office/drawing/2014/main" id="{F3FD4627-ECFC-4DAC-8DEE-8FE33DEB9222}"/>
            </a:ext>
          </a:extLst>
        </xdr:cNvPr>
        <xdr:cNvSpPr/>
      </xdr:nvSpPr>
      <xdr:spPr>
        <a:xfrm>
          <a:off x="0" y="0"/>
          <a:ext cx="2543895" cy="8867775"/>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17417</xdr:colOff>
      <xdr:row>2</xdr:row>
      <xdr:rowOff>58508</xdr:rowOff>
    </xdr:from>
    <xdr:to>
      <xdr:col>29</xdr:col>
      <xdr:colOff>546192</xdr:colOff>
      <xdr:row>5</xdr:row>
      <xdr:rowOff>42724</xdr:rowOff>
    </xdr:to>
    <xdr:sp macro="" textlink="">
      <xdr:nvSpPr>
        <xdr:cNvPr id="7" name="Rectangle 6">
          <a:extLst>
            <a:ext uri="{FF2B5EF4-FFF2-40B4-BE49-F238E27FC236}">
              <a16:creationId xmlns:a16="http://schemas.microsoft.com/office/drawing/2014/main" id="{26F33059-0DE1-4BBA-B454-208F085C4B59}"/>
            </a:ext>
          </a:extLst>
        </xdr:cNvPr>
        <xdr:cNvSpPr/>
      </xdr:nvSpPr>
      <xdr:spPr>
        <a:xfrm>
          <a:off x="3147060" y="412294"/>
          <a:ext cx="15551061" cy="514894"/>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27214</xdr:colOff>
      <xdr:row>2</xdr:row>
      <xdr:rowOff>54428</xdr:rowOff>
    </xdr:from>
    <xdr:to>
      <xdr:col>12</xdr:col>
      <xdr:colOff>40821</xdr:colOff>
      <xdr:row>4</xdr:row>
      <xdr:rowOff>81643</xdr:rowOff>
    </xdr:to>
    <xdr:sp macro="" textlink="">
      <xdr:nvSpPr>
        <xdr:cNvPr id="8" name="TextBox 7">
          <a:extLst>
            <a:ext uri="{FF2B5EF4-FFF2-40B4-BE49-F238E27FC236}">
              <a16:creationId xmlns:a16="http://schemas.microsoft.com/office/drawing/2014/main" id="{2C102F5D-E4E5-4537-9F96-60C7BF4AC2E1}"/>
            </a:ext>
          </a:extLst>
        </xdr:cNvPr>
        <xdr:cNvSpPr txBox="1"/>
      </xdr:nvSpPr>
      <xdr:spPr>
        <a:xfrm>
          <a:off x="3168559" y="420188"/>
          <a:ext cx="4416062" cy="38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Response Rate</a:t>
          </a:r>
        </a:p>
      </xdr:txBody>
    </xdr:sp>
    <xdr:clientData/>
  </xdr:twoCellAnchor>
  <xdr:twoCellAnchor>
    <xdr:from>
      <xdr:col>24</xdr:col>
      <xdr:colOff>503466</xdr:colOff>
      <xdr:row>2</xdr:row>
      <xdr:rowOff>45447</xdr:rowOff>
    </xdr:from>
    <xdr:to>
      <xdr:col>28</xdr:col>
      <xdr:colOff>513262</xdr:colOff>
      <xdr:row>4</xdr:row>
      <xdr:rowOff>68852</xdr:rowOff>
    </xdr:to>
    <xdr:sp macro="" textlink="">
      <xdr:nvSpPr>
        <xdr:cNvPr id="9" name="TextBox 8">
          <a:extLst>
            <a:ext uri="{FF2B5EF4-FFF2-40B4-BE49-F238E27FC236}">
              <a16:creationId xmlns:a16="http://schemas.microsoft.com/office/drawing/2014/main" id="{14F39E9E-F431-4207-ACED-EFF9135C1046}"/>
            </a:ext>
          </a:extLst>
        </xdr:cNvPr>
        <xdr:cNvSpPr txBox="1"/>
      </xdr:nvSpPr>
      <xdr:spPr>
        <a:xfrm>
          <a:off x="15199180" y="426447"/>
          <a:ext cx="2459082" cy="40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28</xdr:col>
      <xdr:colOff>571503</xdr:colOff>
      <xdr:row>2</xdr:row>
      <xdr:rowOff>2721</xdr:rowOff>
    </xdr:from>
    <xdr:ext cx="526867" cy="486044"/>
    <xdr:pic>
      <xdr:nvPicPr>
        <xdr:cNvPr id="10" name="Graphic 9" descr="Blog with solid fill">
          <a:extLst>
            <a:ext uri="{FF2B5EF4-FFF2-40B4-BE49-F238E27FC236}">
              <a16:creationId xmlns:a16="http://schemas.microsoft.com/office/drawing/2014/main" id="{33F5C163-BFED-46B1-AA79-F4D5E60B7F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9</xdr:col>
      <xdr:colOff>124834</xdr:colOff>
      <xdr:row>9</xdr:row>
      <xdr:rowOff>122227</xdr:rowOff>
    </xdr:from>
    <xdr:to>
      <xdr:col>27</xdr:col>
      <xdr:colOff>285749</xdr:colOff>
      <xdr:row>40</xdr:row>
      <xdr:rowOff>3709</xdr:rowOff>
    </xdr:to>
    <xdr:graphicFrame macro="">
      <xdr:nvGraphicFramePr>
        <xdr:cNvPr id="22" name="Grafiek 4">
          <a:extLst>
            <a:ext uri="{FF2B5EF4-FFF2-40B4-BE49-F238E27FC236}">
              <a16:creationId xmlns:a16="http://schemas.microsoft.com/office/drawing/2014/main" id="{AC27A40D-D60D-4C1A-A84C-F17713E84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31705</xdr:colOff>
      <xdr:row>2</xdr:row>
      <xdr:rowOff>38236</xdr:rowOff>
    </xdr:from>
    <xdr:to>
      <xdr:col>4</xdr:col>
      <xdr:colOff>31705</xdr:colOff>
      <xdr:row>47</xdr:row>
      <xdr:rowOff>171315</xdr:rowOff>
    </xdr:to>
    <xdr:sp macro="" textlink="">
      <xdr:nvSpPr>
        <xdr:cNvPr id="23" name="Rectangle: Top Corners Rounded 22">
          <a:extLst>
            <a:ext uri="{FF2B5EF4-FFF2-40B4-BE49-F238E27FC236}">
              <a16:creationId xmlns:a16="http://schemas.microsoft.com/office/drawing/2014/main" id="{29FD6D84-EB64-4533-998C-9ECE400F41E6}"/>
            </a:ext>
          </a:extLst>
        </xdr:cNvPr>
        <xdr:cNvSpPr/>
      </xdr:nvSpPr>
      <xdr:spPr>
        <a:xfrm rot="16200000">
          <a:off x="-2450102" y="3499758"/>
          <a:ext cx="8093257"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00B0F0"/>
            </a:solidFill>
          </a:endParaRPr>
        </a:p>
      </xdr:txBody>
    </xdr:sp>
    <xdr:clientData/>
  </xdr:twoCellAnchor>
  <xdr:twoCellAnchor>
    <xdr:from>
      <xdr:col>1</xdr:col>
      <xdr:colOff>421754</xdr:colOff>
      <xdr:row>3</xdr:row>
      <xdr:rowOff>13676</xdr:rowOff>
    </xdr:from>
    <xdr:to>
      <xdr:col>3</xdr:col>
      <xdr:colOff>312895</xdr:colOff>
      <xdr:row>9</xdr:row>
      <xdr:rowOff>80824</xdr:rowOff>
    </xdr:to>
    <xdr:sp macro="" textlink="">
      <xdr:nvSpPr>
        <xdr:cNvPr id="31" name="Oval 30">
          <a:extLst>
            <a:ext uri="{FF2B5EF4-FFF2-40B4-BE49-F238E27FC236}">
              <a16:creationId xmlns:a16="http://schemas.microsoft.com/office/drawing/2014/main" id="{16B60A93-F627-451E-B173-72B7C4C5FD2C}"/>
            </a:ext>
          </a:extLst>
        </xdr:cNvPr>
        <xdr:cNvSpPr/>
      </xdr:nvSpPr>
      <xdr:spPr>
        <a:xfrm>
          <a:off x="1052785" y="549457"/>
          <a:ext cx="1153204" cy="113871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331704</xdr:colOff>
      <xdr:row>41</xdr:row>
      <xdr:rowOff>65859</xdr:rowOff>
    </xdr:from>
    <xdr:to>
      <xdr:col>3</xdr:col>
      <xdr:colOff>372661</xdr:colOff>
      <xdr:row>46</xdr:row>
      <xdr:rowOff>47761</xdr:rowOff>
    </xdr:to>
    <xdr:sp macro="" textlink="">
      <xdr:nvSpPr>
        <xdr:cNvPr id="33" name="Rectangle: Rounded Corners 32">
          <a:hlinkClick xmlns:r="http://schemas.openxmlformats.org/officeDocument/2006/relationships" r:id="rId4"/>
          <a:extLst>
            <a:ext uri="{FF2B5EF4-FFF2-40B4-BE49-F238E27FC236}">
              <a16:creationId xmlns:a16="http://schemas.microsoft.com/office/drawing/2014/main" id="{6BEF3A2C-32AD-4801-BE04-8E5FCFDD5F30}"/>
            </a:ext>
          </a:extLst>
        </xdr:cNvPr>
        <xdr:cNvSpPr/>
      </xdr:nvSpPr>
      <xdr:spPr>
        <a:xfrm>
          <a:off x="962735" y="7388203"/>
          <a:ext cx="1303020" cy="87487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489822</xdr:colOff>
      <xdr:row>42</xdr:row>
      <xdr:rowOff>86971</xdr:rowOff>
    </xdr:from>
    <xdr:to>
      <xdr:col>3</xdr:col>
      <xdr:colOff>155493</xdr:colOff>
      <xdr:row>45</xdr:row>
      <xdr:rowOff>46333</xdr:rowOff>
    </xdr:to>
    <xdr:pic>
      <xdr:nvPicPr>
        <xdr:cNvPr id="34" name="Picture 33">
          <a:hlinkClick xmlns:r="http://schemas.openxmlformats.org/officeDocument/2006/relationships" r:id="rId4"/>
          <a:extLst>
            <a:ext uri="{FF2B5EF4-FFF2-40B4-BE49-F238E27FC236}">
              <a16:creationId xmlns:a16="http://schemas.microsoft.com/office/drawing/2014/main" id="{7802EC3A-4D74-48AB-A9B8-7A3195C87B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0853" y="7587909"/>
          <a:ext cx="927734" cy="495143"/>
        </a:xfrm>
        <a:prstGeom prst="rect">
          <a:avLst/>
        </a:prstGeom>
      </xdr:spPr>
    </xdr:pic>
    <xdr:clientData/>
  </xdr:twoCellAnchor>
  <xdr:twoCellAnchor editAs="oneCell">
    <xdr:from>
      <xdr:col>29</xdr:col>
      <xdr:colOff>186242</xdr:colOff>
      <xdr:row>42</xdr:row>
      <xdr:rowOff>131772</xdr:rowOff>
    </xdr:from>
    <xdr:to>
      <xdr:col>30</xdr:col>
      <xdr:colOff>311167</xdr:colOff>
      <xdr:row>46</xdr:row>
      <xdr:rowOff>177164</xdr:rowOff>
    </xdr:to>
    <xdr:pic>
      <xdr:nvPicPr>
        <xdr:cNvPr id="36" name="Graphic 35" descr="Back with solid fill">
          <a:hlinkClick xmlns:r="http://schemas.openxmlformats.org/officeDocument/2006/relationships" r:id="rId6"/>
          <a:extLst>
            <a:ext uri="{FF2B5EF4-FFF2-40B4-BE49-F238E27FC236}">
              <a16:creationId xmlns:a16="http://schemas.microsoft.com/office/drawing/2014/main" id="{F1F07FC8-A9B9-471E-ACAB-B68211F7A06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8486148" y="7632710"/>
          <a:ext cx="755957" cy="759767"/>
        </a:xfrm>
        <a:prstGeom prst="rect">
          <a:avLst/>
        </a:prstGeom>
      </xdr:spPr>
    </xdr:pic>
    <xdr:clientData/>
  </xdr:twoCellAnchor>
  <xdr:twoCellAnchor>
    <xdr:from>
      <xdr:col>28</xdr:col>
      <xdr:colOff>620758</xdr:colOff>
      <xdr:row>40</xdr:row>
      <xdr:rowOff>78717</xdr:rowOff>
    </xdr:from>
    <xdr:to>
      <xdr:col>30</xdr:col>
      <xdr:colOff>507682</xdr:colOff>
      <xdr:row>42</xdr:row>
      <xdr:rowOff>104026</xdr:rowOff>
    </xdr:to>
    <xdr:sp macro="" textlink="">
      <xdr:nvSpPr>
        <xdr:cNvPr id="37" name="TextBox 36">
          <a:extLst>
            <a:ext uri="{FF2B5EF4-FFF2-40B4-BE49-F238E27FC236}">
              <a16:creationId xmlns:a16="http://schemas.microsoft.com/office/drawing/2014/main" id="{0B3745FE-7A0C-42FA-810A-1CC33BA166C4}"/>
            </a:ext>
          </a:extLst>
        </xdr:cNvPr>
        <xdr:cNvSpPr txBox="1"/>
      </xdr:nvSpPr>
      <xdr:spPr>
        <a:xfrm>
          <a:off x="18289633" y="7222467"/>
          <a:ext cx="1148987" cy="382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editAs="oneCell">
    <xdr:from>
      <xdr:col>5</xdr:col>
      <xdr:colOff>487680</xdr:colOff>
      <xdr:row>10</xdr:row>
      <xdr:rowOff>112869</xdr:rowOff>
    </xdr:from>
    <xdr:to>
      <xdr:col>8</xdr:col>
      <xdr:colOff>419576</xdr:colOff>
      <xdr:row>24</xdr:row>
      <xdr:rowOff>87152</xdr:rowOff>
    </xdr:to>
    <mc:AlternateContent xmlns:mc="http://schemas.openxmlformats.org/markup-compatibility/2006" xmlns:a14="http://schemas.microsoft.com/office/drawing/2010/main">
      <mc:Choice Requires="a14">
        <xdr:graphicFrame macro="">
          <xdr:nvGraphicFramePr>
            <xdr:cNvPr id="4" name="Sector 2">
              <a:extLst>
                <a:ext uri="{FF2B5EF4-FFF2-40B4-BE49-F238E27FC236}">
                  <a16:creationId xmlns:a16="http://schemas.microsoft.com/office/drawing/2014/main" id="{1FDB8810-6C6D-4095-890F-FF663ECD395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3640931" y="1898807"/>
              <a:ext cx="1826895" cy="247650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59463</xdr:colOff>
      <xdr:row>3</xdr:row>
      <xdr:rowOff>182064</xdr:rowOff>
    </xdr:from>
    <xdr:to>
      <xdr:col>3</xdr:col>
      <xdr:colOff>69779</xdr:colOff>
      <xdr:row>8</xdr:row>
      <xdr:rowOff>120696</xdr:rowOff>
    </xdr:to>
    <xdr:pic>
      <xdr:nvPicPr>
        <xdr:cNvPr id="39" name="Picture 38">
          <a:extLst>
            <a:ext uri="{FF2B5EF4-FFF2-40B4-BE49-F238E27FC236}">
              <a16:creationId xmlns:a16="http://schemas.microsoft.com/office/drawing/2014/main" id="{DB0B986C-A247-480B-A68F-403DA2A83E91}"/>
            </a:ext>
          </a:extLst>
        </xdr:cNvPr>
        <xdr:cNvPicPr>
          <a:picLocks noChangeAspect="1"/>
        </xdr:cNvPicPr>
      </xdr:nvPicPr>
      <xdr:blipFill>
        <a:blip xmlns:r="http://schemas.openxmlformats.org/officeDocument/2006/relationships" r:embed="rId9"/>
        <a:stretch>
          <a:fillRect/>
        </a:stretch>
      </xdr:blipFill>
      <xdr:spPr>
        <a:xfrm>
          <a:off x="1284106" y="753564"/>
          <a:ext cx="622637" cy="891132"/>
        </a:xfrm>
        <a:prstGeom prst="rect">
          <a:avLst/>
        </a:prstGeom>
      </xdr:spPr>
    </xdr:pic>
    <xdr:clientData/>
  </xdr:twoCellAnchor>
  <xdr:twoCellAnchor>
    <xdr:from>
      <xdr:col>1</xdr:col>
      <xdr:colOff>388755</xdr:colOff>
      <xdr:row>32</xdr:row>
      <xdr:rowOff>17766</xdr:rowOff>
    </xdr:from>
    <xdr:to>
      <xdr:col>3</xdr:col>
      <xdr:colOff>351472</xdr:colOff>
      <xdr:row>35</xdr:row>
      <xdr:rowOff>98319</xdr:rowOff>
    </xdr:to>
    <xdr:sp macro="" textlink="">
      <xdr:nvSpPr>
        <xdr:cNvPr id="32" name="TextBox 31">
          <a:hlinkClick xmlns:r="http://schemas.openxmlformats.org/officeDocument/2006/relationships" r:id="rId10"/>
          <a:extLst>
            <a:ext uri="{FF2B5EF4-FFF2-40B4-BE49-F238E27FC236}">
              <a16:creationId xmlns:a16="http://schemas.microsoft.com/office/drawing/2014/main" id="{6AC10DF4-14C9-469C-A0AF-1C079A8E9CF3}"/>
            </a:ext>
          </a:extLst>
        </xdr:cNvPr>
        <xdr:cNvSpPr txBox="1"/>
      </xdr:nvSpPr>
      <xdr:spPr>
        <a:xfrm>
          <a:off x="1014684" y="5678337"/>
          <a:ext cx="1214574" cy="61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359569</xdr:colOff>
      <xdr:row>28</xdr:row>
      <xdr:rowOff>61658</xdr:rowOff>
    </xdr:from>
    <xdr:to>
      <xdr:col>3</xdr:col>
      <xdr:colOff>371134</xdr:colOff>
      <xdr:row>32</xdr:row>
      <xdr:rowOff>24647</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2219F4CC-B629-4940-8666-74D2FF6AF1A6}"/>
            </a:ext>
          </a:extLst>
        </xdr:cNvPr>
        <xdr:cNvSpPr txBox="1"/>
      </xdr:nvSpPr>
      <xdr:spPr>
        <a:xfrm>
          <a:off x="985498" y="5014658"/>
          <a:ext cx="1263422" cy="67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122464</xdr:colOff>
      <xdr:row>24</xdr:row>
      <xdr:rowOff>126778</xdr:rowOff>
    </xdr:from>
    <xdr:to>
      <xdr:col>3</xdr:col>
      <xdr:colOff>617764</xdr:colOff>
      <xdr:row>28</xdr:row>
      <xdr:rowOff>78064</xdr:rowOff>
    </xdr:to>
    <xdr:sp macro="" textlink="">
      <xdr:nvSpPr>
        <xdr:cNvPr id="41" name="TextBox 40">
          <a:hlinkClick xmlns:r="http://schemas.openxmlformats.org/officeDocument/2006/relationships" r:id="rId12"/>
          <a:extLst>
            <a:ext uri="{FF2B5EF4-FFF2-40B4-BE49-F238E27FC236}">
              <a16:creationId xmlns:a16="http://schemas.microsoft.com/office/drawing/2014/main" id="{A3B21824-2D67-487F-8130-E795B87DD334}"/>
            </a:ext>
          </a:extLst>
        </xdr:cNvPr>
        <xdr:cNvSpPr txBox="1"/>
      </xdr:nvSpPr>
      <xdr:spPr>
        <a:xfrm>
          <a:off x="748393" y="4372207"/>
          <a:ext cx="1747157" cy="658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241489</xdr:colOff>
      <xdr:row>19</xdr:row>
      <xdr:rowOff>5712</xdr:rowOff>
    </xdr:from>
    <xdr:to>
      <xdr:col>4</xdr:col>
      <xdr:colOff>189280</xdr:colOff>
      <xdr:row>26</xdr:row>
      <xdr:rowOff>96879</xdr:rowOff>
    </xdr:to>
    <xdr:sp macro="" textlink="">
      <xdr:nvSpPr>
        <xdr:cNvPr id="43" name="Freeform: Shape 42">
          <a:extLst>
            <a:ext uri="{FF2B5EF4-FFF2-40B4-BE49-F238E27FC236}">
              <a16:creationId xmlns:a16="http://schemas.microsoft.com/office/drawing/2014/main" id="{DEBF51F2-0836-4B69-AB22-705AA220358D}"/>
            </a:ext>
          </a:extLst>
        </xdr:cNvPr>
        <xdr:cNvSpPr/>
      </xdr:nvSpPr>
      <xdr:spPr>
        <a:xfrm rot="16200000">
          <a:off x="1115497" y="3118597"/>
          <a:ext cx="1329417" cy="1825576"/>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chemeClr val="bg1"/>
            </a:solidFill>
          </a:endParaRPr>
        </a:p>
      </xdr:txBody>
    </xdr:sp>
    <xdr:clientData/>
  </xdr:twoCellAnchor>
  <xdr:twoCellAnchor>
    <xdr:from>
      <xdr:col>1</xdr:col>
      <xdr:colOff>377325</xdr:colOff>
      <xdr:row>10</xdr:row>
      <xdr:rowOff>40821</xdr:rowOff>
    </xdr:from>
    <xdr:to>
      <xdr:col>3</xdr:col>
      <xdr:colOff>351472</xdr:colOff>
      <xdr:row>13</xdr:row>
      <xdr:rowOff>165190</xdr:rowOff>
    </xdr:to>
    <xdr:sp macro="" textlink="">
      <xdr:nvSpPr>
        <xdr:cNvPr id="42" name="TextBox 41">
          <a:hlinkClick xmlns:r="http://schemas.openxmlformats.org/officeDocument/2006/relationships" r:id="rId13"/>
          <a:extLst>
            <a:ext uri="{FF2B5EF4-FFF2-40B4-BE49-F238E27FC236}">
              <a16:creationId xmlns:a16="http://schemas.microsoft.com/office/drawing/2014/main" id="{E275644D-5112-4974-8378-E60D331773D8}"/>
            </a:ext>
          </a:extLst>
        </xdr:cNvPr>
        <xdr:cNvSpPr txBox="1"/>
      </xdr:nvSpPr>
      <xdr:spPr>
        <a:xfrm>
          <a:off x="1003254" y="1809750"/>
          <a:ext cx="1226004" cy="655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329973</xdr:colOff>
      <xdr:row>20</xdr:row>
      <xdr:rowOff>155431</xdr:rowOff>
    </xdr:from>
    <xdr:to>
      <xdr:col>3</xdr:col>
      <xdr:colOff>398824</xdr:colOff>
      <xdr:row>24</xdr:row>
      <xdr:rowOff>126039</xdr:rowOff>
    </xdr:to>
    <xdr:sp macro="" textlink="">
      <xdr:nvSpPr>
        <xdr:cNvPr id="40" name="TextBox 39">
          <a:hlinkClick xmlns:r="http://schemas.openxmlformats.org/officeDocument/2006/relationships" r:id="rId14"/>
          <a:extLst>
            <a:ext uri="{FF2B5EF4-FFF2-40B4-BE49-F238E27FC236}">
              <a16:creationId xmlns:a16="http://schemas.microsoft.com/office/drawing/2014/main" id="{55EF4D9B-AFEC-4AAD-8ACE-FF5E71249410}"/>
            </a:ext>
          </a:extLst>
        </xdr:cNvPr>
        <xdr:cNvSpPr txBox="1"/>
      </xdr:nvSpPr>
      <xdr:spPr>
        <a:xfrm>
          <a:off x="955902" y="3693288"/>
          <a:ext cx="1320708"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Response Rate</a:t>
          </a:r>
        </a:p>
      </xdr:txBody>
    </xdr:sp>
    <xdr:clientData/>
  </xdr:twoCellAnchor>
  <xdr:twoCellAnchor>
    <xdr:from>
      <xdr:col>1</xdr:col>
      <xdr:colOff>396375</xdr:colOff>
      <xdr:row>17</xdr:row>
      <xdr:rowOff>89378</xdr:rowOff>
    </xdr:from>
    <xdr:to>
      <xdr:col>3</xdr:col>
      <xdr:colOff>334327</xdr:colOff>
      <xdr:row>20</xdr:row>
      <xdr:rowOff>173742</xdr:rowOff>
    </xdr:to>
    <xdr:sp macro="" textlink="">
      <xdr:nvSpPr>
        <xdr:cNvPr id="44" name="TextBox 43">
          <a:hlinkClick xmlns:r="http://schemas.openxmlformats.org/officeDocument/2006/relationships" r:id="rId15"/>
          <a:extLst>
            <a:ext uri="{FF2B5EF4-FFF2-40B4-BE49-F238E27FC236}">
              <a16:creationId xmlns:a16="http://schemas.microsoft.com/office/drawing/2014/main" id="{0231E1F2-4A1C-444A-8159-FD8CCBB011BE}"/>
            </a:ext>
          </a:extLst>
        </xdr:cNvPr>
        <xdr:cNvSpPr txBox="1"/>
      </xdr:nvSpPr>
      <xdr:spPr>
        <a:xfrm>
          <a:off x="1022304" y="3096557"/>
          <a:ext cx="1189809" cy="61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271906</xdr:colOff>
      <xdr:row>13</xdr:row>
      <xdr:rowOff>165929</xdr:rowOff>
    </xdr:from>
    <xdr:to>
      <xdr:col>3</xdr:col>
      <xdr:colOff>458796</xdr:colOff>
      <xdr:row>17</xdr:row>
      <xdr:rowOff>88639</xdr:rowOff>
    </xdr:to>
    <xdr:sp macro="" textlink="">
      <xdr:nvSpPr>
        <xdr:cNvPr id="45" name="TextBox 44">
          <a:hlinkClick xmlns:r="http://schemas.openxmlformats.org/officeDocument/2006/relationships" r:id="rId16"/>
          <a:extLst>
            <a:ext uri="{FF2B5EF4-FFF2-40B4-BE49-F238E27FC236}">
              <a16:creationId xmlns:a16="http://schemas.microsoft.com/office/drawing/2014/main" id="{5B2687DB-95F4-4F34-8A13-115FB7FBD6DD}"/>
            </a:ext>
          </a:extLst>
        </xdr:cNvPr>
        <xdr:cNvSpPr txBox="1"/>
      </xdr:nvSpPr>
      <xdr:spPr>
        <a:xfrm>
          <a:off x="897835" y="2465536"/>
          <a:ext cx="1438747" cy="63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29268</xdr:colOff>
      <xdr:row>2</xdr:row>
      <xdr:rowOff>28303</xdr:rowOff>
    </xdr:from>
    <xdr:to>
      <xdr:col>30</xdr:col>
      <xdr:colOff>524681</xdr:colOff>
      <xdr:row>47</xdr:row>
      <xdr:rowOff>167097</xdr:rowOff>
    </xdr:to>
    <xdr:sp macro="" textlink="">
      <xdr:nvSpPr>
        <xdr:cNvPr id="2" name="Rectangle: Top Corners Rounded 1">
          <a:extLst>
            <a:ext uri="{FF2B5EF4-FFF2-40B4-BE49-F238E27FC236}">
              <a16:creationId xmlns:a16="http://schemas.microsoft.com/office/drawing/2014/main" id="{532BEE62-22C4-4835-BF2A-463BDEDB6B58}"/>
            </a:ext>
          </a:extLst>
        </xdr:cNvPr>
        <xdr:cNvSpPr/>
      </xdr:nvSpPr>
      <xdr:spPr>
        <a:xfrm rot="5400000">
          <a:off x="6868274" y="-3953203"/>
          <a:ext cx="8098972" cy="16769556"/>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20876</xdr:colOff>
      <xdr:row>2</xdr:row>
      <xdr:rowOff>108042</xdr:rowOff>
    </xdr:from>
    <xdr:to>
      <xdr:col>29</xdr:col>
      <xdr:colOff>540126</xdr:colOff>
      <xdr:row>5</xdr:row>
      <xdr:rowOff>90353</xdr:rowOff>
    </xdr:to>
    <xdr:sp macro="" textlink="">
      <xdr:nvSpPr>
        <xdr:cNvPr id="40" name="Rectangle 39">
          <a:extLst>
            <a:ext uri="{FF2B5EF4-FFF2-40B4-BE49-F238E27FC236}">
              <a16:creationId xmlns:a16="http://schemas.microsoft.com/office/drawing/2014/main" id="{47E218AC-D0DA-491D-AFFB-3AEB584C7F83}"/>
            </a:ext>
          </a:extLst>
        </xdr:cNvPr>
        <xdr:cNvSpPr/>
      </xdr:nvSpPr>
      <xdr:spPr>
        <a:xfrm>
          <a:off x="3082483" y="489042"/>
          <a:ext cx="15214964" cy="553811"/>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31200</xdr:colOff>
      <xdr:row>49</xdr:row>
      <xdr:rowOff>0</xdr:rowOff>
    </xdr:to>
    <xdr:sp macro="" textlink="">
      <xdr:nvSpPr>
        <xdr:cNvPr id="3" name="Rectangle 2">
          <a:extLst>
            <a:ext uri="{FF2B5EF4-FFF2-40B4-BE49-F238E27FC236}">
              <a16:creationId xmlns:a16="http://schemas.microsoft.com/office/drawing/2014/main" id="{4CFA3A50-86EB-4A4C-B14D-94D5D327313A}"/>
            </a:ext>
          </a:extLst>
        </xdr:cNvPr>
        <xdr:cNvSpPr/>
      </xdr:nvSpPr>
      <xdr:spPr>
        <a:xfrm>
          <a:off x="0" y="0"/>
          <a:ext cx="2543895" cy="8867775"/>
        </a:xfrm>
        <a:prstGeom prst="rect">
          <a:avLst/>
        </a:prstGeom>
        <a:solidFill>
          <a:srgbClr val="0074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40822</xdr:colOff>
      <xdr:row>2</xdr:row>
      <xdr:rowOff>40821</xdr:rowOff>
    </xdr:from>
    <xdr:to>
      <xdr:col>12</xdr:col>
      <xdr:colOff>58239</xdr:colOff>
      <xdr:row>4</xdr:row>
      <xdr:rowOff>66131</xdr:rowOff>
    </xdr:to>
    <xdr:sp macro="" textlink="">
      <xdr:nvSpPr>
        <xdr:cNvPr id="8" name="TextBox 7">
          <a:extLst>
            <a:ext uri="{FF2B5EF4-FFF2-40B4-BE49-F238E27FC236}">
              <a16:creationId xmlns:a16="http://schemas.microsoft.com/office/drawing/2014/main" id="{5C7E8064-48C7-42C5-A892-13B4B43DE16F}"/>
            </a:ext>
          </a:extLst>
        </xdr:cNvPr>
        <xdr:cNvSpPr txBox="1"/>
      </xdr:nvSpPr>
      <xdr:spPr>
        <a:xfrm>
          <a:off x="3195978" y="398009"/>
          <a:ext cx="4434636" cy="382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Active members</a:t>
          </a:r>
        </a:p>
      </xdr:txBody>
    </xdr:sp>
    <xdr:clientData/>
  </xdr:twoCellAnchor>
  <xdr:twoCellAnchor>
    <xdr:from>
      <xdr:col>24</xdr:col>
      <xdr:colOff>435429</xdr:colOff>
      <xdr:row>2</xdr:row>
      <xdr:rowOff>43542</xdr:rowOff>
    </xdr:from>
    <xdr:to>
      <xdr:col>28</xdr:col>
      <xdr:colOff>517071</xdr:colOff>
      <xdr:row>4</xdr:row>
      <xdr:rowOff>70757</xdr:rowOff>
    </xdr:to>
    <xdr:sp macro="" textlink="">
      <xdr:nvSpPr>
        <xdr:cNvPr id="9" name="TextBox 8">
          <a:extLst>
            <a:ext uri="{FF2B5EF4-FFF2-40B4-BE49-F238E27FC236}">
              <a16:creationId xmlns:a16="http://schemas.microsoft.com/office/drawing/2014/main" id="{96FC3936-0395-4219-9DF1-866F9469B197}"/>
            </a:ext>
          </a:extLst>
        </xdr:cNvPr>
        <xdr:cNvSpPr txBox="1"/>
      </xdr:nvSpPr>
      <xdr:spPr>
        <a:xfrm>
          <a:off x="15131143" y="424542"/>
          <a:ext cx="2530928" cy="4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28</xdr:col>
      <xdr:colOff>571503</xdr:colOff>
      <xdr:row>2</xdr:row>
      <xdr:rowOff>2721</xdr:rowOff>
    </xdr:from>
    <xdr:ext cx="526867" cy="486044"/>
    <xdr:pic>
      <xdr:nvPicPr>
        <xdr:cNvPr id="10" name="Graphic 9" descr="Blog with solid fill">
          <a:extLst>
            <a:ext uri="{FF2B5EF4-FFF2-40B4-BE49-F238E27FC236}">
              <a16:creationId xmlns:a16="http://schemas.microsoft.com/office/drawing/2014/main" id="{DABB0F0F-7755-483E-B199-5A80E6989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5</xdr:col>
      <xdr:colOff>19324</xdr:colOff>
      <xdr:row>7</xdr:row>
      <xdr:rowOff>54428</xdr:rowOff>
    </xdr:from>
    <xdr:to>
      <xdr:col>19</xdr:col>
      <xdr:colOff>81643</xdr:colOff>
      <xdr:row>47</xdr:row>
      <xdr:rowOff>17690</xdr:rowOff>
    </xdr:to>
    <xdr:graphicFrame macro="">
      <xdr:nvGraphicFramePr>
        <xdr:cNvPr id="20" name="Grafiek 2">
          <a:extLst>
            <a:ext uri="{FF2B5EF4-FFF2-40B4-BE49-F238E27FC236}">
              <a16:creationId xmlns:a16="http://schemas.microsoft.com/office/drawing/2014/main" id="{F74EE5EB-754B-42D5-BA89-06F8CBC1C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31706</xdr:colOff>
      <xdr:row>2</xdr:row>
      <xdr:rowOff>17008</xdr:rowOff>
    </xdr:from>
    <xdr:to>
      <xdr:col>4</xdr:col>
      <xdr:colOff>31706</xdr:colOff>
      <xdr:row>47</xdr:row>
      <xdr:rowOff>157707</xdr:rowOff>
    </xdr:to>
    <xdr:sp macro="" textlink="">
      <xdr:nvSpPr>
        <xdr:cNvPr id="22" name="Rectangle: Top Corners Rounded 21">
          <a:extLst>
            <a:ext uri="{FF2B5EF4-FFF2-40B4-BE49-F238E27FC236}">
              <a16:creationId xmlns:a16="http://schemas.microsoft.com/office/drawing/2014/main" id="{59F34C72-8F5C-4EDB-9684-B011E87077DC}"/>
            </a:ext>
          </a:extLst>
        </xdr:cNvPr>
        <xdr:cNvSpPr/>
      </xdr:nvSpPr>
      <xdr:spPr>
        <a:xfrm rot="16200000">
          <a:off x="-2453911" y="3482340"/>
          <a:ext cx="8100877"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421754</xdr:colOff>
      <xdr:row>3</xdr:row>
      <xdr:rowOff>13676</xdr:rowOff>
    </xdr:from>
    <xdr:to>
      <xdr:col>3</xdr:col>
      <xdr:colOff>312895</xdr:colOff>
      <xdr:row>9</xdr:row>
      <xdr:rowOff>80824</xdr:rowOff>
    </xdr:to>
    <xdr:sp macro="" textlink="">
      <xdr:nvSpPr>
        <xdr:cNvPr id="30" name="Oval 29">
          <a:extLst>
            <a:ext uri="{FF2B5EF4-FFF2-40B4-BE49-F238E27FC236}">
              <a16:creationId xmlns:a16="http://schemas.microsoft.com/office/drawing/2014/main" id="{BE86A608-ABBB-49E4-9C34-63CBDCEB2E13}"/>
            </a:ext>
          </a:extLst>
        </xdr:cNvPr>
        <xdr:cNvSpPr/>
      </xdr:nvSpPr>
      <xdr:spPr>
        <a:xfrm>
          <a:off x="1052785" y="549457"/>
          <a:ext cx="1153204" cy="113871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331704</xdr:colOff>
      <xdr:row>41</xdr:row>
      <xdr:rowOff>65859</xdr:rowOff>
    </xdr:from>
    <xdr:to>
      <xdr:col>3</xdr:col>
      <xdr:colOff>372661</xdr:colOff>
      <xdr:row>46</xdr:row>
      <xdr:rowOff>47761</xdr:rowOff>
    </xdr:to>
    <xdr:sp macro="" textlink="">
      <xdr:nvSpPr>
        <xdr:cNvPr id="32" name="Rectangle: Rounded Corners 31">
          <a:hlinkClick xmlns:r="http://schemas.openxmlformats.org/officeDocument/2006/relationships" r:id="rId4"/>
          <a:extLst>
            <a:ext uri="{FF2B5EF4-FFF2-40B4-BE49-F238E27FC236}">
              <a16:creationId xmlns:a16="http://schemas.microsoft.com/office/drawing/2014/main" id="{4A6D53F6-FBDA-46FB-A0A8-5C4529FA0770}"/>
            </a:ext>
          </a:extLst>
        </xdr:cNvPr>
        <xdr:cNvSpPr/>
      </xdr:nvSpPr>
      <xdr:spPr>
        <a:xfrm>
          <a:off x="962735" y="7388203"/>
          <a:ext cx="1303020" cy="87487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489822</xdr:colOff>
      <xdr:row>42</xdr:row>
      <xdr:rowOff>86971</xdr:rowOff>
    </xdr:from>
    <xdr:to>
      <xdr:col>3</xdr:col>
      <xdr:colOff>155493</xdr:colOff>
      <xdr:row>45</xdr:row>
      <xdr:rowOff>46333</xdr:rowOff>
    </xdr:to>
    <xdr:pic>
      <xdr:nvPicPr>
        <xdr:cNvPr id="33" name="Picture 32">
          <a:hlinkClick xmlns:r="http://schemas.openxmlformats.org/officeDocument/2006/relationships" r:id="rId4"/>
          <a:extLst>
            <a:ext uri="{FF2B5EF4-FFF2-40B4-BE49-F238E27FC236}">
              <a16:creationId xmlns:a16="http://schemas.microsoft.com/office/drawing/2014/main" id="{461F3601-5E43-4F1D-BD6E-89F4C0CAD6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0853" y="7587909"/>
          <a:ext cx="927734" cy="495143"/>
        </a:xfrm>
        <a:prstGeom prst="rect">
          <a:avLst/>
        </a:prstGeom>
      </xdr:spPr>
    </xdr:pic>
    <xdr:clientData/>
  </xdr:twoCellAnchor>
  <xdr:twoCellAnchor editAs="oneCell">
    <xdr:from>
      <xdr:col>22</xdr:col>
      <xdr:colOff>93325</xdr:colOff>
      <xdr:row>42</xdr:row>
      <xdr:rowOff>122536</xdr:rowOff>
    </xdr:from>
    <xdr:to>
      <xdr:col>23</xdr:col>
      <xdr:colOff>227151</xdr:colOff>
      <xdr:row>46</xdr:row>
      <xdr:rowOff>163494</xdr:rowOff>
    </xdr:to>
    <xdr:pic>
      <xdr:nvPicPr>
        <xdr:cNvPr id="37" name="Graphic 36" descr="Back with solid fill">
          <a:hlinkClick xmlns:r="http://schemas.openxmlformats.org/officeDocument/2006/relationships" r:id="rId6"/>
          <a:extLst>
            <a:ext uri="{FF2B5EF4-FFF2-40B4-BE49-F238E27FC236}">
              <a16:creationId xmlns:a16="http://schemas.microsoft.com/office/drawing/2014/main" id="{164EB77E-414D-4BE5-A7D4-A2ED3FAE76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3863754" y="7552036"/>
          <a:ext cx="759754" cy="748529"/>
        </a:xfrm>
        <a:prstGeom prst="rect">
          <a:avLst/>
        </a:prstGeom>
      </xdr:spPr>
    </xdr:pic>
    <xdr:clientData/>
  </xdr:twoCellAnchor>
  <xdr:twoCellAnchor>
    <xdr:from>
      <xdr:col>22</xdr:col>
      <xdr:colOff>27195</xdr:colOff>
      <xdr:row>41</xdr:row>
      <xdr:rowOff>75904</xdr:rowOff>
    </xdr:from>
    <xdr:to>
      <xdr:col>23</xdr:col>
      <xdr:colOff>558304</xdr:colOff>
      <xdr:row>43</xdr:row>
      <xdr:rowOff>111736</xdr:rowOff>
    </xdr:to>
    <xdr:sp macro="" textlink="">
      <xdr:nvSpPr>
        <xdr:cNvPr id="38" name="TextBox 37">
          <a:extLst>
            <a:ext uri="{FF2B5EF4-FFF2-40B4-BE49-F238E27FC236}">
              <a16:creationId xmlns:a16="http://schemas.microsoft.com/office/drawing/2014/main" id="{19803AB7-345B-428C-8090-AEEC487080C8}"/>
            </a:ext>
          </a:extLst>
        </xdr:cNvPr>
        <xdr:cNvSpPr txBox="1"/>
      </xdr:nvSpPr>
      <xdr:spPr>
        <a:xfrm>
          <a:off x="13797624" y="7328511"/>
          <a:ext cx="1157037" cy="389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editAs="oneCell">
    <xdr:from>
      <xdr:col>7</xdr:col>
      <xdr:colOff>172943</xdr:colOff>
      <xdr:row>33</xdr:row>
      <xdr:rowOff>20602</xdr:rowOff>
    </xdr:from>
    <xdr:to>
      <xdr:col>9</xdr:col>
      <xdr:colOff>371929</xdr:colOff>
      <xdr:row>44</xdr:row>
      <xdr:rowOff>18868</xdr:rowOff>
    </xdr:to>
    <mc:AlternateContent xmlns:mc="http://schemas.openxmlformats.org/markup-compatibility/2006" xmlns:a14="http://schemas.microsoft.com/office/drawing/2010/main">
      <mc:Choice Requires="a14">
        <xdr:graphicFrame macro="">
          <xdr:nvGraphicFramePr>
            <xdr:cNvPr id="41" name="Interval number of members 2">
              <a:extLst>
                <a:ext uri="{FF2B5EF4-FFF2-40B4-BE49-F238E27FC236}">
                  <a16:creationId xmlns:a16="http://schemas.microsoft.com/office/drawing/2014/main" id="{CBB68FCE-9B4B-4B8C-B4EE-1C8239116DC0}"/>
                </a:ext>
              </a:extLst>
            </xdr:cNvPr>
            <xdr:cNvGraphicFramePr/>
          </xdr:nvGraphicFramePr>
          <xdr:xfrm>
            <a:off x="0" y="0"/>
            <a:ext cx="0" cy="0"/>
          </xdr:xfrm>
          <a:graphic>
            <a:graphicData uri="http://schemas.microsoft.com/office/drawing/2010/slicer">
              <sle:slicer xmlns:sle="http://schemas.microsoft.com/office/drawing/2010/slicer" name="Interval number of members 2"/>
            </a:graphicData>
          </a:graphic>
        </xdr:graphicFrame>
      </mc:Choice>
      <mc:Fallback xmlns="">
        <xdr:sp macro="" textlink="">
          <xdr:nvSpPr>
            <xdr:cNvPr id="0" name=""/>
            <xdr:cNvSpPr>
              <a:spLocks noTextEdit="1"/>
            </xdr:cNvSpPr>
          </xdr:nvSpPr>
          <xdr:spPr>
            <a:xfrm>
              <a:off x="4550633" y="5854256"/>
              <a:ext cx="1452748" cy="1951708"/>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41003</xdr:colOff>
      <xdr:row>33</xdr:row>
      <xdr:rowOff>12710</xdr:rowOff>
    </xdr:from>
    <xdr:to>
      <xdr:col>7</xdr:col>
      <xdr:colOff>196453</xdr:colOff>
      <xdr:row>44</xdr:row>
      <xdr:rowOff>85452</xdr:rowOff>
    </xdr:to>
    <mc:AlternateContent xmlns:mc="http://schemas.openxmlformats.org/markup-compatibility/2006" xmlns:a14="http://schemas.microsoft.com/office/drawing/2010/main">
      <mc:Choice Requires="a14">
        <xdr:graphicFrame macro="">
          <xdr:nvGraphicFramePr>
            <xdr:cNvPr id="7" name="Sector  2">
              <a:extLst>
                <a:ext uri="{FF2B5EF4-FFF2-40B4-BE49-F238E27FC236}">
                  <a16:creationId xmlns:a16="http://schemas.microsoft.com/office/drawing/2014/main" id="{79D9BA88-905A-431E-95D1-B2D89F76A45B}"/>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3170646" y="5853984"/>
              <a:ext cx="1409212" cy="2016659"/>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59464</xdr:colOff>
      <xdr:row>3</xdr:row>
      <xdr:rowOff>182065</xdr:rowOff>
    </xdr:from>
    <xdr:to>
      <xdr:col>3</xdr:col>
      <xdr:colOff>69780</xdr:colOff>
      <xdr:row>8</xdr:row>
      <xdr:rowOff>120697</xdr:rowOff>
    </xdr:to>
    <xdr:pic>
      <xdr:nvPicPr>
        <xdr:cNvPr id="39" name="Picture 38">
          <a:extLst>
            <a:ext uri="{FF2B5EF4-FFF2-40B4-BE49-F238E27FC236}">
              <a16:creationId xmlns:a16="http://schemas.microsoft.com/office/drawing/2014/main" id="{9A5814C9-A741-48C8-AF06-A6F84FC18DF7}"/>
            </a:ext>
          </a:extLst>
        </xdr:cNvPr>
        <xdr:cNvPicPr>
          <a:picLocks noChangeAspect="1"/>
        </xdr:cNvPicPr>
      </xdr:nvPicPr>
      <xdr:blipFill>
        <a:blip xmlns:r="http://schemas.openxmlformats.org/officeDocument/2006/relationships" r:embed="rId9"/>
        <a:stretch>
          <a:fillRect/>
        </a:stretch>
      </xdr:blipFill>
      <xdr:spPr>
        <a:xfrm>
          <a:off x="1284107" y="753565"/>
          <a:ext cx="622637" cy="891132"/>
        </a:xfrm>
        <a:prstGeom prst="rect">
          <a:avLst/>
        </a:prstGeom>
      </xdr:spPr>
    </xdr:pic>
    <xdr:clientData/>
  </xdr:twoCellAnchor>
  <xdr:twoCellAnchor>
    <xdr:from>
      <xdr:col>1</xdr:col>
      <xdr:colOff>388755</xdr:colOff>
      <xdr:row>31</xdr:row>
      <xdr:rowOff>145945</xdr:rowOff>
    </xdr:from>
    <xdr:to>
      <xdr:col>3</xdr:col>
      <xdr:colOff>351472</xdr:colOff>
      <xdr:row>35</xdr:row>
      <xdr:rowOff>43891</xdr:rowOff>
    </xdr:to>
    <xdr:sp macro="" textlink="">
      <xdr:nvSpPr>
        <xdr:cNvPr id="31" name="TextBox 30">
          <a:hlinkClick xmlns:r="http://schemas.openxmlformats.org/officeDocument/2006/relationships" r:id="rId10"/>
          <a:extLst>
            <a:ext uri="{FF2B5EF4-FFF2-40B4-BE49-F238E27FC236}">
              <a16:creationId xmlns:a16="http://schemas.microsoft.com/office/drawing/2014/main" id="{13060B05-3BAF-459F-9294-7596BBD5933B}"/>
            </a:ext>
          </a:extLst>
        </xdr:cNvPr>
        <xdr:cNvSpPr txBox="1"/>
      </xdr:nvSpPr>
      <xdr:spPr>
        <a:xfrm>
          <a:off x="1014684" y="5629624"/>
          <a:ext cx="1214574" cy="605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363379</xdr:colOff>
      <xdr:row>28</xdr:row>
      <xdr:rowOff>7230</xdr:rowOff>
    </xdr:from>
    <xdr:to>
      <xdr:col>3</xdr:col>
      <xdr:colOff>371134</xdr:colOff>
      <xdr:row>31</xdr:row>
      <xdr:rowOff>145206</xdr:rowOff>
    </xdr:to>
    <xdr:sp macro="" textlink="">
      <xdr:nvSpPr>
        <xdr:cNvPr id="34" name="TextBox 33">
          <a:hlinkClick xmlns:r="http://schemas.openxmlformats.org/officeDocument/2006/relationships" r:id="rId11"/>
          <a:extLst>
            <a:ext uri="{FF2B5EF4-FFF2-40B4-BE49-F238E27FC236}">
              <a16:creationId xmlns:a16="http://schemas.microsoft.com/office/drawing/2014/main" id="{50069F18-D8E3-4DAE-AAFD-6A80FA4AD4CC}"/>
            </a:ext>
          </a:extLst>
        </xdr:cNvPr>
        <xdr:cNvSpPr txBox="1"/>
      </xdr:nvSpPr>
      <xdr:spPr>
        <a:xfrm>
          <a:off x="989308" y="4960230"/>
          <a:ext cx="1259612" cy="668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229517</xdr:colOff>
      <xdr:row>22</xdr:row>
      <xdr:rowOff>83544</xdr:rowOff>
    </xdr:from>
    <xdr:to>
      <xdr:col>4</xdr:col>
      <xdr:colOff>148733</xdr:colOff>
      <xdr:row>30</xdr:row>
      <xdr:rowOff>9248</xdr:rowOff>
    </xdr:to>
    <xdr:sp macro="" textlink="">
      <xdr:nvSpPr>
        <xdr:cNvPr id="43" name="Freeform: Shape 42">
          <a:extLst>
            <a:ext uri="{FF2B5EF4-FFF2-40B4-BE49-F238E27FC236}">
              <a16:creationId xmlns:a16="http://schemas.microsoft.com/office/drawing/2014/main" id="{92862267-9E66-47F7-9399-2E078050AD3F}"/>
            </a:ext>
          </a:extLst>
        </xdr:cNvPr>
        <xdr:cNvSpPr/>
      </xdr:nvSpPr>
      <xdr:spPr>
        <a:xfrm rot="16200000">
          <a:off x="1083523" y="3747110"/>
          <a:ext cx="1340847" cy="1797001"/>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chemeClr val="bg1"/>
            </a:solidFill>
          </a:endParaRPr>
        </a:p>
      </xdr:txBody>
    </xdr:sp>
    <xdr:clientData/>
  </xdr:twoCellAnchor>
  <xdr:twoCellAnchor>
    <xdr:from>
      <xdr:col>1</xdr:col>
      <xdr:colOff>122464</xdr:colOff>
      <xdr:row>24</xdr:row>
      <xdr:rowOff>79970</xdr:rowOff>
    </xdr:from>
    <xdr:to>
      <xdr:col>3</xdr:col>
      <xdr:colOff>617764</xdr:colOff>
      <xdr:row>28</xdr:row>
      <xdr:rowOff>23636</xdr:rowOff>
    </xdr:to>
    <xdr:sp macro="" textlink="">
      <xdr:nvSpPr>
        <xdr:cNvPr id="42" name="TextBox 41">
          <a:hlinkClick xmlns:r="http://schemas.openxmlformats.org/officeDocument/2006/relationships" r:id="rId12"/>
          <a:extLst>
            <a:ext uri="{FF2B5EF4-FFF2-40B4-BE49-F238E27FC236}">
              <a16:creationId xmlns:a16="http://schemas.microsoft.com/office/drawing/2014/main" id="{58E3D0D5-7D50-4538-AC66-E96E5966DB13}"/>
            </a:ext>
          </a:extLst>
        </xdr:cNvPr>
        <xdr:cNvSpPr txBox="1"/>
      </xdr:nvSpPr>
      <xdr:spPr>
        <a:xfrm>
          <a:off x="748393" y="4325399"/>
          <a:ext cx="1747157" cy="651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Active</a:t>
          </a:r>
          <a:r>
            <a:rPr lang="nl-NL" sz="1400" baseline="0">
              <a:solidFill>
                <a:srgbClr val="89BCE5"/>
              </a:solidFill>
              <a:latin typeface="Abadi" panose="020B0604020104020204" pitchFamily="34" charset="0"/>
            </a:rPr>
            <a:t> members</a:t>
          </a:r>
          <a:endParaRPr lang="nl-NL" sz="1400">
            <a:solidFill>
              <a:srgbClr val="89BCE5"/>
            </a:solidFill>
            <a:latin typeface="Abadi" panose="020B0604020104020204" pitchFamily="34" charset="0"/>
          </a:endParaRPr>
        </a:p>
      </xdr:txBody>
    </xdr:sp>
    <xdr:clientData/>
  </xdr:twoCellAnchor>
  <xdr:twoCellAnchor>
    <xdr:from>
      <xdr:col>1</xdr:col>
      <xdr:colOff>371610</xdr:colOff>
      <xdr:row>9</xdr:row>
      <xdr:rowOff>163286</xdr:rowOff>
    </xdr:from>
    <xdr:to>
      <xdr:col>3</xdr:col>
      <xdr:colOff>351472</xdr:colOff>
      <xdr:row>13</xdr:row>
      <xdr:rowOff>118382</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6167E54-9604-4ADD-8F49-0D99943BCC4B}"/>
            </a:ext>
          </a:extLst>
        </xdr:cNvPr>
        <xdr:cNvSpPr txBox="1"/>
      </xdr:nvSpPr>
      <xdr:spPr>
        <a:xfrm>
          <a:off x="997539" y="1755322"/>
          <a:ext cx="1231719" cy="66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349568</xdr:colOff>
      <xdr:row>20</xdr:row>
      <xdr:rowOff>69979</xdr:rowOff>
    </xdr:from>
    <xdr:to>
      <xdr:col>3</xdr:col>
      <xdr:colOff>427944</xdr:colOff>
      <xdr:row>24</xdr:row>
      <xdr:rowOff>52017</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F38E0661-ECE6-4AAC-959D-A8CBA911CA84}"/>
            </a:ext>
          </a:extLst>
        </xdr:cNvPr>
        <xdr:cNvSpPr txBox="1"/>
      </xdr:nvSpPr>
      <xdr:spPr>
        <a:xfrm>
          <a:off x="975497" y="3607836"/>
          <a:ext cx="1330233" cy="689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400185</xdr:colOff>
      <xdr:row>17</xdr:row>
      <xdr:rowOff>42570</xdr:rowOff>
    </xdr:from>
    <xdr:to>
      <xdr:col>3</xdr:col>
      <xdr:colOff>334327</xdr:colOff>
      <xdr:row>20</xdr:row>
      <xdr:rowOff>119314</xdr:rowOff>
    </xdr:to>
    <xdr:sp macro="" textlink="">
      <xdr:nvSpPr>
        <xdr:cNvPr id="46" name="TextBox 45">
          <a:hlinkClick xmlns:r="http://schemas.openxmlformats.org/officeDocument/2006/relationships" r:id="rId15"/>
          <a:extLst>
            <a:ext uri="{FF2B5EF4-FFF2-40B4-BE49-F238E27FC236}">
              <a16:creationId xmlns:a16="http://schemas.microsoft.com/office/drawing/2014/main" id="{C4067FC1-4FC5-41DA-84B9-C132261A6D50}"/>
            </a:ext>
          </a:extLst>
        </xdr:cNvPr>
        <xdr:cNvSpPr txBox="1"/>
      </xdr:nvSpPr>
      <xdr:spPr>
        <a:xfrm>
          <a:off x="1026114" y="3049749"/>
          <a:ext cx="1185999" cy="60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271906</xdr:colOff>
      <xdr:row>13</xdr:row>
      <xdr:rowOff>119121</xdr:rowOff>
    </xdr:from>
    <xdr:to>
      <xdr:col>3</xdr:col>
      <xdr:colOff>454986</xdr:colOff>
      <xdr:row>17</xdr:row>
      <xdr:rowOff>41831</xdr:rowOff>
    </xdr:to>
    <xdr:sp macro="" textlink="">
      <xdr:nvSpPr>
        <xdr:cNvPr id="47" name="TextBox 46">
          <a:hlinkClick xmlns:r="http://schemas.openxmlformats.org/officeDocument/2006/relationships" r:id="rId16"/>
          <a:extLst>
            <a:ext uri="{FF2B5EF4-FFF2-40B4-BE49-F238E27FC236}">
              <a16:creationId xmlns:a16="http://schemas.microsoft.com/office/drawing/2014/main" id="{AB184DFF-9C35-49E8-BE07-DC8B3CFD7233}"/>
            </a:ext>
          </a:extLst>
        </xdr:cNvPr>
        <xdr:cNvSpPr txBox="1"/>
      </xdr:nvSpPr>
      <xdr:spPr>
        <a:xfrm>
          <a:off x="897835" y="2418728"/>
          <a:ext cx="1434937" cy="63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twoCellAnchor>
    <xdr:from>
      <xdr:col>19</xdr:col>
      <xdr:colOff>353786</xdr:colOff>
      <xdr:row>7</xdr:row>
      <xdr:rowOff>64225</xdr:rowOff>
    </xdr:from>
    <xdr:to>
      <xdr:col>30</xdr:col>
      <xdr:colOff>206704</xdr:colOff>
      <xdr:row>40</xdr:row>
      <xdr:rowOff>106952</xdr:rowOff>
    </xdr:to>
    <xdr:graphicFrame macro="">
      <xdr:nvGraphicFramePr>
        <xdr:cNvPr id="29" name="Chart 28">
          <a:extLst>
            <a:ext uri="{FF2B5EF4-FFF2-40B4-BE49-F238E27FC236}">
              <a16:creationId xmlns:a16="http://schemas.microsoft.com/office/drawing/2014/main" id="{C90341E8-BCC6-45CC-BA58-5996EC1C3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47273</xdr:colOff>
      <xdr:row>2</xdr:row>
      <xdr:rowOff>32384</xdr:rowOff>
    </xdr:from>
    <xdr:to>
      <xdr:col>30</xdr:col>
      <xdr:colOff>538299</xdr:colOff>
      <xdr:row>47</xdr:row>
      <xdr:rowOff>169273</xdr:rowOff>
    </xdr:to>
    <xdr:sp macro="" textlink="">
      <xdr:nvSpPr>
        <xdr:cNvPr id="2" name="Rectangle: Top Corners Rounded 1">
          <a:extLst>
            <a:ext uri="{FF2B5EF4-FFF2-40B4-BE49-F238E27FC236}">
              <a16:creationId xmlns:a16="http://schemas.microsoft.com/office/drawing/2014/main" id="{50FFFF7F-9E46-4CC9-A9C9-9C434CE17BB3}"/>
            </a:ext>
          </a:extLst>
        </xdr:cNvPr>
        <xdr:cNvSpPr/>
      </xdr:nvSpPr>
      <xdr:spPr>
        <a:xfrm rot="5400000">
          <a:off x="6885038" y="-3947881"/>
          <a:ext cx="8097067" cy="16765169"/>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31200</xdr:colOff>
      <xdr:row>49</xdr:row>
      <xdr:rowOff>0</xdr:rowOff>
    </xdr:to>
    <xdr:sp macro="" textlink="">
      <xdr:nvSpPr>
        <xdr:cNvPr id="4" name="Rectangle 3">
          <a:extLst>
            <a:ext uri="{FF2B5EF4-FFF2-40B4-BE49-F238E27FC236}">
              <a16:creationId xmlns:a16="http://schemas.microsoft.com/office/drawing/2014/main" id="{C24D17AC-A4A6-4ED9-8575-195946994A21}"/>
            </a:ext>
          </a:extLst>
        </xdr:cNvPr>
        <xdr:cNvSpPr/>
      </xdr:nvSpPr>
      <xdr:spPr>
        <a:xfrm>
          <a:off x="0" y="0"/>
          <a:ext cx="2543895" cy="8867775"/>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21227</xdr:colOff>
      <xdr:row>2</xdr:row>
      <xdr:rowOff>43200</xdr:rowOff>
    </xdr:from>
    <xdr:to>
      <xdr:col>29</xdr:col>
      <xdr:colOff>550002</xdr:colOff>
      <xdr:row>5</xdr:row>
      <xdr:rowOff>32927</xdr:rowOff>
    </xdr:to>
    <xdr:sp macro="" textlink="">
      <xdr:nvSpPr>
        <xdr:cNvPr id="8" name="Rectangle 7">
          <a:extLst>
            <a:ext uri="{FF2B5EF4-FFF2-40B4-BE49-F238E27FC236}">
              <a16:creationId xmlns:a16="http://schemas.microsoft.com/office/drawing/2014/main" id="{F5512E87-AF22-4738-93B2-E728C7DF99CA}"/>
            </a:ext>
          </a:extLst>
        </xdr:cNvPr>
        <xdr:cNvSpPr/>
      </xdr:nvSpPr>
      <xdr:spPr>
        <a:xfrm>
          <a:off x="3150870" y="396986"/>
          <a:ext cx="15551061" cy="520405"/>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54428</xdr:colOff>
      <xdr:row>2</xdr:row>
      <xdr:rowOff>54428</xdr:rowOff>
    </xdr:from>
    <xdr:to>
      <xdr:col>12</xdr:col>
      <xdr:colOff>68035</xdr:colOff>
      <xdr:row>4</xdr:row>
      <xdr:rowOff>81643</xdr:rowOff>
    </xdr:to>
    <xdr:sp macro="" textlink="">
      <xdr:nvSpPr>
        <xdr:cNvPr id="9" name="TextBox 8">
          <a:extLst>
            <a:ext uri="{FF2B5EF4-FFF2-40B4-BE49-F238E27FC236}">
              <a16:creationId xmlns:a16="http://schemas.microsoft.com/office/drawing/2014/main" id="{1809E11F-ED24-443A-8B6D-30EEB15683E9}"/>
            </a:ext>
          </a:extLst>
        </xdr:cNvPr>
        <xdr:cNvSpPr txBox="1"/>
      </xdr:nvSpPr>
      <xdr:spPr>
        <a:xfrm>
          <a:off x="3201488" y="420188"/>
          <a:ext cx="4408442" cy="38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Internationals</a:t>
          </a:r>
        </a:p>
      </xdr:txBody>
    </xdr:sp>
    <xdr:clientData/>
  </xdr:twoCellAnchor>
  <xdr:twoCellAnchor>
    <xdr:from>
      <xdr:col>24</xdr:col>
      <xdr:colOff>449036</xdr:colOff>
      <xdr:row>2</xdr:row>
      <xdr:rowOff>43542</xdr:rowOff>
    </xdr:from>
    <xdr:to>
      <xdr:col>28</xdr:col>
      <xdr:colOff>517071</xdr:colOff>
      <xdr:row>4</xdr:row>
      <xdr:rowOff>70757</xdr:rowOff>
    </xdr:to>
    <xdr:sp macro="" textlink="">
      <xdr:nvSpPr>
        <xdr:cNvPr id="10" name="TextBox 9">
          <a:extLst>
            <a:ext uri="{FF2B5EF4-FFF2-40B4-BE49-F238E27FC236}">
              <a16:creationId xmlns:a16="http://schemas.microsoft.com/office/drawing/2014/main" id="{C9E49922-B751-4039-9F2A-18A2044D9ED0}"/>
            </a:ext>
          </a:extLst>
        </xdr:cNvPr>
        <xdr:cNvSpPr txBox="1"/>
      </xdr:nvSpPr>
      <xdr:spPr>
        <a:xfrm>
          <a:off x="15144750" y="424542"/>
          <a:ext cx="2517321" cy="4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28</xdr:col>
      <xdr:colOff>571503</xdr:colOff>
      <xdr:row>2</xdr:row>
      <xdr:rowOff>2721</xdr:rowOff>
    </xdr:from>
    <xdr:ext cx="526867" cy="486044"/>
    <xdr:pic>
      <xdr:nvPicPr>
        <xdr:cNvPr id="12" name="Graphic 11" descr="Blog with solid fill">
          <a:extLst>
            <a:ext uri="{FF2B5EF4-FFF2-40B4-BE49-F238E27FC236}">
              <a16:creationId xmlns:a16="http://schemas.microsoft.com/office/drawing/2014/main" id="{5F7C8872-091A-4AC6-8F32-E119362BF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15</xdr:col>
      <xdr:colOff>408214</xdr:colOff>
      <xdr:row>5</xdr:row>
      <xdr:rowOff>105047</xdr:rowOff>
    </xdr:from>
    <xdr:to>
      <xdr:col>27</xdr:col>
      <xdr:colOff>324258</xdr:colOff>
      <xdr:row>34</xdr:row>
      <xdr:rowOff>27214</xdr:rowOff>
    </xdr:to>
    <xdr:graphicFrame macro="">
      <xdr:nvGraphicFramePr>
        <xdr:cNvPr id="44" name="Grafiek 6">
          <a:extLst>
            <a:ext uri="{FF2B5EF4-FFF2-40B4-BE49-F238E27FC236}">
              <a16:creationId xmlns:a16="http://schemas.microsoft.com/office/drawing/2014/main" id="{6A51C4C0-601D-40E9-ACC0-9EFD436D5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33610</xdr:colOff>
      <xdr:row>2</xdr:row>
      <xdr:rowOff>34426</xdr:rowOff>
    </xdr:from>
    <xdr:to>
      <xdr:col>4</xdr:col>
      <xdr:colOff>33610</xdr:colOff>
      <xdr:row>47</xdr:row>
      <xdr:rowOff>167505</xdr:rowOff>
    </xdr:to>
    <xdr:sp macro="" textlink="">
      <xdr:nvSpPr>
        <xdr:cNvPr id="45" name="Rectangle: Top Corners Rounded 44">
          <a:extLst>
            <a:ext uri="{FF2B5EF4-FFF2-40B4-BE49-F238E27FC236}">
              <a16:creationId xmlns:a16="http://schemas.microsoft.com/office/drawing/2014/main" id="{279D80E5-9088-4A7E-8A57-AE3A2382C058}"/>
            </a:ext>
          </a:extLst>
        </xdr:cNvPr>
        <xdr:cNvSpPr/>
      </xdr:nvSpPr>
      <xdr:spPr>
        <a:xfrm rot="16200000">
          <a:off x="-2448197" y="3495948"/>
          <a:ext cx="8093257"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421754</xdr:colOff>
      <xdr:row>3</xdr:row>
      <xdr:rowOff>13675</xdr:rowOff>
    </xdr:from>
    <xdr:to>
      <xdr:col>3</xdr:col>
      <xdr:colOff>312895</xdr:colOff>
      <xdr:row>9</xdr:row>
      <xdr:rowOff>80823</xdr:rowOff>
    </xdr:to>
    <xdr:sp macro="" textlink="">
      <xdr:nvSpPr>
        <xdr:cNvPr id="53" name="Oval 52">
          <a:extLst>
            <a:ext uri="{FF2B5EF4-FFF2-40B4-BE49-F238E27FC236}">
              <a16:creationId xmlns:a16="http://schemas.microsoft.com/office/drawing/2014/main" id="{330F0957-64C5-489E-A8B6-84BFB9B95C8A}"/>
            </a:ext>
          </a:extLst>
        </xdr:cNvPr>
        <xdr:cNvSpPr/>
      </xdr:nvSpPr>
      <xdr:spPr>
        <a:xfrm>
          <a:off x="1052785" y="549456"/>
          <a:ext cx="1153204" cy="113871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331704</xdr:colOff>
      <xdr:row>41</xdr:row>
      <xdr:rowOff>65858</xdr:rowOff>
    </xdr:from>
    <xdr:to>
      <xdr:col>3</xdr:col>
      <xdr:colOff>372661</xdr:colOff>
      <xdr:row>46</xdr:row>
      <xdr:rowOff>47760</xdr:rowOff>
    </xdr:to>
    <xdr:sp macro="" textlink="">
      <xdr:nvSpPr>
        <xdr:cNvPr id="55" name="Rectangle: Rounded Corners 54">
          <a:hlinkClick xmlns:r="http://schemas.openxmlformats.org/officeDocument/2006/relationships" r:id="rId4"/>
          <a:extLst>
            <a:ext uri="{FF2B5EF4-FFF2-40B4-BE49-F238E27FC236}">
              <a16:creationId xmlns:a16="http://schemas.microsoft.com/office/drawing/2014/main" id="{83A2E683-7E2F-4EBD-AA4B-E63425DE5FF4}"/>
            </a:ext>
          </a:extLst>
        </xdr:cNvPr>
        <xdr:cNvSpPr/>
      </xdr:nvSpPr>
      <xdr:spPr>
        <a:xfrm>
          <a:off x="962735" y="7388202"/>
          <a:ext cx="1303020" cy="87487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489822</xdr:colOff>
      <xdr:row>42</xdr:row>
      <xdr:rowOff>86970</xdr:rowOff>
    </xdr:from>
    <xdr:to>
      <xdr:col>3</xdr:col>
      <xdr:colOff>155493</xdr:colOff>
      <xdr:row>45</xdr:row>
      <xdr:rowOff>46332</xdr:rowOff>
    </xdr:to>
    <xdr:pic>
      <xdr:nvPicPr>
        <xdr:cNvPr id="56" name="Picture 55">
          <a:hlinkClick xmlns:r="http://schemas.openxmlformats.org/officeDocument/2006/relationships" r:id="rId4"/>
          <a:extLst>
            <a:ext uri="{FF2B5EF4-FFF2-40B4-BE49-F238E27FC236}">
              <a16:creationId xmlns:a16="http://schemas.microsoft.com/office/drawing/2014/main" id="{085F8DAF-582E-47FF-AA89-43BCA3FF4C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0853" y="7587908"/>
          <a:ext cx="927734" cy="495143"/>
        </a:xfrm>
        <a:prstGeom prst="rect">
          <a:avLst/>
        </a:prstGeom>
      </xdr:spPr>
    </xdr:pic>
    <xdr:clientData/>
  </xdr:twoCellAnchor>
  <xdr:twoCellAnchor editAs="oneCell">
    <xdr:from>
      <xdr:col>19</xdr:col>
      <xdr:colOff>31828</xdr:colOff>
      <xdr:row>37</xdr:row>
      <xdr:rowOff>158552</xdr:rowOff>
    </xdr:from>
    <xdr:to>
      <xdr:col>20</xdr:col>
      <xdr:colOff>158034</xdr:colOff>
      <xdr:row>42</xdr:row>
      <xdr:rowOff>26427</xdr:rowOff>
    </xdr:to>
    <xdr:pic>
      <xdr:nvPicPr>
        <xdr:cNvPr id="63" name="Graphic 62" descr="Back with solid fill">
          <a:hlinkClick xmlns:r="http://schemas.openxmlformats.org/officeDocument/2006/relationships" r:id="rId6"/>
          <a:extLst>
            <a:ext uri="{FF2B5EF4-FFF2-40B4-BE49-F238E27FC236}">
              <a16:creationId xmlns:a16="http://schemas.microsoft.com/office/drawing/2014/main" id="{8AB7E013-0250-4C4B-92BB-5F010C534C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1924471" y="6703588"/>
          <a:ext cx="752134" cy="752339"/>
        </a:xfrm>
        <a:prstGeom prst="rect">
          <a:avLst/>
        </a:prstGeom>
      </xdr:spPr>
    </xdr:pic>
    <xdr:clientData/>
  </xdr:twoCellAnchor>
  <xdr:twoCellAnchor>
    <xdr:from>
      <xdr:col>18</xdr:col>
      <xdr:colOff>391058</xdr:colOff>
      <xdr:row>35</xdr:row>
      <xdr:rowOff>47693</xdr:rowOff>
    </xdr:from>
    <xdr:to>
      <xdr:col>20</xdr:col>
      <xdr:colOff>408215</xdr:colOff>
      <xdr:row>37</xdr:row>
      <xdr:rowOff>84637</xdr:rowOff>
    </xdr:to>
    <xdr:sp macro="" textlink="">
      <xdr:nvSpPr>
        <xdr:cNvPr id="64" name="TextBox 63">
          <a:extLst>
            <a:ext uri="{FF2B5EF4-FFF2-40B4-BE49-F238E27FC236}">
              <a16:creationId xmlns:a16="http://schemas.microsoft.com/office/drawing/2014/main" id="{5DCB1E84-D839-4459-A030-11B1EF9816AB}"/>
            </a:ext>
          </a:extLst>
        </xdr:cNvPr>
        <xdr:cNvSpPr txBox="1"/>
      </xdr:nvSpPr>
      <xdr:spPr>
        <a:xfrm>
          <a:off x="11657772" y="6238943"/>
          <a:ext cx="1269014" cy="39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editAs="oneCell">
    <xdr:from>
      <xdr:col>21</xdr:col>
      <xdr:colOff>521085</xdr:colOff>
      <xdr:row>34</xdr:row>
      <xdr:rowOff>175397</xdr:rowOff>
    </xdr:from>
    <xdr:to>
      <xdr:col>24</xdr:col>
      <xdr:colOff>445361</xdr:colOff>
      <xdr:row>46</xdr:row>
      <xdr:rowOff>43543</xdr:rowOff>
    </xdr:to>
    <mc:AlternateContent xmlns:mc="http://schemas.openxmlformats.org/markup-compatibility/2006" xmlns:a14="http://schemas.microsoft.com/office/drawing/2010/main">
      <mc:Choice Requires="a14">
        <xdr:graphicFrame macro="">
          <xdr:nvGraphicFramePr>
            <xdr:cNvPr id="65" name="Sector ">
              <a:extLst>
                <a:ext uri="{FF2B5EF4-FFF2-40B4-BE49-F238E27FC236}">
                  <a16:creationId xmlns:a16="http://schemas.microsoft.com/office/drawing/2014/main" id="{46C7A274-805C-4221-8A11-69D5F5F3EF5F}"/>
                </a:ext>
              </a:extLst>
            </xdr:cNvPr>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3659870" y="6182134"/>
              <a:ext cx="1802062" cy="245840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24</xdr:col>
      <xdr:colOff>486387</xdr:colOff>
      <xdr:row>34</xdr:row>
      <xdr:rowOff>140767</xdr:rowOff>
    </xdr:from>
    <xdr:to>
      <xdr:col>27</xdr:col>
      <xdr:colOff>422094</xdr:colOff>
      <xdr:row>46</xdr:row>
      <xdr:rowOff>108858</xdr:rowOff>
    </xdr:to>
    <mc:AlternateContent xmlns:mc="http://schemas.openxmlformats.org/markup-compatibility/2006" xmlns:a14="http://schemas.microsoft.com/office/drawing/2010/main">
      <mc:Choice Requires="a14">
        <xdr:graphicFrame macro="">
          <xdr:nvGraphicFramePr>
            <xdr:cNvPr id="3" name="Interval number of members 3">
              <a:extLst>
                <a:ext uri="{FF2B5EF4-FFF2-40B4-BE49-F238E27FC236}">
                  <a16:creationId xmlns:a16="http://schemas.microsoft.com/office/drawing/2014/main" id="{4B2B6A16-B0AA-4032-8BF9-6F481C7D4B30}"/>
                </a:ext>
              </a:extLst>
            </xdr:cNvPr>
            <xdr:cNvGraphicFramePr/>
          </xdr:nvGraphicFramePr>
          <xdr:xfrm>
            <a:off x="0" y="0"/>
            <a:ext cx="0" cy="0"/>
          </xdr:xfrm>
          <a:graphic>
            <a:graphicData uri="http://schemas.microsoft.com/office/drawing/2010/slicer">
              <sle:slicer xmlns:sle="http://schemas.microsoft.com/office/drawing/2010/slicer" name="Interval number of members 3"/>
            </a:graphicData>
          </a:graphic>
        </xdr:graphicFrame>
      </mc:Choice>
      <mc:Fallback xmlns="">
        <xdr:sp macro="" textlink="">
          <xdr:nvSpPr>
            <xdr:cNvPr id="0" name=""/>
            <xdr:cNvSpPr>
              <a:spLocks noTextEdit="1"/>
            </xdr:cNvSpPr>
          </xdr:nvSpPr>
          <xdr:spPr>
            <a:xfrm>
              <a:off x="15504863" y="6147504"/>
              <a:ext cx="1821112" cy="245030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59463</xdr:colOff>
      <xdr:row>3</xdr:row>
      <xdr:rowOff>182064</xdr:rowOff>
    </xdr:from>
    <xdr:to>
      <xdr:col>3</xdr:col>
      <xdr:colOff>69779</xdr:colOff>
      <xdr:row>8</xdr:row>
      <xdr:rowOff>120696</xdr:rowOff>
    </xdr:to>
    <xdr:pic>
      <xdr:nvPicPr>
        <xdr:cNvPr id="26" name="Picture 25">
          <a:extLst>
            <a:ext uri="{FF2B5EF4-FFF2-40B4-BE49-F238E27FC236}">
              <a16:creationId xmlns:a16="http://schemas.microsoft.com/office/drawing/2014/main" id="{E8368F15-1931-4291-8563-7BAB3339FD5C}"/>
            </a:ext>
          </a:extLst>
        </xdr:cNvPr>
        <xdr:cNvPicPr>
          <a:picLocks noChangeAspect="1"/>
        </xdr:cNvPicPr>
      </xdr:nvPicPr>
      <xdr:blipFill>
        <a:blip xmlns:r="http://schemas.openxmlformats.org/officeDocument/2006/relationships" r:embed="rId9"/>
        <a:stretch>
          <a:fillRect/>
        </a:stretch>
      </xdr:blipFill>
      <xdr:spPr>
        <a:xfrm>
          <a:off x="1284106" y="753564"/>
          <a:ext cx="622637" cy="891132"/>
        </a:xfrm>
        <a:prstGeom prst="rect">
          <a:avLst/>
        </a:prstGeom>
      </xdr:spPr>
    </xdr:pic>
    <xdr:clientData/>
  </xdr:twoCellAnchor>
  <xdr:twoCellAnchor>
    <xdr:from>
      <xdr:col>4</xdr:col>
      <xdr:colOff>544285</xdr:colOff>
      <xdr:row>43</xdr:row>
      <xdr:rowOff>122464</xdr:rowOff>
    </xdr:from>
    <xdr:to>
      <xdr:col>28</xdr:col>
      <xdr:colOff>149679</xdr:colOff>
      <xdr:row>47</xdr:row>
      <xdr:rowOff>0</xdr:rowOff>
    </xdr:to>
    <xdr:sp macro="" textlink="">
      <xdr:nvSpPr>
        <xdr:cNvPr id="5" name="TextBox 4">
          <a:extLst>
            <a:ext uri="{FF2B5EF4-FFF2-40B4-BE49-F238E27FC236}">
              <a16:creationId xmlns:a16="http://schemas.microsoft.com/office/drawing/2014/main" id="{3AA93AA1-A089-4A2B-99BA-00715182107A}"/>
            </a:ext>
          </a:extLst>
        </xdr:cNvPr>
        <xdr:cNvSpPr txBox="1"/>
      </xdr:nvSpPr>
      <xdr:spPr>
        <a:xfrm>
          <a:off x="2993571" y="8313964"/>
          <a:ext cx="14301108" cy="63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nl-NL" sz="1400"/>
            <a:t>N.B.</a:t>
          </a:r>
          <a:r>
            <a:rPr lang="nl-NL" sz="1400" baseline="0"/>
            <a:t> With active EEA and Non-EEA we mean the respectively international students who are active and are from inside the European Union (EEA) or from outside the European Union (Non-EEA). With active Dutch we mean active Dutch students.</a:t>
          </a:r>
          <a:endParaRPr lang="nl-NL" sz="1400"/>
        </a:p>
      </xdr:txBody>
    </xdr:sp>
    <xdr:clientData/>
  </xdr:twoCellAnchor>
  <xdr:twoCellAnchor>
    <xdr:from>
      <xdr:col>4</xdr:col>
      <xdr:colOff>274047</xdr:colOff>
      <xdr:row>5</xdr:row>
      <xdr:rowOff>86338</xdr:rowOff>
    </xdr:from>
    <xdr:to>
      <xdr:col>15</xdr:col>
      <xdr:colOff>380999</xdr:colOff>
      <xdr:row>34</xdr:row>
      <xdr:rowOff>25309</xdr:rowOff>
    </xdr:to>
    <xdr:graphicFrame macro="">
      <xdr:nvGraphicFramePr>
        <xdr:cNvPr id="27" name="Grafiek 26">
          <a:extLst>
            <a:ext uri="{FF2B5EF4-FFF2-40B4-BE49-F238E27FC236}">
              <a16:creationId xmlns:a16="http://schemas.microsoft.com/office/drawing/2014/main" id="{2B46E396-E534-4184-9094-3F1C658F8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514543</xdr:colOff>
      <xdr:row>34</xdr:row>
      <xdr:rowOff>6871</xdr:rowOff>
    </xdr:from>
    <xdr:to>
      <xdr:col>15</xdr:col>
      <xdr:colOff>554083</xdr:colOff>
      <xdr:row>43</xdr:row>
      <xdr:rowOff>81642</xdr:rowOff>
    </xdr:to>
    <mc:AlternateContent xmlns:mc="http://schemas.openxmlformats.org/markup-compatibility/2006" xmlns:a14="http://schemas.microsoft.com/office/drawing/2010/main">
      <mc:Choice Requires="a14">
        <xdr:graphicFrame macro="">
          <xdr:nvGraphicFramePr>
            <xdr:cNvPr id="28" name="Interval number of members 7">
              <a:extLst>
                <a:ext uri="{FF2B5EF4-FFF2-40B4-BE49-F238E27FC236}">
                  <a16:creationId xmlns:a16="http://schemas.microsoft.com/office/drawing/2014/main" id="{1F678914-96C4-459D-B63D-09950CDF7CDB}"/>
                </a:ext>
              </a:extLst>
            </xdr:cNvPr>
            <xdr:cNvGraphicFramePr/>
          </xdr:nvGraphicFramePr>
          <xdr:xfrm>
            <a:off x="0" y="0"/>
            <a:ext cx="0" cy="0"/>
          </xdr:xfrm>
          <a:graphic>
            <a:graphicData uri="http://schemas.microsoft.com/office/drawing/2010/slicer">
              <sle:slicer xmlns:sle="http://schemas.microsoft.com/office/drawing/2010/slicer" name="Interval number of members 7"/>
            </a:graphicData>
          </a:graphic>
        </xdr:graphicFrame>
      </mc:Choice>
      <mc:Fallback xmlns="">
        <xdr:sp macro="" textlink="">
          <xdr:nvSpPr>
            <xdr:cNvPr id="0" name=""/>
            <xdr:cNvSpPr>
              <a:spLocks noTextEdit="1"/>
            </xdr:cNvSpPr>
          </xdr:nvSpPr>
          <xdr:spPr>
            <a:xfrm>
              <a:off x="8021876" y="6023133"/>
              <a:ext cx="1917326" cy="1666807"/>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10</xdr:col>
      <xdr:colOff>17065</xdr:colOff>
      <xdr:row>34</xdr:row>
      <xdr:rowOff>37896</xdr:rowOff>
    </xdr:from>
    <xdr:to>
      <xdr:col>12</xdr:col>
      <xdr:colOff>584483</xdr:colOff>
      <xdr:row>43</xdr:row>
      <xdr:rowOff>77833</xdr:rowOff>
    </xdr:to>
    <mc:AlternateContent xmlns:mc="http://schemas.openxmlformats.org/markup-compatibility/2006" xmlns:a14="http://schemas.microsoft.com/office/drawing/2010/main">
      <mc:Choice Requires="a14">
        <xdr:graphicFrame macro="">
          <xdr:nvGraphicFramePr>
            <xdr:cNvPr id="29" name="Sector  9">
              <a:extLst>
                <a:ext uri="{FF2B5EF4-FFF2-40B4-BE49-F238E27FC236}">
                  <a16:creationId xmlns:a16="http://schemas.microsoft.com/office/drawing/2014/main" id="{BF4D750D-D6B2-4D84-B273-2F7989137FB1}"/>
                </a:ext>
              </a:extLst>
            </xdr:cNvPr>
            <xdr:cNvGraphicFramePr/>
          </xdr:nvGraphicFramePr>
          <xdr:xfrm>
            <a:off x="0" y="0"/>
            <a:ext cx="0" cy="0"/>
          </xdr:xfrm>
          <a:graphic>
            <a:graphicData uri="http://schemas.microsoft.com/office/drawing/2010/slicer">
              <sle:slicer xmlns:sle="http://schemas.microsoft.com/office/drawing/2010/slicer" name="Sector  9"/>
            </a:graphicData>
          </a:graphic>
        </xdr:graphicFrame>
      </mc:Choice>
      <mc:Fallback xmlns="">
        <xdr:sp macro="" textlink="">
          <xdr:nvSpPr>
            <xdr:cNvPr id="0" name=""/>
            <xdr:cNvSpPr>
              <a:spLocks noTextEdit="1"/>
            </xdr:cNvSpPr>
          </xdr:nvSpPr>
          <xdr:spPr>
            <a:xfrm>
              <a:off x="6280161" y="6052253"/>
              <a:ext cx="1819275" cy="163197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338465</xdr:colOff>
      <xdr:row>37</xdr:row>
      <xdr:rowOff>133242</xdr:rowOff>
    </xdr:from>
    <xdr:to>
      <xdr:col>6</xdr:col>
      <xdr:colOff>476101</xdr:colOff>
      <xdr:row>41</xdr:row>
      <xdr:rowOff>162770</xdr:rowOff>
    </xdr:to>
    <xdr:pic>
      <xdr:nvPicPr>
        <xdr:cNvPr id="32" name="Graphic 31" descr="Back with solid fill">
          <a:hlinkClick xmlns:r="http://schemas.openxmlformats.org/officeDocument/2006/relationships" r:id="rId11"/>
          <a:extLst>
            <a:ext uri="{FF2B5EF4-FFF2-40B4-BE49-F238E27FC236}">
              <a16:creationId xmlns:a16="http://schemas.microsoft.com/office/drawing/2014/main" id="{50F255B6-730C-41D3-950E-6E6A932C7B5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3468108" y="6678278"/>
          <a:ext cx="763564" cy="737099"/>
        </a:xfrm>
        <a:prstGeom prst="rect">
          <a:avLst/>
        </a:prstGeom>
      </xdr:spPr>
    </xdr:pic>
    <xdr:clientData/>
  </xdr:twoCellAnchor>
  <xdr:twoCellAnchor>
    <xdr:from>
      <xdr:col>5</xdr:col>
      <xdr:colOff>85101</xdr:colOff>
      <xdr:row>35</xdr:row>
      <xdr:rowOff>22383</xdr:rowOff>
    </xdr:from>
    <xdr:to>
      <xdr:col>7</xdr:col>
      <xdr:colOff>90828</xdr:colOff>
      <xdr:row>37</xdr:row>
      <xdr:rowOff>59327</xdr:rowOff>
    </xdr:to>
    <xdr:sp macro="" textlink="">
      <xdr:nvSpPr>
        <xdr:cNvPr id="33" name="TextBox 63">
          <a:extLst>
            <a:ext uri="{FF2B5EF4-FFF2-40B4-BE49-F238E27FC236}">
              <a16:creationId xmlns:a16="http://schemas.microsoft.com/office/drawing/2014/main" id="{5FBA7801-9016-4857-945B-1D5BB7151D2B}"/>
            </a:ext>
          </a:extLst>
        </xdr:cNvPr>
        <xdr:cNvSpPr txBox="1"/>
      </xdr:nvSpPr>
      <xdr:spPr>
        <a:xfrm>
          <a:off x="3214744" y="6213633"/>
          <a:ext cx="1257584" cy="39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xdr:from>
      <xdr:col>1</xdr:col>
      <xdr:colOff>415969</xdr:colOff>
      <xdr:row>31</xdr:row>
      <xdr:rowOff>155742</xdr:rowOff>
    </xdr:from>
    <xdr:to>
      <xdr:col>3</xdr:col>
      <xdr:colOff>378686</xdr:colOff>
      <xdr:row>35</xdr:row>
      <xdr:rowOff>53688</xdr:rowOff>
    </xdr:to>
    <xdr:sp macro="" textlink="">
      <xdr:nvSpPr>
        <xdr:cNvPr id="31" name="TextBox 30">
          <a:hlinkClick xmlns:r="http://schemas.openxmlformats.org/officeDocument/2006/relationships" r:id="rId12"/>
          <a:extLst>
            <a:ext uri="{FF2B5EF4-FFF2-40B4-BE49-F238E27FC236}">
              <a16:creationId xmlns:a16="http://schemas.microsoft.com/office/drawing/2014/main" id="{BC52443F-75CC-4E18-A8C9-B4230AF24770}"/>
            </a:ext>
          </a:extLst>
        </xdr:cNvPr>
        <xdr:cNvSpPr txBox="1"/>
      </xdr:nvSpPr>
      <xdr:spPr>
        <a:xfrm>
          <a:off x="1041898" y="5639421"/>
          <a:ext cx="1214574" cy="605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286122</xdr:colOff>
      <xdr:row>26</xdr:row>
      <xdr:rowOff>54425</xdr:rowOff>
    </xdr:from>
    <xdr:to>
      <xdr:col>4</xdr:col>
      <xdr:colOff>211053</xdr:colOff>
      <xdr:row>33</xdr:row>
      <xdr:rowOff>155117</xdr:rowOff>
    </xdr:to>
    <xdr:sp macro="" textlink="">
      <xdr:nvSpPr>
        <xdr:cNvPr id="36" name="Freeform: Shape 35">
          <a:extLst>
            <a:ext uri="{FF2B5EF4-FFF2-40B4-BE49-F238E27FC236}">
              <a16:creationId xmlns:a16="http://schemas.microsoft.com/office/drawing/2014/main" id="{60401C09-645D-4481-8951-676E97160A7E}"/>
            </a:ext>
          </a:extLst>
        </xdr:cNvPr>
        <xdr:cNvSpPr/>
      </xdr:nvSpPr>
      <xdr:spPr>
        <a:xfrm rot="16200000">
          <a:off x="1143938" y="4421752"/>
          <a:ext cx="1338942" cy="1802716"/>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chemeClr val="bg1"/>
            </a:solidFill>
          </a:endParaRPr>
        </a:p>
      </xdr:txBody>
    </xdr:sp>
    <xdr:clientData/>
  </xdr:twoCellAnchor>
  <xdr:twoCellAnchor>
    <xdr:from>
      <xdr:col>1</xdr:col>
      <xdr:colOff>386783</xdr:colOff>
      <xdr:row>28</xdr:row>
      <xdr:rowOff>17027</xdr:rowOff>
    </xdr:from>
    <xdr:to>
      <xdr:col>3</xdr:col>
      <xdr:colOff>398348</xdr:colOff>
      <xdr:row>31</xdr:row>
      <xdr:rowOff>155003</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936A3A86-3D2B-4D63-BA57-806F42468E80}"/>
            </a:ext>
          </a:extLst>
        </xdr:cNvPr>
        <xdr:cNvSpPr txBox="1"/>
      </xdr:nvSpPr>
      <xdr:spPr>
        <a:xfrm>
          <a:off x="1012712" y="4970027"/>
          <a:ext cx="1263422" cy="668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Internationals</a:t>
          </a:r>
        </a:p>
      </xdr:txBody>
    </xdr:sp>
    <xdr:clientData/>
  </xdr:twoCellAnchor>
  <xdr:twoCellAnchor>
    <xdr:from>
      <xdr:col>1</xdr:col>
      <xdr:colOff>149678</xdr:colOff>
      <xdr:row>24</xdr:row>
      <xdr:rowOff>95482</xdr:rowOff>
    </xdr:from>
    <xdr:to>
      <xdr:col>4</xdr:col>
      <xdr:colOff>19050</xdr:colOff>
      <xdr:row>28</xdr:row>
      <xdr:rowOff>29623</xdr:rowOff>
    </xdr:to>
    <xdr:sp macro="" textlink="">
      <xdr:nvSpPr>
        <xdr:cNvPr id="37" name="TextBox 36">
          <a:hlinkClick xmlns:r="http://schemas.openxmlformats.org/officeDocument/2006/relationships" r:id="rId14"/>
          <a:extLst>
            <a:ext uri="{FF2B5EF4-FFF2-40B4-BE49-F238E27FC236}">
              <a16:creationId xmlns:a16="http://schemas.microsoft.com/office/drawing/2014/main" id="{C3C10E07-0174-454C-AF25-CC60AD2B2F30}"/>
            </a:ext>
          </a:extLst>
        </xdr:cNvPr>
        <xdr:cNvSpPr txBox="1"/>
      </xdr:nvSpPr>
      <xdr:spPr>
        <a:xfrm>
          <a:off x="775607" y="4340911"/>
          <a:ext cx="1747157" cy="641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398824</xdr:colOff>
      <xdr:row>10</xdr:row>
      <xdr:rowOff>0</xdr:rowOff>
    </xdr:from>
    <xdr:to>
      <xdr:col>3</xdr:col>
      <xdr:colOff>378686</xdr:colOff>
      <xdr:row>13</xdr:row>
      <xdr:rowOff>135799</xdr:rowOff>
    </xdr:to>
    <xdr:sp macro="" textlink="">
      <xdr:nvSpPr>
        <xdr:cNvPr id="38" name="TextBox 37">
          <a:hlinkClick xmlns:r="http://schemas.openxmlformats.org/officeDocument/2006/relationships" r:id="rId15"/>
          <a:extLst>
            <a:ext uri="{FF2B5EF4-FFF2-40B4-BE49-F238E27FC236}">
              <a16:creationId xmlns:a16="http://schemas.microsoft.com/office/drawing/2014/main" id="{7C864D17-783E-4253-9C5C-CDC0614905CD}"/>
            </a:ext>
          </a:extLst>
        </xdr:cNvPr>
        <xdr:cNvSpPr txBox="1"/>
      </xdr:nvSpPr>
      <xdr:spPr>
        <a:xfrm>
          <a:off x="1024753" y="1768929"/>
          <a:ext cx="1231719" cy="66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376782</xdr:colOff>
      <xdr:row>20</xdr:row>
      <xdr:rowOff>79776</xdr:rowOff>
    </xdr:from>
    <xdr:to>
      <xdr:col>3</xdr:col>
      <xdr:colOff>455158</xdr:colOff>
      <xdr:row>24</xdr:row>
      <xdr:rowOff>65624</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AE1A825F-8743-48A8-A605-0828B15ED5FC}"/>
            </a:ext>
          </a:extLst>
        </xdr:cNvPr>
        <xdr:cNvSpPr txBox="1"/>
      </xdr:nvSpPr>
      <xdr:spPr>
        <a:xfrm>
          <a:off x="1002711" y="3617633"/>
          <a:ext cx="1330233" cy="69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423589</xdr:colOff>
      <xdr:row>17</xdr:row>
      <xdr:rowOff>59987</xdr:rowOff>
    </xdr:from>
    <xdr:to>
      <xdr:col>3</xdr:col>
      <xdr:colOff>361541</xdr:colOff>
      <xdr:row>20</xdr:row>
      <xdr:rowOff>136731</xdr:rowOff>
    </xdr:to>
    <xdr:sp macro="" textlink="">
      <xdr:nvSpPr>
        <xdr:cNvPr id="40" name="TextBox 39">
          <a:hlinkClick xmlns:r="http://schemas.openxmlformats.org/officeDocument/2006/relationships" r:id="rId17"/>
          <a:extLst>
            <a:ext uri="{FF2B5EF4-FFF2-40B4-BE49-F238E27FC236}">
              <a16:creationId xmlns:a16="http://schemas.microsoft.com/office/drawing/2014/main" id="{FD4A4124-82C7-4F30-935F-BC186A5B7F2A}"/>
            </a:ext>
          </a:extLst>
        </xdr:cNvPr>
        <xdr:cNvSpPr txBox="1"/>
      </xdr:nvSpPr>
      <xdr:spPr>
        <a:xfrm>
          <a:off x="1049518" y="3067166"/>
          <a:ext cx="1189809" cy="60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299120</xdr:colOff>
      <xdr:row>13</xdr:row>
      <xdr:rowOff>136538</xdr:rowOff>
    </xdr:from>
    <xdr:to>
      <xdr:col>3</xdr:col>
      <xdr:colOff>476485</xdr:colOff>
      <xdr:row>17</xdr:row>
      <xdr:rowOff>57343</xdr:rowOff>
    </xdr:to>
    <xdr:sp macro="" textlink="">
      <xdr:nvSpPr>
        <xdr:cNvPr id="41" name="TextBox 40">
          <a:hlinkClick xmlns:r="http://schemas.openxmlformats.org/officeDocument/2006/relationships" r:id="rId18"/>
          <a:extLst>
            <a:ext uri="{FF2B5EF4-FFF2-40B4-BE49-F238E27FC236}">
              <a16:creationId xmlns:a16="http://schemas.microsoft.com/office/drawing/2014/main" id="{C7DD9965-FCE9-46C4-BDF0-4D175CC684DF}"/>
            </a:ext>
          </a:extLst>
        </xdr:cNvPr>
        <xdr:cNvSpPr txBox="1"/>
      </xdr:nvSpPr>
      <xdr:spPr>
        <a:xfrm>
          <a:off x="925049" y="2436145"/>
          <a:ext cx="1429222" cy="628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27140</xdr:colOff>
      <xdr:row>2</xdr:row>
      <xdr:rowOff>28573</xdr:rowOff>
    </xdr:from>
    <xdr:to>
      <xdr:col>30</xdr:col>
      <xdr:colOff>524766</xdr:colOff>
      <xdr:row>47</xdr:row>
      <xdr:rowOff>185056</xdr:rowOff>
    </xdr:to>
    <xdr:sp macro="" textlink="">
      <xdr:nvSpPr>
        <xdr:cNvPr id="2" name="Rectangle: Top Corners Rounded 1">
          <a:extLst>
            <a:ext uri="{FF2B5EF4-FFF2-40B4-BE49-F238E27FC236}">
              <a16:creationId xmlns:a16="http://schemas.microsoft.com/office/drawing/2014/main" id="{D154A43D-24BD-4292-A97F-0FB96D0BE6F0}"/>
            </a:ext>
          </a:extLst>
        </xdr:cNvPr>
        <xdr:cNvSpPr/>
      </xdr:nvSpPr>
      <xdr:spPr>
        <a:xfrm rot="5400000">
          <a:off x="6582182" y="-3674412"/>
          <a:ext cx="8484055" cy="16630254"/>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31200</xdr:colOff>
      <xdr:row>49</xdr:row>
      <xdr:rowOff>0</xdr:rowOff>
    </xdr:to>
    <xdr:sp macro="" textlink="">
      <xdr:nvSpPr>
        <xdr:cNvPr id="3" name="Rectangle 2">
          <a:extLst>
            <a:ext uri="{FF2B5EF4-FFF2-40B4-BE49-F238E27FC236}">
              <a16:creationId xmlns:a16="http://schemas.microsoft.com/office/drawing/2014/main" id="{3F16FE37-22C2-474E-B1EA-C978E589C126}"/>
            </a:ext>
          </a:extLst>
        </xdr:cNvPr>
        <xdr:cNvSpPr/>
      </xdr:nvSpPr>
      <xdr:spPr>
        <a:xfrm>
          <a:off x="0" y="0"/>
          <a:ext cx="2543895" cy="8867775"/>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31024</xdr:colOff>
      <xdr:row>2</xdr:row>
      <xdr:rowOff>43200</xdr:rowOff>
    </xdr:from>
    <xdr:to>
      <xdr:col>29</xdr:col>
      <xdr:colOff>567419</xdr:colOff>
      <xdr:row>5</xdr:row>
      <xdr:rowOff>36737</xdr:rowOff>
    </xdr:to>
    <xdr:sp macro="" textlink="">
      <xdr:nvSpPr>
        <xdr:cNvPr id="7" name="Rectangle 6">
          <a:extLst>
            <a:ext uri="{FF2B5EF4-FFF2-40B4-BE49-F238E27FC236}">
              <a16:creationId xmlns:a16="http://schemas.microsoft.com/office/drawing/2014/main" id="{91B1EC5D-670A-4746-8BA7-3C5E1475E6D3}"/>
            </a:ext>
          </a:extLst>
        </xdr:cNvPr>
        <xdr:cNvSpPr/>
      </xdr:nvSpPr>
      <xdr:spPr>
        <a:xfrm>
          <a:off x="3160667" y="396986"/>
          <a:ext cx="15558681" cy="524215"/>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27214</xdr:colOff>
      <xdr:row>2</xdr:row>
      <xdr:rowOff>54428</xdr:rowOff>
    </xdr:from>
    <xdr:to>
      <xdr:col>12</xdr:col>
      <xdr:colOff>40821</xdr:colOff>
      <xdr:row>4</xdr:row>
      <xdr:rowOff>81643</xdr:rowOff>
    </xdr:to>
    <xdr:sp macro="" textlink="">
      <xdr:nvSpPr>
        <xdr:cNvPr id="8" name="TextBox 7">
          <a:extLst>
            <a:ext uri="{FF2B5EF4-FFF2-40B4-BE49-F238E27FC236}">
              <a16:creationId xmlns:a16="http://schemas.microsoft.com/office/drawing/2014/main" id="{6B22BCE9-E05B-43E4-AE1A-76231E39E7A6}"/>
            </a:ext>
          </a:extLst>
        </xdr:cNvPr>
        <xdr:cNvSpPr txBox="1"/>
      </xdr:nvSpPr>
      <xdr:spPr>
        <a:xfrm>
          <a:off x="3168559" y="420188"/>
          <a:ext cx="4416062" cy="38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Committees</a:t>
          </a:r>
        </a:p>
      </xdr:txBody>
    </xdr:sp>
    <xdr:clientData/>
  </xdr:twoCellAnchor>
  <xdr:twoCellAnchor>
    <xdr:from>
      <xdr:col>24</xdr:col>
      <xdr:colOff>476250</xdr:colOff>
      <xdr:row>2</xdr:row>
      <xdr:rowOff>43542</xdr:rowOff>
    </xdr:from>
    <xdr:to>
      <xdr:col>28</xdr:col>
      <xdr:colOff>517071</xdr:colOff>
      <xdr:row>4</xdr:row>
      <xdr:rowOff>70757</xdr:rowOff>
    </xdr:to>
    <xdr:sp macro="" textlink="">
      <xdr:nvSpPr>
        <xdr:cNvPr id="9" name="TextBox 8">
          <a:extLst>
            <a:ext uri="{FF2B5EF4-FFF2-40B4-BE49-F238E27FC236}">
              <a16:creationId xmlns:a16="http://schemas.microsoft.com/office/drawing/2014/main" id="{E7F04986-7F6E-4AEA-8182-0C36FC34BA3E}"/>
            </a:ext>
          </a:extLst>
        </xdr:cNvPr>
        <xdr:cNvSpPr txBox="1"/>
      </xdr:nvSpPr>
      <xdr:spPr>
        <a:xfrm>
          <a:off x="15171964" y="424542"/>
          <a:ext cx="2490107" cy="4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2023</a:t>
          </a:r>
        </a:p>
      </xdr:txBody>
    </xdr:sp>
    <xdr:clientData/>
  </xdr:twoCellAnchor>
  <xdr:oneCellAnchor>
    <xdr:from>
      <xdr:col>28</xdr:col>
      <xdr:colOff>571503</xdr:colOff>
      <xdr:row>2</xdr:row>
      <xdr:rowOff>2721</xdr:rowOff>
    </xdr:from>
    <xdr:ext cx="526867" cy="486044"/>
    <xdr:pic>
      <xdr:nvPicPr>
        <xdr:cNvPr id="12" name="Graphic 11" descr="Blog with solid fill">
          <a:extLst>
            <a:ext uri="{FF2B5EF4-FFF2-40B4-BE49-F238E27FC236}">
              <a16:creationId xmlns:a16="http://schemas.microsoft.com/office/drawing/2014/main" id="{FF802BC0-167C-4253-83EE-39D5DEE67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10</xdr:col>
      <xdr:colOff>420323</xdr:colOff>
      <xdr:row>6</xdr:row>
      <xdr:rowOff>89465</xdr:rowOff>
    </xdr:from>
    <xdr:to>
      <xdr:col>26</xdr:col>
      <xdr:colOff>258536</xdr:colOff>
      <xdr:row>25</xdr:row>
      <xdr:rowOff>3808</xdr:rowOff>
    </xdr:to>
    <xdr:graphicFrame macro="">
      <xdr:nvGraphicFramePr>
        <xdr:cNvPr id="46" name="Grafiek 9">
          <a:extLst>
            <a:ext uri="{FF2B5EF4-FFF2-40B4-BE49-F238E27FC236}">
              <a16:creationId xmlns:a16="http://schemas.microsoft.com/office/drawing/2014/main" id="{94F1D6BC-7604-4F58-AB70-9A32BAB68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437945</xdr:colOff>
      <xdr:row>27</xdr:row>
      <xdr:rowOff>112870</xdr:rowOff>
    </xdr:from>
    <xdr:to>
      <xdr:col>26</xdr:col>
      <xdr:colOff>11906</xdr:colOff>
      <xdr:row>45</xdr:row>
      <xdr:rowOff>57625</xdr:rowOff>
    </xdr:to>
    <xdr:graphicFrame macro="">
      <xdr:nvGraphicFramePr>
        <xdr:cNvPr id="47" name="Grafiek 10">
          <a:extLst>
            <a:ext uri="{FF2B5EF4-FFF2-40B4-BE49-F238E27FC236}">
              <a16:creationId xmlns:a16="http://schemas.microsoft.com/office/drawing/2014/main" id="{9A8C7256-68AA-40A8-8A86-ED1FB4651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33610</xdr:colOff>
      <xdr:row>2</xdr:row>
      <xdr:rowOff>32318</xdr:rowOff>
    </xdr:from>
    <xdr:to>
      <xdr:col>4</xdr:col>
      <xdr:colOff>33610</xdr:colOff>
      <xdr:row>47</xdr:row>
      <xdr:rowOff>167302</xdr:rowOff>
    </xdr:to>
    <xdr:sp macro="" textlink="">
      <xdr:nvSpPr>
        <xdr:cNvPr id="48" name="Rectangle: Top Corners Rounded 47">
          <a:extLst>
            <a:ext uri="{FF2B5EF4-FFF2-40B4-BE49-F238E27FC236}">
              <a16:creationId xmlns:a16="http://schemas.microsoft.com/office/drawing/2014/main" id="{F7B239BD-46DA-4171-A5C9-B67A13C8DFDD}"/>
            </a:ext>
          </a:extLst>
        </xdr:cNvPr>
        <xdr:cNvSpPr/>
      </xdr:nvSpPr>
      <xdr:spPr>
        <a:xfrm rot="16200000">
          <a:off x="-2449149" y="3494792"/>
          <a:ext cx="8095162"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421754</xdr:colOff>
      <xdr:row>3</xdr:row>
      <xdr:rowOff>1770</xdr:rowOff>
    </xdr:from>
    <xdr:to>
      <xdr:col>3</xdr:col>
      <xdr:colOff>312895</xdr:colOff>
      <xdr:row>9</xdr:row>
      <xdr:rowOff>68918</xdr:rowOff>
    </xdr:to>
    <xdr:sp macro="" textlink="">
      <xdr:nvSpPr>
        <xdr:cNvPr id="56" name="Oval 55">
          <a:extLst>
            <a:ext uri="{FF2B5EF4-FFF2-40B4-BE49-F238E27FC236}">
              <a16:creationId xmlns:a16="http://schemas.microsoft.com/office/drawing/2014/main" id="{5C0D61DB-42C5-48DA-8600-6B1067FE7D25}"/>
            </a:ext>
          </a:extLst>
        </xdr:cNvPr>
        <xdr:cNvSpPr/>
      </xdr:nvSpPr>
      <xdr:spPr>
        <a:xfrm>
          <a:off x="1052785" y="537551"/>
          <a:ext cx="1153204" cy="113871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331704</xdr:colOff>
      <xdr:row>41</xdr:row>
      <xdr:rowOff>53953</xdr:rowOff>
    </xdr:from>
    <xdr:to>
      <xdr:col>3</xdr:col>
      <xdr:colOff>372661</xdr:colOff>
      <xdr:row>46</xdr:row>
      <xdr:rowOff>35855</xdr:rowOff>
    </xdr:to>
    <xdr:sp macro="" textlink="">
      <xdr:nvSpPr>
        <xdr:cNvPr id="58" name="Rectangle: Rounded Corners 57">
          <a:hlinkClick xmlns:r="http://schemas.openxmlformats.org/officeDocument/2006/relationships" r:id="rId5"/>
          <a:extLst>
            <a:ext uri="{FF2B5EF4-FFF2-40B4-BE49-F238E27FC236}">
              <a16:creationId xmlns:a16="http://schemas.microsoft.com/office/drawing/2014/main" id="{7F227DF7-CA00-4590-ABB9-5C58B095DDE8}"/>
            </a:ext>
          </a:extLst>
        </xdr:cNvPr>
        <xdr:cNvSpPr/>
      </xdr:nvSpPr>
      <xdr:spPr>
        <a:xfrm>
          <a:off x="962735" y="7376297"/>
          <a:ext cx="1303020" cy="87487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489822</xdr:colOff>
      <xdr:row>42</xdr:row>
      <xdr:rowOff>75065</xdr:rowOff>
    </xdr:from>
    <xdr:to>
      <xdr:col>3</xdr:col>
      <xdr:colOff>155493</xdr:colOff>
      <xdr:row>45</xdr:row>
      <xdr:rowOff>34427</xdr:rowOff>
    </xdr:to>
    <xdr:pic>
      <xdr:nvPicPr>
        <xdr:cNvPr id="59" name="Picture 58">
          <a:hlinkClick xmlns:r="http://schemas.openxmlformats.org/officeDocument/2006/relationships" r:id="rId5"/>
          <a:extLst>
            <a:ext uri="{FF2B5EF4-FFF2-40B4-BE49-F238E27FC236}">
              <a16:creationId xmlns:a16="http://schemas.microsoft.com/office/drawing/2014/main" id="{6B37F3DD-80DC-4394-95EA-DDC29FF8B0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0853" y="7576003"/>
          <a:ext cx="927734" cy="495143"/>
        </a:xfrm>
        <a:prstGeom prst="rect">
          <a:avLst/>
        </a:prstGeom>
      </xdr:spPr>
    </xdr:pic>
    <xdr:clientData/>
  </xdr:twoCellAnchor>
  <xdr:twoCellAnchor editAs="oneCell">
    <xdr:from>
      <xdr:col>26</xdr:col>
      <xdr:colOff>141140</xdr:colOff>
      <xdr:row>13</xdr:row>
      <xdr:rowOff>127661</xdr:rowOff>
    </xdr:from>
    <xdr:to>
      <xdr:col>27</xdr:col>
      <xdr:colOff>255917</xdr:colOff>
      <xdr:row>17</xdr:row>
      <xdr:rowOff>153379</xdr:rowOff>
    </xdr:to>
    <xdr:pic>
      <xdr:nvPicPr>
        <xdr:cNvPr id="60" name="Graphic 59" descr="Back with solid fill">
          <a:hlinkClick xmlns:r="http://schemas.openxmlformats.org/officeDocument/2006/relationships" r:id="rId7"/>
          <a:extLst>
            <a:ext uri="{FF2B5EF4-FFF2-40B4-BE49-F238E27FC236}">
              <a16:creationId xmlns:a16="http://schemas.microsoft.com/office/drawing/2014/main" id="{8BB1F463-75D8-40F2-BF2E-16F15641831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6547953" y="2449380"/>
          <a:ext cx="745808" cy="740093"/>
        </a:xfrm>
        <a:prstGeom prst="rect">
          <a:avLst/>
        </a:prstGeom>
      </xdr:spPr>
    </xdr:pic>
    <xdr:clientData/>
  </xdr:twoCellAnchor>
  <xdr:twoCellAnchor editAs="oneCell">
    <xdr:from>
      <xdr:col>26</xdr:col>
      <xdr:colOff>150665</xdr:colOff>
      <xdr:row>34</xdr:row>
      <xdr:rowOff>62416</xdr:rowOff>
    </xdr:from>
    <xdr:to>
      <xdr:col>27</xdr:col>
      <xdr:colOff>246392</xdr:colOff>
      <xdr:row>38</xdr:row>
      <xdr:rowOff>99564</xdr:rowOff>
    </xdr:to>
    <xdr:pic>
      <xdr:nvPicPr>
        <xdr:cNvPr id="62" name="Graphic 61" descr="Back with solid fill">
          <a:hlinkClick xmlns:r="http://schemas.openxmlformats.org/officeDocument/2006/relationships" r:id="rId10"/>
          <a:extLst>
            <a:ext uri="{FF2B5EF4-FFF2-40B4-BE49-F238E27FC236}">
              <a16:creationId xmlns:a16="http://schemas.microsoft.com/office/drawing/2014/main" id="{3AFD265D-C45D-43B2-9AD4-C75077CDD0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6557478" y="6134604"/>
          <a:ext cx="726758" cy="751523"/>
        </a:xfrm>
        <a:prstGeom prst="rect">
          <a:avLst/>
        </a:prstGeom>
      </xdr:spPr>
    </xdr:pic>
    <xdr:clientData/>
  </xdr:twoCellAnchor>
  <xdr:twoCellAnchor>
    <xdr:from>
      <xdr:col>26</xdr:col>
      <xdr:colOff>26254</xdr:colOff>
      <xdr:row>11</xdr:row>
      <xdr:rowOff>125118</xdr:rowOff>
    </xdr:from>
    <xdr:to>
      <xdr:col>27</xdr:col>
      <xdr:colOff>542305</xdr:colOff>
      <xdr:row>13</xdr:row>
      <xdr:rowOff>152332</xdr:rowOff>
    </xdr:to>
    <xdr:sp macro="" textlink="">
      <xdr:nvSpPr>
        <xdr:cNvPr id="67" name="TextBox 66">
          <a:extLst>
            <a:ext uri="{FF2B5EF4-FFF2-40B4-BE49-F238E27FC236}">
              <a16:creationId xmlns:a16="http://schemas.microsoft.com/office/drawing/2014/main" id="{A86A1D66-2C66-4395-9A4D-09FAB255CDA8}"/>
            </a:ext>
          </a:extLst>
        </xdr:cNvPr>
        <xdr:cNvSpPr txBox="1"/>
      </xdr:nvSpPr>
      <xdr:spPr>
        <a:xfrm>
          <a:off x="16433067" y="2089649"/>
          <a:ext cx="1147082" cy="38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xdr:from>
      <xdr:col>26</xdr:col>
      <xdr:colOff>24349</xdr:colOff>
      <xdr:row>32</xdr:row>
      <xdr:rowOff>113212</xdr:rowOff>
    </xdr:from>
    <xdr:to>
      <xdr:col>27</xdr:col>
      <xdr:colOff>540400</xdr:colOff>
      <xdr:row>34</xdr:row>
      <xdr:rowOff>136616</xdr:rowOff>
    </xdr:to>
    <xdr:sp macro="" textlink="">
      <xdr:nvSpPr>
        <xdr:cNvPr id="68" name="TextBox 67">
          <a:extLst>
            <a:ext uri="{FF2B5EF4-FFF2-40B4-BE49-F238E27FC236}">
              <a16:creationId xmlns:a16="http://schemas.microsoft.com/office/drawing/2014/main" id="{C532EB4B-D386-4E0A-B2AD-83F5D4F4A219}"/>
            </a:ext>
          </a:extLst>
        </xdr:cNvPr>
        <xdr:cNvSpPr txBox="1"/>
      </xdr:nvSpPr>
      <xdr:spPr>
        <a:xfrm>
          <a:off x="16431162" y="5828212"/>
          <a:ext cx="1147082" cy="38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editAs="oneCell">
    <xdr:from>
      <xdr:col>4</xdr:col>
      <xdr:colOff>527209</xdr:colOff>
      <xdr:row>8</xdr:row>
      <xdr:rowOff>147162</xdr:rowOff>
    </xdr:from>
    <xdr:to>
      <xdr:col>7</xdr:col>
      <xdr:colOff>453390</xdr:colOff>
      <xdr:row>22</xdr:row>
      <xdr:rowOff>110014</xdr:rowOff>
    </xdr:to>
    <mc:AlternateContent xmlns:mc="http://schemas.openxmlformats.org/markup-compatibility/2006" xmlns:a14="http://schemas.microsoft.com/office/drawing/2010/main">
      <mc:Choice Requires="a14">
        <xdr:graphicFrame macro="">
          <xdr:nvGraphicFramePr>
            <xdr:cNvPr id="69" name="Sector  3">
              <a:extLst>
                <a:ext uri="{FF2B5EF4-FFF2-40B4-BE49-F238E27FC236}">
                  <a16:creationId xmlns:a16="http://schemas.microsoft.com/office/drawing/2014/main" id="{F9384ACE-C7A1-4074-97A3-61884648972F}"/>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3049429" y="1574007"/>
              <a:ext cx="1821180" cy="246316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397191</xdr:colOff>
      <xdr:row>8</xdr:row>
      <xdr:rowOff>131445</xdr:rowOff>
    </xdr:from>
    <xdr:to>
      <xdr:col>10</xdr:col>
      <xdr:colOff>330992</xdr:colOff>
      <xdr:row>22</xdr:row>
      <xdr:rowOff>94297</xdr:rowOff>
    </xdr:to>
    <mc:AlternateContent xmlns:mc="http://schemas.openxmlformats.org/markup-compatibility/2006" xmlns:a14="http://schemas.microsoft.com/office/drawing/2010/main">
      <mc:Choice Requires="a14">
        <xdr:graphicFrame macro="">
          <xdr:nvGraphicFramePr>
            <xdr:cNvPr id="70" name="Interval number of members">
              <a:extLst>
                <a:ext uri="{FF2B5EF4-FFF2-40B4-BE49-F238E27FC236}">
                  <a16:creationId xmlns:a16="http://schemas.microsoft.com/office/drawing/2014/main" id="{F44B12FE-5C81-4A22-B0F1-C9ECD9E44CE1}"/>
                </a:ext>
              </a:extLst>
            </xdr:cNvPr>
            <xdr:cNvGraphicFramePr/>
          </xdr:nvGraphicFramePr>
          <xdr:xfrm>
            <a:off x="0" y="0"/>
            <a:ext cx="0" cy="0"/>
          </xdr:xfrm>
          <a:graphic>
            <a:graphicData uri="http://schemas.microsoft.com/office/drawing/2010/slicer">
              <sle:slicer xmlns:sle="http://schemas.microsoft.com/office/drawing/2010/slicer" name="Interval number of members"/>
            </a:graphicData>
          </a:graphic>
        </xdr:graphicFrame>
      </mc:Choice>
      <mc:Fallback xmlns="">
        <xdr:sp macro="" textlink="">
          <xdr:nvSpPr>
            <xdr:cNvPr id="0" name=""/>
            <xdr:cNvSpPr>
              <a:spLocks noTextEdit="1"/>
            </xdr:cNvSpPr>
          </xdr:nvSpPr>
          <xdr:spPr>
            <a:xfrm>
              <a:off x="4818220" y="1564005"/>
              <a:ext cx="1819275" cy="246316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352901</xdr:colOff>
      <xdr:row>30</xdr:row>
      <xdr:rowOff>138588</xdr:rowOff>
    </xdr:from>
    <xdr:to>
      <xdr:col>7</xdr:col>
      <xdr:colOff>290512</xdr:colOff>
      <xdr:row>44</xdr:row>
      <xdr:rowOff>107156</xdr:rowOff>
    </xdr:to>
    <mc:AlternateContent xmlns:mc="http://schemas.openxmlformats.org/markup-compatibility/2006" xmlns:a14="http://schemas.microsoft.com/office/drawing/2010/main">
      <mc:Choice Requires="a14">
        <xdr:graphicFrame macro="">
          <xdr:nvGraphicFramePr>
            <xdr:cNvPr id="4" name="Sector  5">
              <a:extLst>
                <a:ext uri="{FF2B5EF4-FFF2-40B4-BE49-F238E27FC236}">
                  <a16:creationId xmlns:a16="http://schemas.microsoft.com/office/drawing/2014/main" id="{A9440ACC-78B6-4072-A488-CADEC75AC2B7}"/>
                </a:ext>
              </a:extLst>
            </xdr:cNvPr>
            <xdr:cNvGraphicFramePr/>
          </xdr:nvGraphicFramePr>
          <xdr:xfrm>
            <a:off x="0" y="0"/>
            <a:ext cx="0" cy="0"/>
          </xdr:xfrm>
          <a:graphic>
            <a:graphicData uri="http://schemas.microsoft.com/office/drawing/2010/slicer">
              <sle:slicer xmlns:sle="http://schemas.microsoft.com/office/drawing/2010/slicer" name="Sector  5"/>
            </a:graphicData>
          </a:graphic>
        </xdr:graphicFrame>
      </mc:Choice>
      <mc:Fallback xmlns="">
        <xdr:sp macro="" textlink="">
          <xdr:nvSpPr>
            <xdr:cNvPr id="0" name=""/>
            <xdr:cNvSpPr>
              <a:spLocks noTextEdit="1"/>
            </xdr:cNvSpPr>
          </xdr:nvSpPr>
          <xdr:spPr>
            <a:xfrm>
              <a:off x="2878931" y="5492591"/>
              <a:ext cx="1824990" cy="247078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325279</xdr:colOff>
      <xdr:row>30</xdr:row>
      <xdr:rowOff>164306</xdr:rowOff>
    </xdr:from>
    <xdr:to>
      <xdr:col>10</xdr:col>
      <xdr:colOff>264795</xdr:colOff>
      <xdr:row>44</xdr:row>
      <xdr:rowOff>134779</xdr:rowOff>
    </xdr:to>
    <mc:AlternateContent xmlns:mc="http://schemas.openxmlformats.org/markup-compatibility/2006" xmlns:a14="http://schemas.microsoft.com/office/drawing/2010/main">
      <mc:Choice Requires="a14">
        <xdr:graphicFrame macro="">
          <xdr:nvGraphicFramePr>
            <xdr:cNvPr id="5" name="Interval number of members 4">
              <a:extLst>
                <a:ext uri="{FF2B5EF4-FFF2-40B4-BE49-F238E27FC236}">
                  <a16:creationId xmlns:a16="http://schemas.microsoft.com/office/drawing/2014/main" id="{6C659C3A-8850-48F8-8CA7-DA0E6272A8BA}"/>
                </a:ext>
              </a:extLst>
            </xdr:cNvPr>
            <xdr:cNvGraphicFramePr/>
          </xdr:nvGraphicFramePr>
          <xdr:xfrm>
            <a:off x="0" y="0"/>
            <a:ext cx="0" cy="0"/>
          </xdr:xfrm>
          <a:graphic>
            <a:graphicData uri="http://schemas.microsoft.com/office/drawing/2010/slicer">
              <sle:slicer xmlns:sle="http://schemas.microsoft.com/office/drawing/2010/slicer" name="Interval number of members 4"/>
            </a:graphicData>
          </a:graphic>
        </xdr:graphicFrame>
      </mc:Choice>
      <mc:Fallback xmlns="">
        <xdr:sp macro="" textlink="">
          <xdr:nvSpPr>
            <xdr:cNvPr id="0" name=""/>
            <xdr:cNvSpPr>
              <a:spLocks noTextEdit="1"/>
            </xdr:cNvSpPr>
          </xdr:nvSpPr>
          <xdr:spPr>
            <a:xfrm>
              <a:off x="4738688" y="5525929"/>
              <a:ext cx="1836420" cy="246316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59464</xdr:colOff>
      <xdr:row>3</xdr:row>
      <xdr:rowOff>183765</xdr:rowOff>
    </xdr:from>
    <xdr:to>
      <xdr:col>3</xdr:col>
      <xdr:colOff>69780</xdr:colOff>
      <xdr:row>8</xdr:row>
      <xdr:rowOff>122397</xdr:rowOff>
    </xdr:to>
    <xdr:pic>
      <xdr:nvPicPr>
        <xdr:cNvPr id="30" name="Picture 29">
          <a:extLst>
            <a:ext uri="{FF2B5EF4-FFF2-40B4-BE49-F238E27FC236}">
              <a16:creationId xmlns:a16="http://schemas.microsoft.com/office/drawing/2014/main" id="{AEB730D3-1332-4BCF-9D30-E8143022F01F}"/>
            </a:ext>
          </a:extLst>
        </xdr:cNvPr>
        <xdr:cNvPicPr>
          <a:picLocks noChangeAspect="1"/>
        </xdr:cNvPicPr>
      </xdr:nvPicPr>
      <xdr:blipFill>
        <a:blip xmlns:r="http://schemas.openxmlformats.org/officeDocument/2006/relationships" r:embed="rId11"/>
        <a:stretch>
          <a:fillRect/>
        </a:stretch>
      </xdr:blipFill>
      <xdr:spPr>
        <a:xfrm>
          <a:off x="1284107" y="755265"/>
          <a:ext cx="622637" cy="891132"/>
        </a:xfrm>
        <a:prstGeom prst="rect">
          <a:avLst/>
        </a:prstGeom>
      </xdr:spPr>
    </xdr:pic>
    <xdr:clientData/>
  </xdr:twoCellAnchor>
  <xdr:twoCellAnchor>
    <xdr:from>
      <xdr:col>1</xdr:col>
      <xdr:colOff>245302</xdr:colOff>
      <xdr:row>29</xdr:row>
      <xdr:rowOff>159200</xdr:rowOff>
    </xdr:from>
    <xdr:to>
      <xdr:col>4</xdr:col>
      <xdr:colOff>170233</xdr:colOff>
      <xdr:row>37</xdr:row>
      <xdr:rowOff>82999</xdr:rowOff>
    </xdr:to>
    <xdr:sp macro="" textlink="">
      <xdr:nvSpPr>
        <xdr:cNvPr id="33" name="Freeform: Shape 32">
          <a:extLst>
            <a:ext uri="{FF2B5EF4-FFF2-40B4-BE49-F238E27FC236}">
              <a16:creationId xmlns:a16="http://schemas.microsoft.com/office/drawing/2014/main" id="{3EF67035-F30C-4B98-807C-91E9F5631B6C}"/>
            </a:ext>
          </a:extLst>
        </xdr:cNvPr>
        <xdr:cNvSpPr/>
      </xdr:nvSpPr>
      <xdr:spPr>
        <a:xfrm rot="16200000">
          <a:off x="1103118" y="5057206"/>
          <a:ext cx="1338942" cy="1802716"/>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chemeClr val="bg1"/>
            </a:solidFill>
          </a:endParaRPr>
        </a:p>
      </xdr:txBody>
    </xdr:sp>
    <xdr:clientData/>
  </xdr:twoCellAnchor>
  <xdr:twoCellAnchor>
    <xdr:from>
      <xdr:col>1</xdr:col>
      <xdr:colOff>402362</xdr:colOff>
      <xdr:row>32</xdr:row>
      <xdr:rowOff>6064</xdr:rowOff>
    </xdr:from>
    <xdr:to>
      <xdr:col>3</xdr:col>
      <xdr:colOff>365079</xdr:colOff>
      <xdr:row>35</xdr:row>
      <xdr:rowOff>80902</xdr:rowOff>
    </xdr:to>
    <xdr:sp macro="" textlink="">
      <xdr:nvSpPr>
        <xdr:cNvPr id="31" name="TextBox 30">
          <a:hlinkClick xmlns:r="http://schemas.openxmlformats.org/officeDocument/2006/relationships" r:id="rId12"/>
          <a:extLst>
            <a:ext uri="{FF2B5EF4-FFF2-40B4-BE49-F238E27FC236}">
              <a16:creationId xmlns:a16="http://schemas.microsoft.com/office/drawing/2014/main" id="{B6A6486F-235E-40DD-AFA5-01AD469E0C37}"/>
            </a:ext>
          </a:extLst>
        </xdr:cNvPr>
        <xdr:cNvSpPr txBox="1"/>
      </xdr:nvSpPr>
      <xdr:spPr>
        <a:xfrm>
          <a:off x="1028291" y="5666635"/>
          <a:ext cx="1214574" cy="605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Committees</a:t>
          </a:r>
        </a:p>
      </xdr:txBody>
    </xdr:sp>
    <xdr:clientData/>
  </xdr:twoCellAnchor>
  <xdr:twoCellAnchor>
    <xdr:from>
      <xdr:col>1</xdr:col>
      <xdr:colOff>376986</xdr:colOff>
      <xdr:row>28</xdr:row>
      <xdr:rowOff>44241</xdr:rowOff>
    </xdr:from>
    <xdr:to>
      <xdr:col>3</xdr:col>
      <xdr:colOff>384741</xdr:colOff>
      <xdr:row>32</xdr:row>
      <xdr:rowOff>5325</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DB10A59A-5583-4A30-8449-A90D605726CB}"/>
            </a:ext>
          </a:extLst>
        </xdr:cNvPr>
        <xdr:cNvSpPr txBox="1"/>
      </xdr:nvSpPr>
      <xdr:spPr>
        <a:xfrm>
          <a:off x="1002915" y="4997241"/>
          <a:ext cx="1259612" cy="668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136071</xdr:colOff>
      <xdr:row>24</xdr:row>
      <xdr:rowOff>122696</xdr:rowOff>
    </xdr:from>
    <xdr:to>
      <xdr:col>4</xdr:col>
      <xdr:colOff>1633</xdr:colOff>
      <xdr:row>28</xdr:row>
      <xdr:rowOff>53027</xdr:rowOff>
    </xdr:to>
    <xdr:sp macro="" textlink="">
      <xdr:nvSpPr>
        <xdr:cNvPr id="35" name="TextBox 34">
          <a:hlinkClick xmlns:r="http://schemas.openxmlformats.org/officeDocument/2006/relationships" r:id="rId14"/>
          <a:extLst>
            <a:ext uri="{FF2B5EF4-FFF2-40B4-BE49-F238E27FC236}">
              <a16:creationId xmlns:a16="http://schemas.microsoft.com/office/drawing/2014/main" id="{BD3FFE9F-438C-4A16-87E4-1F9192522945}"/>
            </a:ext>
          </a:extLst>
        </xdr:cNvPr>
        <xdr:cNvSpPr txBox="1"/>
      </xdr:nvSpPr>
      <xdr:spPr>
        <a:xfrm>
          <a:off x="762000" y="4368125"/>
          <a:ext cx="1743347" cy="637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385217</xdr:colOff>
      <xdr:row>10</xdr:row>
      <xdr:rowOff>27214</xdr:rowOff>
    </xdr:from>
    <xdr:to>
      <xdr:col>3</xdr:col>
      <xdr:colOff>365079</xdr:colOff>
      <xdr:row>13</xdr:row>
      <xdr:rowOff>163013</xdr:rowOff>
    </xdr:to>
    <xdr:sp macro="" textlink="">
      <xdr:nvSpPr>
        <xdr:cNvPr id="36" name="TextBox 35">
          <a:hlinkClick xmlns:r="http://schemas.openxmlformats.org/officeDocument/2006/relationships" r:id="rId15"/>
          <a:extLst>
            <a:ext uri="{FF2B5EF4-FFF2-40B4-BE49-F238E27FC236}">
              <a16:creationId xmlns:a16="http://schemas.microsoft.com/office/drawing/2014/main" id="{D54F0C78-7AAA-4E4C-97A0-090867D1C708}"/>
            </a:ext>
          </a:extLst>
        </xdr:cNvPr>
        <xdr:cNvSpPr txBox="1"/>
      </xdr:nvSpPr>
      <xdr:spPr>
        <a:xfrm>
          <a:off x="1011146" y="1796143"/>
          <a:ext cx="1231719" cy="66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361270</xdr:colOff>
      <xdr:row>20</xdr:row>
      <xdr:rowOff>106990</xdr:rowOff>
    </xdr:from>
    <xdr:to>
      <xdr:col>3</xdr:col>
      <xdr:colOff>441551</xdr:colOff>
      <xdr:row>24</xdr:row>
      <xdr:rowOff>87123</xdr:rowOff>
    </xdr:to>
    <xdr:sp macro="" textlink="">
      <xdr:nvSpPr>
        <xdr:cNvPr id="37" name="TextBox 36">
          <a:hlinkClick xmlns:r="http://schemas.openxmlformats.org/officeDocument/2006/relationships" r:id="rId16"/>
          <a:extLst>
            <a:ext uri="{FF2B5EF4-FFF2-40B4-BE49-F238E27FC236}">
              <a16:creationId xmlns:a16="http://schemas.microsoft.com/office/drawing/2014/main" id="{D8F7AF71-C379-4D1A-B723-425576ECC492}"/>
            </a:ext>
          </a:extLst>
        </xdr:cNvPr>
        <xdr:cNvSpPr txBox="1"/>
      </xdr:nvSpPr>
      <xdr:spPr>
        <a:xfrm>
          <a:off x="987199" y="3644847"/>
          <a:ext cx="1332138" cy="687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413792</xdr:colOff>
      <xdr:row>17</xdr:row>
      <xdr:rowOff>87201</xdr:rowOff>
    </xdr:from>
    <xdr:to>
      <xdr:col>3</xdr:col>
      <xdr:colOff>347934</xdr:colOff>
      <xdr:row>20</xdr:row>
      <xdr:rowOff>163945</xdr:rowOff>
    </xdr:to>
    <xdr:sp macro="" textlink="">
      <xdr:nvSpPr>
        <xdr:cNvPr id="38" name="TextBox 37">
          <a:hlinkClick xmlns:r="http://schemas.openxmlformats.org/officeDocument/2006/relationships" r:id="rId17"/>
          <a:extLst>
            <a:ext uri="{FF2B5EF4-FFF2-40B4-BE49-F238E27FC236}">
              <a16:creationId xmlns:a16="http://schemas.microsoft.com/office/drawing/2014/main" id="{E1F6F73B-EADB-4447-B652-B260C4A2C945}"/>
            </a:ext>
          </a:extLst>
        </xdr:cNvPr>
        <xdr:cNvSpPr txBox="1"/>
      </xdr:nvSpPr>
      <xdr:spPr>
        <a:xfrm>
          <a:off x="1039721" y="3094380"/>
          <a:ext cx="1185999" cy="60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281703</xdr:colOff>
      <xdr:row>13</xdr:row>
      <xdr:rowOff>163752</xdr:rowOff>
    </xdr:from>
    <xdr:to>
      <xdr:col>3</xdr:col>
      <xdr:colOff>462878</xdr:colOff>
      <xdr:row>17</xdr:row>
      <xdr:rowOff>84557</xdr:rowOff>
    </xdr:to>
    <xdr:sp macro="" textlink="">
      <xdr:nvSpPr>
        <xdr:cNvPr id="39" name="TextBox 38">
          <a:hlinkClick xmlns:r="http://schemas.openxmlformats.org/officeDocument/2006/relationships" r:id="rId18"/>
          <a:extLst>
            <a:ext uri="{FF2B5EF4-FFF2-40B4-BE49-F238E27FC236}">
              <a16:creationId xmlns:a16="http://schemas.microsoft.com/office/drawing/2014/main" id="{1F243E94-AFFD-49F5-9E1E-7F3BE842F451}"/>
            </a:ext>
          </a:extLst>
        </xdr:cNvPr>
        <xdr:cNvSpPr txBox="1"/>
      </xdr:nvSpPr>
      <xdr:spPr>
        <a:xfrm>
          <a:off x="907632" y="2463359"/>
          <a:ext cx="1433032" cy="628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28223</xdr:colOff>
      <xdr:row>2</xdr:row>
      <xdr:rowOff>41365</xdr:rowOff>
    </xdr:from>
    <xdr:to>
      <xdr:col>30</xdr:col>
      <xdr:colOff>521154</xdr:colOff>
      <xdr:row>48</xdr:row>
      <xdr:rowOff>817</xdr:rowOff>
    </xdr:to>
    <xdr:sp macro="" textlink="">
      <xdr:nvSpPr>
        <xdr:cNvPr id="2" name="Rectangle: Top Corners Rounded 1">
          <a:extLst>
            <a:ext uri="{FF2B5EF4-FFF2-40B4-BE49-F238E27FC236}">
              <a16:creationId xmlns:a16="http://schemas.microsoft.com/office/drawing/2014/main" id="{51E58B3C-1E74-48A3-B63B-38365A1E5F50}"/>
            </a:ext>
          </a:extLst>
        </xdr:cNvPr>
        <xdr:cNvSpPr/>
      </xdr:nvSpPr>
      <xdr:spPr>
        <a:xfrm rot="5400000">
          <a:off x="6586905" y="-3665260"/>
          <a:ext cx="8472081" cy="16625559"/>
        </a:xfrm>
        <a:prstGeom prst="round2SameRect">
          <a:avLst>
            <a:gd name="adj1" fmla="val 4360"/>
            <a:gd name="adj2" fmla="val 0"/>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0</xdr:rowOff>
    </xdr:from>
    <xdr:to>
      <xdr:col>4</xdr:col>
      <xdr:colOff>31200</xdr:colOff>
      <xdr:row>49</xdr:row>
      <xdr:rowOff>0</xdr:rowOff>
    </xdr:to>
    <xdr:sp macro="" textlink="">
      <xdr:nvSpPr>
        <xdr:cNvPr id="3" name="Rectangle 2">
          <a:extLst>
            <a:ext uri="{FF2B5EF4-FFF2-40B4-BE49-F238E27FC236}">
              <a16:creationId xmlns:a16="http://schemas.microsoft.com/office/drawing/2014/main" id="{63BD7ED4-A472-4B54-9664-65F3B181D8ED}"/>
            </a:ext>
          </a:extLst>
        </xdr:cNvPr>
        <xdr:cNvSpPr/>
      </xdr:nvSpPr>
      <xdr:spPr>
        <a:xfrm>
          <a:off x="0" y="0"/>
          <a:ext cx="2543895" cy="8867775"/>
        </a:xfrm>
        <a:prstGeom prst="rect">
          <a:avLst/>
        </a:prstGeom>
        <a:solidFill>
          <a:srgbClr val="4074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34834</xdr:colOff>
      <xdr:row>2</xdr:row>
      <xdr:rowOff>56807</xdr:rowOff>
    </xdr:from>
    <xdr:to>
      <xdr:col>29</xdr:col>
      <xdr:colOff>563609</xdr:colOff>
      <xdr:row>5</xdr:row>
      <xdr:rowOff>46534</xdr:rowOff>
    </xdr:to>
    <xdr:sp macro="" textlink="">
      <xdr:nvSpPr>
        <xdr:cNvPr id="7" name="Rectangle 6">
          <a:extLst>
            <a:ext uri="{FF2B5EF4-FFF2-40B4-BE49-F238E27FC236}">
              <a16:creationId xmlns:a16="http://schemas.microsoft.com/office/drawing/2014/main" id="{0C2E84C7-0CD8-40D9-B657-F00AC0FFA916}"/>
            </a:ext>
          </a:extLst>
        </xdr:cNvPr>
        <xdr:cNvSpPr/>
      </xdr:nvSpPr>
      <xdr:spPr>
        <a:xfrm>
          <a:off x="3164477" y="410593"/>
          <a:ext cx="15551061" cy="520405"/>
        </a:xfrm>
        <a:prstGeom prst="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54428</xdr:colOff>
      <xdr:row>2</xdr:row>
      <xdr:rowOff>54428</xdr:rowOff>
    </xdr:from>
    <xdr:to>
      <xdr:col>12</xdr:col>
      <xdr:colOff>68035</xdr:colOff>
      <xdr:row>4</xdr:row>
      <xdr:rowOff>81643</xdr:rowOff>
    </xdr:to>
    <xdr:sp macro="" textlink="">
      <xdr:nvSpPr>
        <xdr:cNvPr id="8" name="TextBox 7">
          <a:extLst>
            <a:ext uri="{FF2B5EF4-FFF2-40B4-BE49-F238E27FC236}">
              <a16:creationId xmlns:a16="http://schemas.microsoft.com/office/drawing/2014/main" id="{36C56ECF-3E24-4CBE-A248-B7F8393AF711}"/>
            </a:ext>
          </a:extLst>
        </xdr:cNvPr>
        <xdr:cNvSpPr txBox="1"/>
      </xdr:nvSpPr>
      <xdr:spPr>
        <a:xfrm>
          <a:off x="3165928" y="410028"/>
          <a:ext cx="4369707" cy="382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Covid-19</a:t>
          </a:r>
          <a:r>
            <a:rPr lang="nl-NL" sz="1800" baseline="0">
              <a:solidFill>
                <a:srgbClr val="4074BA"/>
              </a:solidFill>
              <a:latin typeface="Abadi" panose="020B0604020104020204" pitchFamily="34" charset="0"/>
            </a:rPr>
            <a:t> Influence</a:t>
          </a:r>
          <a:endParaRPr lang="nl-NL" sz="1800">
            <a:solidFill>
              <a:srgbClr val="4074BA"/>
            </a:solidFill>
            <a:latin typeface="Abadi" panose="020B0604020104020204" pitchFamily="34" charset="0"/>
          </a:endParaRPr>
        </a:p>
      </xdr:txBody>
    </xdr:sp>
    <xdr:clientData/>
  </xdr:twoCellAnchor>
  <xdr:twoCellAnchor>
    <xdr:from>
      <xdr:col>24</xdr:col>
      <xdr:colOff>408215</xdr:colOff>
      <xdr:row>2</xdr:row>
      <xdr:rowOff>43542</xdr:rowOff>
    </xdr:from>
    <xdr:to>
      <xdr:col>28</xdr:col>
      <xdr:colOff>517071</xdr:colOff>
      <xdr:row>4</xdr:row>
      <xdr:rowOff>70757</xdr:rowOff>
    </xdr:to>
    <xdr:sp macro="" textlink="">
      <xdr:nvSpPr>
        <xdr:cNvPr id="9" name="TextBox 8">
          <a:extLst>
            <a:ext uri="{FF2B5EF4-FFF2-40B4-BE49-F238E27FC236}">
              <a16:creationId xmlns:a16="http://schemas.microsoft.com/office/drawing/2014/main" id="{1463800B-B153-4F54-BE77-C80CD9030CF0}"/>
            </a:ext>
          </a:extLst>
        </xdr:cNvPr>
        <xdr:cNvSpPr txBox="1"/>
      </xdr:nvSpPr>
      <xdr:spPr>
        <a:xfrm>
          <a:off x="15103929" y="424542"/>
          <a:ext cx="2558142" cy="4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a:solidFill>
                <a:srgbClr val="4074BA"/>
              </a:solidFill>
              <a:latin typeface="Abadi" panose="020B0604020104020204" pitchFamily="34" charset="0"/>
            </a:rPr>
            <a:t>Activism Monitor 2021</a:t>
          </a:r>
        </a:p>
      </xdr:txBody>
    </xdr:sp>
    <xdr:clientData/>
  </xdr:twoCellAnchor>
  <xdr:oneCellAnchor>
    <xdr:from>
      <xdr:col>28</xdr:col>
      <xdr:colOff>571503</xdr:colOff>
      <xdr:row>2</xdr:row>
      <xdr:rowOff>2721</xdr:rowOff>
    </xdr:from>
    <xdr:ext cx="526867" cy="486044"/>
    <xdr:pic>
      <xdr:nvPicPr>
        <xdr:cNvPr id="10" name="Graphic 9" descr="Blog with solid fill">
          <a:extLst>
            <a:ext uri="{FF2B5EF4-FFF2-40B4-BE49-F238E27FC236}">
              <a16:creationId xmlns:a16="http://schemas.microsoft.com/office/drawing/2014/main" id="{DF197E00-9834-4D7A-9AFE-1BD17FA4C7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73703" y="364671"/>
          <a:ext cx="526867" cy="486044"/>
        </a:xfrm>
        <a:prstGeom prst="rect">
          <a:avLst/>
        </a:prstGeom>
      </xdr:spPr>
    </xdr:pic>
    <xdr:clientData/>
  </xdr:oneCellAnchor>
  <xdr:twoCellAnchor>
    <xdr:from>
      <xdr:col>16</xdr:col>
      <xdr:colOff>485558</xdr:colOff>
      <xdr:row>9</xdr:row>
      <xdr:rowOff>141117</xdr:rowOff>
    </xdr:from>
    <xdr:to>
      <xdr:col>29</xdr:col>
      <xdr:colOff>553812</xdr:colOff>
      <xdr:row>33</xdr:row>
      <xdr:rowOff>156041</xdr:rowOff>
    </xdr:to>
    <xdr:graphicFrame macro="">
      <xdr:nvGraphicFramePr>
        <xdr:cNvPr id="20" name="Grafiek 11">
          <a:extLst>
            <a:ext uri="{FF2B5EF4-FFF2-40B4-BE49-F238E27FC236}">
              <a16:creationId xmlns:a16="http://schemas.microsoft.com/office/drawing/2014/main" id="{47F54F52-F039-4C94-AC98-C40177681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33609</xdr:colOff>
      <xdr:row>2</xdr:row>
      <xdr:rowOff>30617</xdr:rowOff>
    </xdr:from>
    <xdr:to>
      <xdr:col>4</xdr:col>
      <xdr:colOff>33609</xdr:colOff>
      <xdr:row>47</xdr:row>
      <xdr:rowOff>165601</xdr:rowOff>
    </xdr:to>
    <xdr:sp macro="" textlink="">
      <xdr:nvSpPr>
        <xdr:cNvPr id="21" name="Rectangle: Top Corners Rounded 20">
          <a:extLst>
            <a:ext uri="{FF2B5EF4-FFF2-40B4-BE49-F238E27FC236}">
              <a16:creationId xmlns:a16="http://schemas.microsoft.com/office/drawing/2014/main" id="{3C8332B4-4274-4141-B5DF-194F7E1324CA}"/>
            </a:ext>
          </a:extLst>
        </xdr:cNvPr>
        <xdr:cNvSpPr/>
      </xdr:nvSpPr>
      <xdr:spPr>
        <a:xfrm rot="16200000">
          <a:off x="-2449150" y="3493091"/>
          <a:ext cx="8095162" cy="1877785"/>
        </a:xfrm>
        <a:prstGeom prst="round2SameRect">
          <a:avLst/>
        </a:prstGeom>
        <a:solidFill>
          <a:srgbClr val="89BCE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421753</xdr:colOff>
      <xdr:row>3</xdr:row>
      <xdr:rowOff>13676</xdr:rowOff>
    </xdr:from>
    <xdr:to>
      <xdr:col>3</xdr:col>
      <xdr:colOff>312894</xdr:colOff>
      <xdr:row>9</xdr:row>
      <xdr:rowOff>80824</xdr:rowOff>
    </xdr:to>
    <xdr:sp macro="" textlink="">
      <xdr:nvSpPr>
        <xdr:cNvPr id="29" name="Oval 28">
          <a:extLst>
            <a:ext uri="{FF2B5EF4-FFF2-40B4-BE49-F238E27FC236}">
              <a16:creationId xmlns:a16="http://schemas.microsoft.com/office/drawing/2014/main" id="{E16E6ECB-700C-4A33-B5B5-37334F8E36D6}"/>
            </a:ext>
          </a:extLst>
        </xdr:cNvPr>
        <xdr:cNvSpPr/>
      </xdr:nvSpPr>
      <xdr:spPr>
        <a:xfrm>
          <a:off x="1052784" y="549457"/>
          <a:ext cx="1153204" cy="1138711"/>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p>
      </xdr:txBody>
    </xdr:sp>
    <xdr:clientData/>
  </xdr:twoCellAnchor>
  <xdr:twoCellAnchor>
    <xdr:from>
      <xdr:col>1</xdr:col>
      <xdr:colOff>331703</xdr:colOff>
      <xdr:row>41</xdr:row>
      <xdr:rowOff>65859</xdr:rowOff>
    </xdr:from>
    <xdr:to>
      <xdr:col>3</xdr:col>
      <xdr:colOff>372660</xdr:colOff>
      <xdr:row>46</xdr:row>
      <xdr:rowOff>47761</xdr:rowOff>
    </xdr:to>
    <xdr:sp macro="" textlink="">
      <xdr:nvSpPr>
        <xdr:cNvPr id="31" name="Rectangle: Rounded Corners 30">
          <a:hlinkClick xmlns:r="http://schemas.openxmlformats.org/officeDocument/2006/relationships" r:id="rId4"/>
          <a:extLst>
            <a:ext uri="{FF2B5EF4-FFF2-40B4-BE49-F238E27FC236}">
              <a16:creationId xmlns:a16="http://schemas.microsoft.com/office/drawing/2014/main" id="{F037EE8A-653B-4013-B025-8C31BF4C52F4}"/>
            </a:ext>
          </a:extLst>
        </xdr:cNvPr>
        <xdr:cNvSpPr/>
      </xdr:nvSpPr>
      <xdr:spPr>
        <a:xfrm>
          <a:off x="962734" y="7388203"/>
          <a:ext cx="1303020" cy="874871"/>
        </a:xfrm>
        <a:prstGeom prst="roundRect">
          <a:avLst/>
        </a:pr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489821</xdr:colOff>
      <xdr:row>42</xdr:row>
      <xdr:rowOff>86971</xdr:rowOff>
    </xdr:from>
    <xdr:to>
      <xdr:col>3</xdr:col>
      <xdr:colOff>155492</xdr:colOff>
      <xdr:row>45</xdr:row>
      <xdr:rowOff>46333</xdr:rowOff>
    </xdr:to>
    <xdr:pic>
      <xdr:nvPicPr>
        <xdr:cNvPr id="32" name="Picture 31">
          <a:hlinkClick xmlns:r="http://schemas.openxmlformats.org/officeDocument/2006/relationships" r:id="rId4"/>
          <a:extLst>
            <a:ext uri="{FF2B5EF4-FFF2-40B4-BE49-F238E27FC236}">
              <a16:creationId xmlns:a16="http://schemas.microsoft.com/office/drawing/2014/main" id="{97E58A71-E241-4846-AF64-D2B1C6B420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0852" y="7587909"/>
          <a:ext cx="927734" cy="495143"/>
        </a:xfrm>
        <a:prstGeom prst="rect">
          <a:avLst/>
        </a:prstGeom>
      </xdr:spPr>
    </xdr:pic>
    <xdr:clientData/>
  </xdr:twoCellAnchor>
  <xdr:twoCellAnchor editAs="oneCell">
    <xdr:from>
      <xdr:col>5</xdr:col>
      <xdr:colOff>277432</xdr:colOff>
      <xdr:row>41</xdr:row>
      <xdr:rowOff>96074</xdr:rowOff>
    </xdr:from>
    <xdr:to>
      <xdr:col>6</xdr:col>
      <xdr:colOff>394737</xdr:colOff>
      <xdr:row>45</xdr:row>
      <xdr:rowOff>131943</xdr:rowOff>
    </xdr:to>
    <xdr:pic>
      <xdr:nvPicPr>
        <xdr:cNvPr id="33" name="Graphic 32" descr="Back with solid fill">
          <a:hlinkClick xmlns:r="http://schemas.openxmlformats.org/officeDocument/2006/relationships" r:id="rId6"/>
          <a:extLst>
            <a:ext uri="{FF2B5EF4-FFF2-40B4-BE49-F238E27FC236}">
              <a16:creationId xmlns:a16="http://schemas.microsoft.com/office/drawing/2014/main" id="{2AA92377-2575-4093-A1D2-5F238BA5D2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3379861" y="7683417"/>
          <a:ext cx="737790" cy="776097"/>
        </a:xfrm>
        <a:prstGeom prst="rect">
          <a:avLst/>
        </a:prstGeom>
      </xdr:spPr>
    </xdr:pic>
    <xdr:clientData/>
  </xdr:twoCellAnchor>
  <xdr:twoCellAnchor>
    <xdr:from>
      <xdr:col>5</xdr:col>
      <xdr:colOff>143782</xdr:colOff>
      <xdr:row>39</xdr:row>
      <xdr:rowOff>43045</xdr:rowOff>
    </xdr:from>
    <xdr:to>
      <xdr:col>7</xdr:col>
      <xdr:colOff>151720</xdr:colOff>
      <xdr:row>41</xdr:row>
      <xdr:rowOff>87789</xdr:rowOff>
    </xdr:to>
    <xdr:sp macro="" textlink="">
      <xdr:nvSpPr>
        <xdr:cNvPr id="34" name="TextBox 33">
          <a:extLst>
            <a:ext uri="{FF2B5EF4-FFF2-40B4-BE49-F238E27FC236}">
              <a16:creationId xmlns:a16="http://schemas.microsoft.com/office/drawing/2014/main" id="{B6B6261B-D4ED-40B0-AA65-B39D858495AE}"/>
            </a:ext>
          </a:extLst>
        </xdr:cNvPr>
        <xdr:cNvSpPr txBox="1"/>
      </xdr:nvSpPr>
      <xdr:spPr>
        <a:xfrm>
          <a:off x="3246211" y="7260274"/>
          <a:ext cx="1248909" cy="414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xdr:from>
      <xdr:col>5</xdr:col>
      <xdr:colOff>54428</xdr:colOff>
      <xdr:row>9</xdr:row>
      <xdr:rowOff>141117</xdr:rowOff>
    </xdr:from>
    <xdr:to>
      <xdr:col>15</xdr:col>
      <xdr:colOff>92404</xdr:colOff>
      <xdr:row>33</xdr:row>
      <xdr:rowOff>152400</xdr:rowOff>
    </xdr:to>
    <xdr:graphicFrame macro="">
      <xdr:nvGraphicFramePr>
        <xdr:cNvPr id="35" name="Grafiek 1">
          <a:extLst>
            <a:ext uri="{FF2B5EF4-FFF2-40B4-BE49-F238E27FC236}">
              <a16:creationId xmlns:a16="http://schemas.microsoft.com/office/drawing/2014/main" id="{5C8F8AA7-0150-4515-9080-4F1E6F9D4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16</xdr:col>
      <xdr:colOff>483653</xdr:colOff>
      <xdr:row>35</xdr:row>
      <xdr:rowOff>16666</xdr:rowOff>
    </xdr:from>
    <xdr:to>
      <xdr:col>21</xdr:col>
      <xdr:colOff>330611</xdr:colOff>
      <xdr:row>47</xdr:row>
      <xdr:rowOff>31749</xdr:rowOff>
    </xdr:to>
    <mc:AlternateContent xmlns:mc="http://schemas.openxmlformats.org/markup-compatibility/2006" xmlns:a14="http://schemas.microsoft.com/office/drawing/2010/main">
      <mc:Choice Requires="a14">
        <xdr:graphicFrame macro="">
          <xdr:nvGraphicFramePr>
            <xdr:cNvPr id="36" name="Sector  4">
              <a:extLst>
                <a:ext uri="{FF2B5EF4-FFF2-40B4-BE49-F238E27FC236}">
                  <a16:creationId xmlns:a16="http://schemas.microsoft.com/office/drawing/2014/main" id="{6B114225-96B5-468B-8715-23A7A56F3A76}"/>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10442358" y="6243477"/>
              <a:ext cx="2958458" cy="2090103"/>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22</xdr:col>
      <xdr:colOff>137159</xdr:colOff>
      <xdr:row>34</xdr:row>
      <xdr:rowOff>154781</xdr:rowOff>
    </xdr:from>
    <xdr:to>
      <xdr:col>27</xdr:col>
      <xdr:colOff>35718</xdr:colOff>
      <xdr:row>45</xdr:row>
      <xdr:rowOff>130968</xdr:rowOff>
    </xdr:to>
    <mc:AlternateContent xmlns:mc="http://schemas.openxmlformats.org/markup-compatibility/2006" xmlns:a14="http://schemas.microsoft.com/office/drawing/2010/main">
      <mc:Choice Requires="a14">
        <xdr:graphicFrame macro="">
          <xdr:nvGraphicFramePr>
            <xdr:cNvPr id="37" name="Interval number of members 1">
              <a:extLst>
                <a:ext uri="{FF2B5EF4-FFF2-40B4-BE49-F238E27FC236}">
                  <a16:creationId xmlns:a16="http://schemas.microsoft.com/office/drawing/2014/main" id="{84B173C1-0DE3-43E6-AE52-7189134256A8}"/>
                </a:ext>
              </a:extLst>
            </xdr:cNvPr>
            <xdr:cNvGraphicFramePr/>
          </xdr:nvGraphicFramePr>
          <xdr:xfrm>
            <a:off x="0" y="0"/>
            <a:ext cx="0" cy="0"/>
          </xdr:xfrm>
          <a:graphic>
            <a:graphicData uri="http://schemas.microsoft.com/office/drawing/2010/slicer">
              <sle:slicer xmlns:sle="http://schemas.microsoft.com/office/drawing/2010/slicer" name="Interval number of members 1"/>
            </a:graphicData>
          </a:graphic>
        </xdr:graphicFrame>
      </mc:Choice>
      <mc:Fallback xmlns="">
        <xdr:sp macro="" textlink="">
          <xdr:nvSpPr>
            <xdr:cNvPr id="0" name=""/>
            <xdr:cNvSpPr>
              <a:spLocks noTextEdit="1"/>
            </xdr:cNvSpPr>
          </xdr:nvSpPr>
          <xdr:spPr>
            <a:xfrm>
              <a:off x="14016037" y="6394369"/>
              <a:ext cx="2902267" cy="1594486"/>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134314</xdr:colOff>
      <xdr:row>35</xdr:row>
      <xdr:rowOff>16667</xdr:rowOff>
    </xdr:from>
    <xdr:to>
      <xdr:col>15</xdr:col>
      <xdr:colOff>96214</xdr:colOff>
      <xdr:row>46</xdr:row>
      <xdr:rowOff>111125</xdr:rowOff>
    </xdr:to>
    <mc:AlternateContent xmlns:mc="http://schemas.openxmlformats.org/markup-compatibility/2006" xmlns:a14="http://schemas.microsoft.com/office/drawing/2010/main">
      <mc:Choice Requires="a14">
        <xdr:graphicFrame macro="">
          <xdr:nvGraphicFramePr>
            <xdr:cNvPr id="4" name="covid_impact">
              <a:extLst>
                <a:ext uri="{FF2B5EF4-FFF2-40B4-BE49-F238E27FC236}">
                  <a16:creationId xmlns:a16="http://schemas.microsoft.com/office/drawing/2014/main" id="{D45A91B0-CB6E-48F6-8AC1-8177E426A903}"/>
                </a:ext>
              </a:extLst>
            </xdr:cNvPr>
            <xdr:cNvGraphicFramePr/>
          </xdr:nvGraphicFramePr>
          <xdr:xfrm>
            <a:off x="0" y="0"/>
            <a:ext cx="0" cy="0"/>
          </xdr:xfrm>
          <a:graphic>
            <a:graphicData uri="http://schemas.microsoft.com/office/drawing/2010/slicer">
              <sle:slicer xmlns:sle="http://schemas.microsoft.com/office/drawing/2010/slicer" name="covid_impact"/>
            </a:graphicData>
          </a:graphic>
        </xdr:graphicFrame>
      </mc:Choice>
      <mc:Fallback xmlns="">
        <xdr:sp macro="" textlink="">
          <xdr:nvSpPr>
            <xdr:cNvPr id="0" name=""/>
            <xdr:cNvSpPr>
              <a:spLocks noTextEdit="1"/>
            </xdr:cNvSpPr>
          </xdr:nvSpPr>
          <xdr:spPr>
            <a:xfrm>
              <a:off x="7598104" y="6243477"/>
              <a:ext cx="1828800" cy="1976120"/>
            </a:xfrm>
            <a:prstGeom prst="rect">
              <a:avLst/>
            </a:prstGeom>
            <a:solidFill>
              <a:prstClr val="white"/>
            </a:solidFill>
            <a:ln w="1">
              <a:solidFill>
                <a:prstClr val="green"/>
              </a:solidFill>
            </a:ln>
          </xdr:spPr>
          <xdr:txBody>
            <a:bodyPr vertOverflow="clip" horzOverflow="clip"/>
            <a:lstStyle/>
            <a:p>
              <a:r>
                <a:rPr lang="en-GB"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28</xdr:col>
      <xdr:colOff>324785</xdr:colOff>
      <xdr:row>42</xdr:row>
      <xdr:rowOff>17971</xdr:rowOff>
    </xdr:from>
    <xdr:to>
      <xdr:col>29</xdr:col>
      <xdr:colOff>438280</xdr:colOff>
      <xdr:row>46</xdr:row>
      <xdr:rowOff>55743</xdr:rowOff>
    </xdr:to>
    <xdr:pic>
      <xdr:nvPicPr>
        <xdr:cNvPr id="38" name="Graphic 37" descr="Back with solid fill">
          <a:hlinkClick xmlns:r="http://schemas.openxmlformats.org/officeDocument/2006/relationships" r:id="rId6"/>
          <a:extLst>
            <a:ext uri="{FF2B5EF4-FFF2-40B4-BE49-F238E27FC236}">
              <a16:creationId xmlns:a16="http://schemas.microsoft.com/office/drawing/2014/main" id="{0AFD9060-1716-4078-8E62-54145F77FF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7850785" y="7447471"/>
          <a:ext cx="739424" cy="745343"/>
        </a:xfrm>
        <a:prstGeom prst="rect">
          <a:avLst/>
        </a:prstGeom>
      </xdr:spPr>
    </xdr:pic>
    <xdr:clientData/>
  </xdr:twoCellAnchor>
  <xdr:twoCellAnchor>
    <xdr:from>
      <xdr:col>28</xdr:col>
      <xdr:colOff>111125</xdr:colOff>
      <xdr:row>39</xdr:row>
      <xdr:rowOff>134937</xdr:rowOff>
    </xdr:from>
    <xdr:to>
      <xdr:col>30</xdr:col>
      <xdr:colOff>108857</xdr:colOff>
      <xdr:row>42</xdr:row>
      <xdr:rowOff>703</xdr:rowOff>
    </xdr:to>
    <xdr:sp macro="" textlink="">
      <xdr:nvSpPr>
        <xdr:cNvPr id="39" name="TextBox 33">
          <a:extLst>
            <a:ext uri="{FF2B5EF4-FFF2-40B4-BE49-F238E27FC236}">
              <a16:creationId xmlns:a16="http://schemas.microsoft.com/office/drawing/2014/main" id="{72F370F8-BC90-406F-860B-48125BE7A455}"/>
            </a:ext>
          </a:extLst>
        </xdr:cNvPr>
        <xdr:cNvSpPr txBox="1"/>
      </xdr:nvSpPr>
      <xdr:spPr>
        <a:xfrm>
          <a:off x="17256125" y="7564437"/>
          <a:ext cx="1222375" cy="437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More info</a:t>
          </a:r>
        </a:p>
      </xdr:txBody>
    </xdr:sp>
    <xdr:clientData/>
  </xdr:twoCellAnchor>
  <xdr:twoCellAnchor editAs="oneCell">
    <xdr:from>
      <xdr:col>2</xdr:col>
      <xdr:colOff>59462</xdr:colOff>
      <xdr:row>3</xdr:row>
      <xdr:rowOff>182064</xdr:rowOff>
    </xdr:from>
    <xdr:to>
      <xdr:col>3</xdr:col>
      <xdr:colOff>69778</xdr:colOff>
      <xdr:row>8</xdr:row>
      <xdr:rowOff>120696</xdr:rowOff>
    </xdr:to>
    <xdr:pic>
      <xdr:nvPicPr>
        <xdr:cNvPr id="40" name="Picture 39">
          <a:extLst>
            <a:ext uri="{FF2B5EF4-FFF2-40B4-BE49-F238E27FC236}">
              <a16:creationId xmlns:a16="http://schemas.microsoft.com/office/drawing/2014/main" id="{4CA94545-F3EE-46B9-8C26-87E2442DE906}"/>
            </a:ext>
          </a:extLst>
        </xdr:cNvPr>
        <xdr:cNvPicPr>
          <a:picLocks noChangeAspect="1"/>
        </xdr:cNvPicPr>
      </xdr:nvPicPr>
      <xdr:blipFill>
        <a:blip xmlns:r="http://schemas.openxmlformats.org/officeDocument/2006/relationships" r:embed="rId10"/>
        <a:stretch>
          <a:fillRect/>
        </a:stretch>
      </xdr:blipFill>
      <xdr:spPr>
        <a:xfrm>
          <a:off x="1284105" y="753564"/>
          <a:ext cx="622637" cy="891132"/>
        </a:xfrm>
        <a:prstGeom prst="rect">
          <a:avLst/>
        </a:prstGeom>
      </xdr:spPr>
    </xdr:pic>
    <xdr:clientData/>
  </xdr:twoCellAnchor>
  <xdr:twoCellAnchor>
    <xdr:from>
      <xdr:col>1</xdr:col>
      <xdr:colOff>243126</xdr:colOff>
      <xdr:row>33</xdr:row>
      <xdr:rowOff>77557</xdr:rowOff>
    </xdr:from>
    <xdr:to>
      <xdr:col>4</xdr:col>
      <xdr:colOff>168057</xdr:colOff>
      <xdr:row>41</xdr:row>
      <xdr:rowOff>7071</xdr:rowOff>
    </xdr:to>
    <xdr:sp macro="" textlink="">
      <xdr:nvSpPr>
        <xdr:cNvPr id="30" name="Freeform: Shape 29">
          <a:extLst>
            <a:ext uri="{FF2B5EF4-FFF2-40B4-BE49-F238E27FC236}">
              <a16:creationId xmlns:a16="http://schemas.microsoft.com/office/drawing/2014/main" id="{10DAC2C2-F4FB-40A3-B8AC-C56216721F44}"/>
            </a:ext>
          </a:extLst>
        </xdr:cNvPr>
        <xdr:cNvSpPr/>
      </xdr:nvSpPr>
      <xdr:spPr>
        <a:xfrm rot="16200000">
          <a:off x="1098084" y="5685992"/>
          <a:ext cx="1344657" cy="1802716"/>
        </a:xfrm>
        <a:custGeom>
          <a:avLst/>
          <a:gdLst>
            <a:gd name="connsiteX0" fmla="*/ 985207 w 1419224"/>
            <a:gd name="connsiteY0" fmla="*/ 275400 h 1622289"/>
            <a:gd name="connsiteX1" fmla="*/ 985207 w 1419224"/>
            <a:gd name="connsiteY1" fmla="*/ 1188000 h 1622289"/>
            <a:gd name="connsiteX2" fmla="*/ 434407 w 1419224"/>
            <a:gd name="connsiteY2" fmla="*/ 1188000 h 1622289"/>
            <a:gd name="connsiteX3" fmla="*/ 434407 w 1419224"/>
            <a:gd name="connsiteY3" fmla="*/ 275400 h 1622289"/>
            <a:gd name="connsiteX4" fmla="*/ 709807 w 1419224"/>
            <a:gd name="connsiteY4" fmla="*/ 0 h 1622289"/>
            <a:gd name="connsiteX5" fmla="*/ 985207 w 1419224"/>
            <a:gd name="connsiteY5" fmla="*/ 275400 h 1622289"/>
            <a:gd name="connsiteX6" fmla="*/ 1419224 w 1419224"/>
            <a:gd name="connsiteY6" fmla="*/ 1622289 h 1622289"/>
            <a:gd name="connsiteX7" fmla="*/ 0 w 1419224"/>
            <a:gd name="connsiteY7" fmla="*/ 1622289 h 1622289"/>
            <a:gd name="connsiteX8" fmla="*/ 434287 w 1419224"/>
            <a:gd name="connsiteY8" fmla="*/ 1188002 h 1622289"/>
            <a:gd name="connsiteX9" fmla="*/ 984937 w 1419224"/>
            <a:gd name="connsiteY9" fmla="*/ 1188002 h 1622289"/>
            <a:gd name="connsiteX10" fmla="*/ 1419224 w 1419224"/>
            <a:gd name="connsiteY10" fmla="*/ 1622289 h 1622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19224" h="1622289">
              <a:moveTo>
                <a:pt x="985207" y="275400"/>
              </a:moveTo>
              <a:lnTo>
                <a:pt x="985207" y="1188000"/>
              </a:lnTo>
              <a:lnTo>
                <a:pt x="434407" y="1188000"/>
              </a:lnTo>
              <a:lnTo>
                <a:pt x="434407" y="275400"/>
              </a:lnTo>
              <a:cubicBezTo>
                <a:pt x="434407" y="123301"/>
                <a:pt x="557708" y="0"/>
                <a:pt x="709807" y="0"/>
              </a:cubicBezTo>
              <a:cubicBezTo>
                <a:pt x="861906" y="0"/>
                <a:pt x="985207" y="123301"/>
                <a:pt x="985207" y="275400"/>
              </a:cubicBezTo>
              <a:close/>
              <a:moveTo>
                <a:pt x="1419224" y="1622289"/>
              </a:moveTo>
              <a:lnTo>
                <a:pt x="0" y="1622289"/>
              </a:lnTo>
              <a:cubicBezTo>
                <a:pt x="239850" y="1622289"/>
                <a:pt x="434287" y="1427852"/>
                <a:pt x="434287" y="1188002"/>
              </a:cubicBezTo>
              <a:lnTo>
                <a:pt x="984937" y="1188002"/>
              </a:lnTo>
              <a:cubicBezTo>
                <a:pt x="984937" y="1427852"/>
                <a:pt x="1179374" y="1622289"/>
                <a:pt x="1419224" y="1622289"/>
              </a:cubicBezTo>
              <a:close/>
            </a:path>
          </a:pathLst>
        </a:custGeom>
        <a:solidFill>
          <a:srgbClr val="F2F0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nl-NL" sz="1100">
            <a:solidFill>
              <a:schemeClr val="bg1"/>
            </a:solidFill>
          </a:endParaRPr>
        </a:p>
      </xdr:txBody>
    </xdr:sp>
    <xdr:clientData/>
  </xdr:twoCellAnchor>
  <xdr:twoCellAnchor>
    <xdr:from>
      <xdr:col>1</xdr:col>
      <xdr:colOff>375147</xdr:colOff>
      <xdr:row>32</xdr:row>
      <xdr:rowOff>11779</xdr:rowOff>
    </xdr:from>
    <xdr:to>
      <xdr:col>3</xdr:col>
      <xdr:colOff>337864</xdr:colOff>
      <xdr:row>35</xdr:row>
      <xdr:rowOff>80902</xdr:rowOff>
    </xdr:to>
    <xdr:sp macro="" textlink="">
      <xdr:nvSpPr>
        <xdr:cNvPr id="41" name="TextBox 40">
          <a:hlinkClick xmlns:r="http://schemas.openxmlformats.org/officeDocument/2006/relationships" r:id="rId11"/>
          <a:extLst>
            <a:ext uri="{FF2B5EF4-FFF2-40B4-BE49-F238E27FC236}">
              <a16:creationId xmlns:a16="http://schemas.microsoft.com/office/drawing/2014/main" id="{AC573DF8-3CFC-4819-8AB6-C3D1B7F677B7}"/>
            </a:ext>
          </a:extLst>
        </xdr:cNvPr>
        <xdr:cNvSpPr txBox="1"/>
      </xdr:nvSpPr>
      <xdr:spPr>
        <a:xfrm>
          <a:off x="1001076" y="5672350"/>
          <a:ext cx="1214574" cy="599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Committees</a:t>
          </a:r>
        </a:p>
      </xdr:txBody>
    </xdr:sp>
    <xdr:clientData/>
  </xdr:twoCellAnchor>
  <xdr:twoCellAnchor>
    <xdr:from>
      <xdr:col>1</xdr:col>
      <xdr:colOff>299050</xdr:colOff>
      <xdr:row>35</xdr:row>
      <xdr:rowOff>87357</xdr:rowOff>
    </xdr:from>
    <xdr:to>
      <xdr:col>3</xdr:col>
      <xdr:colOff>413962</xdr:colOff>
      <xdr:row>39</xdr:row>
      <xdr:rowOff>23879</xdr:rowOff>
    </xdr:to>
    <xdr:sp macro="" textlink="">
      <xdr:nvSpPr>
        <xdr:cNvPr id="42" name="TextBox 41">
          <a:hlinkClick xmlns:r="http://schemas.openxmlformats.org/officeDocument/2006/relationships" r:id="rId12"/>
          <a:extLst>
            <a:ext uri="{FF2B5EF4-FFF2-40B4-BE49-F238E27FC236}">
              <a16:creationId xmlns:a16="http://schemas.microsoft.com/office/drawing/2014/main" id="{4813B878-9ED4-4FE1-862B-4BC46BF4462C}"/>
            </a:ext>
          </a:extLst>
        </xdr:cNvPr>
        <xdr:cNvSpPr txBox="1"/>
      </xdr:nvSpPr>
      <xdr:spPr>
        <a:xfrm>
          <a:off x="924979" y="6278607"/>
          <a:ext cx="1366769" cy="644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rgbClr val="89BCE5"/>
              </a:solidFill>
              <a:latin typeface="Abadi" panose="020B0604020104020204" pitchFamily="34" charset="0"/>
            </a:rPr>
            <a:t>Covid-19 Influence</a:t>
          </a:r>
        </a:p>
      </xdr:txBody>
    </xdr:sp>
    <xdr:clientData/>
  </xdr:twoCellAnchor>
  <xdr:twoCellAnchor>
    <xdr:from>
      <xdr:col>1</xdr:col>
      <xdr:colOff>355486</xdr:colOff>
      <xdr:row>28</xdr:row>
      <xdr:rowOff>44241</xdr:rowOff>
    </xdr:from>
    <xdr:to>
      <xdr:col>3</xdr:col>
      <xdr:colOff>357526</xdr:colOff>
      <xdr:row>32</xdr:row>
      <xdr:rowOff>11040</xdr:rowOff>
    </xdr:to>
    <xdr:sp macro="" textlink="">
      <xdr:nvSpPr>
        <xdr:cNvPr id="43" name="TextBox 42">
          <a:hlinkClick xmlns:r="http://schemas.openxmlformats.org/officeDocument/2006/relationships" r:id="rId13"/>
          <a:extLst>
            <a:ext uri="{FF2B5EF4-FFF2-40B4-BE49-F238E27FC236}">
              <a16:creationId xmlns:a16="http://schemas.microsoft.com/office/drawing/2014/main" id="{B07A6F7F-19B8-4B27-874C-B08742785D81}"/>
            </a:ext>
          </a:extLst>
        </xdr:cNvPr>
        <xdr:cNvSpPr txBox="1"/>
      </xdr:nvSpPr>
      <xdr:spPr>
        <a:xfrm>
          <a:off x="981415" y="4997241"/>
          <a:ext cx="1253897" cy="67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Internationals</a:t>
          </a:r>
        </a:p>
      </xdr:txBody>
    </xdr:sp>
    <xdr:clientData/>
  </xdr:twoCellAnchor>
  <xdr:twoCellAnchor>
    <xdr:from>
      <xdr:col>1</xdr:col>
      <xdr:colOff>108856</xdr:colOff>
      <xdr:row>24</xdr:row>
      <xdr:rowOff>122696</xdr:rowOff>
    </xdr:from>
    <xdr:to>
      <xdr:col>3</xdr:col>
      <xdr:colOff>604156</xdr:colOff>
      <xdr:row>28</xdr:row>
      <xdr:rowOff>56837</xdr:rowOff>
    </xdr:to>
    <xdr:sp macro="" textlink="">
      <xdr:nvSpPr>
        <xdr:cNvPr id="44" name="TextBox 43">
          <a:hlinkClick xmlns:r="http://schemas.openxmlformats.org/officeDocument/2006/relationships" r:id="rId14"/>
          <a:extLst>
            <a:ext uri="{FF2B5EF4-FFF2-40B4-BE49-F238E27FC236}">
              <a16:creationId xmlns:a16="http://schemas.microsoft.com/office/drawing/2014/main" id="{49E28DA1-F40A-4E5D-BBDC-D05A593D2A94}"/>
            </a:ext>
          </a:extLst>
        </xdr:cNvPr>
        <xdr:cNvSpPr txBox="1"/>
      </xdr:nvSpPr>
      <xdr:spPr>
        <a:xfrm>
          <a:off x="734785" y="4368125"/>
          <a:ext cx="1747157" cy="641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Active</a:t>
          </a:r>
          <a:r>
            <a:rPr lang="nl-NL" sz="1400" baseline="0">
              <a:solidFill>
                <a:schemeClr val="bg1"/>
              </a:solidFill>
              <a:latin typeface="Abadi" panose="020B0604020104020204" pitchFamily="34" charset="0"/>
            </a:rPr>
            <a:t> members</a:t>
          </a:r>
          <a:endParaRPr lang="nl-NL" sz="1400">
            <a:solidFill>
              <a:schemeClr val="bg1"/>
            </a:solidFill>
            <a:latin typeface="Abadi" panose="020B0604020104020204" pitchFamily="34" charset="0"/>
          </a:endParaRPr>
        </a:p>
      </xdr:txBody>
    </xdr:sp>
    <xdr:clientData/>
  </xdr:twoCellAnchor>
  <xdr:twoCellAnchor>
    <xdr:from>
      <xdr:col>1</xdr:col>
      <xdr:colOff>359907</xdr:colOff>
      <xdr:row>10</xdr:row>
      <xdr:rowOff>27214</xdr:rowOff>
    </xdr:from>
    <xdr:to>
      <xdr:col>3</xdr:col>
      <xdr:colOff>337864</xdr:colOff>
      <xdr:row>13</xdr:row>
      <xdr:rowOff>163013</xdr:rowOff>
    </xdr:to>
    <xdr:sp macro="" textlink="">
      <xdr:nvSpPr>
        <xdr:cNvPr id="45" name="TextBox 44">
          <a:hlinkClick xmlns:r="http://schemas.openxmlformats.org/officeDocument/2006/relationships" r:id="rId15"/>
          <a:extLst>
            <a:ext uri="{FF2B5EF4-FFF2-40B4-BE49-F238E27FC236}">
              <a16:creationId xmlns:a16="http://schemas.microsoft.com/office/drawing/2014/main" id="{4D40F71A-BBAE-499E-BDCD-D1F5B4906726}"/>
            </a:ext>
          </a:extLst>
        </xdr:cNvPr>
        <xdr:cNvSpPr txBox="1"/>
      </xdr:nvSpPr>
      <xdr:spPr>
        <a:xfrm>
          <a:off x="985836" y="1796143"/>
          <a:ext cx="1229814" cy="66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Dashboard</a:t>
          </a:r>
        </a:p>
      </xdr:txBody>
    </xdr:sp>
    <xdr:clientData/>
  </xdr:twoCellAnchor>
  <xdr:twoCellAnchor>
    <xdr:from>
      <xdr:col>1</xdr:col>
      <xdr:colOff>343580</xdr:colOff>
      <xdr:row>20</xdr:row>
      <xdr:rowOff>106990</xdr:rowOff>
    </xdr:from>
    <xdr:to>
      <xdr:col>3</xdr:col>
      <xdr:colOff>414336</xdr:colOff>
      <xdr:row>24</xdr:row>
      <xdr:rowOff>87123</xdr:rowOff>
    </xdr:to>
    <xdr:sp macro="" textlink="">
      <xdr:nvSpPr>
        <xdr:cNvPr id="46" name="TextBox 45">
          <a:hlinkClick xmlns:r="http://schemas.openxmlformats.org/officeDocument/2006/relationships" r:id="rId16"/>
          <a:extLst>
            <a:ext uri="{FF2B5EF4-FFF2-40B4-BE49-F238E27FC236}">
              <a16:creationId xmlns:a16="http://schemas.microsoft.com/office/drawing/2014/main" id="{C60FD98B-7E9B-438D-B111-C9BF73A856BE}"/>
            </a:ext>
          </a:extLst>
        </xdr:cNvPr>
        <xdr:cNvSpPr txBox="1"/>
      </xdr:nvSpPr>
      <xdr:spPr>
        <a:xfrm>
          <a:off x="969509" y="3644847"/>
          <a:ext cx="1322613" cy="687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Response Rate</a:t>
          </a:r>
        </a:p>
      </xdr:txBody>
    </xdr:sp>
    <xdr:clientData/>
  </xdr:twoCellAnchor>
  <xdr:twoCellAnchor>
    <xdr:from>
      <xdr:col>1</xdr:col>
      <xdr:colOff>392292</xdr:colOff>
      <xdr:row>17</xdr:row>
      <xdr:rowOff>87201</xdr:rowOff>
    </xdr:from>
    <xdr:to>
      <xdr:col>3</xdr:col>
      <xdr:colOff>324529</xdr:colOff>
      <xdr:row>20</xdr:row>
      <xdr:rowOff>167755</xdr:rowOff>
    </xdr:to>
    <xdr:sp macro="" textlink="">
      <xdr:nvSpPr>
        <xdr:cNvPr id="47" name="TextBox 46">
          <a:hlinkClick xmlns:r="http://schemas.openxmlformats.org/officeDocument/2006/relationships" r:id="rId17"/>
          <a:extLst>
            <a:ext uri="{FF2B5EF4-FFF2-40B4-BE49-F238E27FC236}">
              <a16:creationId xmlns:a16="http://schemas.microsoft.com/office/drawing/2014/main" id="{09AF4C45-F06D-4C67-BC19-DB34BBCFB9BB}"/>
            </a:ext>
          </a:extLst>
        </xdr:cNvPr>
        <xdr:cNvSpPr txBox="1"/>
      </xdr:nvSpPr>
      <xdr:spPr>
        <a:xfrm>
          <a:off x="1018221" y="3094380"/>
          <a:ext cx="1184094" cy="611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Conclusions</a:t>
          </a:r>
        </a:p>
      </xdr:txBody>
    </xdr:sp>
    <xdr:clientData/>
  </xdr:twoCellAnchor>
  <xdr:twoCellAnchor>
    <xdr:from>
      <xdr:col>1</xdr:col>
      <xdr:colOff>262108</xdr:colOff>
      <xdr:row>13</xdr:row>
      <xdr:rowOff>163752</xdr:rowOff>
    </xdr:from>
    <xdr:to>
      <xdr:col>3</xdr:col>
      <xdr:colOff>439473</xdr:colOff>
      <xdr:row>17</xdr:row>
      <xdr:rowOff>84557</xdr:rowOff>
    </xdr:to>
    <xdr:sp macro="" textlink="">
      <xdr:nvSpPr>
        <xdr:cNvPr id="48" name="TextBox 47">
          <a:hlinkClick xmlns:r="http://schemas.openxmlformats.org/officeDocument/2006/relationships" r:id="rId18"/>
          <a:extLst>
            <a:ext uri="{FF2B5EF4-FFF2-40B4-BE49-F238E27FC236}">
              <a16:creationId xmlns:a16="http://schemas.microsoft.com/office/drawing/2014/main" id="{F3F35580-A3A1-45FA-A0BE-594A6905F9F4}"/>
            </a:ext>
          </a:extLst>
        </xdr:cNvPr>
        <xdr:cNvSpPr txBox="1"/>
      </xdr:nvSpPr>
      <xdr:spPr>
        <a:xfrm>
          <a:off x="888037" y="2463359"/>
          <a:ext cx="1429222" cy="628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400">
              <a:solidFill>
                <a:schemeClr val="bg1"/>
              </a:solidFill>
              <a:latin typeface="Abadi" panose="020B0604020104020204" pitchFamily="34" charset="0"/>
            </a:rPr>
            <a:t>Reading Guide</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5</xdr:col>
      <xdr:colOff>20955</xdr:colOff>
      <xdr:row>1</xdr:row>
      <xdr:rowOff>91440</xdr:rowOff>
    </xdr:from>
    <xdr:to>
      <xdr:col>6</xdr:col>
      <xdr:colOff>964884</xdr:colOff>
      <xdr:row>14</xdr:row>
      <xdr:rowOff>91440</xdr:rowOff>
    </xdr:to>
    <mc:AlternateContent xmlns:mc="http://schemas.openxmlformats.org/markup-compatibility/2006" xmlns:sle15="http://schemas.microsoft.com/office/drawing/2012/slicer">
      <mc:Choice Requires="sle15">
        <xdr:graphicFrame macro="">
          <xdr:nvGraphicFramePr>
            <xdr:cNvPr id="4" name="Sector">
              <a:extLst>
                <a:ext uri="{FF2B5EF4-FFF2-40B4-BE49-F238E27FC236}">
                  <a16:creationId xmlns:a16="http://schemas.microsoft.com/office/drawing/2014/main" id="{0BE051B0-6A17-4D6F-8E89-5F937C1E1F2D}"/>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6113145" y="273844"/>
              <a:ext cx="1815941" cy="2321719"/>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oneCell">
    <xdr:from>
      <xdr:col>7</xdr:col>
      <xdr:colOff>1227772</xdr:colOff>
      <xdr:row>2</xdr:row>
      <xdr:rowOff>26670</xdr:rowOff>
    </xdr:from>
    <xdr:to>
      <xdr:col>8</xdr:col>
      <xdr:colOff>181926</xdr:colOff>
      <xdr:row>6</xdr:row>
      <xdr:rowOff>56822</xdr:rowOff>
    </xdr:to>
    <xdr:pic>
      <xdr:nvPicPr>
        <xdr:cNvPr id="10" name="Graphic 9" descr="Back with solid fill">
          <a:hlinkClick xmlns:r="http://schemas.openxmlformats.org/officeDocument/2006/relationships" r:id="rId1"/>
          <a:extLst>
            <a:ext uri="{FF2B5EF4-FFF2-40B4-BE49-F238E27FC236}">
              <a16:creationId xmlns:a16="http://schemas.microsoft.com/office/drawing/2014/main" id="{57AD1135-2E63-46AE-A92A-1380DC496A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rot="10800000">
          <a:off x="9324022" y="388620"/>
          <a:ext cx="716280" cy="746432"/>
        </a:xfrm>
        <a:prstGeom prst="rect">
          <a:avLst/>
        </a:prstGeom>
      </xdr:spPr>
    </xdr:pic>
    <xdr:clientData/>
  </xdr:twoCellAnchor>
  <xdr:twoCellAnchor>
    <xdr:from>
      <xdr:col>7</xdr:col>
      <xdr:colOff>883920</xdr:colOff>
      <xdr:row>0</xdr:row>
      <xdr:rowOff>26670</xdr:rowOff>
    </xdr:from>
    <xdr:to>
      <xdr:col>9</xdr:col>
      <xdr:colOff>0</xdr:colOff>
      <xdr:row>2</xdr:row>
      <xdr:rowOff>0</xdr:rowOff>
    </xdr:to>
    <xdr:sp macro="" textlink="">
      <xdr:nvSpPr>
        <xdr:cNvPr id="11" name="TextBox 10">
          <a:extLst>
            <a:ext uri="{FF2B5EF4-FFF2-40B4-BE49-F238E27FC236}">
              <a16:creationId xmlns:a16="http://schemas.microsoft.com/office/drawing/2014/main" id="{737E41C5-8D94-48B1-B0C7-C904FDDBADB2}"/>
            </a:ext>
          </a:extLst>
        </xdr:cNvPr>
        <xdr:cNvSpPr txBox="1"/>
      </xdr:nvSpPr>
      <xdr:spPr>
        <a:xfrm>
          <a:off x="8930640" y="26670"/>
          <a:ext cx="1310640" cy="339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800">
              <a:solidFill>
                <a:srgbClr val="4074BA"/>
              </a:solidFill>
              <a:latin typeface="Abadi" panose="020B0604020104020204" pitchFamily="34" charset="0"/>
            </a:rPr>
            <a:t>Dashboard</a:t>
          </a:r>
        </a:p>
      </xdr:txBody>
    </xdr:sp>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euwen, Tessa van (UT-SU)" refreshedDate="45306.601693171295" backgroundQuery="1" createdVersion="6" refreshedVersion="7" minRefreshableVersion="3" recordCount="0" supportSubquery="1" supportAdvancedDrill="1" xr:uid="{6E9AED17-4292-4E0C-81DD-F35CC52E63C6}">
  <cacheSource type="external" connectionId="4"/>
  <cacheFields count="4">
    <cacheField name="[Combined20212022].[type].[type]" caption="type" numFmtId="0" hierarchy="2" level="1">
      <sharedItems containsSemiMixedTypes="0" containsNonDate="0" containsString="0"/>
    </cacheField>
    <cacheField name="[Combined20212022].[Sector].[Sector]" caption="Sector" numFmtId="0" hierarchy="1" level="1">
      <sharedItems count="6">
        <s v="Culture"/>
        <s v="Other"/>
        <s v="Social"/>
        <s v="Sports"/>
        <s v="Study"/>
        <s v="World"/>
      </sharedItems>
    </cacheField>
    <cacheField name="[Combined20212022].[Year].[Year]" caption="Year" numFmtId="0" hierarchy="37" level="1">
      <sharedItems containsSemiMixedTypes="0" containsString="0" containsNumber="1" containsInteger="1" minValue="2021" maxValue="2023" count="3">
        <n v="2021"/>
        <n v="2022"/>
        <n v="2023"/>
      </sharedItems>
      <extLst>
        <ext xmlns:x15="http://schemas.microsoft.com/office/spreadsheetml/2010/11/main" uri="{4F2E5C28-24EA-4eb8-9CBF-B6C8F9C3D259}">
          <x15:cachedUniqueNames>
            <x15:cachedUniqueName index="0" name="[Combined20212022].[Year].&amp;[2021]"/>
            <x15:cachedUniqueName index="1" name="[Combined20212022].[Year].&amp;[2022]"/>
            <x15:cachedUniqueName index="2" name="[Combined20212022].[Year].&amp;[2023]"/>
          </x15:cachedUniqueNames>
        </ext>
      </extLst>
    </cacheField>
    <cacheField name="[Measures].[Count of Ratio Active Non-EEA]" caption="Count of Ratio Active Non-EEA" numFmtId="0" hierarchy="117" level="32767"/>
  </cacheFields>
  <cacheHierarchies count="123">
    <cacheHierarchy uniqueName="[Combined20212022].[organisation_name]" caption="organisation_name" attribute="1" defaultMemberUniqueName="[Combined20212022].[organisation_name].[All]" allUniqueName="[Combined20212022].[organisation_name].[All]" dimensionUniqueName="[Combined20212022]" displayFolder="" count="0" memberValueDatatype="130" unbalanced="0"/>
    <cacheHierarchy uniqueName="[Combined20212022].[Sector]" caption="Sector" attribute="1" defaultMemberUniqueName="[Combined20212022].[Sector].[All]" allUniqueName="[Combined20212022].[Sector].[All]" dimensionUniqueName="[Combined20212022]" displayFolder="" count="2" memberValueDatatype="130" unbalanced="0">
      <fieldsUsage count="2">
        <fieldUsage x="-1"/>
        <fieldUsage x="1"/>
      </fieldsUsage>
    </cacheHierarchy>
    <cacheHierarchy uniqueName="[Combined20212022].[type]" caption="type" attribute="1" defaultMemberUniqueName="[Combined20212022].[type].[All]" allUniqueName="[Combined20212022].[type].[All]" dimensionUniqueName="[Combined20212022]" displayFolder="" count="2" memberValueDatatype="130" unbalanced="0">
      <fieldsUsage count="2">
        <fieldUsage x="-1"/>
        <fieldUsage x="0"/>
      </fieldsUsage>
    </cacheHierarchy>
    <cacheHierarchy uniqueName="[Combined20212022].[Number of members]" caption="Number of members" attribute="1" defaultMemberUniqueName="[Combined20212022].[Number of members].[All]" allUniqueName="[Combined20212022].[Number of members].[All]" dimensionUniqueName="[Combined20212022]" displayFolder="" count="0" memberValueDatatype="130" unbalanced="0"/>
    <cacheHierarchy uniqueName="[Combined20212022].[Number of active members]" caption="Number of active members" attribute="1" defaultMemberUniqueName="[Combined20212022].[Number of active members].[All]" allUniqueName="[Combined20212022].[Number of active members].[All]" dimensionUniqueName="[Combined20212022]" displayFolder="" count="0" memberValueDatatype="130" unbalanced="0"/>
    <cacheHierarchy uniqueName="[Combined20212022].[Number of  inactive members]" caption="Number of  inactive members" attribute="1" defaultMemberUniqueName="[Combined20212022].[Number of  inactive members].[All]" allUniqueName="[Combined20212022].[Number of  inactive members].[All]" dimensionUniqueName="[Combined20212022]" displayFolder="" count="0" memberValueDatatype="130" unbalanced="0"/>
    <cacheHierarchy uniqueName="[Combined20212022].[Percentage active members]" caption="Percentage active members" attribute="1" defaultMemberUniqueName="[Combined20212022].[Percentage active members].[All]" allUniqueName="[Combined20212022].[Percentage active members].[All]" dimensionUniqueName="[Combined20212022]" displayFolder="" count="0" memberValueDatatype="130" unbalanced="0"/>
    <cacheHierarchy uniqueName="[Combined20212022].[Percentage inactive members]" caption="Percentage inactive members" attribute="1" defaultMemberUniqueName="[Combined20212022].[Percentage inactive members].[All]" allUniqueName="[Combined20212022].[Percentage inactive members].[All]" dimensionUniqueName="[Combined20212022]" displayFolder="" count="0" memberValueDatatype="130" unbalanced="0"/>
    <cacheHierarchy uniqueName="[Combined20212022].[Interval number of members]" caption="Interval number of members" attribute="1" defaultMemberUniqueName="[Combined20212022].[Interval number of members].[All]" allUniqueName="[Combined20212022].[Interval number of members].[All]" dimensionUniqueName="[Combined20212022]" displayFolder="" count="0" memberValueDatatype="130" unbalanced="0"/>
    <cacheHierarchy uniqueName="[Combined20212022].[Non-EEA Total]" caption="Non-EEA Total" attribute="1" defaultMemberUniqueName="[Combined20212022].[Non-EEA Total].[All]" allUniqueName="[Combined20212022].[Non-EEA Total].[All]" dimensionUniqueName="[Combined20212022]" displayFolder="" count="0" memberValueDatatype="130" unbalanced="0"/>
    <cacheHierarchy uniqueName="[Combined20212022].[EEA total]" caption="EEA total" attribute="1" defaultMemberUniqueName="[Combined20212022].[EEA total].[All]" allUniqueName="[Combined20212022].[EEA total].[All]" dimensionUniqueName="[Combined20212022]" displayFolder="" count="0" memberValueDatatype="130" unbalanced="0"/>
    <cacheHierarchy uniqueName="[Combined20212022].[Dutch total]" caption="Dutch total" attribute="1" defaultMemberUniqueName="[Combined20212022].[Dutch total].[All]" allUniqueName="[Combined20212022].[Dutch total].[All]" dimensionUniqueName="[Combined20212022]" displayFolder="" count="0" memberValueDatatype="130" unbalanced="0"/>
    <cacheHierarchy uniqueName="[Combined20212022].[Non-EEA Active]" caption="Non-EEA Active" attribute="1" defaultMemberUniqueName="[Combined20212022].[Non-EEA Active].[All]" allUniqueName="[Combined20212022].[Non-EEA Active].[All]" dimensionUniqueName="[Combined20212022]" displayFolder="" count="0" memberValueDatatype="20" unbalanced="0"/>
    <cacheHierarchy uniqueName="[Combined20212022].[EEA Active]" caption="EEA Active" attribute="1" defaultMemberUniqueName="[Combined20212022].[EEA Active].[All]" allUniqueName="[Combined20212022].[EEA Active].[All]" dimensionUniqueName="[Combined20212022]" displayFolder="" count="0" memberValueDatatype="20" unbalanced="0"/>
    <cacheHierarchy uniqueName="[Combined20212022].[Dutch Active]" caption="Dutch Active" attribute="1" defaultMemberUniqueName="[Combined20212022].[Dutch Active].[All]" allUniqueName="[Combined20212022].[Dutch Active].[All]" dimensionUniqueName="[Combined20212022]" displayFolder="" count="0" memberValueDatatype="130" unbalanced="0"/>
    <cacheHierarchy uniqueName="[Combined20212022].[Ratio Active Non-EEA]" caption="Ratio Active Non-EEA" attribute="1" defaultMemberUniqueName="[Combined20212022].[Ratio Active Non-EEA].[All]" allUniqueName="[Combined20212022].[Ratio Active Non-EEA].[All]" dimensionUniqueName="[Combined20212022]" displayFolder="" count="0" memberValueDatatype="130" unbalanced="0"/>
    <cacheHierarchy uniqueName="[Combined20212022].[Ratio Active EEA]" caption="Ratio Active EEA" attribute="1" defaultMemberUniqueName="[Combined20212022].[Ratio Active EEA].[All]" allUniqueName="[Combined20212022].[Ratio Active EEA].[All]" dimensionUniqueName="[Combined20212022]" displayFolder="" count="0" memberValueDatatype="130" unbalanced="0"/>
    <cacheHierarchy uniqueName="[Combined20212022].[Ratio Active Dutch]" caption="Ratio Active Dutch" attribute="1" defaultMemberUniqueName="[Combined20212022].[Ratio Active Dutch].[All]" allUniqueName="[Combined20212022].[Ratio Active Dutch].[All]" dimensionUniqueName="[Combined20212022]" displayFolder="" count="0" memberValueDatatype="130" unbalanced="0"/>
    <cacheHierarchy uniqueName="[Combined20212022].[Test total number of members]" caption="Test total number of members" attribute="1" defaultMemberUniqueName="[Combined20212022].[Test total number of members].[All]" allUniqueName="[Combined20212022].[Test total number of members].[All]" dimensionUniqueName="[Combined20212022]" displayFolder="" count="0" memberValueDatatype="130" unbalanced="0"/>
    <cacheHierarchy uniqueName="[Combined20212022].[Test total number of active members]" caption="Test total number of active members" attribute="1" defaultMemberUniqueName="[Combined20212022].[Test total number of active members].[All]" allUniqueName="[Combined20212022].[Test total number of active members].[All]" dimensionUniqueName="[Combined20212022]" displayFolder="" count="0" memberValueDatatype="130" unbalanced="0"/>
    <cacheHierarchy uniqueName="[Combined20212022].[Test total number inactive members]" caption="Test total number inactive members" attribute="1" defaultMemberUniqueName="[Combined20212022].[Test total number inactive members].[All]" allUniqueName="[Combined20212022].[Test total number inactive members].[All]" dimensionUniqueName="[Combined20212022]" displayFolder="" count="0" memberValueDatatype="130" unbalanced="0"/>
    <cacheHierarchy uniqueName="[Combined20212022].[Test max EEA active]" caption="Test max EEA active" attribute="1" defaultMemberUniqueName="[Combined20212022].[Test max EEA active].[All]" allUniqueName="[Combined20212022].[Test max EEA active].[All]" dimensionUniqueName="[Combined20212022]" displayFolder="" count="0" memberValueDatatype="130" unbalanced="0"/>
    <cacheHierarchy uniqueName="[Combined20212022].[Test max Dutch active]" caption="Test max Dutch active" attribute="1" defaultMemberUniqueName="[Combined20212022].[Test max Dutch active].[All]" allUniqueName="[Combined20212022].[Test max Dutch active].[All]" dimensionUniqueName="[Combined20212022]" displayFolder="" count="0" memberValueDatatype="130" unbalanced="0"/>
    <cacheHierarchy uniqueName="[Combined20212022].[Test max non-EEA active]" caption="Test max non-EEA active" attribute="1" defaultMemberUniqueName="[Combined20212022].[Test max non-EEA active].[All]" allUniqueName="[Combined20212022].[Test max non-EEA active].[All]" dimensionUniqueName="[Combined20212022]" displayFolder="" count="0" memberValueDatatype="130" unbalanced="0"/>
    <cacheHierarchy uniqueName="[Combined20212022].[Fullfill all requirements?]" caption="Fullfill all requirements?" attribute="1" defaultMemberUniqueName="[Combined20212022].[Fullfill all requirements?].[All]" allUniqueName="[Combined20212022].[Fullfill all requirements?].[All]" dimensionUniqueName="[Combined20212022]" displayFolder="" count="0" memberValueDatatype="130" unbalanced="0"/>
    <cacheHierarchy uniqueName="[Combined20212022].[Number of first year comittee members]" caption="Number of first year comittee members" attribute="1" defaultMemberUniqueName="[Combined20212022].[Number of first year comittee members].[All]" allUniqueName="[Combined20212022].[Number of first year comittee members].[All]" dimensionUniqueName="[Combined20212022]" displayFolder="" count="0" memberValueDatatype="130" unbalanced="0"/>
    <cacheHierarchy uniqueName="[Combined20212022].[Number of second year comittee members]" caption="Number of second year comittee members" attribute="1" defaultMemberUniqueName="[Combined20212022].[Number of second year comittee members].[All]" allUniqueName="[Combined20212022].[Number of second year comittee members].[All]" dimensionUniqueName="[Combined20212022]" displayFolder="" count="0" memberValueDatatype="130" unbalanced="0"/>
    <cacheHierarchy uniqueName="[Combined20212022].[Number of third year comittee members]" caption="Number of third year comittee members" attribute="1" defaultMemberUniqueName="[Combined20212022].[Number of third year comittee members].[All]" allUniqueName="[Combined20212022].[Number of third year comittee members].[All]" dimensionUniqueName="[Combined20212022]" displayFolder="" count="0" memberValueDatatype="130" unbalanced="0"/>
    <cacheHierarchy uniqueName="[Combined20212022].[Number of fourth year comittee members]" caption="Number of fourth year comittee members" attribute="1" defaultMemberUniqueName="[Combined20212022].[Number of fourth year comittee members].[All]" allUniqueName="[Combined20212022].[Number of fourth year comittee members].[All]" dimensionUniqueName="[Combined20212022]" displayFolder="" count="0" memberValueDatatype="130" unbalanced="0"/>
    <cacheHierarchy uniqueName="[Combined20212022].[Number of 4+ year comittee members]" caption="Number of 4+ year comittee members" attribute="1" defaultMemberUniqueName="[Combined20212022].[Number of 4+ year comittee members].[All]" allUniqueName="[Combined20212022].[Number of 4+ year comittee members].[All]" dimensionUniqueName="[Combined20212022]" displayFolder="" count="0" memberValueDatatype="130" unbalanced="0"/>
    <cacheHierarchy uniqueName="[Combined20212022].[Total committee members]" caption="Total committee members" attribute="1" defaultMemberUniqueName="[Combined20212022].[Total committee members].[All]" allUniqueName="[Combined20212022].[Total committee members].[All]" dimensionUniqueName="[Combined20212022]" displayFolder="" count="0" memberValueDatatype="20" unbalanced="0"/>
    <cacheHierarchy uniqueName="[Combined20212022].[Number of Comittees]" caption="Number of Comittees" attribute="1" defaultMemberUniqueName="[Combined20212022].[Number of Comittees].[All]" allUniqueName="[Combined20212022].[Number of Comittees].[All]" dimensionUniqueName="[Combined20212022]" displayFolder="" count="0" memberValueDatatype="20" unbalanced="0"/>
    <cacheHierarchy uniqueName="[Combined20212022].[Number of covid strong decrease]" caption="Number of covid strong decrease" attribute="1" defaultMemberUniqueName="[Combined20212022].[Number of covid strong decrease].[All]" allUniqueName="[Combined20212022].[Number of covid strong decrease].[All]" dimensionUniqueName="[Combined20212022]" displayFolder="" count="0" memberValueDatatype="20" unbalanced="0"/>
    <cacheHierarchy uniqueName="[Combined20212022].[Number of covid slight decrease]" caption="Number of covid slight decrease" attribute="1" defaultMemberUniqueName="[Combined20212022].[Number of covid slight decrease].[All]" allUniqueName="[Combined20212022].[Number of covid slight decrease].[All]" dimensionUniqueName="[Combined20212022]" displayFolder="" count="0" memberValueDatatype="20" unbalanced="0"/>
    <cacheHierarchy uniqueName="[Combined20212022].[Number of covid no influence]" caption="Number of covid no influence" attribute="1" defaultMemberUniqueName="[Combined20212022].[Number of covid no influence].[All]" allUniqueName="[Combined20212022].[Number of covid no influence].[All]" dimensionUniqueName="[Combined20212022]" displayFolder="" count="0" memberValueDatatype="20" unbalanced="0"/>
    <cacheHierarchy uniqueName="[Combined20212022].[Number ofcovid slicht increase]" caption="Number ofcovid slicht increase" attribute="1" defaultMemberUniqueName="[Combined20212022].[Number ofcovid slicht increase].[All]" allUniqueName="[Combined20212022].[Number ofcovid slicht increase].[All]" dimensionUniqueName="[Combined20212022]" displayFolder="" count="0" memberValueDatatype="20" unbalanced="0"/>
    <cacheHierarchy uniqueName="[Combined20212022].[Number of covid strong increase]" caption="Number of covid strong increase" attribute="1" defaultMemberUniqueName="[Combined20212022].[Number of covid strong increase].[All]" allUniqueName="[Combined20212022].[Number of covid strong increase].[All]" dimensionUniqueName="[Combined20212022]" displayFolder="" count="0" memberValueDatatype="20" unbalanced="0"/>
    <cacheHierarchy uniqueName="[Combined20212022].[Year]" caption="Year" attribute="1" defaultMemberUniqueName="[Combined20212022].[Year].[All]" allUniqueName="[Combined20212022].[Year].[All]" dimensionUniqueName="[Combined20212022]" displayFolder="" count="2" memberValueDatatype="20" unbalanced="0">
      <fieldsUsage count="2">
        <fieldUsage x="-1"/>
        <fieldUsage x="2"/>
      </fieldsUsage>
    </cacheHierarchy>
    <cacheHierarchy uniqueName="[Data2021].[organisation_name]" caption="organisation_name" attribute="1" defaultMemberUniqueName="[Data2021].[organisation_name].[All]" allUniqueName="[Data2021].[organisation_name].[All]" dimensionUniqueName="[Data2021]" displayFolder="" count="0" memberValueDatatype="130" unbalanced="0"/>
    <cacheHierarchy uniqueName="[Data2021].[Sector]" caption="Sector" attribute="1" defaultMemberUniqueName="[Data2021].[Sector].[All]" allUniqueName="[Data2021].[Sector].[All]" dimensionUniqueName="[Data2021]" displayFolder="" count="0" memberValueDatatype="130" unbalanced="0"/>
    <cacheHierarchy uniqueName="[Data2021].[type]" caption="type" attribute="1" defaultMemberUniqueName="[Data2021].[type].[All]" allUniqueName="[Data2021].[type].[All]" dimensionUniqueName="[Data2021]" displayFolder="" count="0" memberValueDatatype="130" unbalanced="0"/>
    <cacheHierarchy uniqueName="[Data2021].[Number of members]" caption="Number of members" attribute="1" defaultMemberUniqueName="[Data2021].[Number of members].[All]" allUniqueName="[Data2021].[Number of members].[All]" dimensionUniqueName="[Data2021]" displayFolder="" count="0" memberValueDatatype="130" unbalanced="0"/>
    <cacheHierarchy uniqueName="[Data2021].[Number of active members]" caption="Number of active members" attribute="1" defaultMemberUniqueName="[Data2021].[Number of active members].[All]" allUniqueName="[Data2021].[Number of active members].[All]" dimensionUniqueName="[Data2021]" displayFolder="" count="0" memberValueDatatype="130" unbalanced="0"/>
    <cacheHierarchy uniqueName="[Data2021].[Number of  inactive members]" caption="Number of  inactive members" attribute="1" defaultMemberUniqueName="[Data2021].[Number of  inactive members].[All]" allUniqueName="[Data2021].[Number of  inactive members].[All]" dimensionUniqueName="[Data2021]" displayFolder="" count="0" memberValueDatatype="130" unbalanced="0"/>
    <cacheHierarchy uniqueName="[Data2021].[Percentage active members]" caption="Percentage active members" attribute="1" defaultMemberUniqueName="[Data2021].[Percentage active members].[All]" allUniqueName="[Data2021].[Percentage active members].[All]" dimensionUniqueName="[Data2021]" displayFolder="" count="0" memberValueDatatype="130" unbalanced="0"/>
    <cacheHierarchy uniqueName="[Data2021].[Percentage inactive members]" caption="Percentage inactive members" attribute="1" defaultMemberUniqueName="[Data2021].[Percentage inactive members].[All]" allUniqueName="[Data2021].[Percentage inactive members].[All]" dimensionUniqueName="[Data2021]" displayFolder="" count="0" memberValueDatatype="130" unbalanced="0"/>
    <cacheHierarchy uniqueName="[Data2021].[Interval number of members]" caption="Interval number of members" attribute="1" defaultMemberUniqueName="[Data2021].[Interval number of members].[All]" allUniqueName="[Data2021].[Interval number of members].[All]" dimensionUniqueName="[Data2021]" displayFolder="" count="0" memberValueDatatype="130" unbalanced="0"/>
    <cacheHierarchy uniqueName="[Data2021].[Non-EEA Total]" caption="Non-EEA Total" attribute="1" defaultMemberUniqueName="[Data2021].[Non-EEA Total].[All]" allUniqueName="[Data2021].[Non-EEA Total].[All]" dimensionUniqueName="[Data2021]" displayFolder="" count="0" memberValueDatatype="130" unbalanced="0"/>
    <cacheHierarchy uniqueName="[Data2021].[EEA total]" caption="EEA total" attribute="1" defaultMemberUniqueName="[Data2021].[EEA total].[All]" allUniqueName="[Data2021].[EEA total].[All]" dimensionUniqueName="[Data2021]" displayFolder="" count="0" memberValueDatatype="130" unbalanced="0"/>
    <cacheHierarchy uniqueName="[Data2021].[Dutch total]" caption="Dutch total" attribute="1" defaultMemberUniqueName="[Data2021].[Dutch total].[All]" allUniqueName="[Data2021].[Dutch total].[All]" dimensionUniqueName="[Data2021]" displayFolder="" count="0" memberValueDatatype="130" unbalanced="0"/>
    <cacheHierarchy uniqueName="[Data2021].[Non-EEA Active]" caption="Non-EEA Active" attribute="1" defaultMemberUniqueName="[Data2021].[Non-EEA Active].[All]" allUniqueName="[Data2021].[Non-EEA Active].[All]" dimensionUniqueName="[Data2021]" displayFolder="" count="0" memberValueDatatype="20" unbalanced="0"/>
    <cacheHierarchy uniqueName="[Data2021].[EEA Active]" caption="EEA Active" attribute="1" defaultMemberUniqueName="[Data2021].[EEA Active].[All]" allUniqueName="[Data2021].[EEA Active].[All]" dimensionUniqueName="[Data2021]" displayFolder="" count="0" memberValueDatatype="20" unbalanced="0"/>
    <cacheHierarchy uniqueName="[Data2021].[Dutch Active]" caption="Dutch Active" attribute="1" defaultMemberUniqueName="[Data2021].[Dutch Active].[All]" allUniqueName="[Data2021].[Dutch Active].[All]" dimensionUniqueName="[Data2021]" displayFolder="" count="0" memberValueDatatype="130" unbalanced="0"/>
    <cacheHierarchy uniqueName="[Data2021].[Ratio Active Non-EEA]" caption="Ratio Active Non-EEA" attribute="1" defaultMemberUniqueName="[Data2021].[Ratio Active Non-EEA].[All]" allUniqueName="[Data2021].[Ratio Active Non-EEA].[All]" dimensionUniqueName="[Data2021]" displayFolder="" count="0" memberValueDatatype="130" unbalanced="0"/>
    <cacheHierarchy uniqueName="[Data2021].[Ratio Active EEA]" caption="Ratio Active EEA" attribute="1" defaultMemberUniqueName="[Data2021].[Ratio Active EEA].[All]" allUniqueName="[Data2021].[Ratio Active EEA].[All]" dimensionUniqueName="[Data2021]" displayFolder="" count="0" memberValueDatatype="130" unbalanced="0"/>
    <cacheHierarchy uniqueName="[Data2021].[Ratio Active Dutch]" caption="Ratio Active Dutch" attribute="1" defaultMemberUniqueName="[Data2021].[Ratio Active Dutch].[All]" allUniqueName="[Data2021].[Ratio Active Dutch].[All]" dimensionUniqueName="[Data2021]" displayFolder="" count="0" memberValueDatatype="130" unbalanced="0"/>
    <cacheHierarchy uniqueName="[Data2021].[Test total number of members]" caption="Test total number of members" attribute="1" defaultMemberUniqueName="[Data2021].[Test total number of members].[All]" allUniqueName="[Data2021].[Test total number of members].[All]" dimensionUniqueName="[Data2021]" displayFolder="" count="0" memberValueDatatype="130" unbalanced="0"/>
    <cacheHierarchy uniqueName="[Data2021].[Test total number of active members]" caption="Test total number of active members" attribute="1" defaultMemberUniqueName="[Data2021].[Test total number of active members].[All]" allUniqueName="[Data2021].[Test total number of active members].[All]" dimensionUniqueName="[Data2021]" displayFolder="" count="0" memberValueDatatype="130" unbalanced="0"/>
    <cacheHierarchy uniqueName="[Data2021].[Test total number inactive members]" caption="Test total number inactive members" attribute="1" defaultMemberUniqueName="[Data2021].[Test total number inactive members].[All]" allUniqueName="[Data2021].[Test total number inactive members].[All]" dimensionUniqueName="[Data2021]" displayFolder="" count="0" memberValueDatatype="130" unbalanced="0"/>
    <cacheHierarchy uniqueName="[Data2021].[Test max EEA active]" caption="Test max EEA active" attribute="1" defaultMemberUniqueName="[Data2021].[Test max EEA active].[All]" allUniqueName="[Data2021].[Test max EEA active].[All]" dimensionUniqueName="[Data2021]" displayFolder="" count="0" memberValueDatatype="130" unbalanced="0"/>
    <cacheHierarchy uniqueName="[Data2021].[Test max Dutch active]" caption="Test max Dutch active" attribute="1" defaultMemberUniqueName="[Data2021].[Test max Dutch active].[All]" allUniqueName="[Data2021].[Test max Dutch active].[All]" dimensionUniqueName="[Data2021]" displayFolder="" count="0" memberValueDatatype="130" unbalanced="0"/>
    <cacheHierarchy uniqueName="[Data2021].[Test max non-EEA active]" caption="Test max non-EEA active" attribute="1" defaultMemberUniqueName="[Data2021].[Test max non-EEA active].[All]" allUniqueName="[Data2021].[Test max non-EEA active].[All]" dimensionUniqueName="[Data2021]" displayFolder="" count="0" memberValueDatatype="130" unbalanced="0"/>
    <cacheHierarchy uniqueName="[Data2021].[Fullfill all requirements?]" caption="Fullfill all requirements?" attribute="1" defaultMemberUniqueName="[Data2021].[Fullfill all requirements?].[All]" allUniqueName="[Data2021].[Fullfill all requirements?].[All]" dimensionUniqueName="[Data2021]" displayFolder="" count="0" memberValueDatatype="130" unbalanced="0"/>
    <cacheHierarchy uniqueName="[Data2021].[Number of first year comittee members]" caption="Number of first year comittee members" attribute="1" defaultMemberUniqueName="[Data2021].[Number of first year comittee members].[All]" allUniqueName="[Data2021].[Number of first year comittee members].[All]" dimensionUniqueName="[Data2021]" displayFolder="" count="0" memberValueDatatype="130" unbalanced="0"/>
    <cacheHierarchy uniqueName="[Data2021].[Number of second year comittee members]" caption="Number of second year comittee members" attribute="1" defaultMemberUniqueName="[Data2021].[Number of second year comittee members].[All]" allUniqueName="[Data2021].[Number of second year comittee members].[All]" dimensionUniqueName="[Data2021]" displayFolder="" count="0" memberValueDatatype="130" unbalanced="0"/>
    <cacheHierarchy uniqueName="[Data2021].[Number of third year comittee members]" caption="Number of third year comittee members" attribute="1" defaultMemberUniqueName="[Data2021].[Number of third year comittee members].[All]" allUniqueName="[Data2021].[Number of third year comittee members].[All]" dimensionUniqueName="[Data2021]" displayFolder="" count="0" memberValueDatatype="130" unbalanced="0"/>
    <cacheHierarchy uniqueName="[Data2021].[Number of fourth year comittee members]" caption="Number of fourth year comittee members" attribute="1" defaultMemberUniqueName="[Data2021].[Number of fourth year comittee members].[All]" allUniqueName="[Data2021].[Number of fourth year comittee members].[All]" dimensionUniqueName="[Data2021]" displayFolder="" count="0" memberValueDatatype="130" unbalanced="0"/>
    <cacheHierarchy uniqueName="[Data2021].[Number of 4+ year comittee members]" caption="Number of 4+ year comittee members" attribute="1" defaultMemberUniqueName="[Data2021].[Number of 4+ year comittee members].[All]" allUniqueName="[Data2021].[Number of 4+ year comittee members].[All]" dimensionUniqueName="[Data2021]" displayFolder="" count="0" memberValueDatatype="130" unbalanced="0"/>
    <cacheHierarchy uniqueName="[Data2021].[Total committee members]" caption="Total committee members" attribute="1" defaultMemberUniqueName="[Data2021].[Total committee members].[All]" allUniqueName="[Data2021].[Total committee members].[All]" dimensionUniqueName="[Data2021]" displayFolder="" count="0" memberValueDatatype="20" unbalanced="0"/>
    <cacheHierarchy uniqueName="[Data2021].[Number of Comittees]" caption="Number of Comittees" attribute="1" defaultMemberUniqueName="[Data2021].[Number of Comittees].[All]" allUniqueName="[Data2021].[Number of Comittees].[All]" dimensionUniqueName="[Data2021]" displayFolder="" count="0" memberValueDatatype="20" unbalanced="0"/>
    <cacheHierarchy uniqueName="[Data2021].[Number of covid strong decrease]" caption="Number of covid strong decrease" attribute="1" defaultMemberUniqueName="[Data2021].[Number of covid strong decrease].[All]" allUniqueName="[Data2021].[Number of covid strong decrease].[All]" dimensionUniqueName="[Data2021]" displayFolder="" count="0" memberValueDatatype="20" unbalanced="0"/>
    <cacheHierarchy uniqueName="[Data2021].[Number of covid slight decrease]" caption="Number of covid slight decrease" attribute="1" defaultMemberUniqueName="[Data2021].[Number of covid slight decrease].[All]" allUniqueName="[Data2021].[Number of covid slight decrease].[All]" dimensionUniqueName="[Data2021]" displayFolder="" count="0" memberValueDatatype="20" unbalanced="0"/>
    <cacheHierarchy uniqueName="[Data2021].[Number of covid no influence]" caption="Number of covid no influence" attribute="1" defaultMemberUniqueName="[Data2021].[Number of covid no influence].[All]" allUniqueName="[Data2021].[Number of covid no influence].[All]" dimensionUniqueName="[Data2021]" displayFolder="" count="0" memberValueDatatype="20" unbalanced="0"/>
    <cacheHierarchy uniqueName="[Data2021].[Number ofcovid slicht increase]" caption="Number ofcovid slicht increase" attribute="1" defaultMemberUniqueName="[Data2021].[Number ofcovid slicht increase].[All]" allUniqueName="[Data2021].[Number ofcovid slicht increase].[All]" dimensionUniqueName="[Data2021]" displayFolder="" count="0" memberValueDatatype="20" unbalanced="0"/>
    <cacheHierarchy uniqueName="[Data2021].[Number of covid strong increase]" caption="Number of covid strong increase" attribute="1" defaultMemberUniqueName="[Data2021].[Number of covid strong increase].[All]" allUniqueName="[Data2021].[Number of covid strong increase].[All]" dimensionUniqueName="[Data2021]" displayFolder="" count="0" memberValueDatatype="20" unbalanced="0"/>
    <cacheHierarchy uniqueName="[Data2021].[Year]" caption="Year" attribute="1" defaultMemberUniqueName="[Data2021].[Year].[All]" allUniqueName="[Data2021].[Year].[All]" dimensionUniqueName="[Data2021]" displayFolder="" count="0" memberValueDatatype="20" unbalanced="0"/>
    <cacheHierarchy uniqueName="[Data2022].[organisation_name]" caption="organisation_name" attribute="1" defaultMemberUniqueName="[Data2022].[organisation_name].[All]" allUniqueName="[Data2022].[organisation_name].[All]" dimensionUniqueName="[Data2022]" displayFolder="" count="0" memberValueDatatype="130" unbalanced="0"/>
    <cacheHierarchy uniqueName="[Data2022].[Sector]" caption="Sector" attribute="1" defaultMemberUniqueName="[Data2022].[Sector].[All]" allUniqueName="[Data2022].[Sector].[All]" dimensionUniqueName="[Data2022]" displayFolder="" count="0" memberValueDatatype="130" unbalanced="0"/>
    <cacheHierarchy uniqueName="[Data2022].[type]" caption="type" attribute="1" defaultMemberUniqueName="[Data2022].[type].[All]" allUniqueName="[Data2022].[type].[All]" dimensionUniqueName="[Data2022]" displayFolder="" count="0" memberValueDatatype="130" unbalanced="0"/>
    <cacheHierarchy uniqueName="[Data2022].[Number of members]" caption="Number of members" attribute="1" defaultMemberUniqueName="[Data2022].[Number of members].[All]" allUniqueName="[Data2022].[Number of members].[All]" dimensionUniqueName="[Data2022]" displayFolder="" count="0" memberValueDatatype="130" unbalanced="0"/>
    <cacheHierarchy uniqueName="[Data2022].[Number of active members]" caption="Number of active members" attribute="1" defaultMemberUniqueName="[Data2022].[Number of active members].[All]" allUniqueName="[Data2022].[Number of active members].[All]" dimensionUniqueName="[Data2022]" displayFolder="" count="0" memberValueDatatype="130" unbalanced="0"/>
    <cacheHierarchy uniqueName="[Data2022].[Number of  inactive members]" caption="Number of  inactive members" attribute="1" defaultMemberUniqueName="[Data2022].[Number of  inactive members].[All]" allUniqueName="[Data2022].[Number of  inactive members].[All]" dimensionUniqueName="[Data2022]" displayFolder="" count="0" memberValueDatatype="130" unbalanced="0"/>
    <cacheHierarchy uniqueName="[Data2022].[Percentage active members]" caption="Percentage active members" attribute="1" defaultMemberUniqueName="[Data2022].[Percentage active members].[All]" allUniqueName="[Data2022].[Percentage active members].[All]" dimensionUniqueName="[Data2022]" displayFolder="" count="0" memberValueDatatype="130" unbalanced="0"/>
    <cacheHierarchy uniqueName="[Data2022].[Percentage inactive members]" caption="Percentage inactive members" attribute="1" defaultMemberUniqueName="[Data2022].[Percentage inactive members].[All]" allUniqueName="[Data2022].[Percentage inactive members].[All]" dimensionUniqueName="[Data2022]" displayFolder="" count="0" memberValueDatatype="130" unbalanced="0"/>
    <cacheHierarchy uniqueName="[Data2022].[Interval number of members]" caption="Interval number of members" attribute="1" defaultMemberUniqueName="[Data2022].[Interval number of members].[All]" allUniqueName="[Data2022].[Interval number of members].[All]" dimensionUniqueName="[Data2022]" displayFolder="" count="0" memberValueDatatype="130" unbalanced="0"/>
    <cacheHierarchy uniqueName="[Data2022].[Non-EEA Total]" caption="Non-EEA Total" attribute="1" defaultMemberUniqueName="[Data2022].[Non-EEA Total].[All]" allUniqueName="[Data2022].[Non-EEA Total].[All]" dimensionUniqueName="[Data2022]" displayFolder="" count="0" memberValueDatatype="130" unbalanced="0"/>
    <cacheHierarchy uniqueName="[Data2022].[EEA total]" caption="EEA total" attribute="1" defaultMemberUniqueName="[Data2022].[EEA total].[All]" allUniqueName="[Data2022].[EEA total].[All]" dimensionUniqueName="[Data2022]" displayFolder="" count="0" memberValueDatatype="130" unbalanced="0"/>
    <cacheHierarchy uniqueName="[Data2022].[Dutch total]" caption="Dutch total" attribute="1" defaultMemberUniqueName="[Data2022].[Dutch total].[All]" allUniqueName="[Data2022].[Dutch total].[All]" dimensionUniqueName="[Data2022]" displayFolder="" count="0" memberValueDatatype="130" unbalanced="0"/>
    <cacheHierarchy uniqueName="[Data2022].[Non-EEA Active]" caption="Non-EEA Active" attribute="1" defaultMemberUniqueName="[Data2022].[Non-EEA Active].[All]" allUniqueName="[Data2022].[Non-EEA Active].[All]" dimensionUniqueName="[Data2022]" displayFolder="" count="0" memberValueDatatype="20" unbalanced="0"/>
    <cacheHierarchy uniqueName="[Data2022].[EEA Active]" caption="EEA Active" attribute="1" defaultMemberUniqueName="[Data2022].[EEA Active].[All]" allUniqueName="[Data2022].[EEA Active].[All]" dimensionUniqueName="[Data2022]" displayFolder="" count="0" memberValueDatatype="20" unbalanced="0"/>
    <cacheHierarchy uniqueName="[Data2022].[Dutch Active]" caption="Dutch Active" attribute="1" defaultMemberUniqueName="[Data2022].[Dutch Active].[All]" allUniqueName="[Data2022].[Dutch Active].[All]" dimensionUniqueName="[Data2022]" displayFolder="" count="0" memberValueDatatype="130" unbalanced="0"/>
    <cacheHierarchy uniqueName="[Data2022].[Ratio Active Non-EEA]" caption="Ratio Active Non-EEA" attribute="1" defaultMemberUniqueName="[Data2022].[Ratio Active Non-EEA].[All]" allUniqueName="[Data2022].[Ratio Active Non-EEA].[All]" dimensionUniqueName="[Data2022]" displayFolder="" count="0" memberValueDatatype="130" unbalanced="0"/>
    <cacheHierarchy uniqueName="[Data2022].[Ratio Active EEA]" caption="Ratio Active EEA" attribute="1" defaultMemberUniqueName="[Data2022].[Ratio Active EEA].[All]" allUniqueName="[Data2022].[Ratio Active EEA].[All]" dimensionUniqueName="[Data2022]" displayFolder="" count="0" memberValueDatatype="130" unbalanced="0"/>
    <cacheHierarchy uniqueName="[Data2022].[Ratio Active Dutch]" caption="Ratio Active Dutch" attribute="1" defaultMemberUniqueName="[Data2022].[Ratio Active Dutch].[All]" allUniqueName="[Data2022].[Ratio Active Dutch].[All]" dimensionUniqueName="[Data2022]" displayFolder="" count="0" memberValueDatatype="130" unbalanced="0"/>
    <cacheHierarchy uniqueName="[Data2022].[Test total number of members]" caption="Test total number of members" attribute="1" defaultMemberUniqueName="[Data2022].[Test total number of members].[All]" allUniqueName="[Data2022].[Test total number of members].[All]" dimensionUniqueName="[Data2022]" displayFolder="" count="0" memberValueDatatype="130" unbalanced="0"/>
    <cacheHierarchy uniqueName="[Data2022].[Test total number of active members]" caption="Test total number of active members" attribute="1" defaultMemberUniqueName="[Data2022].[Test total number of active members].[All]" allUniqueName="[Data2022].[Test total number of active members].[All]" dimensionUniqueName="[Data2022]" displayFolder="" count="0" memberValueDatatype="130" unbalanced="0"/>
    <cacheHierarchy uniqueName="[Data2022].[Test total number inactive members]" caption="Test total number inactive members" attribute="1" defaultMemberUniqueName="[Data2022].[Test total number inactive members].[All]" allUniqueName="[Data2022].[Test total number inactive members].[All]" dimensionUniqueName="[Data2022]" displayFolder="" count="0" memberValueDatatype="130" unbalanced="0"/>
    <cacheHierarchy uniqueName="[Data2022].[Test max EEA active]" caption="Test max EEA active" attribute="1" defaultMemberUniqueName="[Data2022].[Test max EEA active].[All]" allUniqueName="[Data2022].[Test max EEA active].[All]" dimensionUniqueName="[Data2022]" displayFolder="" count="0" memberValueDatatype="130" unbalanced="0"/>
    <cacheHierarchy uniqueName="[Data2022].[Test max Dutch active]" caption="Test max Dutch active" attribute="1" defaultMemberUniqueName="[Data2022].[Test max Dutch active].[All]" allUniqueName="[Data2022].[Test max Dutch active].[All]" dimensionUniqueName="[Data2022]" displayFolder="" count="0" memberValueDatatype="130" unbalanced="0"/>
    <cacheHierarchy uniqueName="[Data2022].[Test max non-EEA active]" caption="Test max non-EEA active" attribute="1" defaultMemberUniqueName="[Data2022].[Test max non-EEA active].[All]" allUniqueName="[Data2022].[Test max non-EEA active].[All]" dimensionUniqueName="[Data2022]" displayFolder="" count="0" memberValueDatatype="130" unbalanced="0"/>
    <cacheHierarchy uniqueName="[Data2022].[Fullfill all requirements?]" caption="Fullfill all requirements?" attribute="1" defaultMemberUniqueName="[Data2022].[Fullfill all requirements?].[All]" allUniqueName="[Data2022].[Fullfill all requirements?].[All]" dimensionUniqueName="[Data2022]" displayFolder="" count="0" memberValueDatatype="130" unbalanced="0"/>
    <cacheHierarchy uniqueName="[Data2022].[Number of first year comittee members]" caption="Number of first year comittee members" attribute="1" defaultMemberUniqueName="[Data2022].[Number of first year comittee members].[All]" allUniqueName="[Data2022].[Number of first year comittee members].[All]" dimensionUniqueName="[Data2022]" displayFolder="" count="0" memberValueDatatype="130" unbalanced="0"/>
    <cacheHierarchy uniqueName="[Data2022].[Number of second year comittee members]" caption="Number of second year comittee members" attribute="1" defaultMemberUniqueName="[Data2022].[Number of second year comittee members].[All]" allUniqueName="[Data2022].[Number of second year comittee members].[All]" dimensionUniqueName="[Data2022]" displayFolder="" count="0" memberValueDatatype="130" unbalanced="0"/>
    <cacheHierarchy uniqueName="[Data2022].[Number of third year comittee members]" caption="Number of third year comittee members" attribute="1" defaultMemberUniqueName="[Data2022].[Number of third year comittee members].[All]" allUniqueName="[Data2022].[Number of third year comittee members].[All]" dimensionUniqueName="[Data2022]" displayFolder="" count="0" memberValueDatatype="130" unbalanced="0"/>
    <cacheHierarchy uniqueName="[Data2022].[Number of fourth year comittee members]" caption="Number of fourth year comittee members" attribute="1" defaultMemberUniqueName="[Data2022].[Number of fourth year comittee members].[All]" allUniqueName="[Data2022].[Number of fourth year comittee members].[All]" dimensionUniqueName="[Data2022]" displayFolder="" count="0" memberValueDatatype="130" unbalanced="0"/>
    <cacheHierarchy uniqueName="[Data2022].[Number of 4+ year comittee members]" caption="Number of 4+ year comittee members" attribute="1" defaultMemberUniqueName="[Data2022].[Number of 4+ year comittee members].[All]" allUniqueName="[Data2022].[Number of 4+ year comittee members].[All]" dimensionUniqueName="[Data2022]" displayFolder="" count="0" memberValueDatatype="130" unbalanced="0"/>
    <cacheHierarchy uniqueName="[Data2022].[Total committee members]" caption="Total committee members" attribute="1" defaultMemberUniqueName="[Data2022].[Total committee members].[All]" allUniqueName="[Data2022].[Total committee members].[All]" dimensionUniqueName="[Data2022]" displayFolder="" count="0" memberValueDatatype="20" unbalanced="0"/>
    <cacheHierarchy uniqueName="[Data2022].[Number of Comittees]" caption="Number of Comittees" attribute="1" defaultMemberUniqueName="[Data2022].[Number of Comittees].[All]" allUniqueName="[Data2022].[Number of Comittees].[All]" dimensionUniqueName="[Data2022]" displayFolder="" count="0" memberValueDatatype="20" unbalanced="0"/>
    <cacheHierarchy uniqueName="[Data2022].[Year]" caption="Year" attribute="1" defaultMemberUniqueName="[Data2022].[Year].[All]" allUniqueName="[Data2022].[Year].[All]" dimensionUniqueName="[Data2022]" displayFolder="" count="0" memberValueDatatype="20" unbalanced="0"/>
    <cacheHierarchy uniqueName="[Measures].[__XL_Count Data2022]" caption="__XL_Count Data2022" measure="1" displayFolder="" measureGroup="Data2022" count="0" hidden="1"/>
    <cacheHierarchy uniqueName="[Measures].[__XL_Count Data2021]" caption="__XL_Count Data2021" measure="1" displayFolder="" measureGroup="Data2021" count="0" hidden="1"/>
    <cacheHierarchy uniqueName="[Measures].[__XL_Count Combined20212022]" caption="__XL_Count Combined20212022" measure="1" displayFolder="" measureGroup="Combined20212022" count="0" hidden="1"/>
    <cacheHierarchy uniqueName="[Measures].[__No measures defined]" caption="__No measures defined" measure="1" displayFolder="" count="0" hidden="1"/>
    <cacheHierarchy uniqueName="[Measures].[Count of Non-EEA Total]" caption="Count of Non-EEA Total" measure="1" displayFolder="" measureGroup="Combined20212022" count="0" hidden="1">
      <extLst>
        <ext xmlns:x15="http://schemas.microsoft.com/office/spreadsheetml/2010/11/main" uri="{B97F6D7D-B522-45F9-BDA1-12C45D357490}">
          <x15:cacheHierarchy aggregatedColumn="9"/>
        </ext>
      </extLst>
    </cacheHierarchy>
    <cacheHierarchy uniqueName="[Measures].[Count of EEA total]" caption="Count of EEA total" measure="1" displayFolder="" measureGroup="Combined20212022" count="0" hidden="1">
      <extLst>
        <ext xmlns:x15="http://schemas.microsoft.com/office/spreadsheetml/2010/11/main" uri="{B97F6D7D-B522-45F9-BDA1-12C45D357490}">
          <x15:cacheHierarchy aggregatedColumn="10"/>
        </ext>
      </extLst>
    </cacheHierarchy>
    <cacheHierarchy uniqueName="[Measures].[Count of Dutch Active]" caption="Count of Dutch Active" measure="1" displayFolder="" measureGroup="Combined20212022" count="0" hidden="1">
      <extLst>
        <ext xmlns:x15="http://schemas.microsoft.com/office/spreadsheetml/2010/11/main" uri="{B97F6D7D-B522-45F9-BDA1-12C45D357490}">
          <x15:cacheHierarchy aggregatedColumn="14"/>
        </ext>
      </extLst>
    </cacheHierarchy>
    <cacheHierarchy uniqueName="[Measures].[Count of Dutch total]" caption="Count of Dutch total" measure="1" displayFolder="" measureGroup="Combined20212022" count="0" hidden="1">
      <extLst>
        <ext xmlns:x15="http://schemas.microsoft.com/office/spreadsheetml/2010/11/main" uri="{B97F6D7D-B522-45F9-BDA1-12C45D357490}">
          <x15:cacheHierarchy aggregatedColumn="11"/>
        </ext>
      </extLst>
    </cacheHierarchy>
    <cacheHierarchy uniqueName="[Measures].[Count of Ratio Active Non-EEA]" caption="Count of Ratio Active Non-EEA" measure="1" displayFolder="" measureGroup="Combined20212022" count="0" oneField="1" hidden="1">
      <fieldsUsage count="1">
        <fieldUsage x="3"/>
      </fieldsUsage>
      <extLst>
        <ext xmlns:x15="http://schemas.microsoft.com/office/spreadsheetml/2010/11/main" uri="{B97F6D7D-B522-45F9-BDA1-12C45D357490}">
          <x15:cacheHierarchy aggregatedColumn="15"/>
        </ext>
      </extLst>
    </cacheHierarchy>
    <cacheHierarchy uniqueName="[Measures].[Count of Ratio Active EEA]" caption="Count of Ratio Active EEA" measure="1" displayFolder="" measureGroup="Combined20212022" count="0" hidden="1">
      <extLst>
        <ext xmlns:x15="http://schemas.microsoft.com/office/spreadsheetml/2010/11/main" uri="{B97F6D7D-B522-45F9-BDA1-12C45D357490}">
          <x15:cacheHierarchy aggregatedColumn="16"/>
        </ext>
      </extLst>
    </cacheHierarchy>
    <cacheHierarchy uniqueName="[Measures].[Sum of EEA Active]" caption="Sum of EEA Active" measure="1" displayFolder="" measureGroup="Combined20212022" count="0" hidden="1">
      <extLst>
        <ext xmlns:x15="http://schemas.microsoft.com/office/spreadsheetml/2010/11/main" uri="{B97F6D7D-B522-45F9-BDA1-12C45D357490}">
          <x15:cacheHierarchy aggregatedColumn="13"/>
        </ext>
      </extLst>
    </cacheHierarchy>
    <cacheHierarchy uniqueName="[Measures].[Sum of Non-EEA Active]" caption="Sum of Non-EEA Active" measure="1" displayFolder="" measureGroup="Combined20212022" count="0" hidden="1">
      <extLst>
        <ext xmlns:x15="http://schemas.microsoft.com/office/spreadsheetml/2010/11/main" uri="{B97F6D7D-B522-45F9-BDA1-12C45D357490}">
          <x15:cacheHierarchy aggregatedColumn="12"/>
        </ext>
      </extLst>
    </cacheHierarchy>
    <cacheHierarchy uniqueName="[Measures].[Average of Non-EEA Active]" caption="Average of Non-EEA Active" measure="1" displayFolder="" measureGroup="Combined20212022" count="0" hidden="1">
      <extLst>
        <ext xmlns:x15="http://schemas.microsoft.com/office/spreadsheetml/2010/11/main" uri="{B97F6D7D-B522-45F9-BDA1-12C45D357490}">
          <x15:cacheHierarchy aggregatedColumn="12"/>
        </ext>
      </extLst>
    </cacheHierarchy>
    <cacheHierarchy uniqueName="[Measures].[Average of EEA Active]" caption="Average of EEA Active" measure="1" displayFolder="" measureGroup="Combined20212022" count="0" hidden="1">
      <extLst>
        <ext xmlns:x15="http://schemas.microsoft.com/office/spreadsheetml/2010/11/main" uri="{B97F6D7D-B522-45F9-BDA1-12C45D357490}">
          <x15:cacheHierarchy aggregatedColumn="13"/>
        </ext>
      </extLst>
    </cacheHierarchy>
  </cacheHierarchies>
  <kpis count="0"/>
  <dimensions count="4">
    <dimension name="Combined20212022" uniqueName="[Combined20212022]" caption="Combined20212022"/>
    <dimension name="Data2021" uniqueName="[Data2021]" caption="Data2021"/>
    <dimension name="Data2022" uniqueName="[Data2022]" caption="Data2022"/>
    <dimension measure="1" name="Measures" uniqueName="[Measures]" caption="Measures"/>
  </dimensions>
  <measureGroups count="3">
    <measureGroup name="Combined20212022" caption="Combined20212022"/>
    <measureGroup name="Data2021" caption="Data2021"/>
    <measureGroup name="Data2022" caption="Data2022"/>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3518518" createdVersion="8" refreshedVersion="7" minRefreshableVersion="3" recordCount="139" xr:uid="{0DFC7803-477A-4445-A476-5B30350132B8}">
  <cacheSource type="worksheet">
    <worksheetSource name="Data2023"/>
  </cacheSource>
  <cacheFields count="33">
    <cacheField name="organisation_name" numFmtId="0">
      <sharedItems count="139">
        <s v="Break-even"/>
        <s v="DAV Kronos"/>
        <s v="DBV Arriba"/>
        <s v="DSTV Aloha"/>
        <s v="DSV de Skeuvel"/>
        <s v="DTTV Thibats"/>
        <s v="DWV Hardboard"/>
        <s v="DWV Klein Verzet"/>
        <s v="DBV DIOK"/>
        <s v="DBV de Stretchers"/>
        <s v="DHC Drienerlo"/>
        <s v="DKV Euros"/>
        <s v="DRV Euros"/>
        <s v="DRV Hippocampus"/>
        <s v="DSSV Tartaros"/>
        <s v="DZV Euros"/>
        <s v="EEEHV Cabezota"/>
        <s v="ESBV Buitenwesten"/>
        <s v="HSV High-Tech-Hitters"/>
        <s v="Linea Recta"/>
        <s v="Messed Up"/>
        <s v="Motor Sport Groep"/>
        <s v="SKV Vakgericht"/>
        <s v="SHBV Sagittarius"/>
        <s v="ADSKV Slagvaardig"/>
        <s v="SYHV The Slapping Studs"/>
        <s v="TC Ludica"/>
        <s v="TSAC"/>
        <s v="VAS Arashi"/>
        <s v="VV Drienerlo"/>
        <s v="VV Harambee"/>
        <s v="ZPV Piranha"/>
        <s v="Twentse Thestrals"/>
        <s v="Primo Ballerino"/>
        <s v="Phoenix Lacrosse"/>
        <s v="SKV Hercules"/>
        <s v="A la Kart"/>
        <s v="BSV de Stoottroepen"/>
        <s v="SV Muurvast"/>
        <s v="DKV De Zeeuven Reen"/>
        <s v="BlueShell"/>
        <s v="4 happy feet"/>
        <s v="AFVD Foton"/>
        <s v="Arabesque"/>
        <s v="Belletrie Bibliotheek"/>
        <s v="Contramime"/>
        <s v="Fanaat"/>
        <s v="Musica Silvestra Orkest"/>
        <s v="Musilon"/>
        <s v="Nest"/>
        <s v="Pro Deo"/>
        <s v="SDV Chasse"/>
        <s v="SHOT"/>
        <s v="Stubiba"/>
        <s v="Inspe"/>
        <s v="Stukafest"/>
        <s v="Abacus"/>
        <s v="Alembic"/>
        <s v="Arago"/>
        <s v="Astatine"/>
        <s v="Atlantis"/>
        <s v="Communique"/>
        <s v="ConcepT"/>
        <s v="Daedalus"/>
        <s v="Dimensie"/>
        <s v="Ideefiks"/>
        <s v="Inter-Actief"/>
        <s v="Isaac Newton"/>
        <s v="Komma"/>
        <s v="Paradoks"/>
        <s v="Proto"/>
        <s v="Scintilla"/>
        <s v="Sirius"/>
        <s v="Stress"/>
        <s v="SV Onwijs"/>
        <s v="ITC-SAB"/>
        <s v="Honoursvereniging Ockham"/>
        <s v="AEGEE Enschede"/>
        <s v="ASV Taste"/>
        <s v="Audentis et Virtutis"/>
        <s v="CSV Alpha"/>
        <s v="Reformatorische Studenten Kring"/>
        <s v="SV De Gevreesde Koe VB"/>
        <s v="Navigators studentenvereniging Enschede"/>
        <s v="Jongeren - en Studentenvereniging Exaltio"/>
        <s v="ISA AT UT"/>
        <s v="Student Union"/>
        <s v="LA Voz"/>
        <s v="ESN Twente"/>
        <s v="ICF-E"/>
        <s v="PSA"/>
        <s v="SUUT"/>
        <s v="RSA"/>
        <s v="UT Muslims"/>
        <s v="SUT"/>
        <s v="Cultuurkoepel Apollo"/>
        <s v="PKVV Fact"/>
        <s v="UniTe"/>
        <s v="Bedrijvendagen"/>
        <s v="Duitenberg"/>
        <s v="Integrand Twente"/>
        <s v="KIVI Students Twente"/>
        <s v="Unipartners"/>
        <s v="DSIF"/>
        <s v="Hive01"/>
        <s v="Green Team Twente"/>
        <s v="IAPC"/>
        <s v="Stichting Borrelbeheer Zilvering"/>
        <s v="Stichting Batavierenrace"/>
        <s v="Stichting Solar Team Twente"/>
        <s v="Studenten Net Twente"/>
        <s v="Vereniging Campus kabel"/>
        <s v="Werkgroep OntwikkelingsTechnieken"/>
        <s v="Borrelbeheer TAP"/>
        <s v="Studentenstam Radix"/>
        <s v="IEEE Student Branch"/>
        <s v="Stichting Solar Boat Twente"/>
        <s v="Stichting Robo Team Twente"/>
        <s v="Stichting Electric Superbike Twente"/>
        <s v="De sevende camer"/>
        <s v="The negotiation project"/>
        <s v="Drone Team Twente"/>
        <s v="Sustain"/>
        <s v="Space Society"/>
        <s v="Drienerlose Stichting Torenhoog"/>
        <s v="Vereniging Overleg Studieverenigingen"/>
        <s v="IrNUT"/>
        <s v="Stichting Societeit Antigoon"/>
        <s v="Stichting Societeit TRAM"/>
        <s v="Stichting Societeit Flux"/>
        <s v="Stichting Societeit Asterion"/>
        <s v="Stichting Kantine Sportcentrum"/>
        <s v="VGST"/>
        <s v="Stichting t Fluitje"/>
        <s v="Enactus Twente"/>
        <s v="Eurasian Student Organisation"/>
        <s v="Ultimate Frisbee Twente"/>
        <s v="Ambitious Women UT"/>
        <s v="IAESTE Twente"/>
      </sharedItems>
    </cacheField>
    <cacheField name="Sector " numFmtId="0">
      <sharedItems count="6">
        <s v="Culture"/>
        <s v="Sports"/>
        <s v="Study"/>
        <s v="Social"/>
        <s v="Other"/>
        <s v="World"/>
      </sharedItems>
    </cacheField>
    <cacheField name="type " numFmtId="0">
      <sharedItems count="2">
        <s v="association"/>
        <s v="foundation"/>
      </sharedItems>
    </cacheField>
    <cacheField name="Number of members" numFmtId="0">
      <sharedItems containsMixedTypes="1" containsNumber="1" containsInteger="1" minValue="0" maxValue="1960" count="92">
        <n v="85"/>
        <n v="102"/>
        <n v="106"/>
        <n v="72"/>
        <n v="240"/>
        <n v="29"/>
        <n v="170"/>
        <n v="78"/>
        <n v="42"/>
        <n v="223"/>
        <s v="N/A"/>
        <n v="353"/>
        <n v="60"/>
        <n v="75"/>
        <n v="62"/>
        <n v="50"/>
        <n v="100"/>
        <n v="52"/>
        <n v="68"/>
        <n v="37"/>
        <n v="74"/>
        <n v="57"/>
        <n v="59"/>
        <n v="55"/>
        <n v="560"/>
        <n v="175"/>
        <n v="122"/>
        <n v="380"/>
        <n v="420"/>
        <n v="280"/>
        <n v="65"/>
        <n v="180"/>
        <n v="252"/>
        <n v="28"/>
        <n v="133"/>
        <n v="88"/>
        <n v="18"/>
        <n v="67"/>
        <n v="44"/>
        <n v="48"/>
        <n v="63"/>
        <n v="25"/>
        <n v="70"/>
        <n v="477"/>
        <n v="308"/>
        <n v="617"/>
        <n v="442"/>
        <n v="193"/>
        <n v="311"/>
        <n v="670"/>
        <n v="862"/>
        <n v="780"/>
        <n v="66"/>
        <n v="1200"/>
        <n v="1505"/>
        <n v="298"/>
        <n v="455"/>
        <n v="600"/>
        <n v="820"/>
        <n v="1960"/>
        <n v="80"/>
        <n v="250"/>
        <n v="285"/>
        <n v="548"/>
        <n v="510"/>
        <n v="118"/>
        <n v="96"/>
        <n v="6"/>
        <n v="0"/>
        <n v="3"/>
        <n v="1447"/>
        <n v="7"/>
        <n v="110"/>
        <n v="9"/>
        <n v="8"/>
        <n v="5"/>
        <n v="31"/>
        <n v="30"/>
        <n v="17"/>
        <n v="120"/>
        <n v="145"/>
        <n v="89"/>
        <n v="38"/>
        <n v="21"/>
        <n v="14"/>
        <n v="500"/>
        <n v="16"/>
        <n v="20"/>
        <n v="467"/>
        <n v="79"/>
        <n v="4"/>
        <n v="200"/>
      </sharedItems>
    </cacheField>
    <cacheField name="Number of active members" numFmtId="0">
      <sharedItems containsMixedTypes="1" containsNumber="1" containsInteger="1" minValue="0" maxValue="250"/>
    </cacheField>
    <cacheField name="Number of  inactive members" numFmtId="0">
      <sharedItems containsMixedTypes="1" containsNumber="1" containsInteger="1" minValue="0" maxValue="1911"/>
    </cacheField>
    <cacheField name="Percentage active members" numFmtId="0">
      <sharedItems containsMixedTypes="1" containsNumber="1" minValue="0" maxValue="0.86206896551724133"/>
    </cacheField>
    <cacheField name="Percentage inactive members" numFmtId="0">
      <sharedItems containsMixedTypes="1" containsNumber="1" minValue="0.13793103448275867" maxValue="1"/>
    </cacheField>
    <cacheField name="Interval number of members" numFmtId="0">
      <sharedItems count="6">
        <s v="B. 50 - 100"/>
        <s v="C. 100 - 400"/>
        <s v=" A. 1 - 50 "/>
        <s v="E. 1000 +"/>
        <s v="D. 400 - 1000"/>
        <s v="N/A"/>
      </sharedItems>
    </cacheField>
    <cacheField name="Non-EEA Total" numFmtId="0">
      <sharedItems containsMixedTypes="1" containsNumber="1" containsInteger="1" minValue="0" maxValue="219"/>
    </cacheField>
    <cacheField name="EEA total" numFmtId="0">
      <sharedItems containsMixedTypes="1" containsNumber="1" containsInteger="1" minValue="0" maxValue="292"/>
    </cacheField>
    <cacheField name="Dutch total" numFmtId="0">
      <sharedItems containsMixedTypes="1" containsNumber="1" containsInteger="1" minValue="1" maxValue="1640"/>
    </cacheField>
    <cacheField name="Non-EEA Active " numFmtId="0">
      <sharedItems containsSemiMixedTypes="0" containsString="0" containsNumber="1" containsInteger="1" minValue="0" maxValue="20"/>
    </cacheField>
    <cacheField name="EEA Active" numFmtId="0">
      <sharedItems containsSemiMixedTypes="0" containsString="0" containsNumber="1" containsInteger="1" minValue="0" maxValue="73"/>
    </cacheField>
    <cacheField name="Dutch Active" numFmtId="0">
      <sharedItems containsMixedTypes="1" containsNumber="1" containsInteger="1" minValue="1" maxValue="245"/>
    </cacheField>
    <cacheField name="Ratio Active Non-EEA" numFmtId="0">
      <sharedItems containsMixedTypes="1" containsNumber="1" minValue="0" maxValue="2"/>
    </cacheField>
    <cacheField name="Ratio Active EEA" numFmtId="0">
      <sharedItems containsMixedTypes="1" containsNumber="1" minValue="0" maxValue="10"/>
    </cacheField>
    <cacheField name="Ratio Active Dutch" numFmtId="0">
      <sharedItems containsMixedTypes="1" containsNumber="1" minValue="2.4390243902439024E-3" maxValue="1.3333333333333333"/>
    </cacheField>
    <cacheField name="Test total number of members" numFmtId="0">
      <sharedItems/>
    </cacheField>
    <cacheField name="Test total number of active members" numFmtId="0">
      <sharedItems/>
    </cacheField>
    <cacheField name="Test total number inactive members" numFmtId="0">
      <sharedItems/>
    </cacheField>
    <cacheField name="Test max EEA active" numFmtId="0">
      <sharedItems/>
    </cacheField>
    <cacheField name="Test max Dutch active" numFmtId="0">
      <sharedItems/>
    </cacheField>
    <cacheField name="Test max non-EEA active" numFmtId="0">
      <sharedItems/>
    </cacheField>
    <cacheField name="Fullfill all requirements?" numFmtId="0">
      <sharedItems containsBlank="1" count="4">
        <s v="T"/>
        <s v="F"/>
        <m/>
        <e v="#VALUE!"/>
      </sharedItems>
    </cacheField>
    <cacheField name="Number of first year comittee members" numFmtId="0">
      <sharedItems containsMixedTypes="1" containsNumber="1" containsInteger="1" minValue="0" maxValue="60"/>
    </cacheField>
    <cacheField name="Number of second year comittee members" numFmtId="0">
      <sharedItems containsMixedTypes="1" containsNumber="1" containsInteger="1" minValue="0" maxValue="85"/>
    </cacheField>
    <cacheField name="Number of third year comittee members" numFmtId="0">
      <sharedItems containsMixedTypes="1" containsNumber="1" containsInteger="1" minValue="0" maxValue="113"/>
    </cacheField>
    <cacheField name="Number of fourth year comittee members" numFmtId="0">
      <sharedItems containsMixedTypes="1" containsNumber="1" containsInteger="1" minValue="0" maxValue="67"/>
    </cacheField>
    <cacheField name="Number of 4+ year comittee members" numFmtId="0">
      <sharedItems containsMixedTypes="1" containsNumber="1" containsInteger="1" minValue="0" maxValue="60"/>
    </cacheField>
    <cacheField name="Total committee members" numFmtId="0">
      <sharedItems containsSemiMixedTypes="0" containsString="0" containsNumber="1" containsInteger="1" minValue="0" maxValue="311"/>
    </cacheField>
    <cacheField name="Number of Comittees" numFmtId="0">
      <sharedItems containsSemiMixedTypes="0" containsString="0" containsNumber="1" containsInteger="1" minValue="0" maxValue="59"/>
    </cacheField>
    <cacheField name="Year" numFmtId="0">
      <sharedItems containsSemiMixedTypes="0" containsString="0" containsNumber="1" containsInteger="1" minValue="2023" maxValue="2023"/>
    </cacheField>
  </cacheFields>
  <extLst>
    <ext xmlns:x14="http://schemas.microsoft.com/office/spreadsheetml/2009/9/main" uri="{725AE2AE-9491-48be-B2B4-4EB974FC3084}">
      <x14:pivotCacheDefinition pivotCacheId="68411945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6527781" createdVersion="7" refreshedVersion="7" minRefreshableVersion="3" recordCount="914" xr:uid="{7FACE3E5-A16A-488A-B39E-F15297047986}">
  <cacheSource type="worksheet">
    <worksheetSource name="Comittee2021"/>
  </cacheSource>
  <cacheFields count="15">
    <cacheField name="submission_id" numFmtId="0">
      <sharedItems containsSemiMixedTypes="0" containsString="0" containsNumber="1" containsInteger="1" minValue="142" maxValue="281"/>
    </cacheField>
    <cacheField name="submission_status" numFmtId="0">
      <sharedItems count="2">
        <s v="step 3"/>
        <s v="finished"/>
      </sharedItems>
    </cacheField>
    <cacheField name="organisation_id" numFmtId="0">
      <sharedItems containsSemiMixedTypes="0" containsString="0" containsNumber="1" containsInteger="1" minValue="107" maxValue="249"/>
    </cacheField>
    <cacheField name="organisation_name" numFmtId="0">
      <sharedItems count="70">
        <s v="Break-even"/>
        <s v="DAV Kronos"/>
        <s v="DSTV Aloha"/>
        <s v="DSV de Skeuvel"/>
        <s v="DTTV Thibats"/>
        <s v="DWV Hardboard"/>
        <s v="DBV de Stretchers"/>
        <s v="DHC Drienerlo"/>
        <s v="DRV Euros"/>
        <s v="DZV Euros"/>
        <s v="EEEHV Cabezota"/>
        <s v="ESBV Buitenwesten"/>
        <s v="HSV High-Tech-Hitters"/>
        <s v="Linea Recta"/>
        <s v="SKV Vakgericht"/>
        <s v="SHBV Sagittarius"/>
        <s v="TSAC"/>
        <s v="VAS Arashi"/>
        <s v="VV Drienerlo"/>
        <s v="VV Harambee"/>
        <s v="ZPV Piranha"/>
        <s v="Primo Ballerino"/>
        <s v="Arabesque"/>
        <s v="Fanaat"/>
        <s v="Musica Silvestra Orkest"/>
        <s v="Nest"/>
        <s v="Pro Deo"/>
        <s v="SDV Chasse"/>
        <s v="Inspe"/>
        <s v="Abacus"/>
        <s v="Alembic"/>
        <s v="Arago"/>
        <s v="Astatine"/>
        <s v="Atlantis"/>
        <s v="Communique"/>
        <s v="Daedalus"/>
        <s v="Dimensie"/>
        <s v="Inter-Actief"/>
        <s v="Isaac Newton"/>
        <s v="Komma"/>
        <s v="Proto"/>
        <s v="Scintilla"/>
        <s v="Sirius"/>
        <s v="SV Onwijs"/>
        <s v="AEGEE Enschede"/>
        <s v="ASV Taste"/>
        <s v="CSV Alpha"/>
        <s v="Navigators studentenvereniging Enschede"/>
        <s v="Student Union"/>
        <s v="ESN Twente"/>
        <s v="ICF-E"/>
        <s v="UT Muslims"/>
        <s v="SUT"/>
        <s v="Cultuurkoepel Apollo"/>
        <s v="PKVV Fact"/>
        <s v="UniTe"/>
        <s v="AIESEC Twente"/>
        <s v="Integrand Twente"/>
        <s v="KIVI Students Twente"/>
        <s v="IAPC"/>
        <s v="Stichting Borrelbeheer Zilvering"/>
        <s v="Stichting Batavierenrace"/>
        <s v="Stichting Solar Team Twente"/>
        <s v="Studentenstam Radix"/>
        <s v="Stichting Robo Team Twente"/>
        <s v="The negotiation project"/>
        <s v="Drone Team Twente"/>
        <s v="Vereniging Overleg Studieverenigingen"/>
        <s v="Stichting t Fluitje"/>
        <s v="Eurasian Student Organisation"/>
      </sharedItems>
    </cacheField>
    <cacheField name="committee_id" numFmtId="0">
      <sharedItems containsSemiMixedTypes="0" containsString="0" containsNumber="1" containsInteger="1" minValue="283" maxValue="1661"/>
    </cacheField>
    <cacheField name="committee_name" numFmtId="0">
      <sharedItems/>
    </cacheField>
    <cacheField name="1st_years" numFmtId="0">
      <sharedItems containsString="0" containsBlank="1" containsNumber="1" containsInteger="1" minValue="0" maxValue="10"/>
    </cacheField>
    <cacheField name="2nd_years" numFmtId="0">
      <sharedItems containsString="0" containsBlank="1" containsNumber="1" containsInteger="1" minValue="0" maxValue="10"/>
    </cacheField>
    <cacheField name="3rd_years" numFmtId="0">
      <sharedItems containsString="0" containsBlank="1" containsNumber="1" containsInteger="1" minValue="0" maxValue="13"/>
    </cacheField>
    <cacheField name="4th_years" numFmtId="0">
      <sharedItems containsString="0" containsBlank="1" containsNumber="1" containsInteger="1" minValue="0" maxValue="23"/>
    </cacheField>
    <cacheField name="4th_plus_years" numFmtId="0">
      <sharedItems containsString="0" containsBlank="1" containsNumber="1" containsInteger="1" minValue="0" maxValue="13"/>
    </cacheField>
    <cacheField name="unknown" numFmtId="0">
      <sharedItems containsString="0" containsBlank="1" containsNumber="1" containsInteger="1" minValue="0" maxValue="40"/>
    </cacheField>
    <cacheField name="workload_per_member_per_week" numFmtId="0">
      <sharedItems/>
    </cacheField>
    <cacheField name="duration_of_committee_in_weeks" numFmtId="0">
      <sharedItems/>
    </cacheField>
    <cacheField name="covid_impact" numFmtId="0">
      <sharedItems count="6">
        <s v=""/>
        <s v="strong increase"/>
        <s v="no influence"/>
        <s v="slight increase"/>
        <s v="slight decrease"/>
        <s v="strong decrease"/>
      </sharedItems>
    </cacheField>
  </cacheFields>
  <extLst>
    <ext xmlns:x14="http://schemas.microsoft.com/office/spreadsheetml/2009/9/main" uri="{725AE2AE-9491-48be-B2B4-4EB974FC3084}">
      <x14:pivotCacheDefinition pivotCacheId="132281036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6990743" createdVersion="8" refreshedVersion="7" minRefreshableVersion="3" recordCount="142" xr:uid="{C3346BC6-6EBA-4682-A44A-C4B776B48DFE}">
  <cacheSource type="worksheet">
    <worksheetSource name="General2023"/>
  </cacheSource>
  <cacheFields count="18">
    <cacheField name="organisation_id" numFmtId="0">
      <sharedItems containsSemiMixedTypes="0" containsString="0" containsNumber="1" containsInteger="1" minValue="107" maxValue="256"/>
    </cacheField>
    <cacheField name="organisation_name" numFmtId="0">
      <sharedItems count="142">
        <s v="Break-even"/>
        <s v="DAV Kronos"/>
        <s v="DBV Arriba"/>
        <s v="DSTV Aloha"/>
        <s v="DSV de Skeuvel"/>
        <s v="DTTV Thibats"/>
        <s v="DWV Hardboard"/>
        <s v="DWV Klein Verzet"/>
        <s v="DBV DIOK"/>
        <s v="DBV de Stretchers"/>
        <s v="DHC Drienerlo"/>
        <s v="DKV Euros"/>
        <s v="DRV Euros"/>
        <s v="DRV Hippocampus"/>
        <s v="DSSV Tartaros"/>
        <s v="DZV Euros"/>
        <s v="EEEHV Cabezota"/>
        <s v="ESBV Buitenwesten"/>
        <s v="HSV High-Tech-Hitters"/>
        <s v="Linea Recta"/>
        <s v="Messed Up"/>
        <s v="Motor Sport Groep"/>
        <s v="SKV Vakgericht"/>
        <s v="SHBV Sagittarius"/>
        <s v="ADSKV Slagvaardig"/>
        <s v="SYHV The Slapping Studs"/>
        <s v="TC Ludica"/>
        <s v="TSAC"/>
        <s v="VAS Arashi"/>
        <s v="VV Drienerlo"/>
        <s v="VV Harambee"/>
        <s v="ZPV Piranha"/>
        <s v="Twentse Thestrals"/>
        <s v="Primo Ballerino"/>
        <s v="Phoenix Lacrosse"/>
        <s v="SKV Hercules"/>
        <s v="A la Kart"/>
        <s v="BSV de Stoottroepen"/>
        <s v="SV Muurvast"/>
        <s v="DKV De Zeeuven Reen"/>
        <s v="BlueShell"/>
        <s v="4 happy feet"/>
        <s v="AFVD Foton"/>
        <s v="Arabesque"/>
        <s v="Belletrie Bibliotheek"/>
        <s v="Contramime"/>
        <s v="Fanaat"/>
        <s v="Musica Silvestra Orkest"/>
        <s v="Musilon"/>
        <s v="Nest"/>
        <s v="Pro Deo"/>
        <s v="SDV Chasse"/>
        <s v="SHOT"/>
        <s v="Stubiba"/>
        <s v="Inspe"/>
        <s v="Stukafest"/>
        <s v="Abacus"/>
        <s v="Alembic"/>
        <s v="Arago"/>
        <s v="Astatine"/>
        <s v="Atlantis"/>
        <s v="Communique"/>
        <s v="ConcepT"/>
        <s v="Daedalus"/>
        <s v="Dimensie"/>
        <s v="Ideefiks"/>
        <s v="Inter-Actief"/>
        <s v="Isaac Newton"/>
        <s v="Komma"/>
        <s v="Paradoks"/>
        <s v="Proto"/>
        <s v="Scintilla"/>
        <s v="Sirius"/>
        <s v="Stress"/>
        <s v="SV Onwijs"/>
        <s v="ITC-SAB"/>
        <s v="Honoursvereniging Ockham"/>
        <s v="AEGEE Enschede"/>
        <s v="ASV Taste"/>
        <s v="Audentis et Virtutis"/>
        <s v="CSV Alpha"/>
        <s v="Reformatorische Studenten Kring"/>
        <s v="SV De Gevreesde Koe VB"/>
        <s v="Navigators studentenvereniging Enschede"/>
        <s v="Jongeren - en Studentenvereniging Exaltio"/>
        <s v="ISA AT UT"/>
        <s v="Student Union"/>
        <s v="LA Voz"/>
        <s v="ESN Twente"/>
        <s v="ICF-E"/>
        <s v="PSA"/>
        <s v="SUUT"/>
        <s v="RSA"/>
        <s v="UT Muslims"/>
        <s v="SUT"/>
        <s v="Cultuurkoepel Apollo"/>
        <s v="PKVV Fact"/>
        <s v="UniTe"/>
        <s v="Bedrijvendagen"/>
        <s v="Duitenberg"/>
        <s v="Integrand Twente"/>
        <s v="KIVI Students Twente"/>
        <s v="Unipartners"/>
        <s v="DSIF"/>
        <s v="Hive01"/>
        <s v="Green Team Twente"/>
        <s v="IAPC"/>
        <s v="Stichting Borrelbeheer Zilvering"/>
        <s v="Stichting Batavierenrace"/>
        <s v="Stichting Solar Team Twente"/>
        <s v="Studenten Net Twente"/>
        <s v="Vereniging Campus kabel"/>
        <s v="Werkgroep OntwikkelingsTechnieken"/>
        <s v="Borrelbeheer TAP"/>
        <s v="Studentenstam Radix"/>
        <s v="IEEE Student Branch"/>
        <s v="Stichting Solar Boat Twente"/>
        <s v="Stichting Robo Team Twente"/>
        <s v="Stichting Electric Superbike Twente"/>
        <s v="De sevende camer"/>
        <s v="The negotiation project"/>
        <s v="Drone Team Twente"/>
        <s v="Sustain"/>
        <s v="Space Society"/>
        <s v="Drienerlose Stichting Torenhoog"/>
        <s v="Vereniging Overleg Studieverenigingen"/>
        <s v="IrNUT"/>
        <s v="Stichting Societeit Antigoon"/>
        <s v="Stichting Societeit TRAM"/>
        <s v="Stichting Societeit Flux"/>
        <s v="Stichting Societeit Asterion"/>
        <s v="Stichting Kantine Sportcentrum"/>
        <s v="VGST"/>
        <s v="Stichting t Fluitje"/>
        <s v="Enactus Twente"/>
        <s v="Eurasian Student Organisation"/>
        <s v="Ultimate Frisbee Twente"/>
        <s v="Ambitious Women UT"/>
        <s v="IAESTE Twente"/>
        <s v="Afrisa"/>
        <s v="Klocus"/>
        <s v="CalZquad"/>
      </sharedItems>
    </cacheField>
    <cacheField name="organisation_type" numFmtId="0">
      <sharedItems count="2">
        <s v="association"/>
        <s v="foundation"/>
      </sharedItems>
    </cacheField>
    <cacheField name="organisation_email" numFmtId="0">
      <sharedItems/>
    </cacheField>
    <cacheField name="organisation_status" numFmtId="0">
      <sharedItems/>
    </cacheField>
    <cacheField name="sector" numFmtId="0">
      <sharedItems containsBlank="1" count="7">
        <s v="Culture"/>
        <s v="Sports"/>
        <m/>
        <s v="Study"/>
        <s v="Social"/>
        <s v="Other"/>
        <s v="World"/>
      </sharedItems>
    </cacheField>
    <cacheField name="number_of_members" numFmtId="0">
      <sharedItems containsString="0" containsBlank="1" containsNumber="1" containsInteger="1" minValue="0" maxValue="1960"/>
    </cacheField>
    <cacheField name="number_of_inactive_members_other_association" numFmtId="0">
      <sharedItems containsString="0" containsBlank="1" containsNumber="1" containsInteger="1" minValue="0" maxValue="730"/>
    </cacheField>
    <cacheField name="number_of_international_members_eea" numFmtId="0">
      <sharedItems containsString="0" containsBlank="1" containsNumber="1" containsInteger="1" minValue="0" maxValue="292"/>
    </cacheField>
    <cacheField name="number_of_international_members_not_eea" numFmtId="0">
      <sharedItems containsString="0" containsBlank="1" containsNumber="1" containsInteger="1" minValue="0" maxValue="219"/>
    </cacheField>
    <cacheField name="number_of_committee_board_members" numFmtId="0">
      <sharedItems containsString="0" containsBlank="1" containsNumber="1" containsInteger="1" minValue="0" maxValue="250"/>
    </cacheField>
    <cacheField name="number_of_international_committee_board_members_eea" numFmtId="0">
      <sharedItems containsString="0" containsBlank="1" containsNumber="1" containsInteger="1" minValue="0" maxValue="73"/>
    </cacheField>
    <cacheField name="number_of_international_committee_board_members_not_eea" numFmtId="0">
      <sharedItems containsString="0" containsBlank="1" containsNumber="1" containsInteger="1" minValue="0" maxValue="20"/>
    </cacheField>
    <cacheField name="number_of_students_with_dutch_nationality" numFmtId="0">
      <sharedItems containsString="0" containsBlank="1" containsNumber="1" containsInteger="1" minValue="0" maxValue="1360"/>
    </cacheField>
    <cacheField name="number_of_active_students_with_dutch_nationality" numFmtId="0">
      <sharedItems containsString="0" containsBlank="1" containsNumber="1" containsInteger="1" minValue="0" maxValue="219"/>
    </cacheField>
    <cacheField name="Veld1" numFmtId="0" formula="number_of_members-number_of_inactive_members_other_association" databaseField="0"/>
    <cacheField name="Active Members" numFmtId="0" formula="number_of_members-number_of_committee_board_members" databaseField="0"/>
    <cacheField name="Veld2" numFmtId="0" formula="number_of_committee_board_members/number_of_members" databaseField="0"/>
  </cacheFields>
  <extLst>
    <ext xmlns:x14="http://schemas.microsoft.com/office/spreadsheetml/2009/9/main" uri="{725AE2AE-9491-48be-B2B4-4EB974FC3084}">
      <x14:pivotCacheDefinition pivotCacheId="2103571073"/>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7800928" createdVersion="7" refreshedVersion="7" minRefreshableVersion="3" recordCount="139" xr:uid="{3E4F3AD1-838F-4672-99D5-B66B9D1238CA}">
  <cacheSource type="worksheet">
    <worksheetSource name="Tabel12"/>
  </cacheSource>
  <cacheFields count="6">
    <cacheField name="Organisation" numFmtId="0">
      <sharedItems/>
    </cacheField>
    <cacheField name="Responded" numFmtId="0">
      <sharedItems containsSemiMixedTypes="0" containsString="0" containsNumber="1" containsInteger="1" minValue="0" maxValue="1"/>
    </cacheField>
    <cacheField name="Sector" numFmtId="0">
      <sharedItems count="6">
        <s v="Culture"/>
        <s v="Sports"/>
        <s v="Study"/>
        <s v="Social"/>
        <s v="World"/>
        <s v="Other"/>
      </sharedItems>
    </cacheField>
    <cacheField name="organisation_type2" numFmtId="0">
      <sharedItems/>
    </cacheField>
    <cacheField name="Veld1" numFmtId="0" formula="Responded/#NAME?" databaseField="0"/>
    <cacheField name="not responded" numFmtId="0" formula="#NAME?-Responded" databaseField="0"/>
  </cacheFields>
  <extLst>
    <ext xmlns:x14="http://schemas.microsoft.com/office/spreadsheetml/2009/9/main" uri="{725AE2AE-9491-48be-B2B4-4EB974FC3084}">
      <x14:pivotCacheDefinition pivotCacheId="1449631055"/>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826389" createdVersion="6" refreshedVersion="7" minRefreshableVersion="3" recordCount="139" xr:uid="{AD1D72ED-D394-4F56-88FE-733091BE79F8}">
  <cacheSource type="worksheet">
    <worksheetSource name="Data2022"/>
  </cacheSource>
  <cacheFields count="33">
    <cacheField name="organisation_name" numFmtId="0">
      <sharedItems count="139">
        <s v="Break-even"/>
        <s v="DAV Kronos"/>
        <s v="DBV Arriba"/>
        <s v="DSTV Aloha"/>
        <s v="DSV de Skeuvel"/>
        <s v="DTTV Thibats"/>
        <s v="DWV Hardboard"/>
        <s v="DWV Klein Verzet"/>
        <s v="DBV DIOK"/>
        <s v="DBV de Stretchers"/>
        <s v="DHC Drienerlo"/>
        <s v="DKV Euros"/>
        <s v="DRV Euros"/>
        <s v="DRV Hippocampus"/>
        <s v="DSSV Tartaros"/>
        <s v="DZV Euros"/>
        <s v="EEEHV Cabezota"/>
        <s v="ESBV Buitenwesten"/>
        <s v="HSV High-Tech-Hitters"/>
        <s v="Linea Recta"/>
        <s v="Messed Up"/>
        <s v="Motor Sport Groep"/>
        <s v="SKV Vakgericht"/>
        <s v="SHBV Sagittarius"/>
        <s v="ADSKV Slagvaardig"/>
        <s v="SYHV The Slapping Studs"/>
        <s v="TC Ludica"/>
        <s v="TSAC"/>
        <s v="VAS Arashi"/>
        <s v="VV Drienerlo"/>
        <s v="VV Harambee"/>
        <s v="ZPV Piranha"/>
        <s v="Twentse Thestrals"/>
        <s v="Primo Ballerino"/>
        <s v="Phoenix Lacrosse"/>
        <s v="SKV Hercules"/>
        <s v="A la Kart"/>
        <s v="BSV de Stoottroepen"/>
        <s v="SV Muurvast"/>
        <s v="DKV De Zeeuven Reen"/>
        <s v="BlueShell"/>
        <s v="4 happy feet"/>
        <s v="AFVD Foton"/>
        <s v="Arabesque"/>
        <s v="Belletrie Bibliotheek"/>
        <s v="Contramime"/>
        <s v="Fanaat"/>
        <s v="Musica Silvestra Orkest"/>
        <s v="Musilon"/>
        <s v="Nest"/>
        <s v="Pro Deo"/>
        <s v="SDV Chasse"/>
        <s v="SHOT"/>
        <s v="Stubiba"/>
        <s v="Inspe"/>
        <s v="Stukafest"/>
        <s v="Abacus"/>
        <s v="Alembic"/>
        <s v="Arago"/>
        <s v="Astatine"/>
        <s v="Atlantis"/>
        <s v="Communique"/>
        <s v="ConcepT"/>
        <s v="Daedalus"/>
        <s v="Dimensie"/>
        <s v="Ideefiks"/>
        <s v="Inter-Actief"/>
        <s v="Isaac Newton"/>
        <s v="Komma"/>
        <s v="Paradoks"/>
        <s v="Proto"/>
        <s v="Scintilla"/>
        <s v="Sirius"/>
        <s v="Stress"/>
        <s v="SV Onwijs"/>
        <s v="ITC-SAB"/>
        <s v="Honoursvereniging Ockham"/>
        <s v="AEGEE Enschede"/>
        <s v="ASV Taste"/>
        <s v="Audentis et Virtutis"/>
        <s v="CSV Alpha"/>
        <s v="Reformatorische Studenten Kring"/>
        <s v="SV De Gevreesde Koe VB"/>
        <s v="Navigators studentenvereniging Enschede"/>
        <s v="Jongeren - en Studentenvereniging Exaltio"/>
        <s v="ISA AT UT"/>
        <s v="Student Union"/>
        <s v="LA Voz"/>
        <s v="ESN Twente"/>
        <s v="ICF-E"/>
        <s v="PSA"/>
        <s v="SUUT"/>
        <s v="RSA"/>
        <s v="UT Muslims"/>
        <s v="SUT"/>
        <s v="Cultuurkoepel Apollo"/>
        <s v="PKVV Fact"/>
        <s v="UniTe"/>
        <s v="Bedrijvendagen"/>
        <s v="Duitenberg"/>
        <s v="Integrand Twente"/>
        <s v="KIVI Students Twente"/>
        <s v="Unipartners"/>
        <s v="DSIF"/>
        <s v="Hive01"/>
        <s v="Green Team Twente"/>
        <s v="IAPC"/>
        <s v="Stichting Borrelbeheer Zilvering"/>
        <s v="Stichting Batavierenrace"/>
        <s v="Stichting Solar Team Twente"/>
        <s v="Studenten Net Twente"/>
        <s v="Vereniging Campus kabel"/>
        <s v="Werkgroep OntwikkelingsTechnieken"/>
        <s v="Borrelbeheer TAP"/>
        <s v="Studentenstam Radix"/>
        <s v="IEEE Student Branch"/>
        <s v="Stichting Solar Boat Twente"/>
        <s v="Stichting Robo Team Twente"/>
        <s v="Stichting Electric Superbike Twente"/>
        <s v="De sevende camer"/>
        <s v="The negotiation project"/>
        <s v="Drone Team Twente"/>
        <s v="Sustain"/>
        <s v="Space Society"/>
        <s v="Drienerlose Stichting Torenhoog"/>
        <s v="Vereniging Overleg Studieverenigingen"/>
        <s v="IrNUT"/>
        <s v="Stichting Societeit Antigoon"/>
        <s v="Stichting Societeit TRAM"/>
        <s v="Stichting Societeit Flux"/>
        <s v="Stichting Societeit Asterion"/>
        <s v="Stichting Kantine Sportcentrum"/>
        <s v="VGST"/>
        <s v="Stichting t Fluitje"/>
        <s v="Enactus Twente"/>
        <s v="Eurasian Student Organisation"/>
        <s v="Ultimate Frisbee Twente"/>
        <s v="Ambitious Women UT"/>
        <s v="IAESTE Twente"/>
      </sharedItems>
    </cacheField>
    <cacheField name="Sector " numFmtId="0">
      <sharedItems count="6">
        <s v="Culture"/>
        <s v="Sports"/>
        <s v="Study"/>
        <s v="Social"/>
        <s v="Other"/>
        <s v="World"/>
      </sharedItems>
    </cacheField>
    <cacheField name="type " numFmtId="0">
      <sharedItems count="2">
        <s v="association"/>
        <s v="foundation"/>
      </sharedItems>
    </cacheField>
    <cacheField name="Number of members" numFmtId="0">
      <sharedItems containsMixedTypes="1" containsNumber="1" containsInteger="1" minValue="0" maxValue="1923" count="82">
        <n v="85"/>
        <n v="99"/>
        <n v="5"/>
        <n v="72"/>
        <n v="240"/>
        <n v="29"/>
        <n v="170"/>
        <s v="N/A"/>
        <n v="42"/>
        <n v="290"/>
        <n v="390"/>
        <n v="65"/>
        <n v="77"/>
        <n v="70"/>
        <n v="50"/>
        <n v="100"/>
        <n v="43"/>
        <n v="68"/>
        <n v="35"/>
        <n v="74"/>
        <n v="57"/>
        <n v="51"/>
        <n v="55"/>
        <n v="610"/>
        <n v="175"/>
        <n v="122"/>
        <n v="380"/>
        <n v="420"/>
        <n v="250"/>
        <n v="44"/>
        <n v="180"/>
        <n v="190"/>
        <n v="28"/>
        <n v="155"/>
        <n v="88"/>
        <n v="18"/>
        <n v="48"/>
        <n v="60"/>
        <n v="20"/>
        <n v="458"/>
        <n v="346"/>
        <n v="593"/>
        <n v="442"/>
        <n v="189"/>
        <n v="311"/>
        <n v="670"/>
        <n v="785"/>
        <n v="780"/>
        <n v="66"/>
        <n v="1300"/>
        <n v="1309"/>
        <n v="185"/>
        <n v="932"/>
        <n v="675"/>
        <n v="770"/>
        <n v="1923"/>
        <n v="80"/>
        <n v="150"/>
        <n v="285"/>
        <n v="525"/>
        <n v="530"/>
        <n v="108"/>
        <n v="53"/>
        <n v="96"/>
        <n v="6"/>
        <n v="800"/>
        <n v="3"/>
        <n v="7"/>
        <n v="0"/>
        <n v="9"/>
        <n v="92"/>
        <n v="17"/>
        <n v="120"/>
        <n v="21"/>
        <n v="300"/>
        <n v="38"/>
        <n v="11"/>
        <n v="25"/>
        <n v="26"/>
        <n v="79"/>
        <n v="4"/>
        <n v="200"/>
      </sharedItems>
    </cacheField>
    <cacheField name="Number of active members" numFmtId="0">
      <sharedItems containsMixedTypes="1" containsNumber="1" containsInteger="1" minValue="0" maxValue="400"/>
    </cacheField>
    <cacheField name="Number of  inactive members" numFmtId="0">
      <sharedItems containsMixedTypes="1" containsNumber="1" containsInteger="1" minValue="0" maxValue="1723"/>
    </cacheField>
    <cacheField name="Percentage active members" numFmtId="0">
      <sharedItems containsMixedTypes="1" containsNumber="1" minValue="0" maxValue="1"/>
    </cacheField>
    <cacheField name="Percentage inactive members" numFmtId="0">
      <sharedItems containsMixedTypes="1" containsNumber="1" minValue="0" maxValue="1"/>
    </cacheField>
    <cacheField name="Interval number of members" numFmtId="0">
      <sharedItems count="6">
        <s v="B. 50 - 100"/>
        <s v=" A. 1 - 50 "/>
        <s v="C. 100 - 400"/>
        <s v="E. 1000 +"/>
        <s v="D. 400 - 1000"/>
        <s v="N/A"/>
      </sharedItems>
    </cacheField>
    <cacheField name="Non-EEA Total" numFmtId="0">
      <sharedItems containsMixedTypes="1" containsNumber="1" containsInteger="1" minValue="0" maxValue="217"/>
    </cacheField>
    <cacheField name="EEA total" numFmtId="0">
      <sharedItems containsMixedTypes="1" containsNumber="1" containsInteger="1" minValue="0" maxValue="350"/>
    </cacheField>
    <cacheField name="Dutch total" numFmtId="0">
      <sharedItems containsMixedTypes="1" containsNumber="1" containsInteger="1" minValue="1" maxValue="1668"/>
    </cacheField>
    <cacheField name="Non-EEA Active " numFmtId="0">
      <sharedItems containsSemiMixedTypes="0" containsString="0" containsNumber="1" containsInteger="1" minValue="0" maxValue="25"/>
    </cacheField>
    <cacheField name="EEA Active" numFmtId="0">
      <sharedItems containsSemiMixedTypes="0" containsString="0" containsNumber="1" containsInteger="1" minValue="0" maxValue="73"/>
    </cacheField>
    <cacheField name="Dutch Active" numFmtId="0">
      <sharedItems containsMixedTypes="1" containsNumber="1" containsInteger="1" minValue="1" maxValue="378"/>
    </cacheField>
    <cacheField name="Ratio Active Non-EEA" numFmtId="0">
      <sharedItems containsMixedTypes="1" containsNumber="1" minValue="0" maxValue="2"/>
    </cacheField>
    <cacheField name="Ratio Active EEA" numFmtId="0">
      <sharedItems containsMixedTypes="1" containsNumber="1" minValue="0" maxValue="7"/>
    </cacheField>
    <cacheField name="Ratio Active Dutch" numFmtId="0">
      <sharedItems containsMixedTypes="1" containsNumber="1" minValue="2.5000000000000001E-2" maxValue="4.5999999999999996"/>
    </cacheField>
    <cacheField name="Test total number of members" numFmtId="0">
      <sharedItems/>
    </cacheField>
    <cacheField name="Test total number of active members" numFmtId="0">
      <sharedItems/>
    </cacheField>
    <cacheField name="Test total number inactive members" numFmtId="0">
      <sharedItems/>
    </cacheField>
    <cacheField name="Test max EEA active" numFmtId="0">
      <sharedItems/>
    </cacheField>
    <cacheField name="Test max Dutch active" numFmtId="0">
      <sharedItems/>
    </cacheField>
    <cacheField name="Test max non-EEA active" numFmtId="0">
      <sharedItems/>
    </cacheField>
    <cacheField name="Fullfill all requirements?" numFmtId="0">
      <sharedItems containsBlank="1"/>
    </cacheField>
    <cacheField name="Number of first year comittee members" numFmtId="0">
      <sharedItems containsMixedTypes="1" containsNumber="1" containsInteger="1" minValue="0" maxValue="60"/>
    </cacheField>
    <cacheField name="Number of second year comittee members" numFmtId="0">
      <sharedItems containsMixedTypes="1" containsNumber="1" containsInteger="1" minValue="0" maxValue="85"/>
    </cacheField>
    <cacheField name="Number of third year comittee members" numFmtId="0">
      <sharedItems containsMixedTypes="1" containsNumber="1" containsInteger="1" minValue="0" maxValue="113"/>
    </cacheField>
    <cacheField name="Number of fourth year comittee members" numFmtId="0">
      <sharedItems containsMixedTypes="1" containsNumber="1" containsInteger="1" minValue="0" maxValue="67"/>
    </cacheField>
    <cacheField name="Number of 4+ year comittee members" numFmtId="0">
      <sharedItems containsMixedTypes="1" containsNumber="1" containsInteger="1" minValue="0" maxValue="60"/>
    </cacheField>
    <cacheField name="Total committee members" numFmtId="0">
      <sharedItems containsSemiMixedTypes="0" containsString="0" containsNumber="1" containsInteger="1" minValue="0" maxValue="311" count="44">
        <n v="0"/>
        <n v="68"/>
        <n v="35"/>
        <n v="20"/>
        <n v="25"/>
        <n v="146"/>
        <n v="49"/>
        <n v="28"/>
        <n v="15"/>
        <n v="11"/>
        <n v="31"/>
        <n v="64"/>
        <n v="19"/>
        <n v="29"/>
        <n v="56"/>
        <n v="5"/>
        <n v="3"/>
        <n v="33"/>
        <n v="44"/>
        <n v="30"/>
        <n v="118"/>
        <n v="190"/>
        <n v="18"/>
        <n v="212"/>
        <n v="130"/>
        <n v="54"/>
        <n v="105"/>
        <n v="311"/>
        <n v="4"/>
        <n v="237"/>
        <n v="214"/>
        <n v="109"/>
        <n v="6"/>
        <n v="184"/>
        <n v="236"/>
        <n v="131"/>
        <n v="26"/>
        <n v="2"/>
        <n v="13"/>
        <n v="14"/>
        <n v="34"/>
        <n v="7"/>
        <n v="8"/>
        <n v="10"/>
      </sharedItems>
    </cacheField>
    <cacheField name="Number of Comittees" numFmtId="0">
      <sharedItems containsSemiMixedTypes="0" containsString="0" containsNumber="1" containsInteger="1" minValue="0" maxValue="59"/>
    </cacheField>
    <cacheField name="Year" numFmtId="0">
      <sharedItems containsSemiMixedTypes="0" containsString="0" containsNumber="1" containsInteger="1" minValue="2022" maxValue="2022"/>
    </cacheField>
  </cacheFields>
  <extLst>
    <ext xmlns:x14="http://schemas.microsoft.com/office/spreadsheetml/2009/9/main" uri="{725AE2AE-9491-48be-B2B4-4EB974FC3084}">
      <x14:pivotCacheDefinition pivotCacheId="1107679555"/>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euwen, Tessa van (UT-SU)" refreshedDate="45306.601699189814" createdVersion="6" refreshedVersion="7" minRefreshableVersion="3" recordCount="556" xr:uid="{CF90C74D-B4FF-432D-9B07-C5FCA1C1AC49}">
  <cacheSource type="worksheet">
    <worksheetSource name="Combined20212022"/>
  </cacheSource>
  <cacheFields count="38">
    <cacheField name="organisation_name" numFmtId="0">
      <sharedItems/>
    </cacheField>
    <cacheField name="Sector " numFmtId="0">
      <sharedItems containsBlank="1" count="7">
        <s v="Culture"/>
        <s v="Sports"/>
        <m/>
        <s v="Study"/>
        <s v="Social"/>
        <s v="World"/>
        <s v="Other"/>
      </sharedItems>
    </cacheField>
    <cacheField name="type " numFmtId="0">
      <sharedItems count="2">
        <s v="association"/>
        <s v="foundation"/>
      </sharedItems>
    </cacheField>
    <cacheField name="Number of members" numFmtId="0">
      <sharedItems containsMixedTypes="1" containsNumber="1" containsInteger="1" minValue="0" maxValue="17500"/>
    </cacheField>
    <cacheField name="Number of active members" numFmtId="0">
      <sharedItems containsMixedTypes="1" containsNumber="1" containsInteger="1" minValue="0" maxValue="800"/>
    </cacheField>
    <cacheField name="Number of  inactive members" numFmtId="0">
      <sharedItems containsMixedTypes="1" containsNumber="1" containsInteger="1" minValue="0" maxValue="17500"/>
    </cacheField>
    <cacheField name="Percentage active members" numFmtId="0">
      <sharedItems containsMixedTypes="1" containsNumber="1" minValue="0" maxValue="1"/>
    </cacheField>
    <cacheField name="Percentage inactive members" numFmtId="0">
      <sharedItems containsMixedTypes="1" containsNumber="1" minValue="0" maxValue="1"/>
    </cacheField>
    <cacheField name="Interval number of members" numFmtId="0">
      <sharedItems/>
    </cacheField>
    <cacheField name="Non-EEA Total" numFmtId="0">
      <sharedItems containsMixedTypes="1" containsNumber="1" containsInteger="1" minValue="0" maxValue="219"/>
    </cacheField>
    <cacheField name="EEA total" numFmtId="0">
      <sharedItems containsMixedTypes="1" containsNumber="1" containsInteger="1" minValue="0" maxValue="500"/>
    </cacheField>
    <cacheField name="Dutch total" numFmtId="0">
      <sharedItems containsMixedTypes="1" containsNumber="1" containsInteger="1" minValue="1" maxValue="17500"/>
    </cacheField>
    <cacheField name="Non-EEA Active " numFmtId="0">
      <sharedItems containsSemiMixedTypes="0" containsString="0" containsNumber="1" containsInteger="1" minValue="0" maxValue="25"/>
    </cacheField>
    <cacheField name="EEA Active" numFmtId="0">
      <sharedItems containsSemiMixedTypes="0" containsString="0" containsNumber="1" containsInteger="1" minValue="0" maxValue="73"/>
    </cacheField>
    <cacheField name="Dutch Active" numFmtId="0">
      <sharedItems containsMixedTypes="1" containsNumber="1" containsInteger="1" minValue="1" maxValue="763"/>
    </cacheField>
    <cacheField name="Ratio Active Non-EEA" numFmtId="2">
      <sharedItems containsMixedTypes="1" containsNumber="1" minValue="0" maxValue="2"/>
    </cacheField>
    <cacheField name="Ratio Active EEA" numFmtId="2">
      <sharedItems containsMixedTypes="1" containsNumber="1" minValue="0" maxValue="10"/>
    </cacheField>
    <cacheField name="Ratio Active Dutch" numFmtId="2">
      <sharedItems containsMixedTypes="1" containsNumber="1" minValue="2.4390243902439024E-3" maxValue="4.5999999999999996"/>
    </cacheField>
    <cacheField name="Test total number of members" numFmtId="0">
      <sharedItems/>
    </cacheField>
    <cacheField name="Test total number of active members" numFmtId="0">
      <sharedItems/>
    </cacheField>
    <cacheField name="Test total number inactive members" numFmtId="0">
      <sharedItems/>
    </cacheField>
    <cacheField name="Test max EEA active" numFmtId="0">
      <sharedItems/>
    </cacheField>
    <cacheField name="Test max Dutch active" numFmtId="0">
      <sharedItems/>
    </cacheField>
    <cacheField name="Test max non-EEA active" numFmtId="0">
      <sharedItems/>
    </cacheField>
    <cacheField name="Fullfill all requirements?" numFmtId="0">
      <sharedItems containsBlank="1"/>
    </cacheField>
    <cacheField name="Number of first year comittee members" numFmtId="0">
      <sharedItems containsMixedTypes="1" containsNumber="1" containsInteger="1" minValue="0" maxValue="60"/>
    </cacheField>
    <cacheField name="Number of second year comittee members" numFmtId="0">
      <sharedItems containsMixedTypes="1" containsNumber="1" containsInteger="1" minValue="0" maxValue="85"/>
    </cacheField>
    <cacheField name="Number of third year comittee members" numFmtId="0">
      <sharedItems containsMixedTypes="1" containsNumber="1" containsInteger="1" minValue="0" maxValue="113"/>
    </cacheField>
    <cacheField name="Number of fourth year comittee members" numFmtId="0">
      <sharedItems containsMixedTypes="1" containsNumber="1" containsInteger="1" minValue="0" maxValue="67"/>
    </cacheField>
    <cacheField name="Number of 4+ year comittee members" numFmtId="0">
      <sharedItems containsMixedTypes="1" containsNumber="1" containsInteger="1" minValue="0" maxValue="60"/>
    </cacheField>
    <cacheField name="Total committee members" numFmtId="0">
      <sharedItems containsSemiMixedTypes="0" containsString="0" containsNumber="1" containsInteger="1" minValue="0" maxValue="311"/>
    </cacheField>
    <cacheField name="Number of Comittees" numFmtId="0">
      <sharedItems containsSemiMixedTypes="0" containsString="0" containsNumber="1" containsInteger="1" minValue="0" maxValue="59"/>
    </cacheField>
    <cacheField name="Number of covid strong decrease" numFmtId="0">
      <sharedItems containsString="0" containsBlank="1" containsNumber="1" containsInteger="1" minValue="0" maxValue="17"/>
    </cacheField>
    <cacheField name="Number of covid slight decrease" numFmtId="0">
      <sharedItems containsString="0" containsBlank="1" containsNumber="1" containsInteger="1" minValue="0" maxValue="11"/>
    </cacheField>
    <cacheField name="Number of covid no influence" numFmtId="0">
      <sharedItems containsString="0" containsBlank="1" containsNumber="1" containsInteger="1" minValue="0" maxValue="23"/>
    </cacheField>
    <cacheField name="Number ofcovid slicht increase" numFmtId="0">
      <sharedItems containsString="0" containsBlank="1" containsNumber="1" containsInteger="1" minValue="0" maxValue="8"/>
    </cacheField>
    <cacheField name="Number of covid strong increase" numFmtId="0">
      <sharedItems containsString="0" containsBlank="1" containsNumber="1" containsInteger="1" minValue="0" maxValue="17"/>
    </cacheField>
    <cacheField name="Year" numFmtId="0">
      <sharedItems containsSemiMixedTypes="0" containsString="0" containsNumber="1" containsInteger="1" minValue="2021" maxValue="2023" count="3">
        <n v="2021"/>
        <n v="2022"/>
        <n v="202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x v="0"/>
    <x v="0"/>
    <x v="0"/>
    <x v="0"/>
    <n v="30"/>
    <n v="55"/>
    <n v="0.35294117647058826"/>
    <n v="0.64705882352941169"/>
    <x v="0"/>
    <n v="32"/>
    <n v="15"/>
    <n v="38"/>
    <n v="6"/>
    <n v="14"/>
    <n v="10"/>
    <n v="0.2"/>
    <n v="0.93333333333333335"/>
    <n v="0.26315789473684209"/>
    <s v="T"/>
    <s v="T"/>
    <s v="T"/>
    <s v="T"/>
    <s v="T"/>
    <s v="T"/>
    <x v="0"/>
    <n v="0"/>
    <n v="0"/>
    <n v="0"/>
    <n v="0"/>
    <n v="0"/>
    <n v="0"/>
    <n v="7"/>
    <n v="2023"/>
  </r>
  <r>
    <x v="1"/>
    <x v="1"/>
    <x v="0"/>
    <x v="1"/>
    <n v="5"/>
    <n v="97"/>
    <n v="4.9019607843137254E-2"/>
    <n v="0.9509803921568627"/>
    <x v="1"/>
    <n v="45"/>
    <n v="1"/>
    <n v="56"/>
    <n v="1"/>
    <n v="4"/>
    <s v="N/A"/>
    <n v="0.2"/>
    <n v="4"/>
    <s v="N/A"/>
    <s v="T"/>
    <s v="F"/>
    <s v="F"/>
    <s v="F"/>
    <s v="F"/>
    <s v="T"/>
    <x v="1"/>
    <n v="14"/>
    <n v="16"/>
    <n v="18"/>
    <n v="7"/>
    <n v="13"/>
    <n v="68"/>
    <n v="0"/>
    <n v="2023"/>
  </r>
  <r>
    <x v="2"/>
    <x v="1"/>
    <x v="0"/>
    <x v="2"/>
    <n v="5"/>
    <n v="101"/>
    <n v="4.716981132075472E-2"/>
    <n v="0.95283018867924529"/>
    <x v="1"/>
    <n v="33"/>
    <n v="10"/>
    <n v="63"/>
    <n v="1"/>
    <n v="10"/>
    <s v="N/A"/>
    <n v="0.2"/>
    <n v="1"/>
    <s v="N/A"/>
    <s v="T"/>
    <s v="F"/>
    <s v="F"/>
    <s v="T"/>
    <s v="F"/>
    <s v="T"/>
    <x v="1"/>
    <s v="N/A"/>
    <s v="N/A"/>
    <s v="N/A"/>
    <s v="N/A"/>
    <s v="N/A"/>
    <n v="0"/>
    <n v="0"/>
    <n v="2023"/>
  </r>
  <r>
    <x v="3"/>
    <x v="1"/>
    <x v="0"/>
    <x v="3"/>
    <n v="10"/>
    <n v="62"/>
    <n v="0.1388888888888889"/>
    <n v="0.86111111111111116"/>
    <x v="0"/>
    <n v="29"/>
    <n v="2"/>
    <n v="41"/>
    <n v="0"/>
    <n v="1"/>
    <n v="9"/>
    <n v="0"/>
    <n v="0.5"/>
    <n v="0.21951219512195122"/>
    <s v="T"/>
    <s v="T"/>
    <s v="T"/>
    <s v="T"/>
    <s v="T"/>
    <s v="T"/>
    <x v="0"/>
    <n v="1"/>
    <n v="1"/>
    <n v="0"/>
    <n v="9"/>
    <n v="24"/>
    <n v="35"/>
    <n v="14"/>
    <n v="2023"/>
  </r>
  <r>
    <x v="4"/>
    <x v="1"/>
    <x v="0"/>
    <x v="4"/>
    <n v="75"/>
    <n v="165"/>
    <n v="0.3125"/>
    <n v="0.6875"/>
    <x v="1"/>
    <n v="75"/>
    <n v="5"/>
    <n v="160"/>
    <n v="0"/>
    <n v="1"/>
    <n v="74"/>
    <n v="0"/>
    <n v="0.2"/>
    <n v="0.46250000000000002"/>
    <s v="T"/>
    <s v="T"/>
    <s v="T"/>
    <s v="T"/>
    <s v="T"/>
    <s v="T"/>
    <x v="0"/>
    <n v="0"/>
    <n v="0"/>
    <n v="0"/>
    <n v="0"/>
    <n v="0"/>
    <n v="0"/>
    <n v="28"/>
    <n v="2023"/>
  </r>
  <r>
    <x v="5"/>
    <x v="1"/>
    <x v="0"/>
    <x v="5"/>
    <n v="25"/>
    <n v="4"/>
    <n v="0.86206896551724133"/>
    <n v="0.13793103448275867"/>
    <x v="2"/>
    <n v="5"/>
    <n v="6"/>
    <n v="18"/>
    <n v="0"/>
    <n v="1"/>
    <n v="24"/>
    <n v="0"/>
    <n v="0.16666666666666666"/>
    <n v="1.3333333333333333"/>
    <s v="T"/>
    <s v="T"/>
    <s v="T"/>
    <s v="T"/>
    <s v="F"/>
    <s v="T"/>
    <x v="1"/>
    <n v="1"/>
    <n v="0"/>
    <n v="1"/>
    <n v="3"/>
    <n v="15"/>
    <n v="20"/>
    <n v="6"/>
    <n v="2023"/>
  </r>
  <r>
    <x v="6"/>
    <x v="1"/>
    <x v="0"/>
    <x v="6"/>
    <n v="50"/>
    <n v="120"/>
    <n v="0.29411764705882354"/>
    <n v="0.70588235294117641"/>
    <x v="1"/>
    <n v="40"/>
    <n v="8"/>
    <n v="122"/>
    <n v="3"/>
    <n v="7"/>
    <n v="40"/>
    <n v="0.06"/>
    <n v="0.875"/>
    <n v="0.32786885245901637"/>
    <s v="T"/>
    <s v="T"/>
    <s v="T"/>
    <s v="T"/>
    <s v="T"/>
    <s v="T"/>
    <x v="0"/>
    <n v="0"/>
    <n v="0"/>
    <n v="0"/>
    <n v="0"/>
    <n v="0"/>
    <n v="0"/>
    <n v="18"/>
    <n v="2023"/>
  </r>
  <r>
    <x v="7"/>
    <x v="1"/>
    <x v="0"/>
    <x v="7"/>
    <n v="10"/>
    <n v="68"/>
    <n v="0.12820512820512819"/>
    <n v="0.87179487179487181"/>
    <x v="0"/>
    <n v="32"/>
    <n v="4"/>
    <n v="42"/>
    <n v="0"/>
    <n v="2"/>
    <n v="8"/>
    <n v="0"/>
    <n v="0.5"/>
    <n v="0.19047619047619047"/>
    <s v="T"/>
    <s v="T"/>
    <s v="T"/>
    <s v="T"/>
    <s v="T"/>
    <s v="T"/>
    <x v="0"/>
    <s v="N/A"/>
    <s v="N/A"/>
    <s v="N/A"/>
    <s v="N/A"/>
    <s v="N/A"/>
    <n v="0"/>
    <n v="14"/>
    <n v="2023"/>
  </r>
  <r>
    <x v="8"/>
    <x v="1"/>
    <x v="0"/>
    <x v="2"/>
    <n v="7"/>
    <n v="99"/>
    <n v="6.6037735849056603E-2"/>
    <n v="0.93396226415094341"/>
    <x v="1"/>
    <n v="24"/>
    <n v="31"/>
    <n v="51"/>
    <n v="6"/>
    <n v="3"/>
    <s v="N/A"/>
    <n v="0.8571428571428571"/>
    <n v="9.6774193548387094E-2"/>
    <s v="N/A"/>
    <s v="T"/>
    <s v="F"/>
    <s v="F"/>
    <s v="T"/>
    <s v="F"/>
    <s v="T"/>
    <x v="1"/>
    <s v="N/A"/>
    <s v="N/A"/>
    <s v="N/A"/>
    <s v="N/A"/>
    <s v="N/A"/>
    <n v="0"/>
    <n v="0"/>
    <n v="2023"/>
  </r>
  <r>
    <x v="9"/>
    <x v="1"/>
    <x v="0"/>
    <x v="8"/>
    <n v="8"/>
    <n v="34"/>
    <n v="0.19047619047619047"/>
    <n v="0.80952380952380953"/>
    <x v="2"/>
    <n v="14"/>
    <n v="0"/>
    <n v="28"/>
    <n v="0"/>
    <n v="1"/>
    <n v="7"/>
    <n v="0"/>
    <s v="N/A"/>
    <n v="0.25"/>
    <s v="T"/>
    <s v="T"/>
    <s v="T"/>
    <s v="F"/>
    <s v="T"/>
    <s v="T"/>
    <x v="1"/>
    <n v="2"/>
    <n v="2"/>
    <n v="2"/>
    <n v="3"/>
    <n v="16"/>
    <n v="25"/>
    <n v="6"/>
    <n v="2023"/>
  </r>
  <r>
    <x v="10"/>
    <x v="1"/>
    <x v="0"/>
    <x v="9"/>
    <n v="80"/>
    <n v="143"/>
    <n v="0.35874439461883406"/>
    <n v="0.64125560538116599"/>
    <x v="1"/>
    <n v="65"/>
    <n v="1"/>
    <n v="157"/>
    <n v="1"/>
    <n v="0"/>
    <n v="79"/>
    <n v="1.2500000000000001E-2"/>
    <n v="0"/>
    <n v="0.50318471337579618"/>
    <s v="T"/>
    <s v="T"/>
    <s v="T"/>
    <s v="T"/>
    <s v="T"/>
    <s v="T"/>
    <x v="0"/>
    <n v="22"/>
    <n v="25"/>
    <n v="38"/>
    <n v="19"/>
    <n v="42"/>
    <n v="146"/>
    <n v="18"/>
    <n v="2023"/>
  </r>
  <r>
    <x v="11"/>
    <x v="1"/>
    <x v="0"/>
    <x v="10"/>
    <s v="N/A"/>
    <s v="N/A"/>
    <s v="N/A"/>
    <s v="N/A"/>
    <x v="3"/>
    <s v="N/A"/>
    <s v="N/A"/>
    <s v="N/A"/>
    <n v="0"/>
    <n v="0"/>
    <s v="N/A"/>
    <s v="N/A"/>
    <s v="N/A"/>
    <s v="N/A"/>
    <s v="F"/>
    <s v="F"/>
    <s v="F"/>
    <s v="T"/>
    <s v="T"/>
    <s v="T"/>
    <x v="1"/>
    <s v="N/A"/>
    <s v="N/A"/>
    <s v="N/A"/>
    <s v="N/A"/>
    <s v="N/A"/>
    <n v="0"/>
    <n v="0"/>
    <n v="2023"/>
  </r>
  <r>
    <x v="12"/>
    <x v="1"/>
    <x v="0"/>
    <x v="11"/>
    <n v="10"/>
    <n v="343"/>
    <n v="2.8328611898016998E-2"/>
    <n v="0.97167138810198295"/>
    <x v="1"/>
    <n v="194"/>
    <n v="0"/>
    <n v="159"/>
    <n v="0"/>
    <n v="4"/>
    <n v="6"/>
    <n v="0"/>
    <s v="N/A"/>
    <n v="3.7735849056603772E-2"/>
    <s v="T"/>
    <s v="T"/>
    <s v="T"/>
    <s v="F"/>
    <s v="T"/>
    <s v="T"/>
    <x v="1"/>
    <n v="0"/>
    <n v="0"/>
    <n v="0"/>
    <n v="0"/>
    <n v="0"/>
    <n v="0"/>
    <n v="39"/>
    <n v="2023"/>
  </r>
  <r>
    <x v="13"/>
    <x v="1"/>
    <x v="0"/>
    <x v="12"/>
    <n v="10"/>
    <n v="50"/>
    <n v="0.16666666666666666"/>
    <n v="0.83333333333333337"/>
    <x v="0"/>
    <n v="20"/>
    <n v="10"/>
    <n v="30"/>
    <n v="5"/>
    <n v="5"/>
    <s v="N/A"/>
    <n v="0.5"/>
    <n v="0.5"/>
    <s v="N/A"/>
    <s v="T"/>
    <s v="F"/>
    <s v="F"/>
    <s v="T"/>
    <s v="F"/>
    <s v="T"/>
    <x v="1"/>
    <s v="N/A"/>
    <s v="N/A"/>
    <s v="N/A"/>
    <s v="N/A"/>
    <s v="N/A"/>
    <n v="0"/>
    <n v="8"/>
    <n v="2023"/>
  </r>
  <r>
    <x v="14"/>
    <x v="1"/>
    <x v="0"/>
    <x v="13"/>
    <n v="20"/>
    <n v="55"/>
    <n v="0.26666666666666666"/>
    <n v="0.73333333333333339"/>
    <x v="0"/>
    <n v="52"/>
    <n v="0"/>
    <n v="23"/>
    <n v="0"/>
    <n v="0"/>
    <n v="20"/>
    <n v="0"/>
    <s v="N/A"/>
    <n v="0.86956521739130432"/>
    <s v="T"/>
    <s v="T"/>
    <s v="T"/>
    <s v="T"/>
    <s v="T"/>
    <s v="T"/>
    <x v="0"/>
    <s v="N/A"/>
    <s v="N/A"/>
    <s v="N/A"/>
    <s v="N/A"/>
    <s v="N/A"/>
    <n v="0"/>
    <n v="16"/>
    <n v="2023"/>
  </r>
  <r>
    <x v="15"/>
    <x v="1"/>
    <x v="0"/>
    <x v="14"/>
    <n v="4"/>
    <n v="58"/>
    <n v="6.4516129032258063E-2"/>
    <n v="0.93548387096774199"/>
    <x v="0"/>
    <n v="45"/>
    <n v="0"/>
    <n v="17"/>
    <n v="0"/>
    <n v="4"/>
    <s v="N/A"/>
    <n v="0"/>
    <s v="N/A"/>
    <s v="N/A"/>
    <s v="T"/>
    <s v="F"/>
    <s v="F"/>
    <s v="F"/>
    <s v="F"/>
    <s v="T"/>
    <x v="1"/>
    <n v="7"/>
    <n v="11"/>
    <n v="22"/>
    <n v="9"/>
    <n v="0"/>
    <n v="49"/>
    <n v="15"/>
    <n v="2023"/>
  </r>
  <r>
    <x v="16"/>
    <x v="1"/>
    <x v="0"/>
    <x v="15"/>
    <n v="10"/>
    <n v="40"/>
    <n v="0.2"/>
    <n v="0.8"/>
    <x v="0"/>
    <n v="28"/>
    <n v="0"/>
    <n v="22"/>
    <n v="0"/>
    <n v="4"/>
    <n v="6"/>
    <n v="0"/>
    <s v="N/A"/>
    <n v="0.27272727272727271"/>
    <s v="T"/>
    <s v="T"/>
    <s v="T"/>
    <s v="F"/>
    <s v="T"/>
    <s v="T"/>
    <x v="1"/>
    <n v="3"/>
    <n v="7"/>
    <n v="7"/>
    <n v="6"/>
    <n v="5"/>
    <n v="28"/>
    <n v="13"/>
    <n v="2023"/>
  </r>
  <r>
    <x v="17"/>
    <x v="1"/>
    <x v="0"/>
    <x v="16"/>
    <n v="30"/>
    <n v="70"/>
    <n v="0.3"/>
    <n v="0.7"/>
    <x v="1"/>
    <n v="15"/>
    <n v="10"/>
    <n v="75"/>
    <n v="2"/>
    <n v="8"/>
    <n v="20"/>
    <n v="6.6666666666666666E-2"/>
    <n v="0.8"/>
    <n v="0.26666666666666666"/>
    <s v="T"/>
    <s v="T"/>
    <s v="T"/>
    <s v="T"/>
    <s v="T"/>
    <s v="T"/>
    <x v="0"/>
    <n v="2"/>
    <n v="2"/>
    <n v="4"/>
    <n v="2"/>
    <n v="5"/>
    <n v="15"/>
    <n v="8"/>
    <n v="2023"/>
  </r>
  <r>
    <x v="18"/>
    <x v="1"/>
    <x v="0"/>
    <x v="17"/>
    <n v="7"/>
    <n v="45"/>
    <n v="0.13461538461538461"/>
    <n v="0.86538461538461542"/>
    <x v="0"/>
    <n v="25"/>
    <n v="0"/>
    <n v="27"/>
    <n v="0"/>
    <n v="3"/>
    <n v="4"/>
    <n v="0"/>
    <s v="N/A"/>
    <n v="0.14814814814814814"/>
    <s v="T"/>
    <s v="T"/>
    <s v="T"/>
    <s v="F"/>
    <s v="T"/>
    <s v="T"/>
    <x v="1"/>
    <n v="0"/>
    <n v="0"/>
    <n v="8"/>
    <n v="1"/>
    <n v="2"/>
    <n v="11"/>
    <n v="12"/>
    <n v="2023"/>
  </r>
  <r>
    <x v="19"/>
    <x v="1"/>
    <x v="0"/>
    <x v="18"/>
    <n v="5"/>
    <n v="63"/>
    <n v="7.3529411764705885E-2"/>
    <n v="0.92647058823529416"/>
    <x v="0"/>
    <n v="40"/>
    <n v="1"/>
    <n v="27"/>
    <n v="1"/>
    <n v="7"/>
    <s v="N/A"/>
    <n v="0.2"/>
    <n v="7"/>
    <s v="N/A"/>
    <s v="T"/>
    <s v="F"/>
    <s v="F"/>
    <s v="F"/>
    <s v="F"/>
    <s v="T"/>
    <x v="1"/>
    <n v="0"/>
    <n v="6"/>
    <n v="12"/>
    <n v="4"/>
    <n v="9"/>
    <n v="31"/>
    <n v="15"/>
    <n v="2023"/>
  </r>
  <r>
    <x v="20"/>
    <x v="1"/>
    <x v="0"/>
    <x v="19"/>
    <n v="3"/>
    <n v="34"/>
    <n v="8.1081081081081086E-2"/>
    <n v="0.91891891891891886"/>
    <x v="2"/>
    <n v="17"/>
    <n v="1"/>
    <n v="19"/>
    <n v="1"/>
    <n v="4"/>
    <s v="N/A"/>
    <n v="0.33333333333333331"/>
    <n v="4"/>
    <s v="N/A"/>
    <s v="T"/>
    <s v="F"/>
    <s v="F"/>
    <s v="F"/>
    <s v="F"/>
    <s v="T"/>
    <x v="1"/>
    <s v="N/A"/>
    <s v="N/A"/>
    <s v="N/A"/>
    <s v="N/A"/>
    <s v="N/A"/>
    <n v="0"/>
    <n v="6"/>
    <n v="2023"/>
  </r>
  <r>
    <x v="21"/>
    <x v="1"/>
    <x v="0"/>
    <x v="20"/>
    <n v="20"/>
    <n v="54"/>
    <n v="0.27027027027027029"/>
    <n v="0.72972972972972971"/>
    <x v="0"/>
    <n v="15"/>
    <n v="1"/>
    <n v="58"/>
    <n v="0"/>
    <n v="2"/>
    <n v="18"/>
    <n v="0"/>
    <n v="2"/>
    <n v="0.31034482758620691"/>
    <s v="T"/>
    <s v="T"/>
    <s v="T"/>
    <s v="F"/>
    <s v="T"/>
    <s v="T"/>
    <x v="1"/>
    <s v="N/A"/>
    <s v="N/A"/>
    <s v="N/A"/>
    <s v="N/A"/>
    <s v="N/A"/>
    <n v="0"/>
    <n v="6"/>
    <n v="2023"/>
  </r>
  <r>
    <x v="22"/>
    <x v="1"/>
    <x v="0"/>
    <x v="21"/>
    <n v="5"/>
    <n v="52"/>
    <n v="8.771929824561403E-2"/>
    <n v="0.91228070175438591"/>
    <x v="0"/>
    <n v="40"/>
    <n v="0"/>
    <n v="17"/>
    <n v="0"/>
    <n v="0"/>
    <n v="5"/>
    <n v="0"/>
    <s v="N/A"/>
    <n v="0.29411764705882354"/>
    <s v="T"/>
    <s v="T"/>
    <s v="T"/>
    <s v="T"/>
    <s v="T"/>
    <s v="T"/>
    <x v="0"/>
    <n v="4"/>
    <n v="4"/>
    <n v="6"/>
    <n v="5"/>
    <n v="12"/>
    <n v="31"/>
    <n v="16"/>
    <n v="2023"/>
  </r>
  <r>
    <x v="23"/>
    <x v="1"/>
    <x v="0"/>
    <x v="22"/>
    <n v="16"/>
    <n v="43"/>
    <n v="0.2711864406779661"/>
    <n v="0.72881355932203395"/>
    <x v="0"/>
    <n v="16"/>
    <n v="8"/>
    <n v="35"/>
    <n v="1"/>
    <n v="0"/>
    <n v="15"/>
    <n v="6.25E-2"/>
    <n v="0"/>
    <n v="0.42857142857142855"/>
    <s v="T"/>
    <s v="T"/>
    <s v="T"/>
    <s v="T"/>
    <s v="T"/>
    <s v="T"/>
    <x v="0"/>
    <n v="0"/>
    <n v="0"/>
    <n v="0"/>
    <n v="0"/>
    <n v="0"/>
    <n v="0"/>
    <n v="8"/>
    <n v="2023"/>
  </r>
  <r>
    <x v="24"/>
    <x v="1"/>
    <x v="0"/>
    <x v="10"/>
    <s v="N/A"/>
    <s v="N/A"/>
    <s v="N/A"/>
    <s v="N/A"/>
    <x v="3"/>
    <s v="N/A"/>
    <s v="N/A"/>
    <s v="N/A"/>
    <n v="0"/>
    <n v="0"/>
    <s v="N/A"/>
    <s v="N/A"/>
    <s v="N/A"/>
    <s v="N/A"/>
    <s v="F"/>
    <s v="F"/>
    <s v="F"/>
    <s v="T"/>
    <s v="T"/>
    <s v="T"/>
    <x v="1"/>
    <s v="N/A"/>
    <s v="N/A"/>
    <s v="N/A"/>
    <s v="N/A"/>
    <s v="N/A"/>
    <n v="0"/>
    <n v="0"/>
    <n v="2023"/>
  </r>
  <r>
    <x v="25"/>
    <x v="1"/>
    <x v="0"/>
    <x v="23"/>
    <n v="0"/>
    <n v="55"/>
    <n v="0"/>
    <n v="1"/>
    <x v="0"/>
    <n v="4"/>
    <n v="5"/>
    <n v="46"/>
    <n v="2"/>
    <n v="1"/>
    <s v="N/A"/>
    <s v="N/A"/>
    <n v="0.2"/>
    <s v="N/A"/>
    <s v="T"/>
    <s v="F"/>
    <s v="F"/>
    <s v="T"/>
    <s v="F"/>
    <s v="T"/>
    <x v="1"/>
    <s v="N/A"/>
    <s v="N/A"/>
    <s v="N/A"/>
    <s v="N/A"/>
    <s v="N/A"/>
    <n v="0"/>
    <n v="6"/>
    <n v="2023"/>
  </r>
  <r>
    <x v="26"/>
    <x v="1"/>
    <x v="0"/>
    <x v="24"/>
    <n v="250"/>
    <n v="310"/>
    <n v="0.44642857142857145"/>
    <n v="0.5535714285714286"/>
    <x v="4"/>
    <n v="100"/>
    <n v="25"/>
    <n v="435"/>
    <n v="0"/>
    <n v="5"/>
    <n v="245"/>
    <n v="0"/>
    <n v="0.2"/>
    <n v="0.56321839080459768"/>
    <s v="T"/>
    <s v="T"/>
    <s v="T"/>
    <s v="T"/>
    <s v="T"/>
    <s v="T"/>
    <x v="0"/>
    <s v="N/A"/>
    <s v="N/A"/>
    <s v="N/A"/>
    <s v="N/A"/>
    <s v="N/A"/>
    <n v="0"/>
    <n v="22"/>
    <n v="2023"/>
  </r>
  <r>
    <x v="27"/>
    <x v="1"/>
    <x v="0"/>
    <x v="25"/>
    <n v="11"/>
    <n v="164"/>
    <n v="6.2857142857142861E-2"/>
    <n v="0.93714285714285717"/>
    <x v="1"/>
    <n v="40"/>
    <n v="45"/>
    <n v="90"/>
    <n v="5"/>
    <n v="20"/>
    <s v="N/A"/>
    <n v="0.45454545454545453"/>
    <n v="0.44444444444444442"/>
    <s v="N/A"/>
    <s v="T"/>
    <s v="F"/>
    <s v="F"/>
    <s v="T"/>
    <s v="F"/>
    <s v="T"/>
    <x v="1"/>
    <n v="7"/>
    <n v="7"/>
    <n v="19"/>
    <n v="7"/>
    <n v="24"/>
    <n v="64"/>
    <n v="11"/>
    <n v="2023"/>
  </r>
  <r>
    <x v="28"/>
    <x v="1"/>
    <x v="0"/>
    <x v="26"/>
    <n v="20"/>
    <n v="102"/>
    <n v="0.16393442622950818"/>
    <n v="0.83606557377049184"/>
    <x v="1"/>
    <n v="30"/>
    <n v="2"/>
    <n v="90"/>
    <n v="0"/>
    <n v="10"/>
    <n v="10"/>
    <n v="0"/>
    <n v="5"/>
    <n v="0.1111111111111111"/>
    <s v="T"/>
    <s v="T"/>
    <s v="T"/>
    <s v="F"/>
    <s v="T"/>
    <s v="T"/>
    <x v="1"/>
    <n v="3"/>
    <n v="2"/>
    <n v="1"/>
    <n v="3"/>
    <n v="10"/>
    <n v="19"/>
    <n v="10"/>
    <n v="2023"/>
  </r>
  <r>
    <x v="29"/>
    <x v="1"/>
    <x v="0"/>
    <x v="27"/>
    <n v="100"/>
    <n v="280"/>
    <n v="0.26315789473684209"/>
    <n v="0.73684210526315796"/>
    <x v="1"/>
    <n v="50"/>
    <n v="30"/>
    <n v="300"/>
    <n v="0"/>
    <n v="10"/>
    <n v="90"/>
    <n v="0"/>
    <n v="0.33333333333333331"/>
    <n v="0.3"/>
    <s v="T"/>
    <s v="T"/>
    <s v="T"/>
    <s v="T"/>
    <s v="T"/>
    <s v="T"/>
    <x v="0"/>
    <n v="4"/>
    <n v="6"/>
    <n v="12"/>
    <n v="6"/>
    <n v="1"/>
    <n v="29"/>
    <n v="14"/>
    <n v="2023"/>
  </r>
  <r>
    <x v="30"/>
    <x v="1"/>
    <x v="0"/>
    <x v="28"/>
    <n v="50"/>
    <n v="370"/>
    <n v="0.11904761904761904"/>
    <n v="0.88095238095238093"/>
    <x v="4"/>
    <n v="100"/>
    <n v="20"/>
    <n v="300"/>
    <n v="5"/>
    <n v="10"/>
    <n v="35"/>
    <n v="0.1"/>
    <n v="0.5"/>
    <n v="0.11666666666666667"/>
    <s v="T"/>
    <s v="T"/>
    <s v="T"/>
    <s v="T"/>
    <s v="T"/>
    <s v="T"/>
    <x v="0"/>
    <n v="12"/>
    <n v="11"/>
    <n v="12"/>
    <n v="13"/>
    <n v="8"/>
    <n v="56"/>
    <n v="0"/>
    <n v="2023"/>
  </r>
  <r>
    <x v="31"/>
    <x v="1"/>
    <x v="0"/>
    <x v="29"/>
    <n v="50"/>
    <n v="230"/>
    <n v="0.17857142857142858"/>
    <n v="0.8214285714285714"/>
    <x v="1"/>
    <n v="108"/>
    <n v="10"/>
    <n v="162"/>
    <n v="1"/>
    <n v="7"/>
    <n v="42"/>
    <n v="0.02"/>
    <n v="0.7"/>
    <n v="0.25925925925925924"/>
    <s v="T"/>
    <s v="T"/>
    <s v="T"/>
    <s v="T"/>
    <s v="T"/>
    <s v="T"/>
    <x v="0"/>
    <n v="1"/>
    <n v="2"/>
    <n v="1"/>
    <n v="1"/>
    <n v="0"/>
    <n v="5"/>
    <n v="22"/>
    <n v="2023"/>
  </r>
  <r>
    <x v="32"/>
    <x v="1"/>
    <x v="0"/>
    <x v="10"/>
    <s v="N/A"/>
    <s v="N/A"/>
    <s v="N/A"/>
    <s v="N/A"/>
    <x v="3"/>
    <s v="N/A"/>
    <s v="N/A"/>
    <s v="N/A"/>
    <n v="0"/>
    <n v="0"/>
    <s v="N/A"/>
    <s v="N/A"/>
    <s v="N/A"/>
    <s v="N/A"/>
    <s v="F"/>
    <s v="F"/>
    <s v="F"/>
    <s v="T"/>
    <s v="T"/>
    <s v="T"/>
    <x v="1"/>
    <s v="N/A"/>
    <s v="N/A"/>
    <s v="N/A"/>
    <s v="N/A"/>
    <s v="N/A"/>
    <n v="0"/>
    <n v="0"/>
    <n v="2023"/>
  </r>
  <r>
    <x v="33"/>
    <x v="0"/>
    <x v="0"/>
    <x v="23"/>
    <n v="30"/>
    <n v="25"/>
    <n v="0.54545454545454541"/>
    <n v="0.45454545454545459"/>
    <x v="0"/>
    <n v="18"/>
    <n v="7"/>
    <n v="30"/>
    <n v="2"/>
    <n v="3"/>
    <n v="25"/>
    <n v="6.6666666666666666E-2"/>
    <n v="0.42857142857142855"/>
    <n v="0.83333333333333337"/>
    <s v="T"/>
    <s v="T"/>
    <s v="T"/>
    <s v="T"/>
    <s v="T"/>
    <s v="T"/>
    <x v="0"/>
    <n v="0"/>
    <n v="0"/>
    <n v="1"/>
    <n v="1"/>
    <n v="1"/>
    <n v="3"/>
    <n v="8"/>
    <n v="2023"/>
  </r>
  <r>
    <x v="34"/>
    <x v="1"/>
    <x v="0"/>
    <x v="22"/>
    <n v="24"/>
    <n v="35"/>
    <n v="0.40677966101694918"/>
    <n v="0.59322033898305082"/>
    <x v="0"/>
    <n v="35"/>
    <n v="0"/>
    <n v="24"/>
    <n v="0"/>
    <n v="2"/>
    <n v="22"/>
    <n v="0"/>
    <s v="N/A"/>
    <n v="0.91666666666666663"/>
    <s v="T"/>
    <s v="T"/>
    <s v="T"/>
    <s v="F"/>
    <s v="T"/>
    <s v="T"/>
    <x v="1"/>
    <s v="N/A"/>
    <s v="N/A"/>
    <s v="N/A"/>
    <s v="N/A"/>
    <s v="N/A"/>
    <n v="0"/>
    <n v="0"/>
    <n v="2023"/>
  </r>
  <r>
    <x v="35"/>
    <x v="1"/>
    <x v="0"/>
    <x v="30"/>
    <n v="40"/>
    <n v="25"/>
    <n v="0.61538461538461542"/>
    <n v="0.38461538461538458"/>
    <x v="0"/>
    <n v="25"/>
    <n v="3"/>
    <n v="37"/>
    <n v="1"/>
    <n v="12"/>
    <n v="27"/>
    <n v="2.5000000000000001E-2"/>
    <n v="4"/>
    <n v="0.72972972972972971"/>
    <s v="T"/>
    <s v="T"/>
    <s v="T"/>
    <s v="F"/>
    <s v="T"/>
    <s v="T"/>
    <x v="1"/>
    <s v="N/A"/>
    <s v="N/A"/>
    <s v="N/A"/>
    <s v="N/A"/>
    <s v="N/A"/>
    <n v="0"/>
    <n v="3"/>
    <n v="2023"/>
  </r>
  <r>
    <x v="36"/>
    <x v="1"/>
    <x v="0"/>
    <x v="10"/>
    <s v="N/A"/>
    <s v="N/A"/>
    <s v="N/A"/>
    <s v="N/A"/>
    <x v="3"/>
    <s v="N/A"/>
    <s v="N/A"/>
    <s v="N/A"/>
    <n v="0"/>
    <n v="0"/>
    <s v="N/A"/>
    <s v="N/A"/>
    <s v="N/A"/>
    <s v="N/A"/>
    <s v="F"/>
    <s v="F"/>
    <s v="F"/>
    <s v="T"/>
    <s v="T"/>
    <s v="T"/>
    <x v="1"/>
    <s v="N/A"/>
    <s v="N/A"/>
    <s v="N/A"/>
    <s v="N/A"/>
    <s v="N/A"/>
    <n v="0"/>
    <n v="0"/>
    <n v="2023"/>
  </r>
  <r>
    <x v="37"/>
    <x v="1"/>
    <x v="0"/>
    <x v="10"/>
    <s v="N/A"/>
    <s v="N/A"/>
    <s v="N/A"/>
    <s v="N/A"/>
    <x v="3"/>
    <s v="N/A"/>
    <s v="N/A"/>
    <s v="N/A"/>
    <n v="0"/>
    <n v="0"/>
    <s v="N/A"/>
    <s v="N/A"/>
    <s v="N/A"/>
    <s v="N/A"/>
    <s v="F"/>
    <s v="F"/>
    <s v="F"/>
    <s v="T"/>
    <s v="T"/>
    <s v="T"/>
    <x v="1"/>
    <s v="N/A"/>
    <s v="N/A"/>
    <s v="N/A"/>
    <s v="N/A"/>
    <s v="N/A"/>
    <n v="0"/>
    <n v="0"/>
    <n v="2023"/>
  </r>
  <r>
    <x v="38"/>
    <x v="1"/>
    <x v="0"/>
    <x v="10"/>
    <s v="N/A"/>
    <s v="N/A"/>
    <s v="N/A"/>
    <s v="N/A"/>
    <x v="3"/>
    <s v="N/A"/>
    <s v="N/A"/>
    <s v="N/A"/>
    <n v="0"/>
    <n v="0"/>
    <s v="N/A"/>
    <s v="N/A"/>
    <s v="N/A"/>
    <s v="N/A"/>
    <s v="F"/>
    <s v="F"/>
    <s v="F"/>
    <s v="T"/>
    <s v="T"/>
    <s v="T"/>
    <x v="1"/>
    <s v="N/A"/>
    <s v="N/A"/>
    <s v="N/A"/>
    <s v="N/A"/>
    <s v="N/A"/>
    <n v="0"/>
    <n v="0"/>
    <n v="2023"/>
  </r>
  <r>
    <x v="39"/>
    <x v="1"/>
    <x v="0"/>
    <x v="10"/>
    <s v="N/A"/>
    <s v="N/A"/>
    <s v="N/A"/>
    <s v="N/A"/>
    <x v="3"/>
    <s v="N/A"/>
    <s v="N/A"/>
    <s v="N/A"/>
    <n v="0"/>
    <n v="0"/>
    <s v="N/A"/>
    <s v="N/A"/>
    <s v="N/A"/>
    <s v="N/A"/>
    <s v="F"/>
    <s v="F"/>
    <s v="F"/>
    <s v="T"/>
    <s v="T"/>
    <s v="T"/>
    <x v="1"/>
    <s v="N/A"/>
    <s v="N/A"/>
    <s v="N/A"/>
    <s v="N/A"/>
    <s v="N/A"/>
    <n v="0"/>
    <n v="0"/>
    <n v="2023"/>
  </r>
  <r>
    <x v="40"/>
    <x v="1"/>
    <x v="0"/>
    <x v="31"/>
    <n v="30"/>
    <n v="150"/>
    <n v="0.16666666666666666"/>
    <n v="0.83333333333333337"/>
    <x v="1"/>
    <n v="60"/>
    <n v="30"/>
    <n v="90"/>
    <n v="15"/>
    <n v="15"/>
    <s v="N/A"/>
    <n v="0.5"/>
    <n v="0.5"/>
    <s v="N/A"/>
    <s v="T"/>
    <s v="F"/>
    <s v="F"/>
    <s v="T"/>
    <s v="F"/>
    <s v="T"/>
    <x v="1"/>
    <s v="N/A"/>
    <s v="N/A"/>
    <s v="N/A"/>
    <s v="N/A"/>
    <s v="N/A"/>
    <n v="0"/>
    <n v="16"/>
    <n v="2023"/>
  </r>
  <r>
    <x v="41"/>
    <x v="0"/>
    <x v="0"/>
    <x v="32"/>
    <n v="40"/>
    <n v="212"/>
    <n v="0.15873015873015872"/>
    <n v="0.84126984126984128"/>
    <x v="1"/>
    <n v="45"/>
    <n v="10"/>
    <n v="197"/>
    <n v="0"/>
    <n v="5"/>
    <n v="35"/>
    <n v="0"/>
    <n v="0.5"/>
    <n v="0.17766497461928935"/>
    <s v="T"/>
    <s v="T"/>
    <s v="T"/>
    <s v="T"/>
    <s v="T"/>
    <s v="T"/>
    <x v="0"/>
    <s v="N/A"/>
    <s v="N/A"/>
    <s v="N/A"/>
    <s v="N/A"/>
    <s v="N/A"/>
    <n v="0"/>
    <n v="17"/>
    <n v="2023"/>
  </r>
  <r>
    <x v="42"/>
    <x v="0"/>
    <x v="0"/>
    <x v="10"/>
    <s v="N/A"/>
    <s v="N/A"/>
    <s v="N/A"/>
    <s v="N/A"/>
    <x v="3"/>
    <s v="N/A"/>
    <s v="N/A"/>
    <s v="N/A"/>
    <n v="0"/>
    <n v="0"/>
    <s v="N/A"/>
    <s v="N/A"/>
    <s v="N/A"/>
    <s v="N/A"/>
    <s v="F"/>
    <s v="F"/>
    <s v="F"/>
    <s v="T"/>
    <s v="T"/>
    <s v="T"/>
    <x v="1"/>
    <s v="N/A"/>
    <s v="N/A"/>
    <s v="N/A"/>
    <s v="N/A"/>
    <s v="N/A"/>
    <n v="0"/>
    <n v="0"/>
    <n v="2023"/>
  </r>
  <r>
    <x v="43"/>
    <x v="0"/>
    <x v="0"/>
    <x v="33"/>
    <n v="6"/>
    <n v="22"/>
    <n v="0.21428571428571427"/>
    <n v="0.7857142857142857"/>
    <x v="2"/>
    <n v="6"/>
    <n v="4"/>
    <n v="18"/>
    <n v="1"/>
    <n v="3"/>
    <n v="2"/>
    <n v="0.16666666666666666"/>
    <n v="0.75"/>
    <n v="0.1111111111111111"/>
    <s v="T"/>
    <s v="T"/>
    <s v="T"/>
    <s v="T"/>
    <s v="T"/>
    <s v="T"/>
    <x v="0"/>
    <n v="0"/>
    <n v="0"/>
    <n v="5"/>
    <n v="4"/>
    <n v="2"/>
    <n v="11"/>
    <n v="0"/>
    <n v="2023"/>
  </r>
  <r>
    <x v="44"/>
    <x v="0"/>
    <x v="0"/>
    <x v="34"/>
    <n v="40"/>
    <n v="93"/>
    <n v="0.3007518796992481"/>
    <n v="0.6992481203007519"/>
    <x v="1"/>
    <n v="24"/>
    <n v="20"/>
    <n v="89"/>
    <n v="1"/>
    <n v="4"/>
    <n v="35"/>
    <n v="2.5000000000000001E-2"/>
    <n v="0.2"/>
    <n v="0.39325842696629215"/>
    <s v="T"/>
    <s v="T"/>
    <s v="T"/>
    <s v="T"/>
    <s v="T"/>
    <s v="T"/>
    <x v="0"/>
    <s v="N/A"/>
    <s v="N/A"/>
    <s v="N/A"/>
    <s v="N/A"/>
    <s v="N/A"/>
    <n v="0"/>
    <n v="12"/>
    <n v="2023"/>
  </r>
  <r>
    <x v="45"/>
    <x v="0"/>
    <x v="0"/>
    <x v="10"/>
    <s v="N/A"/>
    <s v="N/A"/>
    <s v="N/A"/>
    <s v="N/A"/>
    <x v="3"/>
    <s v="N/A"/>
    <s v="N/A"/>
    <s v="N/A"/>
    <n v="0"/>
    <n v="0"/>
    <s v="N/A"/>
    <s v="N/A"/>
    <s v="N/A"/>
    <s v="N/A"/>
    <s v="F"/>
    <s v="F"/>
    <s v="F"/>
    <s v="T"/>
    <s v="T"/>
    <s v="T"/>
    <x v="1"/>
    <s v="N/A"/>
    <s v="N/A"/>
    <s v="N/A"/>
    <s v="N/A"/>
    <s v="N/A"/>
    <n v="0"/>
    <n v="0"/>
    <n v="2023"/>
  </r>
  <r>
    <x v="46"/>
    <x v="0"/>
    <x v="0"/>
    <x v="35"/>
    <n v="15"/>
    <n v="73"/>
    <n v="0.17045454545454544"/>
    <n v="0.82954545454545459"/>
    <x v="0"/>
    <n v="12"/>
    <n v="1"/>
    <n v="75"/>
    <n v="0"/>
    <n v="0"/>
    <n v="15"/>
    <n v="0"/>
    <n v="0"/>
    <n v="0.2"/>
    <s v="T"/>
    <s v="T"/>
    <s v="T"/>
    <s v="T"/>
    <s v="T"/>
    <s v="T"/>
    <x v="0"/>
    <n v="0"/>
    <n v="6"/>
    <n v="14"/>
    <n v="10"/>
    <n v="3"/>
    <n v="33"/>
    <n v="13"/>
    <n v="2023"/>
  </r>
  <r>
    <x v="47"/>
    <x v="0"/>
    <x v="0"/>
    <x v="36"/>
    <n v="4"/>
    <n v="14"/>
    <n v="0.22222222222222221"/>
    <n v="0.77777777777777779"/>
    <x v="2"/>
    <n v="11"/>
    <n v="2"/>
    <n v="5"/>
    <n v="0"/>
    <n v="0"/>
    <n v="4"/>
    <n v="0"/>
    <n v="0"/>
    <n v="0.8"/>
    <s v="T"/>
    <s v="T"/>
    <s v="T"/>
    <s v="T"/>
    <s v="T"/>
    <s v="T"/>
    <x v="0"/>
    <n v="2"/>
    <n v="7"/>
    <n v="15"/>
    <n v="6"/>
    <n v="14"/>
    <n v="44"/>
    <n v="10"/>
    <n v="2023"/>
  </r>
  <r>
    <x v="48"/>
    <x v="0"/>
    <x v="0"/>
    <x v="12"/>
    <n v="8"/>
    <n v="52"/>
    <n v="0.13333333333333333"/>
    <n v="0.8666666666666667"/>
    <x v="0"/>
    <n v="35"/>
    <n v="12"/>
    <n v="13"/>
    <n v="5"/>
    <n v="8"/>
    <s v="N/A"/>
    <n v="0.625"/>
    <n v="0.66666666666666663"/>
    <s v="N/A"/>
    <s v="T"/>
    <s v="F"/>
    <s v="F"/>
    <s v="T"/>
    <s v="F"/>
    <s v="T"/>
    <x v="1"/>
    <s v="N/A"/>
    <s v="N/A"/>
    <s v="N/A"/>
    <s v="N/A"/>
    <s v="N/A"/>
    <n v="0"/>
    <n v="11"/>
    <n v="2023"/>
  </r>
  <r>
    <x v="49"/>
    <x v="0"/>
    <x v="0"/>
    <x v="37"/>
    <n v="5"/>
    <n v="62"/>
    <n v="7.4626865671641784E-2"/>
    <n v="0.92537313432835822"/>
    <x v="0"/>
    <n v="43"/>
    <n v="1"/>
    <n v="23"/>
    <n v="0"/>
    <n v="10"/>
    <s v="N/A"/>
    <n v="0"/>
    <n v="10"/>
    <s v="N/A"/>
    <s v="T"/>
    <s v="F"/>
    <s v="F"/>
    <s v="F"/>
    <s v="F"/>
    <s v="T"/>
    <x v="1"/>
    <n v="0"/>
    <n v="0"/>
    <n v="0"/>
    <n v="0"/>
    <n v="0"/>
    <n v="0"/>
    <n v="0"/>
    <n v="2023"/>
  </r>
  <r>
    <x v="50"/>
    <x v="0"/>
    <x v="0"/>
    <x v="38"/>
    <n v="10"/>
    <n v="34"/>
    <n v="0.22727272727272727"/>
    <n v="0.77272727272727271"/>
    <x v="2"/>
    <n v="17"/>
    <n v="2"/>
    <n v="25"/>
    <n v="1"/>
    <n v="2"/>
    <n v="7"/>
    <n v="0.1"/>
    <n v="1"/>
    <n v="0.28000000000000003"/>
    <s v="T"/>
    <s v="T"/>
    <s v="T"/>
    <s v="T"/>
    <s v="T"/>
    <s v="T"/>
    <x v="0"/>
    <n v="0"/>
    <n v="2"/>
    <n v="1"/>
    <n v="0"/>
    <n v="16"/>
    <n v="19"/>
    <n v="10"/>
    <n v="2023"/>
  </r>
  <r>
    <x v="51"/>
    <x v="0"/>
    <x v="0"/>
    <x v="39"/>
    <n v="8"/>
    <n v="40"/>
    <n v="0.16666666666666666"/>
    <n v="0.83333333333333337"/>
    <x v="2"/>
    <n v="26"/>
    <n v="3"/>
    <n v="19"/>
    <n v="3"/>
    <n v="3"/>
    <n v="2"/>
    <n v="0.375"/>
    <n v="1"/>
    <n v="0.10526315789473684"/>
    <s v="T"/>
    <s v="T"/>
    <s v="T"/>
    <s v="T"/>
    <s v="T"/>
    <s v="T"/>
    <x v="0"/>
    <n v="0"/>
    <n v="0"/>
    <n v="0"/>
    <n v="0"/>
    <n v="0"/>
    <n v="0"/>
    <n v="8"/>
    <n v="2023"/>
  </r>
  <r>
    <x v="52"/>
    <x v="0"/>
    <x v="0"/>
    <x v="40"/>
    <n v="10"/>
    <n v="53"/>
    <n v="0.15873015873015872"/>
    <n v="0.84126984126984128"/>
    <x v="0"/>
    <n v="20"/>
    <n v="2"/>
    <n v="41"/>
    <n v="1"/>
    <n v="0"/>
    <n v="9"/>
    <n v="0.1"/>
    <n v="0"/>
    <n v="0.21951219512195122"/>
    <s v="T"/>
    <s v="T"/>
    <s v="T"/>
    <s v="T"/>
    <s v="T"/>
    <s v="T"/>
    <x v="0"/>
    <s v="N/A"/>
    <s v="N/A"/>
    <s v="N/A"/>
    <s v="N/A"/>
    <s v="N/A"/>
    <n v="0"/>
    <n v="14"/>
    <n v="2023"/>
  </r>
  <r>
    <x v="53"/>
    <x v="0"/>
    <x v="0"/>
    <x v="41"/>
    <n v="2"/>
    <n v="23"/>
    <n v="0.08"/>
    <n v="0.92"/>
    <x v="2"/>
    <n v="7"/>
    <n v="3"/>
    <n v="15"/>
    <n v="0"/>
    <n v="0"/>
    <n v="2"/>
    <n v="0"/>
    <n v="0"/>
    <n v="0.13333333333333333"/>
    <s v="T"/>
    <s v="T"/>
    <s v="T"/>
    <s v="T"/>
    <s v="T"/>
    <s v="T"/>
    <x v="0"/>
    <s v="N/A"/>
    <s v="N/A"/>
    <s v="N/A"/>
    <s v="N/A"/>
    <s v="N/A"/>
    <n v="0"/>
    <n v="0"/>
    <n v="2023"/>
  </r>
  <r>
    <x v="54"/>
    <x v="0"/>
    <x v="1"/>
    <x v="42"/>
    <s v="N/A"/>
    <s v="N/A"/>
    <s v="N/A"/>
    <s v="N/A"/>
    <x v="0"/>
    <s v="N/A"/>
    <n v="1"/>
    <s v="N/A"/>
    <n v="0"/>
    <n v="0"/>
    <s v="N/A"/>
    <s v="N/A"/>
    <n v="0"/>
    <s v="N/A"/>
    <s v="F"/>
    <s v="F"/>
    <s v="F"/>
    <s v="T"/>
    <s v="T"/>
    <s v="T"/>
    <x v="1"/>
    <n v="2"/>
    <n v="0"/>
    <n v="7"/>
    <n v="8"/>
    <n v="13"/>
    <n v="30"/>
    <n v="11"/>
    <n v="2023"/>
  </r>
  <r>
    <x v="55"/>
    <x v="0"/>
    <x v="0"/>
    <x v="10"/>
    <s v="N/A"/>
    <s v="N/A"/>
    <s v="N/A"/>
    <s v="N/A"/>
    <x v="3"/>
    <s v="N/A"/>
    <s v="N/A"/>
    <s v="N/A"/>
    <n v="0"/>
    <n v="0"/>
    <s v="N/A"/>
    <s v="N/A"/>
    <s v="N/A"/>
    <s v="N/A"/>
    <s v="F"/>
    <s v="F"/>
    <s v="F"/>
    <s v="T"/>
    <s v="T"/>
    <s v="T"/>
    <x v="1"/>
    <s v="N/A"/>
    <s v="N/A"/>
    <s v="N/A"/>
    <s v="N/A"/>
    <s v="N/A"/>
    <n v="0"/>
    <n v="0"/>
    <n v="2023"/>
  </r>
  <r>
    <x v="56"/>
    <x v="2"/>
    <x v="0"/>
    <x v="43"/>
    <n v="30"/>
    <n v="447"/>
    <n v="6.2893081761006289E-2"/>
    <n v="0.93710691823899372"/>
    <x v="4"/>
    <n v="80"/>
    <n v="25"/>
    <n v="372"/>
    <n v="5"/>
    <n v="15"/>
    <n v="10"/>
    <n v="0.16666666666666666"/>
    <n v="0.6"/>
    <n v="2.6881720430107527E-2"/>
    <s v="T"/>
    <s v="T"/>
    <s v="T"/>
    <s v="T"/>
    <s v="T"/>
    <s v="T"/>
    <x v="0"/>
    <n v="11"/>
    <n v="23"/>
    <n v="46"/>
    <n v="24"/>
    <n v="14"/>
    <n v="118"/>
    <n v="27"/>
    <n v="2023"/>
  </r>
  <r>
    <x v="57"/>
    <x v="2"/>
    <x v="0"/>
    <x v="44"/>
    <n v="25"/>
    <n v="283"/>
    <n v="8.1168831168831168E-2"/>
    <n v="0.91883116883116878"/>
    <x v="1"/>
    <n v="100"/>
    <n v="46"/>
    <n v="162"/>
    <n v="10"/>
    <n v="10"/>
    <n v="5"/>
    <n v="0.4"/>
    <n v="0.21739130434782608"/>
    <n v="3.0864197530864196E-2"/>
    <s v="T"/>
    <s v="T"/>
    <s v="T"/>
    <s v="T"/>
    <s v="T"/>
    <s v="T"/>
    <x v="0"/>
    <n v="24"/>
    <n v="47"/>
    <n v="58"/>
    <n v="31"/>
    <n v="30"/>
    <n v="190"/>
    <n v="29"/>
    <n v="2023"/>
  </r>
  <r>
    <x v="58"/>
    <x v="2"/>
    <x v="0"/>
    <x v="45"/>
    <n v="56"/>
    <n v="561"/>
    <n v="9.0761750405186387E-2"/>
    <n v="0.90923824959481359"/>
    <x v="4"/>
    <n v="219"/>
    <n v="1"/>
    <n v="397"/>
    <n v="0"/>
    <n v="0"/>
    <n v="56"/>
    <n v="0"/>
    <n v="0"/>
    <n v="0.14105793450881612"/>
    <s v="T"/>
    <s v="T"/>
    <s v="T"/>
    <s v="T"/>
    <s v="T"/>
    <s v="T"/>
    <x v="0"/>
    <n v="10"/>
    <n v="5"/>
    <n v="0"/>
    <n v="3"/>
    <n v="0"/>
    <n v="18"/>
    <n v="59"/>
    <n v="2023"/>
  </r>
  <r>
    <x v="59"/>
    <x v="2"/>
    <x v="0"/>
    <x v="46"/>
    <n v="0"/>
    <n v="442"/>
    <n v="0"/>
    <n v="1"/>
    <x v="4"/>
    <n v="108"/>
    <n v="36"/>
    <n v="298"/>
    <n v="5"/>
    <n v="10"/>
    <s v="N/A"/>
    <s v="N/A"/>
    <n v="0.27777777777777779"/>
    <s v="N/A"/>
    <s v="T"/>
    <s v="F"/>
    <s v="F"/>
    <s v="T"/>
    <s v="F"/>
    <s v="T"/>
    <x v="1"/>
    <n v="39"/>
    <n v="48"/>
    <n v="72"/>
    <n v="39"/>
    <n v="14"/>
    <n v="212"/>
    <n v="0"/>
    <n v="2023"/>
  </r>
  <r>
    <x v="60"/>
    <x v="2"/>
    <x v="0"/>
    <x v="47"/>
    <n v="10"/>
    <n v="183"/>
    <n v="5.181347150259067E-2"/>
    <n v="0.94818652849740936"/>
    <x v="1"/>
    <n v="75"/>
    <n v="14"/>
    <n v="104"/>
    <n v="10"/>
    <n v="20"/>
    <s v="N/A"/>
    <n v="1"/>
    <n v="1.4285714285714286"/>
    <s v="N/A"/>
    <s v="T"/>
    <s v="F"/>
    <s v="F"/>
    <s v="F"/>
    <s v="F"/>
    <s v="T"/>
    <x v="1"/>
    <n v="60"/>
    <n v="43"/>
    <n v="21"/>
    <n v="6"/>
    <n v="0"/>
    <n v="130"/>
    <n v="21"/>
    <n v="2023"/>
  </r>
  <r>
    <x v="61"/>
    <x v="2"/>
    <x v="0"/>
    <x v="48"/>
    <n v="50"/>
    <n v="261"/>
    <n v="0.16077170418006431"/>
    <n v="0.83922829581993574"/>
    <x v="1"/>
    <n v="55"/>
    <n v="30"/>
    <n v="226"/>
    <n v="4"/>
    <n v="23"/>
    <n v="23"/>
    <n v="0.08"/>
    <n v="0.76666666666666672"/>
    <n v="0.10176991150442478"/>
    <s v="T"/>
    <s v="T"/>
    <s v="T"/>
    <s v="T"/>
    <s v="T"/>
    <s v="T"/>
    <x v="0"/>
    <n v="16"/>
    <n v="19"/>
    <n v="6"/>
    <n v="12"/>
    <n v="1"/>
    <n v="54"/>
    <n v="22"/>
    <n v="2023"/>
  </r>
  <r>
    <x v="62"/>
    <x v="2"/>
    <x v="0"/>
    <x v="49"/>
    <n v="100"/>
    <n v="570"/>
    <n v="0.14925373134328357"/>
    <n v="0.85074626865671643"/>
    <x v="4"/>
    <n v="146"/>
    <n v="40"/>
    <n v="484"/>
    <n v="4"/>
    <n v="7"/>
    <n v="89"/>
    <n v="0.04"/>
    <n v="0.17499999999999999"/>
    <n v="0.18388429752066116"/>
    <s v="T"/>
    <s v="T"/>
    <s v="T"/>
    <s v="T"/>
    <s v="T"/>
    <s v="T"/>
    <x v="0"/>
    <s v="N/A"/>
    <s v="N/A"/>
    <s v="N/A"/>
    <s v="N/A"/>
    <s v="N/A"/>
    <n v="0"/>
    <n v="19"/>
    <n v="2023"/>
  </r>
  <r>
    <x v="63"/>
    <x v="2"/>
    <x v="0"/>
    <x v="50"/>
    <n v="100"/>
    <n v="762"/>
    <n v="0.11600928074245939"/>
    <n v="0.88399071925754058"/>
    <x v="4"/>
    <n v="128"/>
    <n v="62"/>
    <n v="672"/>
    <n v="5"/>
    <n v="22"/>
    <n v="73"/>
    <n v="0.05"/>
    <n v="0.35483870967741937"/>
    <n v="0.10863095238095238"/>
    <s v="T"/>
    <s v="T"/>
    <s v="T"/>
    <s v="T"/>
    <s v="T"/>
    <s v="T"/>
    <x v="0"/>
    <n v="0"/>
    <n v="0"/>
    <n v="0"/>
    <n v="0"/>
    <n v="0"/>
    <n v="0"/>
    <n v="34"/>
    <n v="2023"/>
  </r>
  <r>
    <x v="64"/>
    <x v="2"/>
    <x v="0"/>
    <x v="51"/>
    <n v="150"/>
    <n v="630"/>
    <n v="0.19230769230769232"/>
    <n v="0.80769230769230771"/>
    <x v="4"/>
    <n v="74"/>
    <n v="50"/>
    <n v="656"/>
    <n v="1"/>
    <n v="73"/>
    <n v="76"/>
    <n v="6.6666666666666671E-3"/>
    <n v="1.46"/>
    <n v="0.11585365853658537"/>
    <s v="T"/>
    <s v="T"/>
    <s v="T"/>
    <s v="F"/>
    <s v="T"/>
    <s v="T"/>
    <x v="1"/>
    <n v="22"/>
    <n v="33"/>
    <n v="21"/>
    <n v="20"/>
    <n v="9"/>
    <n v="105"/>
    <n v="20"/>
    <n v="2023"/>
  </r>
  <r>
    <x v="65"/>
    <x v="2"/>
    <x v="0"/>
    <x v="52"/>
    <n v="5"/>
    <n v="61"/>
    <n v="7.575757575757576E-2"/>
    <n v="0.9242424242424242"/>
    <x v="0"/>
    <n v="25"/>
    <n v="18"/>
    <n v="23"/>
    <n v="10"/>
    <n v="10"/>
    <s v="N/A"/>
    <n v="2"/>
    <n v="0.55555555555555558"/>
    <s v="N/A"/>
    <s v="T"/>
    <s v="F"/>
    <s v="F"/>
    <s v="T"/>
    <s v="F"/>
    <s v="T"/>
    <x v="1"/>
    <s v="N/A"/>
    <s v="N/A"/>
    <s v="N/A"/>
    <s v="N/A"/>
    <s v="N/A"/>
    <n v="0"/>
    <n v="6"/>
    <n v="2023"/>
  </r>
  <r>
    <x v="66"/>
    <x v="2"/>
    <x v="0"/>
    <x v="53"/>
    <n v="90"/>
    <n v="1110"/>
    <n v="7.4999999999999997E-2"/>
    <n v="0.92500000000000004"/>
    <x v="3"/>
    <n v="150"/>
    <n v="200"/>
    <n v="850"/>
    <n v="8"/>
    <n v="12"/>
    <n v="70"/>
    <n v="8.8888888888888892E-2"/>
    <n v="0.06"/>
    <n v="8.2352941176470587E-2"/>
    <s v="T"/>
    <s v="T"/>
    <s v="T"/>
    <s v="T"/>
    <s v="T"/>
    <s v="T"/>
    <x v="0"/>
    <n v="37"/>
    <n v="74"/>
    <n v="113"/>
    <n v="67"/>
    <n v="20"/>
    <n v="311"/>
    <n v="38"/>
    <n v="2023"/>
  </r>
  <r>
    <x v="67"/>
    <x v="2"/>
    <x v="0"/>
    <x v="54"/>
    <n v="150"/>
    <n v="1355"/>
    <n v="9.9667774086378738E-2"/>
    <n v="0.90033222591362128"/>
    <x v="3"/>
    <n v="197"/>
    <n v="292"/>
    <n v="1016"/>
    <n v="10"/>
    <n v="10"/>
    <n v="130"/>
    <n v="6.6666666666666666E-2"/>
    <n v="3.4246575342465752E-2"/>
    <n v="0.12795275590551181"/>
    <s v="T"/>
    <s v="T"/>
    <s v="T"/>
    <s v="T"/>
    <s v="T"/>
    <s v="T"/>
    <x v="0"/>
    <n v="13"/>
    <n v="59"/>
    <n v="47"/>
    <n v="38"/>
    <n v="33"/>
    <n v="190"/>
    <n v="28"/>
    <n v="2023"/>
  </r>
  <r>
    <x v="68"/>
    <x v="2"/>
    <x v="0"/>
    <x v="55"/>
    <n v="4"/>
    <n v="294"/>
    <n v="1.3422818791946308E-2"/>
    <n v="0.98657718120805371"/>
    <x v="1"/>
    <n v="11"/>
    <n v="65"/>
    <n v="222"/>
    <n v="4"/>
    <n v="5"/>
    <s v="N/A"/>
    <n v="1"/>
    <n v="7.6923076923076927E-2"/>
    <s v="N/A"/>
    <s v="T"/>
    <s v="F"/>
    <s v="F"/>
    <s v="T"/>
    <s v="F"/>
    <s v="T"/>
    <x v="1"/>
    <n v="0"/>
    <n v="0"/>
    <n v="0"/>
    <n v="4"/>
    <n v="0"/>
    <n v="4"/>
    <n v="0"/>
    <n v="2023"/>
  </r>
  <r>
    <x v="69"/>
    <x v="2"/>
    <x v="0"/>
    <x v="10"/>
    <s v="N/A"/>
    <s v="N/A"/>
    <s v="N/A"/>
    <s v="N/A"/>
    <x v="3"/>
    <s v="N/A"/>
    <s v="N/A"/>
    <s v="N/A"/>
    <n v="0"/>
    <n v="0"/>
    <s v="N/A"/>
    <s v="N/A"/>
    <s v="N/A"/>
    <s v="N/A"/>
    <s v="F"/>
    <s v="F"/>
    <s v="F"/>
    <s v="T"/>
    <s v="T"/>
    <s v="T"/>
    <x v="1"/>
    <s v="N/A"/>
    <s v="N/A"/>
    <s v="N/A"/>
    <s v="N/A"/>
    <s v="N/A"/>
    <n v="0"/>
    <n v="0"/>
    <n v="2023"/>
  </r>
  <r>
    <x v="70"/>
    <x v="2"/>
    <x v="0"/>
    <x v="56"/>
    <n v="50"/>
    <n v="405"/>
    <n v="0.10989010989010989"/>
    <n v="0.89010989010989006"/>
    <x v="4"/>
    <n v="128"/>
    <n v="25"/>
    <n v="302"/>
    <n v="2"/>
    <n v="13"/>
    <n v="35"/>
    <n v="0.04"/>
    <n v="0.52"/>
    <n v="0.11589403973509933"/>
    <s v="T"/>
    <s v="T"/>
    <s v="T"/>
    <s v="T"/>
    <s v="T"/>
    <s v="T"/>
    <x v="0"/>
    <n v="16"/>
    <n v="62"/>
    <n v="67"/>
    <n v="47"/>
    <n v="45"/>
    <n v="237"/>
    <n v="36"/>
    <n v="2023"/>
  </r>
  <r>
    <x v="71"/>
    <x v="2"/>
    <x v="0"/>
    <x v="57"/>
    <n v="0"/>
    <n v="600"/>
    <n v="0"/>
    <n v="1"/>
    <x v="4"/>
    <n v="149"/>
    <n v="15"/>
    <n v="436"/>
    <n v="2"/>
    <n v="10"/>
    <s v="N/A"/>
    <s v="N/A"/>
    <n v="0.66666666666666663"/>
    <s v="N/A"/>
    <s v="T"/>
    <s v="F"/>
    <s v="F"/>
    <s v="T"/>
    <s v="F"/>
    <s v="T"/>
    <x v="1"/>
    <n v="14"/>
    <n v="14"/>
    <n v="63"/>
    <n v="63"/>
    <n v="60"/>
    <n v="214"/>
    <n v="27"/>
    <n v="2023"/>
  </r>
  <r>
    <x v="72"/>
    <x v="2"/>
    <x v="0"/>
    <x v="58"/>
    <n v="15"/>
    <n v="805"/>
    <n v="1.8292682926829267E-2"/>
    <n v="0.98170731707317072"/>
    <x v="4"/>
    <n v="77"/>
    <n v="5"/>
    <n v="738"/>
    <n v="1"/>
    <n v="9"/>
    <n v="5"/>
    <n v="6.6666666666666666E-2"/>
    <n v="1.8"/>
    <n v="6.7750677506775072E-3"/>
    <s v="T"/>
    <s v="T"/>
    <s v="T"/>
    <s v="F"/>
    <s v="T"/>
    <s v="T"/>
    <x v="1"/>
    <n v="29"/>
    <n v="53"/>
    <n v="12"/>
    <n v="15"/>
    <n v="0"/>
    <n v="109"/>
    <n v="0"/>
    <n v="2023"/>
  </r>
  <r>
    <x v="73"/>
    <x v="2"/>
    <x v="0"/>
    <x v="59"/>
    <n v="49"/>
    <n v="1911"/>
    <n v="2.5000000000000001E-2"/>
    <n v="0.97499999999999998"/>
    <x v="3"/>
    <n v="120"/>
    <n v="200"/>
    <n v="1640"/>
    <n v="10"/>
    <n v="35"/>
    <n v="4"/>
    <n v="0.20408163265306123"/>
    <n v="0.17499999999999999"/>
    <n v="2.4390243902439024E-3"/>
    <s v="T"/>
    <s v="T"/>
    <s v="T"/>
    <s v="T"/>
    <s v="T"/>
    <s v="T"/>
    <x v="0"/>
    <s v="N/A"/>
    <s v="N/A"/>
    <s v="N/A"/>
    <s v="N/A"/>
    <s v="N/A"/>
    <n v="0"/>
    <n v="26"/>
    <n v="2023"/>
  </r>
  <r>
    <x v="74"/>
    <x v="2"/>
    <x v="0"/>
    <x v="60"/>
    <n v="40"/>
    <n v="40"/>
    <n v="0.5"/>
    <n v="0.5"/>
    <x v="0"/>
    <n v="12"/>
    <n v="0"/>
    <n v="68"/>
    <n v="0"/>
    <n v="0"/>
    <n v="40"/>
    <n v="0"/>
    <s v="N/A"/>
    <n v="0.58823529411764708"/>
    <s v="T"/>
    <s v="T"/>
    <s v="T"/>
    <s v="T"/>
    <s v="T"/>
    <s v="T"/>
    <x v="0"/>
    <n v="0"/>
    <n v="0"/>
    <n v="0"/>
    <n v="3"/>
    <n v="3"/>
    <n v="6"/>
    <n v="3"/>
    <n v="2023"/>
  </r>
  <r>
    <x v="75"/>
    <x v="2"/>
    <x v="0"/>
    <x v="10"/>
    <s v="N/A"/>
    <s v="N/A"/>
    <s v="N/A"/>
    <s v="N/A"/>
    <x v="3"/>
    <s v="N/A"/>
    <s v="N/A"/>
    <s v="N/A"/>
    <n v="0"/>
    <n v="0"/>
    <s v="N/A"/>
    <s v="N/A"/>
    <s v="N/A"/>
    <s v="N/A"/>
    <s v="F"/>
    <s v="F"/>
    <s v="F"/>
    <s v="T"/>
    <s v="T"/>
    <s v="T"/>
    <x v="1"/>
    <s v="N/A"/>
    <s v="N/A"/>
    <s v="N/A"/>
    <s v="N/A"/>
    <s v="N/A"/>
    <n v="0"/>
    <n v="0"/>
    <n v="2023"/>
  </r>
  <r>
    <x v="76"/>
    <x v="2"/>
    <x v="0"/>
    <x v="61"/>
    <n v="80"/>
    <n v="170"/>
    <n v="0.32"/>
    <n v="0.67999999999999994"/>
    <x v="1"/>
    <n v="40"/>
    <n v="20"/>
    <n v="190"/>
    <n v="5"/>
    <n v="20"/>
    <n v="55"/>
    <n v="6.25E-2"/>
    <n v="1"/>
    <n v="0.28947368421052633"/>
    <s v="T"/>
    <s v="T"/>
    <s v="T"/>
    <s v="T"/>
    <s v="T"/>
    <s v="T"/>
    <x v="0"/>
    <s v="N/A"/>
    <s v="N/A"/>
    <s v="N/A"/>
    <s v="N/A"/>
    <s v="N/A"/>
    <n v="0"/>
    <n v="11"/>
    <n v="2023"/>
  </r>
  <r>
    <x v="77"/>
    <x v="3"/>
    <x v="0"/>
    <x v="62"/>
    <n v="95"/>
    <n v="190"/>
    <n v="0.33333333333333331"/>
    <n v="0.66666666666666674"/>
    <x v="1"/>
    <n v="100"/>
    <n v="5"/>
    <n v="180"/>
    <n v="0"/>
    <n v="5"/>
    <n v="90"/>
    <n v="0"/>
    <n v="1"/>
    <n v="0.5"/>
    <s v="T"/>
    <s v="T"/>
    <s v="T"/>
    <s v="T"/>
    <s v="T"/>
    <s v="T"/>
    <x v="0"/>
    <n v="24"/>
    <n v="21"/>
    <n v="50"/>
    <n v="65"/>
    <n v="24"/>
    <n v="184"/>
    <n v="26"/>
    <n v="2023"/>
  </r>
  <r>
    <x v="78"/>
    <x v="3"/>
    <x v="0"/>
    <x v="63"/>
    <n v="70"/>
    <n v="478"/>
    <n v="0.12773722627737227"/>
    <n v="0.87226277372262773"/>
    <x v="4"/>
    <n v="100"/>
    <n v="0"/>
    <n v="448"/>
    <n v="0"/>
    <n v="0"/>
    <n v="70"/>
    <n v="0"/>
    <s v="N/A"/>
    <n v="0.15625"/>
    <s v="T"/>
    <s v="T"/>
    <s v="T"/>
    <s v="T"/>
    <s v="T"/>
    <s v="T"/>
    <x v="0"/>
    <n v="42"/>
    <n v="85"/>
    <n v="69"/>
    <n v="31"/>
    <n v="9"/>
    <n v="236"/>
    <n v="29"/>
    <n v="2023"/>
  </r>
  <r>
    <x v="79"/>
    <x v="3"/>
    <x v="0"/>
    <x v="64"/>
    <n v="18"/>
    <n v="492"/>
    <n v="3.5294117647058823E-2"/>
    <n v="0.96470588235294119"/>
    <x v="4"/>
    <n v="205"/>
    <n v="0"/>
    <n v="305"/>
    <n v="0"/>
    <n v="0"/>
    <n v="18"/>
    <n v="0"/>
    <s v="N/A"/>
    <n v="5.9016393442622953E-2"/>
    <s v="T"/>
    <s v="T"/>
    <s v="T"/>
    <s v="T"/>
    <s v="T"/>
    <s v="T"/>
    <x v="0"/>
    <s v="N/A"/>
    <s v="N/A"/>
    <s v="N/A"/>
    <s v="N/A"/>
    <s v="N/A"/>
    <n v="0"/>
    <n v="24"/>
    <n v="2023"/>
  </r>
  <r>
    <x v="80"/>
    <x v="3"/>
    <x v="0"/>
    <x v="65"/>
    <n v="10"/>
    <n v="108"/>
    <n v="8.4745762711864403E-2"/>
    <n v="0.9152542372881356"/>
    <x v="1"/>
    <n v="85"/>
    <n v="0"/>
    <n v="33"/>
    <n v="0"/>
    <n v="0"/>
    <n v="10"/>
    <n v="0"/>
    <s v="N/A"/>
    <n v="0.30303030303030304"/>
    <s v="T"/>
    <s v="T"/>
    <s v="T"/>
    <s v="T"/>
    <s v="T"/>
    <s v="T"/>
    <x v="0"/>
    <n v="30"/>
    <n v="25"/>
    <n v="35"/>
    <n v="22"/>
    <n v="19"/>
    <n v="131"/>
    <n v="36"/>
    <n v="2023"/>
  </r>
  <r>
    <x v="81"/>
    <x v="3"/>
    <x v="0"/>
    <x v="23"/>
    <n v="10"/>
    <n v="45"/>
    <n v="0.18181818181818182"/>
    <n v="0.81818181818181812"/>
    <x v="0"/>
    <n v="40"/>
    <n v="0"/>
    <n v="15"/>
    <n v="0"/>
    <n v="0"/>
    <n v="10"/>
    <n v="0"/>
    <s v="N/A"/>
    <n v="0.66666666666666663"/>
    <s v="T"/>
    <s v="T"/>
    <s v="T"/>
    <s v="T"/>
    <s v="T"/>
    <s v="T"/>
    <x v="0"/>
    <s v="N/A"/>
    <s v="N/A"/>
    <s v="N/A"/>
    <s v="N/A"/>
    <s v="N/A"/>
    <n v="0"/>
    <n v="28"/>
    <n v="2023"/>
  </r>
  <r>
    <x v="82"/>
    <x v="3"/>
    <x v="0"/>
    <x v="10"/>
    <s v="N/A"/>
    <s v="N/A"/>
    <s v="N/A"/>
    <s v="N/A"/>
    <x v="3"/>
    <s v="N/A"/>
    <s v="N/A"/>
    <s v="N/A"/>
    <n v="0"/>
    <n v="0"/>
    <s v="N/A"/>
    <s v="N/A"/>
    <s v="N/A"/>
    <s v="N/A"/>
    <s v="F"/>
    <s v="F"/>
    <s v="F"/>
    <s v="T"/>
    <s v="T"/>
    <s v="T"/>
    <x v="1"/>
    <s v="N/A"/>
    <s v="N/A"/>
    <s v="N/A"/>
    <s v="N/A"/>
    <s v="N/A"/>
    <n v="0"/>
    <n v="0"/>
    <n v="2023"/>
  </r>
  <r>
    <x v="83"/>
    <x v="3"/>
    <x v="0"/>
    <x v="66"/>
    <n v="5"/>
    <n v="91"/>
    <n v="5.2083333333333336E-2"/>
    <n v="0.94791666666666663"/>
    <x v="0"/>
    <n v="80"/>
    <n v="0"/>
    <n v="16"/>
    <n v="0"/>
    <n v="0"/>
    <n v="5"/>
    <n v="0"/>
    <s v="N/A"/>
    <n v="0.3125"/>
    <s v="T"/>
    <s v="T"/>
    <s v="T"/>
    <s v="T"/>
    <s v="T"/>
    <s v="T"/>
    <x v="0"/>
    <n v="0"/>
    <n v="0"/>
    <n v="0"/>
    <n v="0"/>
    <n v="0"/>
    <n v="0"/>
    <n v="26"/>
    <n v="2023"/>
  </r>
  <r>
    <x v="84"/>
    <x v="4"/>
    <x v="0"/>
    <x v="6"/>
    <n v="30"/>
    <n v="140"/>
    <n v="0.17647058823529413"/>
    <n v="0.82352941176470584"/>
    <x v="1"/>
    <n v="30"/>
    <n v="10"/>
    <n v="130"/>
    <n v="1"/>
    <n v="8"/>
    <n v="21"/>
    <n v="3.3333333333333333E-2"/>
    <n v="0.8"/>
    <n v="0.16153846153846155"/>
    <s v="T"/>
    <s v="T"/>
    <s v="T"/>
    <s v="T"/>
    <s v="T"/>
    <s v="T"/>
    <x v="0"/>
    <s v="N/A"/>
    <s v="N/A"/>
    <s v="N/A"/>
    <s v="N/A"/>
    <s v="N/A"/>
    <n v="0"/>
    <n v="0"/>
    <n v="2023"/>
  </r>
  <r>
    <x v="85"/>
    <x v="5"/>
    <x v="0"/>
    <x v="10"/>
    <s v="N/A"/>
    <s v="N/A"/>
    <s v="N/A"/>
    <s v="N/A"/>
    <x v="3"/>
    <s v="N/A"/>
    <s v="N/A"/>
    <s v="N/A"/>
    <n v="0"/>
    <n v="0"/>
    <s v="N/A"/>
    <s v="N/A"/>
    <s v="N/A"/>
    <s v="N/A"/>
    <s v="F"/>
    <s v="F"/>
    <s v="F"/>
    <s v="T"/>
    <s v="T"/>
    <s v="T"/>
    <x v="1"/>
    <s v="N/A"/>
    <s v="N/A"/>
    <s v="N/A"/>
    <s v="N/A"/>
    <s v="N/A"/>
    <n v="0"/>
    <n v="0"/>
    <n v="2023"/>
  </r>
  <r>
    <x v="86"/>
    <x v="4"/>
    <x v="1"/>
    <x v="67"/>
    <n v="0"/>
    <n v="6"/>
    <n v="0"/>
    <n v="1"/>
    <x v="2"/>
    <n v="0"/>
    <n v="0"/>
    <n v="6"/>
    <n v="0"/>
    <n v="0"/>
    <s v="N/A"/>
    <s v="N/A"/>
    <s v="N/A"/>
    <s v="N/A"/>
    <s v="T"/>
    <s v="F"/>
    <s v="F"/>
    <s v="T"/>
    <s v="F"/>
    <s v="T"/>
    <x v="1"/>
    <n v="0"/>
    <n v="5"/>
    <n v="12"/>
    <n v="8"/>
    <n v="1"/>
    <n v="26"/>
    <n v="5"/>
    <n v="2023"/>
  </r>
  <r>
    <x v="87"/>
    <x v="0"/>
    <x v="0"/>
    <x v="30"/>
    <n v="2"/>
    <n v="63"/>
    <n v="3.0769230769230771E-2"/>
    <n v="0.96923076923076923"/>
    <x v="0"/>
    <n v="5"/>
    <n v="50"/>
    <n v="10"/>
    <n v="4"/>
    <n v="0"/>
    <s v="N/A"/>
    <n v="2"/>
    <n v="0"/>
    <s v="N/A"/>
    <s v="T"/>
    <s v="F"/>
    <s v="F"/>
    <s v="T"/>
    <s v="F"/>
    <s v="T"/>
    <x v="1"/>
    <s v="N/A"/>
    <s v="N/A"/>
    <s v="N/A"/>
    <s v="N/A"/>
    <s v="N/A"/>
    <n v="0"/>
    <n v="1"/>
    <n v="2023"/>
  </r>
  <r>
    <x v="88"/>
    <x v="5"/>
    <x v="1"/>
    <x v="68"/>
    <s v="N/A"/>
    <s v="N/A"/>
    <s v="N/A"/>
    <s v="N/A"/>
    <x v="5"/>
    <s v="N/A"/>
    <n v="0"/>
    <s v="N/A"/>
    <n v="0"/>
    <n v="0"/>
    <s v="N/A"/>
    <s v="N/A"/>
    <s v="N/A"/>
    <s v="N/A"/>
    <s v="F"/>
    <s v="F"/>
    <s v="F"/>
    <s v="T"/>
    <s v="T"/>
    <s v="T"/>
    <x v="1"/>
    <n v="0"/>
    <n v="0"/>
    <n v="2"/>
    <n v="0"/>
    <n v="0"/>
    <n v="2"/>
    <n v="1"/>
    <n v="2023"/>
  </r>
  <r>
    <x v="89"/>
    <x v="5"/>
    <x v="1"/>
    <x v="15"/>
    <s v="N/A"/>
    <s v="N/A"/>
    <s v="N/A"/>
    <s v="N/A"/>
    <x v="0"/>
    <s v="N/A"/>
    <n v="25"/>
    <s v="N/A"/>
    <n v="0"/>
    <n v="0"/>
    <s v="N/A"/>
    <s v="N/A"/>
    <n v="0"/>
    <s v="N/A"/>
    <s v="F"/>
    <s v="F"/>
    <s v="F"/>
    <s v="T"/>
    <s v="T"/>
    <s v="T"/>
    <x v="1"/>
    <n v="5"/>
    <n v="2"/>
    <n v="1"/>
    <n v="0"/>
    <n v="10"/>
    <n v="18"/>
    <n v="11"/>
    <n v="2023"/>
  </r>
  <r>
    <x v="90"/>
    <x v="5"/>
    <x v="0"/>
    <x v="10"/>
    <s v="N/A"/>
    <s v="N/A"/>
    <s v="N/A"/>
    <s v="N/A"/>
    <x v="3"/>
    <s v="N/A"/>
    <s v="N/A"/>
    <s v="N/A"/>
    <n v="0"/>
    <n v="0"/>
    <s v="N/A"/>
    <s v="N/A"/>
    <s v="N/A"/>
    <s v="N/A"/>
    <s v="F"/>
    <s v="F"/>
    <s v="F"/>
    <s v="T"/>
    <s v="T"/>
    <s v="T"/>
    <x v="1"/>
    <s v="N/A"/>
    <s v="N/A"/>
    <s v="N/A"/>
    <s v="N/A"/>
    <s v="N/A"/>
    <n v="0"/>
    <n v="0"/>
    <n v="2023"/>
  </r>
  <r>
    <x v="91"/>
    <x v="5"/>
    <x v="0"/>
    <x v="36"/>
    <n v="0"/>
    <n v="18"/>
    <n v="0"/>
    <n v="1"/>
    <x v="2"/>
    <n v="3"/>
    <n v="12"/>
    <n v="3"/>
    <n v="2"/>
    <n v="0"/>
    <s v="N/A"/>
    <s v="N/A"/>
    <n v="0"/>
    <s v="N/A"/>
    <s v="T"/>
    <s v="F"/>
    <s v="F"/>
    <s v="T"/>
    <s v="F"/>
    <s v="T"/>
    <x v="1"/>
    <s v="N/A"/>
    <s v="N/A"/>
    <s v="N/A"/>
    <s v="N/A"/>
    <s v="N/A"/>
    <n v="0"/>
    <n v="0"/>
    <n v="2023"/>
  </r>
  <r>
    <x v="92"/>
    <x v="5"/>
    <x v="0"/>
    <x v="10"/>
    <s v="N/A"/>
    <s v="N/A"/>
    <s v="N/A"/>
    <s v="N/A"/>
    <x v="3"/>
    <s v="N/A"/>
    <s v="N/A"/>
    <s v="N/A"/>
    <n v="0"/>
    <n v="0"/>
    <s v="N/A"/>
    <s v="N/A"/>
    <s v="N/A"/>
    <s v="N/A"/>
    <s v="F"/>
    <s v="F"/>
    <s v="F"/>
    <s v="T"/>
    <s v="T"/>
    <s v="T"/>
    <x v="1"/>
    <s v="N/A"/>
    <s v="N/A"/>
    <s v="N/A"/>
    <s v="N/A"/>
    <s v="N/A"/>
    <n v="0"/>
    <n v="0"/>
    <n v="2023"/>
  </r>
  <r>
    <x v="93"/>
    <x v="5"/>
    <x v="0"/>
    <x v="21"/>
    <n v="5"/>
    <n v="52"/>
    <n v="8.771929824561403E-2"/>
    <n v="0.91228070175438591"/>
    <x v="0"/>
    <n v="15"/>
    <n v="36"/>
    <n v="6"/>
    <n v="6"/>
    <n v="1"/>
    <s v="N/A"/>
    <n v="1.2"/>
    <n v="2.7777777777777776E-2"/>
    <s v="N/A"/>
    <s v="T"/>
    <s v="F"/>
    <s v="F"/>
    <s v="T"/>
    <s v="F"/>
    <s v="T"/>
    <x v="1"/>
    <n v="8"/>
    <n v="2"/>
    <n v="0"/>
    <n v="0"/>
    <n v="3"/>
    <n v="13"/>
    <n v="0"/>
    <n v="2023"/>
  </r>
  <r>
    <x v="94"/>
    <x v="1"/>
    <x v="1"/>
    <x v="69"/>
    <n v="0"/>
    <n v="3"/>
    <n v="0"/>
    <n v="1"/>
    <x v="2"/>
    <n v="0"/>
    <s v="N/A"/>
    <s v="N/A"/>
    <n v="0"/>
    <n v="0"/>
    <s v="N/A"/>
    <s v="N/A"/>
    <s v="N/A"/>
    <s v="N/A"/>
    <s v="F"/>
    <s v="F"/>
    <s v="F"/>
    <s v="T"/>
    <s v="T"/>
    <s v="T"/>
    <x v="1"/>
    <n v="0"/>
    <n v="1"/>
    <n v="3"/>
    <n v="8"/>
    <n v="2"/>
    <n v="14"/>
    <n v="5"/>
    <n v="2023"/>
  </r>
  <r>
    <x v="95"/>
    <x v="0"/>
    <x v="1"/>
    <x v="69"/>
    <s v="N/A"/>
    <s v="N/A"/>
    <s v="N/A"/>
    <s v="N/A"/>
    <x v="2"/>
    <s v="N/A"/>
    <n v="0"/>
    <s v="N/A"/>
    <n v="0"/>
    <n v="0"/>
    <s v="N/A"/>
    <s v="N/A"/>
    <s v="N/A"/>
    <s v="N/A"/>
    <s v="F"/>
    <s v="F"/>
    <s v="F"/>
    <s v="T"/>
    <s v="T"/>
    <s v="T"/>
    <x v="1"/>
    <n v="1"/>
    <n v="5"/>
    <n v="11"/>
    <n v="11"/>
    <n v="6"/>
    <n v="34"/>
    <n v="15"/>
    <n v="2023"/>
  </r>
  <r>
    <x v="96"/>
    <x v="3"/>
    <x v="1"/>
    <x v="70"/>
    <s v="N/A"/>
    <s v="N/A"/>
    <s v="N/A"/>
    <s v="N/A"/>
    <x v="3"/>
    <s v="N/A"/>
    <n v="0"/>
    <s v="N/A"/>
    <n v="0"/>
    <n v="0"/>
    <s v="N/A"/>
    <s v="N/A"/>
    <s v="N/A"/>
    <s v="N/A"/>
    <s v="F"/>
    <s v="F"/>
    <s v="F"/>
    <s v="T"/>
    <s v="T"/>
    <s v="T"/>
    <x v="1"/>
    <n v="1"/>
    <n v="4"/>
    <n v="4"/>
    <n v="3"/>
    <n v="6"/>
    <n v="18"/>
    <n v="2"/>
    <n v="2023"/>
  </r>
  <r>
    <x v="97"/>
    <x v="5"/>
    <x v="1"/>
    <x v="71"/>
    <n v="0"/>
    <n v="7"/>
    <n v="0"/>
    <n v="1"/>
    <x v="2"/>
    <n v="0"/>
    <n v="6"/>
    <n v="1"/>
    <n v="0"/>
    <n v="0"/>
    <s v="N/A"/>
    <s v="N/A"/>
    <n v="0"/>
    <s v="N/A"/>
    <s v="T"/>
    <s v="F"/>
    <s v="F"/>
    <s v="T"/>
    <s v="F"/>
    <s v="T"/>
    <x v="1"/>
    <n v="0"/>
    <n v="1"/>
    <n v="0"/>
    <n v="3"/>
    <n v="3"/>
    <n v="7"/>
    <n v="0"/>
    <n v="2023"/>
  </r>
  <r>
    <x v="98"/>
    <x v="4"/>
    <x v="1"/>
    <x v="67"/>
    <s v="N/A"/>
    <s v="N/A"/>
    <s v="N/A"/>
    <s v="N/A"/>
    <x v="2"/>
    <s v="N/A"/>
    <n v="0"/>
    <s v="N/A"/>
    <n v="0"/>
    <n v="0"/>
    <s v="N/A"/>
    <s v="N/A"/>
    <s v="N/A"/>
    <s v="N/A"/>
    <s v="F"/>
    <s v="F"/>
    <s v="F"/>
    <s v="T"/>
    <s v="T"/>
    <s v="T"/>
    <x v="1"/>
    <s v="N/A"/>
    <s v="N/A"/>
    <s v="N/A"/>
    <s v="N/A"/>
    <s v="N/A"/>
    <n v="0"/>
    <n v="1"/>
    <n v="2023"/>
  </r>
  <r>
    <x v="99"/>
    <x v="4"/>
    <x v="0"/>
    <x v="72"/>
    <n v="30"/>
    <n v="80"/>
    <n v="0.27272727272727271"/>
    <n v="0.72727272727272729"/>
    <x v="1"/>
    <n v="17"/>
    <n v="12"/>
    <n v="81"/>
    <n v="2"/>
    <n v="7"/>
    <n v="21"/>
    <n v="6.6666666666666666E-2"/>
    <n v="0.58333333333333337"/>
    <n v="0.25925925925925924"/>
    <s v="T"/>
    <s v="T"/>
    <s v="T"/>
    <s v="T"/>
    <s v="T"/>
    <s v="T"/>
    <x v="0"/>
    <s v="N/A"/>
    <s v="N/A"/>
    <s v="N/A"/>
    <s v="N/A"/>
    <s v="N/A"/>
    <n v="0"/>
    <n v="0"/>
    <n v="2023"/>
  </r>
  <r>
    <x v="100"/>
    <x v="4"/>
    <x v="1"/>
    <x v="73"/>
    <s v="N/A"/>
    <s v="N/A"/>
    <s v="N/A"/>
    <s v="N/A"/>
    <x v="2"/>
    <s v="N/A"/>
    <n v="0"/>
    <s v="N/A"/>
    <n v="0"/>
    <n v="0"/>
    <s v="N/A"/>
    <s v="N/A"/>
    <s v="N/A"/>
    <s v="N/A"/>
    <s v="F"/>
    <s v="F"/>
    <s v="F"/>
    <s v="T"/>
    <s v="T"/>
    <s v="T"/>
    <x v="1"/>
    <n v="0"/>
    <n v="0"/>
    <n v="6"/>
    <n v="2"/>
    <n v="0"/>
    <n v="8"/>
    <n v="1"/>
    <n v="2023"/>
  </r>
  <r>
    <x v="101"/>
    <x v="4"/>
    <x v="1"/>
    <x v="41"/>
    <s v="N/A"/>
    <s v="N/A"/>
    <s v="N/A"/>
    <s v="N/A"/>
    <x v="2"/>
    <s v="N/A"/>
    <n v="2"/>
    <s v="N/A"/>
    <n v="0"/>
    <n v="0"/>
    <s v="N/A"/>
    <s v="N/A"/>
    <n v="0"/>
    <s v="N/A"/>
    <s v="F"/>
    <s v="F"/>
    <s v="F"/>
    <s v="T"/>
    <s v="T"/>
    <s v="T"/>
    <x v="1"/>
    <n v="0"/>
    <n v="0"/>
    <n v="0"/>
    <n v="0"/>
    <n v="0"/>
    <n v="0"/>
    <n v="4"/>
    <n v="2023"/>
  </r>
  <r>
    <x v="102"/>
    <x v="4"/>
    <x v="1"/>
    <x v="10"/>
    <s v="N/A"/>
    <s v="N/A"/>
    <s v="N/A"/>
    <s v="N/A"/>
    <x v="3"/>
    <s v="N/A"/>
    <s v="N/A"/>
    <s v="N/A"/>
    <n v="0"/>
    <n v="0"/>
    <s v="N/A"/>
    <s v="N/A"/>
    <s v="N/A"/>
    <s v="N/A"/>
    <s v="F"/>
    <s v="F"/>
    <s v="F"/>
    <s v="T"/>
    <s v="T"/>
    <s v="T"/>
    <x v="1"/>
    <s v="N/A"/>
    <s v="N/A"/>
    <s v="N/A"/>
    <s v="N/A"/>
    <s v="N/A"/>
    <n v="0"/>
    <n v="0"/>
    <n v="2023"/>
  </r>
  <r>
    <x v="103"/>
    <x v="4"/>
    <x v="1"/>
    <x v="74"/>
    <s v="N/A"/>
    <s v="N/A"/>
    <s v="N/A"/>
    <s v="N/A"/>
    <x v="2"/>
    <s v="N/A"/>
    <n v="2"/>
    <s v="N/A"/>
    <n v="0"/>
    <n v="0"/>
    <s v="N/A"/>
    <s v="N/A"/>
    <n v="0"/>
    <s v="N/A"/>
    <s v="F"/>
    <s v="F"/>
    <s v="F"/>
    <s v="T"/>
    <s v="T"/>
    <s v="T"/>
    <x v="1"/>
    <s v="N/A"/>
    <s v="N/A"/>
    <s v="N/A"/>
    <s v="N/A"/>
    <s v="N/A"/>
    <n v="0"/>
    <n v="0"/>
    <n v="2023"/>
  </r>
  <r>
    <x v="104"/>
    <x v="4"/>
    <x v="1"/>
    <x v="75"/>
    <n v="0"/>
    <n v="5"/>
    <n v="0"/>
    <n v="1"/>
    <x v="2"/>
    <n v="0"/>
    <n v="1"/>
    <n v="4"/>
    <n v="0"/>
    <n v="0"/>
    <s v="N/A"/>
    <s v="N/A"/>
    <n v="0"/>
    <s v="N/A"/>
    <s v="T"/>
    <s v="F"/>
    <s v="F"/>
    <s v="T"/>
    <s v="F"/>
    <s v="T"/>
    <x v="1"/>
    <s v="N/A"/>
    <s v="N/A"/>
    <s v="N/A"/>
    <s v="N/A"/>
    <s v="N/A"/>
    <n v="0"/>
    <n v="0"/>
    <n v="2023"/>
  </r>
  <r>
    <x v="105"/>
    <x v="4"/>
    <x v="1"/>
    <x v="76"/>
    <s v="N/A"/>
    <s v="N/A"/>
    <s v="N/A"/>
    <s v="N/A"/>
    <x v="2"/>
    <s v="N/A"/>
    <n v="0"/>
    <s v="N/A"/>
    <n v="0"/>
    <n v="0"/>
    <s v="N/A"/>
    <s v="N/A"/>
    <s v="N/A"/>
    <s v="N/A"/>
    <s v="F"/>
    <s v="F"/>
    <s v="F"/>
    <s v="T"/>
    <s v="T"/>
    <s v="T"/>
    <x v="1"/>
    <s v="N/A"/>
    <s v="N/A"/>
    <s v="N/A"/>
    <s v="N/A"/>
    <s v="N/A"/>
    <n v="0"/>
    <n v="1"/>
    <n v="2023"/>
  </r>
  <r>
    <x v="106"/>
    <x v="4"/>
    <x v="1"/>
    <x v="77"/>
    <s v="N/A"/>
    <s v="N/A"/>
    <s v="N/A"/>
    <s v="N/A"/>
    <x v="2"/>
    <s v="N/A"/>
    <n v="0"/>
    <s v="N/A"/>
    <n v="0"/>
    <n v="0"/>
    <s v="N/A"/>
    <s v="N/A"/>
    <s v="N/A"/>
    <s v="N/A"/>
    <s v="F"/>
    <s v="F"/>
    <s v="F"/>
    <s v="T"/>
    <s v="T"/>
    <s v="T"/>
    <x v="1"/>
    <n v="0"/>
    <n v="13"/>
    <n v="5"/>
    <n v="0"/>
    <n v="1"/>
    <n v="19"/>
    <n v="0"/>
    <n v="2023"/>
  </r>
  <r>
    <x v="107"/>
    <x v="3"/>
    <x v="1"/>
    <x v="78"/>
    <n v="0"/>
    <n v="17"/>
    <n v="0"/>
    <n v="1"/>
    <x v="2"/>
    <n v="0"/>
    <n v="0"/>
    <n v="17"/>
    <n v="0"/>
    <n v="0"/>
    <s v="N/A"/>
    <s v="N/A"/>
    <s v="N/A"/>
    <s v="N/A"/>
    <s v="T"/>
    <s v="F"/>
    <s v="F"/>
    <s v="T"/>
    <s v="F"/>
    <s v="T"/>
    <x v="1"/>
    <n v="0"/>
    <n v="0"/>
    <n v="6"/>
    <n v="2"/>
    <n v="0"/>
    <n v="8"/>
    <n v="0"/>
    <n v="2023"/>
  </r>
  <r>
    <x v="108"/>
    <x v="1"/>
    <x v="1"/>
    <x v="79"/>
    <s v="N/A"/>
    <s v="N/A"/>
    <s v="N/A"/>
    <s v="N/A"/>
    <x v="1"/>
    <s v="N/A"/>
    <n v="0"/>
    <s v="N/A"/>
    <n v="0"/>
    <n v="0"/>
    <s v="N/A"/>
    <s v="N/A"/>
    <s v="N/A"/>
    <s v="N/A"/>
    <s v="F"/>
    <s v="F"/>
    <s v="F"/>
    <s v="T"/>
    <s v="T"/>
    <s v="T"/>
    <x v="1"/>
    <n v="0"/>
    <n v="2"/>
    <n v="0"/>
    <n v="1"/>
    <n v="1"/>
    <n v="4"/>
    <n v="16"/>
    <n v="2023"/>
  </r>
  <r>
    <x v="109"/>
    <x v="4"/>
    <x v="1"/>
    <x v="33"/>
    <s v="N/A"/>
    <s v="N/A"/>
    <s v="N/A"/>
    <s v="N/A"/>
    <x v="2"/>
    <s v="N/A"/>
    <n v="0"/>
    <s v="N/A"/>
    <n v="0"/>
    <n v="0"/>
    <s v="N/A"/>
    <s v="N/A"/>
    <s v="N/A"/>
    <s v="N/A"/>
    <s v="F"/>
    <s v="F"/>
    <s v="F"/>
    <s v="T"/>
    <s v="T"/>
    <s v="T"/>
    <x v="1"/>
    <n v="0"/>
    <n v="0"/>
    <n v="0"/>
    <n v="0"/>
    <n v="0"/>
    <n v="0"/>
    <n v="3"/>
    <n v="2023"/>
  </r>
  <r>
    <x v="110"/>
    <x v="4"/>
    <x v="0"/>
    <x v="80"/>
    <n v="4"/>
    <n v="141"/>
    <n v="2.7586206896551724E-2"/>
    <n v="0.97241379310344822"/>
    <x v="1"/>
    <n v="20"/>
    <n v="2"/>
    <n v="123"/>
    <n v="1"/>
    <n v="0"/>
    <n v="3"/>
    <n v="0.25"/>
    <n v="0"/>
    <n v="2.4390243902439025E-2"/>
    <s v="T"/>
    <s v="T"/>
    <s v="T"/>
    <s v="T"/>
    <s v="T"/>
    <s v="T"/>
    <x v="0"/>
    <s v="N/A"/>
    <s v="N/A"/>
    <s v="N/A"/>
    <s v="N/A"/>
    <s v="N/A"/>
    <n v="0"/>
    <n v="0"/>
    <n v="2023"/>
  </r>
  <r>
    <x v="111"/>
    <x v="4"/>
    <x v="0"/>
    <x v="10"/>
    <s v="N/A"/>
    <s v="N/A"/>
    <s v="N/A"/>
    <s v="N/A"/>
    <x v="3"/>
    <s v="N/A"/>
    <s v="N/A"/>
    <s v="N/A"/>
    <n v="0"/>
    <n v="0"/>
    <s v="N/A"/>
    <s v="N/A"/>
    <s v="N/A"/>
    <s v="N/A"/>
    <s v="F"/>
    <s v="F"/>
    <s v="F"/>
    <s v="T"/>
    <s v="T"/>
    <s v="T"/>
    <x v="1"/>
    <s v="N/A"/>
    <s v="N/A"/>
    <s v="N/A"/>
    <s v="N/A"/>
    <s v="N/A"/>
    <n v="0"/>
    <n v="0"/>
    <n v="2023"/>
  </r>
  <r>
    <x v="112"/>
    <x v="4"/>
    <x v="0"/>
    <x v="81"/>
    <n v="3"/>
    <n v="86"/>
    <n v="3.3707865168539325E-2"/>
    <n v="0.9662921348314607"/>
    <x v="0"/>
    <n v="13"/>
    <n v="2"/>
    <n v="74"/>
    <n v="0"/>
    <n v="0"/>
    <n v="3"/>
    <n v="0"/>
    <n v="0"/>
    <n v="4.0540540540540543E-2"/>
    <s v="T"/>
    <s v="T"/>
    <s v="T"/>
    <s v="T"/>
    <s v="T"/>
    <s v="T"/>
    <x v="0"/>
    <s v="N/A"/>
    <s v="N/A"/>
    <s v="N/A"/>
    <s v="N/A"/>
    <s v="N/A"/>
    <n v="0"/>
    <n v="0"/>
    <n v="2023"/>
  </r>
  <r>
    <x v="113"/>
    <x v="3"/>
    <x v="1"/>
    <x v="68"/>
    <s v="N/A"/>
    <s v="N/A"/>
    <s v="N/A"/>
    <s v="N/A"/>
    <x v="5"/>
    <s v="N/A"/>
    <n v="0"/>
    <s v="N/A"/>
    <n v="0"/>
    <n v="0"/>
    <s v="N/A"/>
    <s v="N/A"/>
    <s v="N/A"/>
    <s v="N/A"/>
    <s v="F"/>
    <s v="F"/>
    <s v="F"/>
    <s v="T"/>
    <s v="T"/>
    <s v="T"/>
    <x v="1"/>
    <s v="N/A"/>
    <s v="N/A"/>
    <s v="N/A"/>
    <s v="N/A"/>
    <s v="N/A"/>
    <n v="0"/>
    <n v="1"/>
    <n v="2023"/>
  </r>
  <r>
    <x v="114"/>
    <x v="4"/>
    <x v="0"/>
    <x v="82"/>
    <n v="5"/>
    <n v="33"/>
    <n v="0.13157894736842105"/>
    <n v="0.86842105263157898"/>
    <x v="2"/>
    <n v="15"/>
    <n v="0"/>
    <n v="23"/>
    <n v="0"/>
    <n v="0"/>
    <n v="5"/>
    <n v="0"/>
    <s v="N/A"/>
    <n v="0.21739130434782608"/>
    <s v="T"/>
    <s v="T"/>
    <s v="T"/>
    <s v="T"/>
    <s v="T"/>
    <s v="T"/>
    <x v="0"/>
    <n v="0"/>
    <n v="0"/>
    <n v="0"/>
    <n v="0"/>
    <n v="0"/>
    <n v="0"/>
    <n v="5"/>
    <n v="2023"/>
  </r>
  <r>
    <x v="115"/>
    <x v="4"/>
    <x v="1"/>
    <x v="10"/>
    <s v="N/A"/>
    <s v="N/A"/>
    <s v="N/A"/>
    <s v="N/A"/>
    <x v="3"/>
    <s v="N/A"/>
    <s v="N/A"/>
    <s v="N/A"/>
    <n v="0"/>
    <n v="0"/>
    <s v="N/A"/>
    <s v="N/A"/>
    <s v="N/A"/>
    <s v="N/A"/>
    <s v="F"/>
    <s v="F"/>
    <s v="F"/>
    <s v="T"/>
    <s v="T"/>
    <s v="T"/>
    <x v="1"/>
    <s v="N/A"/>
    <s v="N/A"/>
    <s v="N/A"/>
    <s v="N/A"/>
    <s v="N/A"/>
    <n v="0"/>
    <n v="0"/>
    <n v="2023"/>
  </r>
  <r>
    <x v="116"/>
    <x v="4"/>
    <x v="1"/>
    <x v="83"/>
    <s v="N/A"/>
    <s v="N/A"/>
    <s v="N/A"/>
    <s v="N/A"/>
    <x v="2"/>
    <s v="N/A"/>
    <n v="0"/>
    <s v="N/A"/>
    <n v="0"/>
    <n v="0"/>
    <s v="N/A"/>
    <s v="N/A"/>
    <s v="N/A"/>
    <s v="N/A"/>
    <s v="F"/>
    <s v="F"/>
    <s v="F"/>
    <s v="T"/>
    <s v="T"/>
    <s v="T"/>
    <x v="1"/>
    <s v="N/A"/>
    <s v="N/A"/>
    <s v="N/A"/>
    <s v="N/A"/>
    <s v="N/A"/>
    <n v="0"/>
    <n v="1"/>
    <n v="2023"/>
  </r>
  <r>
    <x v="117"/>
    <x v="4"/>
    <x v="1"/>
    <x v="36"/>
    <s v="N/A"/>
    <s v="N/A"/>
    <s v="N/A"/>
    <s v="N/A"/>
    <x v="2"/>
    <s v="N/A"/>
    <n v="3"/>
    <s v="N/A"/>
    <n v="0"/>
    <n v="0"/>
    <s v="N/A"/>
    <s v="N/A"/>
    <n v="0"/>
    <s v="N/A"/>
    <s v="F"/>
    <s v="F"/>
    <s v="F"/>
    <s v="T"/>
    <s v="T"/>
    <s v="T"/>
    <x v="1"/>
    <n v="0"/>
    <n v="0"/>
    <n v="0"/>
    <n v="0"/>
    <n v="0"/>
    <n v="0"/>
    <n v="1"/>
    <n v="2023"/>
  </r>
  <r>
    <x v="118"/>
    <x v="4"/>
    <x v="1"/>
    <x v="84"/>
    <s v="N/A"/>
    <s v="N/A"/>
    <s v="N/A"/>
    <s v="N/A"/>
    <x v="2"/>
    <s v="N/A"/>
    <n v="1"/>
    <s v="N/A"/>
    <n v="0"/>
    <n v="0"/>
    <s v="N/A"/>
    <s v="N/A"/>
    <n v="0"/>
    <s v="N/A"/>
    <s v="F"/>
    <s v="F"/>
    <s v="F"/>
    <s v="T"/>
    <s v="T"/>
    <s v="T"/>
    <x v="1"/>
    <s v="N/A"/>
    <s v="N/A"/>
    <s v="N/A"/>
    <s v="N/A"/>
    <s v="N/A"/>
    <n v="0"/>
    <n v="0"/>
    <n v="2023"/>
  </r>
  <r>
    <x v="119"/>
    <x v="1"/>
    <x v="1"/>
    <x v="85"/>
    <s v="N/A"/>
    <s v="N/A"/>
    <s v="N/A"/>
    <s v="N/A"/>
    <x v="4"/>
    <s v="N/A"/>
    <n v="5"/>
    <s v="N/A"/>
    <n v="0"/>
    <n v="0"/>
    <s v="N/A"/>
    <s v="N/A"/>
    <n v="0"/>
    <s v="N/A"/>
    <s v="F"/>
    <s v="F"/>
    <s v="F"/>
    <s v="T"/>
    <s v="T"/>
    <s v="T"/>
    <x v="1"/>
    <s v="N/A"/>
    <s v="N/A"/>
    <s v="N/A"/>
    <s v="N/A"/>
    <s v="N/A"/>
    <n v="0"/>
    <n v="0"/>
    <n v="2023"/>
  </r>
  <r>
    <x v="120"/>
    <x v="3"/>
    <x v="1"/>
    <x v="41"/>
    <n v="0"/>
    <n v="25"/>
    <n v="0"/>
    <n v="1"/>
    <x v="2"/>
    <n v="0"/>
    <n v="6"/>
    <n v="19"/>
    <n v="0"/>
    <n v="0"/>
    <s v="N/A"/>
    <s v="N/A"/>
    <n v="0"/>
    <s v="N/A"/>
    <s v="T"/>
    <s v="F"/>
    <s v="F"/>
    <s v="T"/>
    <s v="F"/>
    <s v="T"/>
    <x v="1"/>
    <n v="0"/>
    <n v="3"/>
    <n v="2"/>
    <n v="0"/>
    <n v="0"/>
    <n v="5"/>
    <n v="2"/>
    <n v="2023"/>
  </r>
  <r>
    <x v="121"/>
    <x v="4"/>
    <x v="1"/>
    <x v="86"/>
    <s v="N/A"/>
    <s v="N/A"/>
    <s v="N/A"/>
    <s v="N/A"/>
    <x v="2"/>
    <s v="N/A"/>
    <n v="1"/>
    <s v="N/A"/>
    <n v="0"/>
    <n v="0"/>
    <s v="N/A"/>
    <s v="N/A"/>
    <n v="0"/>
    <s v="N/A"/>
    <s v="F"/>
    <s v="F"/>
    <s v="F"/>
    <s v="T"/>
    <s v="T"/>
    <s v="T"/>
    <x v="1"/>
    <n v="2"/>
    <n v="3"/>
    <n v="3"/>
    <n v="0"/>
    <n v="2"/>
    <n v="10"/>
    <n v="2"/>
    <n v="2023"/>
  </r>
  <r>
    <x v="122"/>
    <x v="4"/>
    <x v="0"/>
    <x v="10"/>
    <s v="N/A"/>
    <s v="N/A"/>
    <s v="N/A"/>
    <s v="N/A"/>
    <x v="3"/>
    <s v="N/A"/>
    <s v="N/A"/>
    <s v="N/A"/>
    <n v="0"/>
    <n v="0"/>
    <s v="N/A"/>
    <s v="N/A"/>
    <s v="N/A"/>
    <s v="N/A"/>
    <s v="F"/>
    <s v="F"/>
    <s v="F"/>
    <s v="T"/>
    <s v="T"/>
    <s v="T"/>
    <x v="1"/>
    <s v="N/A"/>
    <s v="N/A"/>
    <s v="N/A"/>
    <s v="N/A"/>
    <s v="N/A"/>
    <n v="0"/>
    <n v="0"/>
    <n v="2023"/>
  </r>
  <r>
    <x v="123"/>
    <x v="4"/>
    <x v="0"/>
    <x v="82"/>
    <n v="5"/>
    <n v="33"/>
    <n v="0.13157894736842105"/>
    <n v="0.86842105263157898"/>
    <x v="2"/>
    <n v="16"/>
    <n v="12"/>
    <n v="10"/>
    <n v="6"/>
    <n v="4"/>
    <s v="N/A"/>
    <n v="1.2"/>
    <n v="0.33333333333333331"/>
    <s v="N/A"/>
    <s v="T"/>
    <s v="F"/>
    <s v="F"/>
    <s v="T"/>
    <s v="F"/>
    <s v="T"/>
    <x v="1"/>
    <s v="N/A"/>
    <s v="N/A"/>
    <s v="N/A"/>
    <s v="N/A"/>
    <s v="N/A"/>
    <n v="0"/>
    <n v="4"/>
    <n v="2023"/>
  </r>
  <r>
    <x v="124"/>
    <x v="4"/>
    <x v="1"/>
    <x v="10"/>
    <s v="N/A"/>
    <s v="N/A"/>
    <s v="N/A"/>
    <s v="N/A"/>
    <x v="3"/>
    <s v="N/A"/>
    <s v="N/A"/>
    <s v="N/A"/>
    <n v="0"/>
    <n v="0"/>
    <s v="N/A"/>
    <s v="N/A"/>
    <s v="N/A"/>
    <s v="N/A"/>
    <s v="F"/>
    <s v="F"/>
    <s v="F"/>
    <s v="T"/>
    <s v="T"/>
    <s v="T"/>
    <x v="1"/>
    <s v="N/A"/>
    <s v="N/A"/>
    <s v="N/A"/>
    <s v="N/A"/>
    <s v="N/A"/>
    <n v="0"/>
    <n v="0"/>
    <n v="2023"/>
  </r>
  <r>
    <x v="125"/>
    <x v="2"/>
    <x v="0"/>
    <x v="87"/>
    <n v="0"/>
    <n v="20"/>
    <n v="0"/>
    <n v="1"/>
    <x v="2"/>
    <n v="20"/>
    <n v="0"/>
    <s v="N/A"/>
    <n v="0"/>
    <n v="20"/>
    <s v="N/A"/>
    <s v="N/A"/>
    <s v="N/A"/>
    <s v="N/A"/>
    <s v="F"/>
    <s v="F"/>
    <s v="F"/>
    <s v="F"/>
    <s v="T"/>
    <s v="T"/>
    <x v="1"/>
    <n v="0"/>
    <n v="0"/>
    <n v="14"/>
    <n v="6"/>
    <n v="0"/>
    <n v="20"/>
    <n v="7"/>
    <n v="2023"/>
  </r>
  <r>
    <x v="126"/>
    <x v="4"/>
    <x v="0"/>
    <x v="10"/>
    <s v="N/A"/>
    <s v="N/A"/>
    <s v="N/A"/>
    <s v="N/A"/>
    <x v="3"/>
    <s v="N/A"/>
    <s v="N/A"/>
    <s v="N/A"/>
    <n v="0"/>
    <n v="0"/>
    <s v="N/A"/>
    <s v="N/A"/>
    <s v="N/A"/>
    <s v="N/A"/>
    <s v="F"/>
    <s v="F"/>
    <s v="F"/>
    <s v="T"/>
    <s v="T"/>
    <s v="T"/>
    <x v="1"/>
    <s v="N/A"/>
    <s v="N/A"/>
    <s v="N/A"/>
    <s v="N/A"/>
    <s v="N/A"/>
    <n v="0"/>
    <n v="0"/>
    <n v="2023"/>
  </r>
  <r>
    <x v="127"/>
    <x v="3"/>
    <x v="1"/>
    <x v="88"/>
    <s v="N/A"/>
    <s v="N/A"/>
    <s v="N/A"/>
    <s v="N/A"/>
    <x v="4"/>
    <s v="N/A"/>
    <n v="0"/>
    <s v="N/A"/>
    <n v="0"/>
    <n v="0"/>
    <s v="N/A"/>
    <s v="N/A"/>
    <s v="N/A"/>
    <s v="N/A"/>
    <s v="F"/>
    <s v="F"/>
    <s v="F"/>
    <s v="T"/>
    <s v="T"/>
    <s v="T"/>
    <x v="1"/>
    <s v="N/A"/>
    <s v="N/A"/>
    <s v="N/A"/>
    <s v="N/A"/>
    <s v="N/A"/>
    <n v="0"/>
    <n v="0"/>
    <n v="2023"/>
  </r>
  <r>
    <x v="128"/>
    <x v="0"/>
    <x v="1"/>
    <x v="68"/>
    <s v="N/A"/>
    <s v="N/A"/>
    <s v="N/A"/>
    <s v="N/A"/>
    <x v="5"/>
    <s v="N/A"/>
    <n v="0"/>
    <s v="N/A"/>
    <n v="0"/>
    <n v="0"/>
    <s v="N/A"/>
    <s v="N/A"/>
    <s v="N/A"/>
    <s v="N/A"/>
    <s v="F"/>
    <s v="F"/>
    <s v="F"/>
    <s v="T"/>
    <s v="T"/>
    <s v="T"/>
    <x v="1"/>
    <s v="N/A"/>
    <s v="N/A"/>
    <s v="N/A"/>
    <s v="N/A"/>
    <s v="N/A"/>
    <n v="0"/>
    <n v="0"/>
    <n v="2023"/>
  </r>
  <r>
    <x v="129"/>
    <x v="3"/>
    <x v="1"/>
    <x v="68"/>
    <s v="N/A"/>
    <s v="N/A"/>
    <s v="N/A"/>
    <s v="N/A"/>
    <x v="5"/>
    <s v="N/A"/>
    <n v="0"/>
    <s v="N/A"/>
    <n v="0"/>
    <n v="0"/>
    <s v="N/A"/>
    <s v="N/A"/>
    <s v="N/A"/>
    <s v="N/A"/>
    <s v="F"/>
    <s v="F"/>
    <s v="F"/>
    <s v="T"/>
    <s v="T"/>
    <s v="T"/>
    <x v="1"/>
    <s v="N/A"/>
    <s v="N/A"/>
    <s v="N/A"/>
    <s v="N/A"/>
    <s v="N/A"/>
    <n v="0"/>
    <n v="3"/>
    <n v="2023"/>
  </r>
  <r>
    <x v="130"/>
    <x v="3"/>
    <x v="1"/>
    <x v="68"/>
    <n v="0"/>
    <n v="0"/>
    <s v="N/A"/>
    <s v="N/A"/>
    <x v="5"/>
    <n v="0"/>
    <n v="0"/>
    <s v="N/A"/>
    <n v="0"/>
    <n v="0"/>
    <s v="N/A"/>
    <s v="N/A"/>
    <s v="N/A"/>
    <s v="N/A"/>
    <s v="F"/>
    <s v="F"/>
    <s v="F"/>
    <s v="T"/>
    <s v="T"/>
    <s v="T"/>
    <x v="1"/>
    <s v="N/A"/>
    <s v="N/A"/>
    <s v="N/A"/>
    <s v="N/A"/>
    <s v="N/A"/>
    <n v="0"/>
    <n v="5"/>
    <n v="2023"/>
  </r>
  <r>
    <x v="131"/>
    <x v="4"/>
    <x v="1"/>
    <x v="10"/>
    <s v="N/A"/>
    <s v="N/A"/>
    <s v="N/A"/>
    <s v="N/A"/>
    <x v="3"/>
    <s v="N/A"/>
    <s v="N/A"/>
    <s v="N/A"/>
    <n v="0"/>
    <n v="0"/>
    <s v="N/A"/>
    <s v="N/A"/>
    <s v="N/A"/>
    <s v="N/A"/>
    <s v="F"/>
    <s v="F"/>
    <s v="F"/>
    <s v="T"/>
    <s v="T"/>
    <s v="T"/>
    <x v="1"/>
    <s v="N/A"/>
    <s v="N/A"/>
    <s v="N/A"/>
    <s v="N/A"/>
    <s v="N/A"/>
    <n v="0"/>
    <n v="0"/>
    <n v="2023"/>
  </r>
  <r>
    <x v="132"/>
    <x v="4"/>
    <x v="0"/>
    <x v="89"/>
    <n v="1"/>
    <n v="78"/>
    <n v="1.2658227848101266E-2"/>
    <n v="0.98734177215189878"/>
    <x v="0"/>
    <n v="65"/>
    <n v="0"/>
    <n v="14"/>
    <n v="0"/>
    <n v="0"/>
    <n v="1"/>
    <n v="0"/>
    <s v="N/A"/>
    <n v="7.1428571428571425E-2"/>
    <s v="T"/>
    <s v="T"/>
    <s v="T"/>
    <s v="T"/>
    <s v="T"/>
    <s v="T"/>
    <x v="0"/>
    <s v="N/A"/>
    <s v="N/A"/>
    <s v="N/A"/>
    <s v="N/A"/>
    <s v="N/A"/>
    <n v="0"/>
    <n v="0"/>
    <n v="2023"/>
  </r>
  <r>
    <x v="133"/>
    <x v="4"/>
    <x v="1"/>
    <x v="90"/>
    <s v="N/A"/>
    <s v="N/A"/>
    <s v="N/A"/>
    <s v="N/A"/>
    <x v="2"/>
    <s v="N/A"/>
    <n v="0"/>
    <s v="N/A"/>
    <n v="0"/>
    <n v="0"/>
    <s v="N/A"/>
    <s v="N/A"/>
    <s v="N/A"/>
    <s v="N/A"/>
    <s v="F"/>
    <s v="F"/>
    <s v="F"/>
    <s v="T"/>
    <s v="T"/>
    <s v="T"/>
    <x v="1"/>
    <n v="0"/>
    <n v="0"/>
    <n v="1"/>
    <n v="3"/>
    <n v="2"/>
    <n v="6"/>
    <n v="3"/>
    <n v="2023"/>
  </r>
  <r>
    <x v="134"/>
    <x v="3"/>
    <x v="1"/>
    <x v="10"/>
    <s v="N/A"/>
    <s v="N/A"/>
    <s v="N/A"/>
    <s v="N/A"/>
    <x v="3"/>
    <s v="N/A"/>
    <s v="N/A"/>
    <s v="N/A"/>
    <n v="0"/>
    <n v="0"/>
    <s v="N/A"/>
    <s v="N/A"/>
    <s v="N/A"/>
    <s v="N/A"/>
    <s v="F"/>
    <s v="F"/>
    <s v="F"/>
    <s v="T"/>
    <s v="T"/>
    <s v="T"/>
    <x v="1"/>
    <s v="N/A"/>
    <s v="N/A"/>
    <s v="N/A"/>
    <s v="N/A"/>
    <s v="N/A"/>
    <n v="0"/>
    <n v="0"/>
    <n v="2023"/>
  </r>
  <r>
    <x v="135"/>
    <x v="5"/>
    <x v="0"/>
    <x v="91"/>
    <n v="15"/>
    <n v="185"/>
    <n v="7.4999999999999997E-2"/>
    <n v="0.92500000000000004"/>
    <x v="1"/>
    <n v="20"/>
    <n v="200"/>
    <s v="N/A"/>
    <n v="20"/>
    <n v="5"/>
    <s v="N/A"/>
    <n v="1.3333333333333333"/>
    <n v="2.5000000000000001E-2"/>
    <s v="N/A"/>
    <s v="F"/>
    <s v="F"/>
    <s v="F"/>
    <s v="T"/>
    <s v="T"/>
    <s v="T"/>
    <x v="1"/>
    <n v="5"/>
    <n v="1"/>
    <n v="2"/>
    <n v="0"/>
    <n v="0"/>
    <n v="8"/>
    <n v="3"/>
    <n v="2023"/>
  </r>
  <r>
    <x v="136"/>
    <x v="1"/>
    <x v="0"/>
    <x v="10"/>
    <s v="N/A"/>
    <s v="N/A"/>
    <s v="N/A"/>
    <s v="N/A"/>
    <x v="3"/>
    <s v="N/A"/>
    <s v="N/A"/>
    <s v="N/A"/>
    <n v="0"/>
    <n v="0"/>
    <s v="N/A"/>
    <s v="N/A"/>
    <s v="N/A"/>
    <s v="N/A"/>
    <s v="F"/>
    <s v="F"/>
    <s v="F"/>
    <s v="T"/>
    <s v="T"/>
    <s v="T"/>
    <x v="1"/>
    <s v="N/A"/>
    <s v="N/A"/>
    <s v="N/A"/>
    <s v="N/A"/>
    <s v="N/A"/>
    <n v="0"/>
    <n v="0"/>
    <n v="2023"/>
  </r>
  <r>
    <x v="137"/>
    <x v="4"/>
    <x v="0"/>
    <x v="33"/>
    <n v="7"/>
    <n v="21"/>
    <n v="0.25"/>
    <n v="0.75"/>
    <x v="2"/>
    <n v="4"/>
    <n v="17"/>
    <n v="7"/>
    <n v="9"/>
    <n v="7"/>
    <s v="N/A"/>
    <n v="1.2857142857142858"/>
    <n v="0.41176470588235292"/>
    <s v="N/A"/>
    <s v="T"/>
    <s v="F"/>
    <s v="F"/>
    <s v="T"/>
    <s v="F"/>
    <s v="F"/>
    <x v="2"/>
    <s v="N/A"/>
    <s v="N/A"/>
    <s v="N/A"/>
    <s v="N/A"/>
    <s v="N/A"/>
    <n v="0"/>
    <n v="5"/>
    <n v="2023"/>
  </r>
  <r>
    <x v="138"/>
    <x v="1"/>
    <x v="1"/>
    <x v="10"/>
    <s v="N/A"/>
    <s v="N/A"/>
    <s v="N/A"/>
    <s v="N/A"/>
    <x v="3"/>
    <s v="N/A"/>
    <s v="N/A"/>
    <s v="N/A"/>
    <n v="0"/>
    <n v="0"/>
    <s v="N/A"/>
    <s v="N/A"/>
    <s v="N/A"/>
    <s v="N/A"/>
    <s v="F"/>
    <s v="F"/>
    <s v="F"/>
    <s v="T"/>
    <s v="T"/>
    <s v="T"/>
    <x v="3"/>
    <s v="N/A"/>
    <s v="N/A"/>
    <s v="N/A"/>
    <s v="N/A"/>
    <s v="N/A"/>
    <n v="0"/>
    <n v="0"/>
    <n v="20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4">
  <r>
    <n v="142"/>
    <x v="0"/>
    <n v="107"/>
    <x v="0"/>
    <n v="1561"/>
    <s v="Show committee"/>
    <n v="0"/>
    <n v="0"/>
    <n v="0"/>
    <n v="0"/>
    <n v="0"/>
    <n v="0"/>
    <s v=""/>
    <s v=""/>
    <x v="0"/>
  </r>
  <r>
    <n v="142"/>
    <x v="0"/>
    <n v="107"/>
    <x v="0"/>
    <n v="1562"/>
    <s v="Activity Committee"/>
    <m/>
    <m/>
    <m/>
    <m/>
    <m/>
    <m/>
    <s v=""/>
    <s v=""/>
    <x v="0"/>
  </r>
  <r>
    <n v="142"/>
    <x v="0"/>
    <n v="107"/>
    <x v="0"/>
    <n v="1563"/>
    <s v="Project committee"/>
    <m/>
    <m/>
    <m/>
    <m/>
    <m/>
    <m/>
    <s v=""/>
    <s v=""/>
    <x v="0"/>
  </r>
  <r>
    <n v="142"/>
    <x v="0"/>
    <n v="107"/>
    <x v="0"/>
    <n v="1564"/>
    <s v="Web committee"/>
    <m/>
    <m/>
    <m/>
    <m/>
    <m/>
    <m/>
    <s v=""/>
    <s v=""/>
    <x v="0"/>
  </r>
  <r>
    <n v="142"/>
    <x v="0"/>
    <n v="107"/>
    <x v="0"/>
    <n v="1565"/>
    <s v="Treasury committee"/>
    <m/>
    <m/>
    <m/>
    <m/>
    <m/>
    <m/>
    <s v=""/>
    <s v=""/>
    <x v="0"/>
  </r>
  <r>
    <n v="142"/>
    <x v="0"/>
    <n v="107"/>
    <x v="0"/>
    <n v="1566"/>
    <s v="BreakCom"/>
    <m/>
    <m/>
    <m/>
    <m/>
    <m/>
    <m/>
    <s v=""/>
    <s v=""/>
    <x v="0"/>
  </r>
  <r>
    <n v="142"/>
    <x v="0"/>
    <n v="107"/>
    <x v="0"/>
    <n v="1567"/>
    <s v="Kick-IN committee"/>
    <m/>
    <m/>
    <m/>
    <m/>
    <m/>
    <m/>
    <s v=""/>
    <s v=""/>
    <x v="0"/>
  </r>
  <r>
    <n v="142"/>
    <x v="0"/>
    <n v="107"/>
    <x v="0"/>
    <n v="1568"/>
    <s v="Photography committee"/>
    <m/>
    <m/>
    <m/>
    <m/>
    <m/>
    <m/>
    <s v=""/>
    <s v=""/>
    <x v="0"/>
  </r>
  <r>
    <n v="142"/>
    <x v="0"/>
    <n v="107"/>
    <x v="0"/>
    <n v="1569"/>
    <s v="Promotion Committee"/>
    <m/>
    <m/>
    <m/>
    <m/>
    <m/>
    <m/>
    <s v=""/>
    <s v=""/>
    <x v="0"/>
  </r>
  <r>
    <n v="143"/>
    <x v="1"/>
    <n v="108"/>
    <x v="1"/>
    <n v="1599"/>
    <s v="Trainingscommissie"/>
    <n v="1"/>
    <n v="2"/>
    <n v="2"/>
    <n v="0"/>
    <n v="1"/>
    <n v="0"/>
    <s v="2 till 4 hrs/wk"/>
    <s v="52+ weeks (ongoing/longer than a year)"/>
    <x v="1"/>
  </r>
  <r>
    <n v="143"/>
    <x v="1"/>
    <n v="108"/>
    <x v="1"/>
    <n v="1600"/>
    <s v="Introcie"/>
    <n v="2"/>
    <n v="2"/>
    <n v="0"/>
    <n v="0"/>
    <n v="0"/>
    <n v="0"/>
    <s v="2 till 4 hrs/wk"/>
    <s v="1-10 weeks (1 quartile)"/>
    <x v="2"/>
  </r>
  <r>
    <n v="143"/>
    <x v="1"/>
    <n v="108"/>
    <x v="1"/>
    <n v="1601"/>
    <s v="Webcie"/>
    <n v="0"/>
    <n v="1"/>
    <n v="1"/>
    <n v="2"/>
    <n v="2"/>
    <n v="1"/>
    <s v="2 till 4 hrs/wk"/>
    <s v="52+ weeks (ongoing/longer than a year)"/>
    <x v="2"/>
  </r>
  <r>
    <n v="143"/>
    <x v="1"/>
    <n v="108"/>
    <x v="1"/>
    <n v="1602"/>
    <s v="Translacie"/>
    <n v="0"/>
    <n v="0"/>
    <n v="1"/>
    <n v="0"/>
    <n v="2"/>
    <n v="0"/>
    <s v="&lt;2 hrs/wk"/>
    <s v="52+ weeks (ongoing/longer than a year)"/>
    <x v="2"/>
  </r>
  <r>
    <n v="143"/>
    <x v="1"/>
    <n v="108"/>
    <x v="1"/>
    <n v="1603"/>
    <s v="Paparazcie"/>
    <n v="2"/>
    <n v="1"/>
    <n v="1"/>
    <n v="0"/>
    <n v="3"/>
    <n v="0"/>
    <s v="2 till 4 hrs/wk"/>
    <s v="52+ weeks (ongoing/longer than a year)"/>
    <x v="2"/>
  </r>
  <r>
    <n v="143"/>
    <x v="1"/>
    <n v="108"/>
    <x v="1"/>
    <n v="1604"/>
    <s v="JKG commissie"/>
    <n v="0"/>
    <n v="1"/>
    <n v="2"/>
    <n v="0"/>
    <n v="1"/>
    <n v="0"/>
    <s v="2 till 4 hrs/wk"/>
    <s v="41-52 weeks (full year)"/>
    <x v="1"/>
  </r>
  <r>
    <n v="143"/>
    <x v="1"/>
    <n v="108"/>
    <x v="1"/>
    <n v="1605"/>
    <s v="Campusloop commissie"/>
    <n v="2"/>
    <n v="2"/>
    <n v="1"/>
    <n v="0"/>
    <n v="0"/>
    <n v="0"/>
    <s v="2 till 4 hrs/wk"/>
    <s v="41-52 weeks (full year)"/>
    <x v="3"/>
  </r>
  <r>
    <n v="143"/>
    <x v="1"/>
    <n v="108"/>
    <x v="1"/>
    <n v="1606"/>
    <s v="Activiteitencommissie"/>
    <n v="4"/>
    <n v="2"/>
    <n v="0"/>
    <n v="0"/>
    <n v="0"/>
    <n v="0"/>
    <s v="&lt;2 hrs/wk"/>
    <s v="52+ weeks (ongoing/longer than a year)"/>
    <x v="4"/>
  </r>
  <r>
    <n v="143"/>
    <x v="1"/>
    <n v="108"/>
    <x v="1"/>
    <n v="1607"/>
    <s v="FLAAT"/>
    <n v="0"/>
    <n v="2"/>
    <n v="2"/>
    <n v="0"/>
    <n v="0"/>
    <n v="0"/>
    <s v="2 till 4 hrs/wk"/>
    <s v="1-10 weeks (1 quartile)"/>
    <x v="2"/>
  </r>
  <r>
    <n v="143"/>
    <x v="1"/>
    <n v="108"/>
    <x v="1"/>
    <n v="1608"/>
    <s v="NSK Commissie"/>
    <n v="0"/>
    <n v="0"/>
    <n v="2"/>
    <n v="2"/>
    <n v="2"/>
    <n v="0"/>
    <s v="2 till 4 hrs/wk"/>
    <s v="21-30 weeks (3 quartiles)"/>
    <x v="1"/>
  </r>
  <r>
    <n v="143"/>
    <x v="1"/>
    <n v="108"/>
    <x v="1"/>
    <n v="1609"/>
    <s v="Redactie"/>
    <n v="1"/>
    <n v="0"/>
    <n v="2"/>
    <n v="2"/>
    <n v="2"/>
    <n v="0"/>
    <s v="&lt;2 hrs/wk"/>
    <s v="52+ weeks (ongoing/longer than a year)"/>
    <x v="2"/>
  </r>
  <r>
    <n v="143"/>
    <x v="1"/>
    <n v="108"/>
    <x v="1"/>
    <n v="1610"/>
    <s v="Sponsorcie"/>
    <n v="0"/>
    <n v="0"/>
    <n v="2"/>
    <n v="1"/>
    <n v="0"/>
    <n v="0"/>
    <s v="&lt;2 hrs/wk"/>
    <s v="52+ weeks (ongoing/longer than a year)"/>
    <x v="3"/>
  </r>
  <r>
    <n v="143"/>
    <x v="1"/>
    <n v="108"/>
    <x v="1"/>
    <n v="1611"/>
    <s v="Galacie"/>
    <n v="0"/>
    <n v="1"/>
    <n v="0"/>
    <n v="0"/>
    <n v="0"/>
    <n v="0"/>
    <s v="&lt;2 hrs/wk"/>
    <s v="21-30 weeks (3 quartiles)"/>
    <x v="3"/>
  </r>
  <r>
    <n v="143"/>
    <x v="1"/>
    <n v="108"/>
    <x v="1"/>
    <n v="1612"/>
    <s v="Verenigingsweekend commissie"/>
    <n v="2"/>
    <n v="2"/>
    <n v="2"/>
    <n v="0"/>
    <n v="0"/>
    <n v="0"/>
    <s v="2 till 4 hrs/wk"/>
    <s v="11-20 weeks (2 quartiles)"/>
    <x v="3"/>
  </r>
  <r>
    <n v="145"/>
    <x v="1"/>
    <n v="111"/>
    <x v="2"/>
    <n v="1423"/>
    <s v="Bestuur"/>
    <n v="0"/>
    <n v="1"/>
    <n v="0"/>
    <n v="2"/>
    <n v="0"/>
    <n v="0"/>
    <s v="2 till 4 hrs/wk"/>
    <s v="52+ weeks (ongoing/longer than a year)"/>
    <x v="3"/>
  </r>
  <r>
    <n v="145"/>
    <x v="1"/>
    <n v="111"/>
    <x v="2"/>
    <n v="1424"/>
    <s v="CvA"/>
    <n v="0"/>
    <n v="0"/>
    <n v="0"/>
    <n v="0"/>
    <n v="4"/>
    <n v="0"/>
    <s v="&lt;2 hrs/wk"/>
    <s v="52+ weeks (ongoing/longer than a year)"/>
    <x v="3"/>
  </r>
  <r>
    <n v="145"/>
    <x v="1"/>
    <n v="111"/>
    <x v="2"/>
    <n v="1425"/>
    <s v="TC"/>
    <n v="0"/>
    <n v="0"/>
    <n v="0"/>
    <n v="0"/>
    <n v="5"/>
    <n v="0"/>
    <s v="&lt;2 hrs/wk"/>
    <s v="52+ weeks (ongoing/longer than a year)"/>
    <x v="5"/>
  </r>
  <r>
    <n v="145"/>
    <x v="1"/>
    <n v="111"/>
    <x v="2"/>
    <n v="1426"/>
    <s v="KasCo"/>
    <n v="0"/>
    <n v="0"/>
    <n v="0"/>
    <n v="1"/>
    <n v="2"/>
    <n v="0"/>
    <s v="&lt;2 hrs/wk"/>
    <s v="52+ weeks (ongoing/longer than a year)"/>
    <x v="2"/>
  </r>
  <r>
    <n v="145"/>
    <x v="1"/>
    <n v="111"/>
    <x v="2"/>
    <n v="1427"/>
    <s v="EC"/>
    <n v="0"/>
    <n v="0"/>
    <n v="0"/>
    <n v="0"/>
    <n v="4"/>
    <n v="0"/>
    <s v="&lt;2 hrs/wk"/>
    <s v="52+ weeks (ongoing/longer than a year)"/>
    <x v="5"/>
  </r>
  <r>
    <n v="145"/>
    <x v="1"/>
    <n v="111"/>
    <x v="2"/>
    <n v="1428"/>
    <s v="BaCo"/>
    <n v="0"/>
    <n v="0"/>
    <n v="0"/>
    <n v="0"/>
    <n v="2"/>
    <n v="0"/>
    <s v="&lt;2 hrs/wk"/>
    <s v="52+ weeks (ongoing/longer than a year)"/>
    <x v="5"/>
  </r>
  <r>
    <n v="145"/>
    <x v="1"/>
    <n v="111"/>
    <x v="2"/>
    <n v="1429"/>
    <s v="WebCo"/>
    <n v="0"/>
    <n v="0"/>
    <n v="0"/>
    <n v="2"/>
    <n v="1"/>
    <n v="0"/>
    <s v="&lt;2 hrs/wk"/>
    <s v="52+ weeks (ongoing/longer than a year)"/>
    <x v="2"/>
  </r>
  <r>
    <n v="145"/>
    <x v="1"/>
    <n v="111"/>
    <x v="2"/>
    <n v="1430"/>
    <s v="UTT-cursus"/>
    <n v="0"/>
    <n v="0"/>
    <n v="0"/>
    <n v="0"/>
    <n v="2"/>
    <n v="0"/>
    <s v="&lt;2 hrs/wk"/>
    <s v="11-20 weeks (2 quartiles)"/>
    <x v="5"/>
  </r>
  <r>
    <n v="145"/>
    <x v="1"/>
    <n v="111"/>
    <x v="2"/>
    <n v="1431"/>
    <s v="AloGeBoLoCo"/>
    <n v="0"/>
    <n v="0"/>
    <n v="0"/>
    <n v="1"/>
    <n v="1"/>
    <n v="0"/>
    <s v="&lt;2 hrs/wk"/>
    <s v="11-20 weeks (2 quartiles)"/>
    <x v="3"/>
  </r>
  <r>
    <n v="145"/>
    <x v="1"/>
    <n v="111"/>
    <x v="2"/>
    <n v="1432"/>
    <s v="Kick-In"/>
    <n v="1"/>
    <n v="0"/>
    <n v="0"/>
    <n v="1"/>
    <n v="0"/>
    <n v="0"/>
    <s v="&lt;2 hrs/wk"/>
    <s v="1-10 weeks (1 quartile)"/>
    <x v="4"/>
  </r>
  <r>
    <n v="145"/>
    <x v="1"/>
    <n v="111"/>
    <x v="2"/>
    <n v="1433"/>
    <s v="VeWe"/>
    <n v="0"/>
    <n v="0"/>
    <n v="0"/>
    <n v="2"/>
    <n v="1"/>
    <n v="0"/>
    <s v="&lt;2 hrs/wk"/>
    <s v="11-20 weeks (2 quartiles)"/>
    <x v="5"/>
  </r>
  <r>
    <n v="145"/>
    <x v="1"/>
    <n v="111"/>
    <x v="2"/>
    <n v="1434"/>
    <s v="KleCo"/>
    <n v="0"/>
    <n v="0"/>
    <n v="0"/>
    <n v="0"/>
    <n v="2"/>
    <n v="0"/>
    <s v="&lt;2 hrs/wk"/>
    <s v="52+ weeks (ongoing/longer than a year)"/>
    <x v="4"/>
  </r>
  <r>
    <n v="145"/>
    <x v="1"/>
    <n v="111"/>
    <x v="2"/>
    <n v="1435"/>
    <s v="New Years Dinner"/>
    <n v="0"/>
    <n v="0"/>
    <n v="0"/>
    <n v="0"/>
    <n v="0"/>
    <n v="0"/>
    <s v="&lt;2 hrs/wk"/>
    <s v="1-10 weeks (1 quartile)"/>
    <x v="1"/>
  </r>
  <r>
    <n v="145"/>
    <x v="1"/>
    <n v="111"/>
    <x v="2"/>
    <n v="1436"/>
    <s v="Lustrum"/>
    <n v="0"/>
    <n v="0"/>
    <n v="0"/>
    <n v="0"/>
    <n v="0"/>
    <n v="0"/>
    <s v="2 till 4 hrs/wk"/>
    <s v="11-20 weeks (2 quartiles)"/>
    <x v="2"/>
  </r>
  <r>
    <n v="145"/>
    <x v="1"/>
    <n v="111"/>
    <x v="2"/>
    <n v="1437"/>
    <s v="Statuten en HR"/>
    <n v="0"/>
    <n v="0"/>
    <n v="0"/>
    <n v="0"/>
    <n v="0"/>
    <n v="0"/>
    <s v="2 till 4 hrs/wk"/>
    <s v="1-10 weeks (1 quartile)"/>
    <x v="2"/>
  </r>
  <r>
    <n v="146"/>
    <x v="0"/>
    <n v="112"/>
    <x v="3"/>
    <n v="1143"/>
    <s v="Aanhangercommissie"/>
    <m/>
    <m/>
    <m/>
    <m/>
    <m/>
    <m/>
    <s v=""/>
    <s v=""/>
    <x v="0"/>
  </r>
  <r>
    <n v="146"/>
    <x v="0"/>
    <n v="112"/>
    <x v="3"/>
    <n v="1144"/>
    <s v="Activiteitencommissie"/>
    <m/>
    <m/>
    <m/>
    <m/>
    <m/>
    <m/>
    <s v=""/>
    <s v=""/>
    <x v="0"/>
  </r>
  <r>
    <n v="146"/>
    <x v="0"/>
    <n v="112"/>
    <x v="3"/>
    <n v="1145"/>
    <s v="Almanak"/>
    <m/>
    <m/>
    <m/>
    <m/>
    <m/>
    <m/>
    <s v=""/>
    <s v=""/>
    <x v="0"/>
  </r>
  <r>
    <n v="146"/>
    <x v="0"/>
    <n v="112"/>
    <x v="3"/>
    <n v="1146"/>
    <s v="Cantuscommissie"/>
    <m/>
    <m/>
    <m/>
    <m/>
    <m/>
    <m/>
    <s v=""/>
    <s v=""/>
    <x v="0"/>
  </r>
  <r>
    <n v="146"/>
    <x v="0"/>
    <n v="112"/>
    <x v="3"/>
    <n v="1147"/>
    <s v="Doegroepcommissie"/>
    <m/>
    <m/>
    <m/>
    <m/>
    <m/>
    <m/>
    <s v=""/>
    <s v=""/>
    <x v="0"/>
  </r>
  <r>
    <n v="146"/>
    <x v="0"/>
    <n v="112"/>
    <x v="3"/>
    <n v="1148"/>
    <s v="Feescie"/>
    <m/>
    <m/>
    <m/>
    <m/>
    <m/>
    <m/>
    <s v=""/>
    <s v=""/>
    <x v="0"/>
  </r>
  <r>
    <n v="146"/>
    <x v="0"/>
    <n v="112"/>
    <x v="3"/>
    <n v="1149"/>
    <s v="Fotocie"/>
    <m/>
    <m/>
    <m/>
    <m/>
    <m/>
    <m/>
    <s v=""/>
    <s v=""/>
    <x v="0"/>
  </r>
  <r>
    <n v="146"/>
    <x v="0"/>
    <n v="112"/>
    <x v="3"/>
    <n v="1150"/>
    <s v="Galacommissie"/>
    <m/>
    <m/>
    <m/>
    <m/>
    <m/>
    <m/>
    <s v=""/>
    <s v=""/>
    <x v="0"/>
  </r>
  <r>
    <n v="146"/>
    <x v="0"/>
    <n v="112"/>
    <x v="3"/>
    <n v="1151"/>
    <s v="ijscobezorgers"/>
    <m/>
    <m/>
    <m/>
    <m/>
    <m/>
    <m/>
    <s v=""/>
    <s v=""/>
    <x v="0"/>
  </r>
  <r>
    <n v="146"/>
    <x v="0"/>
    <n v="112"/>
    <x v="3"/>
    <n v="1152"/>
    <s v="Ijsreiscommissie"/>
    <m/>
    <m/>
    <m/>
    <m/>
    <m/>
    <m/>
    <s v=""/>
    <s v=""/>
    <x v="0"/>
  </r>
  <r>
    <n v="146"/>
    <x v="0"/>
    <n v="112"/>
    <x v="3"/>
    <n v="1153"/>
    <s v="Introcommissie"/>
    <m/>
    <m/>
    <m/>
    <m/>
    <m/>
    <m/>
    <s v=""/>
    <s v=""/>
    <x v="0"/>
  </r>
  <r>
    <n v="146"/>
    <x v="0"/>
    <n v="112"/>
    <x v="3"/>
    <n v="1154"/>
    <s v="Juryteam"/>
    <m/>
    <m/>
    <m/>
    <m/>
    <m/>
    <m/>
    <s v=""/>
    <s v=""/>
    <x v="0"/>
  </r>
  <r>
    <n v="146"/>
    <x v="0"/>
    <n v="112"/>
    <x v="3"/>
    <n v="1155"/>
    <s v="Kasco"/>
    <m/>
    <m/>
    <m/>
    <m/>
    <m/>
    <m/>
    <s v=""/>
    <s v=""/>
    <x v="0"/>
  </r>
  <r>
    <n v="146"/>
    <x v="0"/>
    <n v="112"/>
    <x v="3"/>
    <n v="1156"/>
    <s v="Lustrumcommissie"/>
    <m/>
    <m/>
    <m/>
    <m/>
    <m/>
    <m/>
    <s v=""/>
    <s v=""/>
    <x v="0"/>
  </r>
  <r>
    <n v="146"/>
    <x v="0"/>
    <n v="112"/>
    <x v="3"/>
    <n v="1157"/>
    <s v="Natuurijscommissie"/>
    <m/>
    <m/>
    <m/>
    <m/>
    <m/>
    <m/>
    <s v=""/>
    <s v=""/>
    <x v="0"/>
  </r>
  <r>
    <n v="146"/>
    <x v="0"/>
    <n v="112"/>
    <x v="3"/>
    <n v="1158"/>
    <s v="OMA"/>
    <m/>
    <m/>
    <m/>
    <m/>
    <m/>
    <m/>
    <s v=""/>
    <s v=""/>
    <x v="0"/>
  </r>
  <r>
    <n v="146"/>
    <x v="0"/>
    <n v="112"/>
    <x v="3"/>
    <n v="1159"/>
    <s v="PR-Commissie"/>
    <m/>
    <m/>
    <m/>
    <m/>
    <m/>
    <m/>
    <s v=""/>
    <s v=""/>
    <x v="0"/>
  </r>
  <r>
    <n v="146"/>
    <x v="0"/>
    <n v="112"/>
    <x v="3"/>
    <n v="1160"/>
    <s v="Raad van Advies"/>
    <m/>
    <m/>
    <m/>
    <m/>
    <m/>
    <m/>
    <s v=""/>
    <s v=""/>
    <x v="0"/>
  </r>
  <r>
    <n v="146"/>
    <x v="0"/>
    <n v="112"/>
    <x v="3"/>
    <n v="1161"/>
    <s v="Reda"/>
    <m/>
    <m/>
    <m/>
    <m/>
    <m/>
    <m/>
    <s v=""/>
    <s v=""/>
    <x v="0"/>
  </r>
  <r>
    <n v="146"/>
    <x v="0"/>
    <n v="112"/>
    <x v="3"/>
    <n v="1162"/>
    <s v="S4D commissie"/>
    <m/>
    <m/>
    <m/>
    <m/>
    <m/>
    <m/>
    <s v=""/>
    <s v=""/>
    <x v="0"/>
  </r>
  <r>
    <n v="146"/>
    <x v="0"/>
    <n v="112"/>
    <x v="3"/>
    <n v="1163"/>
    <s v="Skeuveltoernooicommissie"/>
    <m/>
    <m/>
    <m/>
    <m/>
    <m/>
    <m/>
    <s v=""/>
    <s v=""/>
    <x v="0"/>
  </r>
  <r>
    <n v="146"/>
    <x v="0"/>
    <n v="112"/>
    <x v="3"/>
    <n v="1164"/>
    <s v="Statutencommissie"/>
    <m/>
    <m/>
    <m/>
    <m/>
    <m/>
    <m/>
    <s v=""/>
    <s v=""/>
    <x v="0"/>
  </r>
  <r>
    <n v="146"/>
    <x v="0"/>
    <n v="112"/>
    <x v="3"/>
    <n v="1165"/>
    <s v="NSK-commissie"/>
    <m/>
    <m/>
    <m/>
    <m/>
    <m/>
    <m/>
    <s v=""/>
    <s v=""/>
    <x v="0"/>
  </r>
  <r>
    <n v="146"/>
    <x v="0"/>
    <n v="112"/>
    <x v="3"/>
    <n v="1166"/>
    <s v="Website commissie"/>
    <m/>
    <m/>
    <m/>
    <m/>
    <m/>
    <m/>
    <s v=""/>
    <s v=""/>
    <x v="0"/>
  </r>
  <r>
    <n v="146"/>
    <x v="0"/>
    <n v="112"/>
    <x v="3"/>
    <n v="1167"/>
    <s v="Wielercommissie"/>
    <m/>
    <m/>
    <m/>
    <m/>
    <m/>
    <m/>
    <s v=""/>
    <s v=""/>
    <x v="0"/>
  </r>
  <r>
    <n v="146"/>
    <x v="0"/>
    <n v="112"/>
    <x v="3"/>
    <n v="1168"/>
    <s v="Zomerhoogtestagecommissie"/>
    <m/>
    <m/>
    <m/>
    <m/>
    <m/>
    <m/>
    <s v=""/>
    <s v=""/>
    <x v="0"/>
  </r>
  <r>
    <n v="146"/>
    <x v="0"/>
    <n v="112"/>
    <x v="3"/>
    <n v="1398"/>
    <s v="Sponsorcommissie"/>
    <m/>
    <m/>
    <m/>
    <m/>
    <m/>
    <m/>
    <s v=""/>
    <s v=""/>
    <x v="0"/>
  </r>
  <r>
    <n v="147"/>
    <x v="1"/>
    <n v="113"/>
    <x v="4"/>
    <n v="615"/>
    <s v="WWW"/>
    <n v="0"/>
    <n v="0"/>
    <n v="1"/>
    <n v="0"/>
    <n v="3"/>
    <n v="0"/>
    <s v="&lt;2 hrs/wk"/>
    <s v="52+ weeks (ongoing/longer than a year)"/>
    <x v="2"/>
  </r>
  <r>
    <n v="147"/>
    <x v="1"/>
    <n v="113"/>
    <x v="4"/>
    <n v="617"/>
    <s v="CMC"/>
    <n v="0"/>
    <n v="0"/>
    <n v="0"/>
    <n v="0"/>
    <n v="2"/>
    <n v="0"/>
    <s v="&lt;2 hrs/wk"/>
    <s v="52+ weeks (ongoing/longer than a year)"/>
    <x v="5"/>
  </r>
  <r>
    <n v="147"/>
    <x v="1"/>
    <n v="113"/>
    <x v="4"/>
    <n v="618"/>
    <s v="Kasco"/>
    <n v="0"/>
    <n v="0"/>
    <n v="0"/>
    <n v="0"/>
    <n v="2"/>
    <n v="0"/>
    <s v="&lt;2 hrs/wk"/>
    <s v="41-52 weeks (full year)"/>
    <x v="2"/>
  </r>
  <r>
    <n v="147"/>
    <x v="1"/>
    <n v="113"/>
    <x v="4"/>
    <n v="619"/>
    <s v="Board"/>
    <n v="0"/>
    <n v="0"/>
    <n v="0"/>
    <n v="1"/>
    <n v="2"/>
    <n v="0"/>
    <s v="2 till 4 hrs/wk"/>
    <s v="41-52 weeks (full year)"/>
    <x v="4"/>
  </r>
  <r>
    <n v="147"/>
    <x v="1"/>
    <n v="113"/>
    <x v="4"/>
    <n v="620"/>
    <s v="TC"/>
    <n v="0"/>
    <n v="0"/>
    <n v="0"/>
    <n v="0"/>
    <n v="0"/>
    <n v="0"/>
    <s v="2 till 4 hrs/wk"/>
    <s v="21-30 weeks (3 quartiles)"/>
    <x v="5"/>
  </r>
  <r>
    <n v="147"/>
    <x v="1"/>
    <n v="113"/>
    <x v="4"/>
    <n v="621"/>
    <s v="RdW"/>
    <n v="0"/>
    <n v="0"/>
    <n v="0"/>
    <n v="2"/>
    <n v="4"/>
    <n v="0"/>
    <s v="&lt;2 hrs/wk"/>
    <s v="52+ weeks (ongoing/longer than a year)"/>
    <x v="2"/>
  </r>
  <r>
    <n v="147"/>
    <x v="1"/>
    <n v="113"/>
    <x v="4"/>
    <n v="1559"/>
    <s v="TEK"/>
    <n v="1"/>
    <n v="0"/>
    <n v="0"/>
    <n v="0"/>
    <n v="2"/>
    <n v="0"/>
    <s v="&lt;2 hrs/wk"/>
    <s v="41-52 weeks (full year)"/>
    <x v="4"/>
  </r>
  <r>
    <n v="148"/>
    <x v="0"/>
    <n v="114"/>
    <x v="5"/>
    <n v="354"/>
    <s v="Activiteitencommissie"/>
    <m/>
    <m/>
    <m/>
    <m/>
    <m/>
    <m/>
    <s v=""/>
    <s v=""/>
    <x v="0"/>
  </r>
  <r>
    <n v="148"/>
    <x v="0"/>
    <n v="114"/>
    <x v="5"/>
    <n v="355"/>
    <s v="CreaCie"/>
    <m/>
    <m/>
    <m/>
    <m/>
    <m/>
    <m/>
    <s v=""/>
    <s v=""/>
    <x v="0"/>
  </r>
  <r>
    <n v="148"/>
    <x v="0"/>
    <n v="114"/>
    <x v="5"/>
    <n v="356"/>
    <s v="Flyhighcommissie"/>
    <m/>
    <m/>
    <m/>
    <m/>
    <m/>
    <m/>
    <s v=""/>
    <s v=""/>
    <x v="0"/>
  </r>
  <r>
    <n v="148"/>
    <x v="0"/>
    <n v="114"/>
    <x v="5"/>
    <n v="357"/>
    <s v="GalaCie"/>
    <m/>
    <m/>
    <m/>
    <m/>
    <m/>
    <m/>
    <s v=""/>
    <s v=""/>
    <x v="0"/>
  </r>
  <r>
    <n v="148"/>
    <x v="0"/>
    <n v="114"/>
    <x v="5"/>
    <n v="359"/>
    <s v="Kasco"/>
    <m/>
    <m/>
    <m/>
    <m/>
    <m/>
    <m/>
    <s v=""/>
    <s v=""/>
    <x v="0"/>
  </r>
  <r>
    <n v="148"/>
    <x v="0"/>
    <n v="114"/>
    <x v="5"/>
    <n v="360"/>
    <s v="Kick-In commissie"/>
    <m/>
    <m/>
    <m/>
    <m/>
    <m/>
    <m/>
    <s v=""/>
    <s v=""/>
    <x v="0"/>
  </r>
  <r>
    <n v="148"/>
    <x v="0"/>
    <n v="114"/>
    <x v="5"/>
    <n v="361"/>
    <s v="Kitesurcommissie"/>
    <m/>
    <m/>
    <m/>
    <m/>
    <m/>
    <m/>
    <s v=""/>
    <s v=""/>
    <x v="0"/>
  </r>
  <r>
    <n v="148"/>
    <x v="0"/>
    <n v="114"/>
    <x v="5"/>
    <n v="362"/>
    <s v="TripSeacommissie"/>
    <m/>
    <m/>
    <m/>
    <m/>
    <m/>
    <m/>
    <s v=""/>
    <s v=""/>
    <x v="0"/>
  </r>
  <r>
    <n v="148"/>
    <x v="0"/>
    <n v="114"/>
    <x v="5"/>
    <n v="363"/>
    <s v="SnowCie"/>
    <m/>
    <m/>
    <m/>
    <m/>
    <m/>
    <m/>
    <s v=""/>
    <s v=""/>
    <x v="0"/>
  </r>
  <r>
    <n v="148"/>
    <x v="0"/>
    <n v="114"/>
    <x v="5"/>
    <n v="364"/>
    <s v="Sponsorcommissie"/>
    <m/>
    <m/>
    <m/>
    <m/>
    <m/>
    <m/>
    <s v=""/>
    <s v=""/>
    <x v="0"/>
  </r>
  <r>
    <n v="148"/>
    <x v="0"/>
    <n v="114"/>
    <x v="5"/>
    <n v="365"/>
    <s v="Tukgijpcommissie"/>
    <m/>
    <m/>
    <m/>
    <m/>
    <m/>
    <m/>
    <s v=""/>
    <s v=""/>
    <x v="0"/>
  </r>
  <r>
    <n v="148"/>
    <x v="0"/>
    <n v="114"/>
    <x v="5"/>
    <n v="366"/>
    <s v="Vervoercommissie"/>
    <m/>
    <m/>
    <m/>
    <m/>
    <m/>
    <m/>
    <s v=""/>
    <s v=""/>
    <x v="0"/>
  </r>
  <r>
    <n v="148"/>
    <x v="0"/>
    <n v="114"/>
    <x v="5"/>
    <n v="368"/>
    <s v="Websitecommissie"/>
    <m/>
    <m/>
    <m/>
    <m/>
    <m/>
    <m/>
    <s v=""/>
    <s v=""/>
    <x v="0"/>
  </r>
  <r>
    <n v="148"/>
    <x v="0"/>
    <n v="114"/>
    <x v="5"/>
    <n v="369"/>
    <s v="Windsurfcommissie"/>
    <m/>
    <m/>
    <m/>
    <m/>
    <m/>
    <m/>
    <s v=""/>
    <s v=""/>
    <x v="0"/>
  </r>
  <r>
    <n v="148"/>
    <x v="0"/>
    <n v="114"/>
    <x v="5"/>
    <n v="370"/>
    <s v="Golfsurfcommissie"/>
    <m/>
    <m/>
    <m/>
    <m/>
    <m/>
    <m/>
    <s v=""/>
    <s v=""/>
    <x v="0"/>
  </r>
  <r>
    <n v="148"/>
    <x v="0"/>
    <n v="114"/>
    <x v="5"/>
    <n v="371"/>
    <s v="Wakeboard"/>
    <m/>
    <m/>
    <m/>
    <m/>
    <m/>
    <m/>
    <s v=""/>
    <s v=""/>
    <x v="0"/>
  </r>
  <r>
    <n v="148"/>
    <x v="0"/>
    <n v="114"/>
    <x v="5"/>
    <n v="1385"/>
    <s v="HBmedia"/>
    <m/>
    <m/>
    <m/>
    <m/>
    <m/>
    <m/>
    <s v=""/>
    <s v=""/>
    <x v="0"/>
  </r>
  <r>
    <n v="151"/>
    <x v="1"/>
    <n v="117"/>
    <x v="6"/>
    <n v="333"/>
    <s v="Board"/>
    <n v="0"/>
    <n v="1"/>
    <n v="0"/>
    <n v="0"/>
    <n v="3"/>
    <n v="0"/>
    <s v="2 till 4 hrs/wk"/>
    <s v="41-52 weeks (full year)"/>
    <x v="3"/>
  </r>
  <r>
    <n v="151"/>
    <x v="1"/>
    <n v="117"/>
    <x v="6"/>
    <n v="334"/>
    <s v="EC"/>
    <n v="0"/>
    <n v="0"/>
    <n v="1"/>
    <n v="0"/>
    <n v="4"/>
    <n v="0"/>
    <s v="5 till 8 hrs/wk"/>
    <s v="41-52 weeks (full year)"/>
    <x v="2"/>
  </r>
  <r>
    <n v="151"/>
    <x v="1"/>
    <n v="117"/>
    <x v="6"/>
    <n v="335"/>
    <s v="Webco"/>
    <n v="1"/>
    <n v="1"/>
    <n v="0"/>
    <n v="0"/>
    <n v="2"/>
    <n v="0"/>
    <s v="&lt;2 hrs/wk"/>
    <s v="41-52 weeks (full year)"/>
    <x v="2"/>
  </r>
  <r>
    <n v="151"/>
    <x v="1"/>
    <n v="117"/>
    <x v="6"/>
    <n v="336"/>
    <s v="Promo"/>
    <n v="1"/>
    <n v="0"/>
    <n v="1"/>
    <n v="1"/>
    <n v="1"/>
    <n v="0"/>
    <s v="&lt;2 hrs/wk"/>
    <s v="52+ weeks (ongoing/longer than a year)"/>
    <x v="2"/>
  </r>
  <r>
    <n v="151"/>
    <x v="1"/>
    <n v="117"/>
    <x v="6"/>
    <n v="337"/>
    <s v="TOC"/>
    <n v="0"/>
    <n v="0"/>
    <n v="0"/>
    <n v="2"/>
    <n v="4"/>
    <n v="0"/>
    <s v="2 till 4 hrs/wk"/>
    <s v="52+ weeks (ongoing/longer than a year)"/>
    <x v="3"/>
  </r>
  <r>
    <n v="151"/>
    <x v="1"/>
    <n v="117"/>
    <x v="6"/>
    <n v="338"/>
    <s v="Kasco"/>
    <n v="0"/>
    <n v="0"/>
    <n v="0"/>
    <n v="0"/>
    <n v="2"/>
    <n v="0"/>
    <s v="&lt;2 hrs/wk"/>
    <s v="1-10 weeks (1 quartile)"/>
    <x v="2"/>
  </r>
  <r>
    <n v="152"/>
    <x v="1"/>
    <n v="118"/>
    <x v="7"/>
    <n v="1573"/>
    <s v="Bestuur"/>
    <n v="0"/>
    <n v="2"/>
    <n v="0"/>
    <n v="1"/>
    <n v="2"/>
    <n v="2"/>
    <s v="9 till 16 hrs/wk"/>
    <s v="41-52 weeks (full year)"/>
    <x v="3"/>
  </r>
  <r>
    <n v="152"/>
    <x v="1"/>
    <n v="118"/>
    <x v="7"/>
    <n v="1574"/>
    <s v="ClubHuisCommissie"/>
    <n v="0"/>
    <n v="3"/>
    <n v="2"/>
    <n v="0"/>
    <n v="0"/>
    <n v="0"/>
    <s v="17 till 29 hrs/wk"/>
    <s v="41-52 weeks (full year)"/>
    <x v="5"/>
  </r>
  <r>
    <n v="152"/>
    <x v="1"/>
    <n v="118"/>
    <x v="7"/>
    <n v="1575"/>
    <s v="Hotty"/>
    <n v="0"/>
    <n v="0"/>
    <n v="2"/>
    <n v="0"/>
    <n v="4"/>
    <n v="0"/>
    <s v="2 till 4 hrs/wk"/>
    <s v="52+ weeks (ongoing/longer than a year)"/>
    <x v="3"/>
  </r>
  <r>
    <n v="152"/>
    <x v="1"/>
    <n v="118"/>
    <x v="7"/>
    <n v="1576"/>
    <s v="Stick- In"/>
    <n v="3"/>
    <n v="3"/>
    <n v="3"/>
    <n v="1"/>
    <n v="0"/>
    <n v="0"/>
    <s v="5 till 8 hrs/wk"/>
    <s v="11-20 weeks (2 quartiles)"/>
    <x v="3"/>
  </r>
  <r>
    <n v="152"/>
    <x v="1"/>
    <n v="118"/>
    <x v="7"/>
    <n v="1577"/>
    <s v="Malle Mienen Toernooi Commissie"/>
    <n v="3"/>
    <n v="2"/>
    <n v="3"/>
    <n v="2"/>
    <n v="0"/>
    <n v="0"/>
    <s v="5 till 8 hrs/wk"/>
    <s v="11-20 weeks (2 quartiles)"/>
    <x v="3"/>
  </r>
  <r>
    <n v="152"/>
    <x v="1"/>
    <n v="118"/>
    <x v="7"/>
    <n v="1578"/>
    <s v="AcCie"/>
    <n v="0"/>
    <n v="1"/>
    <n v="2"/>
    <n v="1"/>
    <n v="2"/>
    <n v="0"/>
    <s v="&lt;2 hrs/wk"/>
    <s v="52+ weeks (ongoing/longer than a year)"/>
    <x v="4"/>
  </r>
  <r>
    <n v="152"/>
    <x v="1"/>
    <n v="118"/>
    <x v="7"/>
    <n v="1579"/>
    <s v="Grafische Commissie"/>
    <n v="3"/>
    <n v="3"/>
    <n v="0"/>
    <n v="0"/>
    <n v="3"/>
    <n v="0"/>
    <s v="2 till 4 hrs/wk"/>
    <s v="52+ weeks (ongoing/longer than a year)"/>
    <x v="2"/>
  </r>
  <r>
    <n v="152"/>
    <x v="1"/>
    <n v="118"/>
    <x v="7"/>
    <n v="1580"/>
    <s v="Commissie van Toezicht"/>
    <n v="0"/>
    <n v="0"/>
    <n v="3"/>
    <n v="4"/>
    <n v="5"/>
    <n v="0"/>
    <s v="&lt;2 hrs/wk"/>
    <s v="52+ weeks (ongoing/longer than a year)"/>
    <x v="2"/>
  </r>
  <r>
    <n v="152"/>
    <x v="1"/>
    <n v="118"/>
    <x v="7"/>
    <n v="1581"/>
    <s v="Batavierenrace Commissie"/>
    <n v="0"/>
    <n v="1"/>
    <n v="3"/>
    <n v="2"/>
    <n v="4"/>
    <n v="0"/>
    <s v="2 till 4 hrs/wk"/>
    <s v="1-10 weeks (1 quartile)"/>
    <x v="5"/>
  </r>
  <r>
    <n v="152"/>
    <x v="1"/>
    <n v="118"/>
    <x v="7"/>
    <n v="1583"/>
    <s v="FoCie foto commissie "/>
    <n v="1"/>
    <n v="0"/>
    <n v="3"/>
    <n v="1"/>
    <n v="1"/>
    <n v="0"/>
    <s v="2 till 4 hrs/wk"/>
    <s v="52+ weeks (ongoing/longer than a year)"/>
    <x v="5"/>
  </r>
  <r>
    <n v="152"/>
    <x v="1"/>
    <n v="118"/>
    <x v="7"/>
    <n v="1584"/>
    <s v="Eerste jaars commissie"/>
    <n v="10"/>
    <n v="0"/>
    <n v="0"/>
    <n v="0"/>
    <n v="0"/>
    <n v="0"/>
    <s v="&lt;2 hrs/wk"/>
    <s v="11-20 weeks (2 quartiles)"/>
    <x v="3"/>
  </r>
  <r>
    <n v="152"/>
    <x v="1"/>
    <n v="118"/>
    <x v="7"/>
    <n v="1585"/>
    <s v="t Goske redactie"/>
    <n v="0"/>
    <n v="2"/>
    <n v="3"/>
    <n v="2"/>
    <n v="3"/>
    <n v="0"/>
    <s v="&lt;2 hrs/wk"/>
    <s v="52+ weeks (ongoing/longer than a year)"/>
    <x v="2"/>
  </r>
  <r>
    <n v="152"/>
    <x v="1"/>
    <n v="118"/>
    <x v="7"/>
    <n v="1586"/>
    <s v="Gadget commissie"/>
    <n v="2"/>
    <n v="2"/>
    <n v="3"/>
    <n v="1"/>
    <n v="4"/>
    <n v="0"/>
    <s v="&lt;2 hrs/wk"/>
    <s v="52+ weeks (ongoing/longer than a year)"/>
    <x v="2"/>
  </r>
  <r>
    <n v="152"/>
    <x v="1"/>
    <n v="118"/>
    <x v="7"/>
    <n v="1587"/>
    <s v="KoningenKlusKommissie"/>
    <n v="0"/>
    <n v="3"/>
    <n v="3"/>
    <n v="0"/>
    <n v="8"/>
    <n v="0"/>
    <s v="&lt;2 hrs/wk"/>
    <s v="52+ weeks (ongoing/longer than a year)"/>
    <x v="5"/>
  </r>
  <r>
    <n v="152"/>
    <x v="1"/>
    <n v="118"/>
    <x v="7"/>
    <n v="1588"/>
    <s v="KasCo"/>
    <n v="0"/>
    <n v="0"/>
    <n v="2"/>
    <n v="0"/>
    <n v="2"/>
    <n v="0"/>
    <s v="2 till 4 hrs/wk"/>
    <s v="52+ weeks (ongoing/longer than a year)"/>
    <x v="2"/>
  </r>
  <r>
    <n v="152"/>
    <x v="1"/>
    <n v="118"/>
    <x v="7"/>
    <n v="1591"/>
    <s v="SONS"/>
    <n v="0"/>
    <n v="2"/>
    <n v="3"/>
    <n v="2"/>
    <n v="0"/>
    <n v="0"/>
    <s v="2 till 4 hrs/wk"/>
    <s v="11-20 weeks (2 quartiles)"/>
    <x v="2"/>
  </r>
  <r>
    <n v="152"/>
    <x v="1"/>
    <n v="118"/>
    <x v="7"/>
    <n v="1593"/>
    <s v="Technische Commissie"/>
    <n v="0"/>
    <n v="1"/>
    <n v="3"/>
    <n v="2"/>
    <n v="4"/>
    <n v="0"/>
    <s v="2 till 4 hrs/wk"/>
    <s v="52+ weeks (ongoing/longer than a year)"/>
    <x v="4"/>
  </r>
  <r>
    <n v="154"/>
    <x v="0"/>
    <n v="120"/>
    <x v="8"/>
    <n v="1045"/>
    <s v="AreCo"/>
    <m/>
    <m/>
    <m/>
    <m/>
    <m/>
    <m/>
    <s v=""/>
    <s v=""/>
    <x v="0"/>
  </r>
  <r>
    <n v="154"/>
    <x v="0"/>
    <n v="120"/>
    <x v="8"/>
    <n v="1046"/>
    <s v="BataCie"/>
    <m/>
    <m/>
    <m/>
    <m/>
    <m/>
    <m/>
    <s v=""/>
    <s v=""/>
    <x v="0"/>
  </r>
  <r>
    <n v="154"/>
    <x v="0"/>
    <n v="120"/>
    <x v="8"/>
    <n v="1047"/>
    <s v="CompetiCie"/>
    <m/>
    <m/>
    <m/>
    <m/>
    <m/>
    <m/>
    <s v=""/>
    <s v=""/>
    <x v="0"/>
  </r>
  <r>
    <n v="154"/>
    <x v="0"/>
    <n v="120"/>
    <x v="8"/>
    <n v="1048"/>
    <s v="EDC Euros Diner Club"/>
    <m/>
    <m/>
    <m/>
    <m/>
    <m/>
    <m/>
    <s v=""/>
    <s v=""/>
    <x v="0"/>
  </r>
  <r>
    <n v="154"/>
    <x v="0"/>
    <n v="120"/>
    <x v="8"/>
    <n v="1049"/>
    <s v="EIC Euros introductie commissie"/>
    <m/>
    <m/>
    <m/>
    <m/>
    <m/>
    <m/>
    <s v=""/>
    <s v=""/>
    <x v="0"/>
  </r>
  <r>
    <n v="154"/>
    <x v="0"/>
    <n v="120"/>
    <x v="8"/>
    <n v="1050"/>
    <s v="ERC Euros Road Company"/>
    <m/>
    <m/>
    <m/>
    <m/>
    <m/>
    <m/>
    <s v=""/>
    <s v=""/>
    <x v="0"/>
  </r>
  <r>
    <n v="154"/>
    <x v="0"/>
    <n v="120"/>
    <x v="8"/>
    <n v="1051"/>
    <s v="Eurostra"/>
    <m/>
    <m/>
    <m/>
    <m/>
    <m/>
    <m/>
    <s v=""/>
    <s v=""/>
    <x v="0"/>
  </r>
  <r>
    <n v="154"/>
    <x v="0"/>
    <n v="120"/>
    <x v="8"/>
    <n v="1052"/>
    <s v="FeaCo"/>
    <m/>
    <m/>
    <m/>
    <m/>
    <m/>
    <m/>
    <s v=""/>
    <s v=""/>
    <x v="0"/>
  </r>
  <r>
    <n v="154"/>
    <x v="0"/>
    <n v="120"/>
    <x v="8"/>
    <n v="1053"/>
    <s v="FotoCie"/>
    <m/>
    <m/>
    <m/>
    <m/>
    <m/>
    <m/>
    <s v=""/>
    <s v=""/>
    <x v="0"/>
  </r>
  <r>
    <n v="154"/>
    <x v="0"/>
    <n v="120"/>
    <x v="8"/>
    <n v="1054"/>
    <s v="GalaCie"/>
    <m/>
    <m/>
    <m/>
    <m/>
    <m/>
    <m/>
    <s v=""/>
    <s v=""/>
    <x v="0"/>
  </r>
  <r>
    <n v="154"/>
    <x v="0"/>
    <n v="120"/>
    <x v="8"/>
    <n v="1055"/>
    <s v="JaFeCo"/>
    <m/>
    <m/>
    <m/>
    <m/>
    <m/>
    <m/>
    <s v=""/>
    <s v=""/>
    <x v="0"/>
  </r>
  <r>
    <n v="154"/>
    <x v="0"/>
    <n v="120"/>
    <x v="8"/>
    <n v="1056"/>
    <s v="KasCie"/>
    <m/>
    <m/>
    <m/>
    <m/>
    <m/>
    <m/>
    <s v=""/>
    <s v=""/>
    <x v="0"/>
  </r>
  <r>
    <n v="154"/>
    <x v="0"/>
    <n v="120"/>
    <x v="8"/>
    <n v="1057"/>
    <s v="KP Kroegploeg"/>
    <m/>
    <m/>
    <m/>
    <m/>
    <m/>
    <m/>
    <s v=""/>
    <s v=""/>
    <x v="0"/>
  </r>
  <r>
    <n v="154"/>
    <x v="0"/>
    <n v="120"/>
    <x v="8"/>
    <n v="1059"/>
    <s v="MatCie"/>
    <m/>
    <m/>
    <m/>
    <m/>
    <m/>
    <m/>
    <s v=""/>
    <s v=""/>
    <x v="0"/>
  </r>
  <r>
    <n v="154"/>
    <x v="0"/>
    <n v="120"/>
    <x v="8"/>
    <n v="1060"/>
    <s v="MediaCie"/>
    <m/>
    <m/>
    <m/>
    <m/>
    <m/>
    <m/>
    <s v=""/>
    <s v=""/>
    <x v="0"/>
  </r>
  <r>
    <n v="154"/>
    <x v="0"/>
    <n v="120"/>
    <x v="8"/>
    <n v="1061"/>
    <s v="NIKE"/>
    <m/>
    <m/>
    <m/>
    <m/>
    <m/>
    <m/>
    <s v=""/>
    <s v=""/>
    <x v="0"/>
  </r>
  <r>
    <n v="154"/>
    <x v="0"/>
    <n v="120"/>
    <x v="8"/>
    <n v="1062"/>
    <s v="OudevierCie"/>
    <m/>
    <m/>
    <m/>
    <m/>
    <m/>
    <m/>
    <s v=""/>
    <s v=""/>
    <x v="0"/>
  </r>
  <r>
    <n v="154"/>
    <x v="0"/>
    <n v="120"/>
    <x v="8"/>
    <n v="1063"/>
    <s v="Raad van Toezicht"/>
    <m/>
    <m/>
    <m/>
    <m/>
    <m/>
    <m/>
    <s v=""/>
    <s v=""/>
    <x v="0"/>
  </r>
  <r>
    <n v="154"/>
    <x v="0"/>
    <n v="120"/>
    <x v="8"/>
    <n v="1064"/>
    <s v="Race"/>
    <m/>
    <m/>
    <m/>
    <m/>
    <m/>
    <m/>
    <s v=""/>
    <s v=""/>
    <x v="0"/>
  </r>
  <r>
    <n v="154"/>
    <x v="0"/>
    <n v="120"/>
    <x v="8"/>
    <n v="1065"/>
    <s v="SCC Structuur en continuiteits commissie"/>
    <m/>
    <m/>
    <m/>
    <m/>
    <m/>
    <m/>
    <s v=""/>
    <s v=""/>
    <x v="0"/>
  </r>
  <r>
    <n v="154"/>
    <x v="0"/>
    <n v="120"/>
    <x v="8"/>
    <n v="1066"/>
    <s v="SkiCo"/>
    <m/>
    <m/>
    <m/>
    <m/>
    <m/>
    <m/>
    <s v=""/>
    <s v=""/>
    <x v="0"/>
  </r>
  <r>
    <n v="154"/>
    <x v="0"/>
    <n v="120"/>
    <x v="8"/>
    <n v="1067"/>
    <s v="Trojka"/>
    <m/>
    <m/>
    <m/>
    <m/>
    <m/>
    <m/>
    <s v=""/>
    <s v=""/>
    <x v="0"/>
  </r>
  <r>
    <n v="154"/>
    <x v="0"/>
    <n v="120"/>
    <x v="8"/>
    <n v="1068"/>
    <s v="UitZuipCie"/>
    <m/>
    <m/>
    <m/>
    <m/>
    <m/>
    <m/>
    <s v=""/>
    <s v=""/>
    <x v="0"/>
  </r>
  <r>
    <n v="154"/>
    <x v="0"/>
    <n v="120"/>
    <x v="8"/>
    <n v="1069"/>
    <s v="VogalongaCie"/>
    <m/>
    <m/>
    <m/>
    <m/>
    <m/>
    <m/>
    <s v=""/>
    <s v=""/>
    <x v="0"/>
  </r>
  <r>
    <n v="154"/>
    <x v="0"/>
    <n v="120"/>
    <x v="8"/>
    <n v="1070"/>
    <s v="Raad van Advies"/>
    <m/>
    <m/>
    <m/>
    <m/>
    <m/>
    <m/>
    <s v=""/>
    <s v=""/>
    <x v="0"/>
  </r>
  <r>
    <n v="154"/>
    <x v="0"/>
    <n v="120"/>
    <x v="8"/>
    <n v="1071"/>
    <s v="BoegBeeld"/>
    <m/>
    <m/>
    <m/>
    <m/>
    <m/>
    <m/>
    <s v=""/>
    <s v=""/>
    <x v="0"/>
  </r>
  <r>
    <n v="154"/>
    <x v="0"/>
    <n v="120"/>
    <x v="8"/>
    <n v="1072"/>
    <s v="DJCie"/>
    <m/>
    <m/>
    <m/>
    <m/>
    <m/>
    <m/>
    <s v=""/>
    <s v=""/>
    <x v="0"/>
  </r>
  <r>
    <n v="154"/>
    <x v="0"/>
    <n v="120"/>
    <x v="8"/>
    <n v="1073"/>
    <s v="PrestaCie"/>
    <m/>
    <m/>
    <m/>
    <m/>
    <m/>
    <m/>
    <s v=""/>
    <s v=""/>
    <x v="0"/>
  </r>
  <r>
    <n v="154"/>
    <x v="0"/>
    <n v="120"/>
    <x v="8"/>
    <n v="1074"/>
    <s v="De Euros Band"/>
    <m/>
    <m/>
    <m/>
    <m/>
    <m/>
    <m/>
    <s v=""/>
    <s v=""/>
    <x v="0"/>
  </r>
  <r>
    <n v="154"/>
    <x v="0"/>
    <n v="120"/>
    <x v="8"/>
    <n v="1075"/>
    <s v="DIVA"/>
    <m/>
    <m/>
    <m/>
    <m/>
    <m/>
    <m/>
    <s v=""/>
    <s v=""/>
    <x v="0"/>
  </r>
  <r>
    <n v="154"/>
    <x v="0"/>
    <n v="120"/>
    <x v="8"/>
    <n v="1076"/>
    <s v="LustrumCie"/>
    <m/>
    <m/>
    <m/>
    <m/>
    <m/>
    <m/>
    <s v=""/>
    <s v=""/>
    <x v="0"/>
  </r>
  <r>
    <n v="154"/>
    <x v="0"/>
    <n v="120"/>
    <x v="8"/>
    <n v="1077"/>
    <s v="KMR Knorrensteijn Memorial Regatta commissie"/>
    <m/>
    <m/>
    <m/>
    <m/>
    <m/>
    <m/>
    <s v=""/>
    <s v=""/>
    <x v="0"/>
  </r>
  <r>
    <n v="154"/>
    <x v="0"/>
    <n v="120"/>
    <x v="8"/>
    <n v="1079"/>
    <s v="Klachten commissie"/>
    <m/>
    <m/>
    <m/>
    <m/>
    <m/>
    <m/>
    <s v=""/>
    <s v=""/>
    <x v="0"/>
  </r>
  <r>
    <n v="154"/>
    <x v="0"/>
    <n v="120"/>
    <x v="8"/>
    <n v="1657"/>
    <s v="PRCie"/>
    <m/>
    <m/>
    <m/>
    <m/>
    <m/>
    <m/>
    <s v=""/>
    <s v=""/>
    <x v="0"/>
  </r>
  <r>
    <n v="154"/>
    <x v="0"/>
    <n v="120"/>
    <x v="8"/>
    <n v="1658"/>
    <s v="Toetsingscommissie"/>
    <m/>
    <m/>
    <m/>
    <m/>
    <m/>
    <m/>
    <s v=""/>
    <s v=""/>
    <x v="0"/>
  </r>
  <r>
    <n v="154"/>
    <x v="0"/>
    <n v="120"/>
    <x v="8"/>
    <n v="1659"/>
    <s v="BandazeeCie"/>
    <m/>
    <m/>
    <m/>
    <m/>
    <m/>
    <m/>
    <s v=""/>
    <s v=""/>
    <x v="0"/>
  </r>
  <r>
    <n v="154"/>
    <x v="0"/>
    <n v="120"/>
    <x v="8"/>
    <n v="1660"/>
    <s v="TEA Taste Euros Activiteit"/>
    <m/>
    <m/>
    <m/>
    <m/>
    <m/>
    <m/>
    <s v=""/>
    <s v=""/>
    <x v="0"/>
  </r>
  <r>
    <n v="157"/>
    <x v="1"/>
    <n v="123"/>
    <x v="9"/>
    <n v="863"/>
    <s v="Raad van Advies"/>
    <n v="0"/>
    <n v="0"/>
    <n v="1"/>
    <n v="0"/>
    <n v="0"/>
    <n v="2"/>
    <s v="&lt;2 hrs/wk"/>
    <s v="41-52 weeks (full year)"/>
    <x v="2"/>
  </r>
  <r>
    <n v="157"/>
    <x v="1"/>
    <n v="123"/>
    <x v="9"/>
    <n v="865"/>
    <s v="Eerstejaarscommissie"/>
    <n v="4"/>
    <n v="3"/>
    <n v="2"/>
    <n v="0"/>
    <n v="0"/>
    <n v="9"/>
    <s v="&lt;2 hrs/wk"/>
    <s v="41-52 weeks (full year)"/>
    <x v="2"/>
  </r>
  <r>
    <n v="157"/>
    <x v="1"/>
    <n v="123"/>
    <x v="9"/>
    <n v="867"/>
    <s v="webcie"/>
    <n v="0"/>
    <n v="1"/>
    <n v="2"/>
    <n v="2"/>
    <n v="0"/>
    <n v="1"/>
    <s v="2 till 4 hrs/wk"/>
    <s v="52+ weeks (ongoing/longer than a year)"/>
    <x v="4"/>
  </r>
  <r>
    <n v="157"/>
    <x v="1"/>
    <n v="123"/>
    <x v="9"/>
    <n v="870"/>
    <s v="Kascontrolecommissie"/>
    <n v="0"/>
    <n v="0"/>
    <n v="0"/>
    <n v="1"/>
    <n v="0"/>
    <n v="2"/>
    <s v="2 till 4 hrs/wk"/>
    <s v="41-52 weeks (full year)"/>
    <x v="4"/>
  </r>
  <r>
    <n v="157"/>
    <x v="1"/>
    <n v="123"/>
    <x v="9"/>
    <n v="872"/>
    <s v="Klusploegleiders"/>
    <n v="0"/>
    <n v="1"/>
    <n v="2"/>
    <n v="0"/>
    <n v="0"/>
    <n v="1"/>
    <s v="5 till 8 hrs/wk"/>
    <s v="11-20 weeks (2 quartiles)"/>
    <x v="2"/>
  </r>
  <r>
    <n v="157"/>
    <x v="1"/>
    <n v="123"/>
    <x v="9"/>
    <n v="873"/>
    <s v="outfitcommissie"/>
    <n v="0"/>
    <n v="0"/>
    <n v="0"/>
    <n v="1"/>
    <n v="0"/>
    <n v="0"/>
    <s v="&lt;2 hrs/wk"/>
    <s v="52+ weeks (ongoing/longer than a year)"/>
    <x v="2"/>
  </r>
  <r>
    <n v="157"/>
    <x v="1"/>
    <n v="123"/>
    <x v="9"/>
    <n v="875"/>
    <s v="zeilcommissie"/>
    <n v="0"/>
    <n v="0"/>
    <n v="2"/>
    <n v="0"/>
    <n v="0"/>
    <n v="0"/>
    <s v="2 till 4 hrs/wk"/>
    <s v="52+ weeks (ongoing/longer than a year)"/>
    <x v="4"/>
  </r>
  <r>
    <n v="157"/>
    <x v="1"/>
    <n v="123"/>
    <x v="9"/>
    <n v="876"/>
    <s v="Instructiecommissie"/>
    <n v="0"/>
    <n v="1"/>
    <n v="2"/>
    <n v="1"/>
    <n v="0"/>
    <n v="1"/>
    <s v="2 till 4 hrs/wk"/>
    <s v="52+ weeks (ongoing/longer than a year)"/>
    <x v="2"/>
  </r>
  <r>
    <n v="157"/>
    <x v="1"/>
    <n v="123"/>
    <x v="9"/>
    <n v="877"/>
    <s v="Kroegploeg"/>
    <n v="1"/>
    <n v="2"/>
    <n v="3"/>
    <n v="1"/>
    <n v="0"/>
    <n v="8"/>
    <s v="2 till 4 hrs/wk"/>
    <s v="52+ weeks (ongoing/longer than a year)"/>
    <x v="2"/>
  </r>
  <r>
    <n v="157"/>
    <x v="1"/>
    <n v="123"/>
    <x v="9"/>
    <n v="878"/>
    <s v="Bestuur"/>
    <n v="0"/>
    <n v="1"/>
    <n v="2"/>
    <n v="0"/>
    <n v="0"/>
    <n v="1"/>
    <s v="5 till 8 hrs/wk"/>
    <s v="41-52 weeks (full year)"/>
    <x v="4"/>
  </r>
  <r>
    <n v="157"/>
    <x v="1"/>
    <n v="123"/>
    <x v="9"/>
    <n v="1486"/>
    <s v="Kick-In"/>
    <n v="1"/>
    <n v="1"/>
    <n v="1"/>
    <n v="1"/>
    <n v="0"/>
    <n v="0"/>
    <s v="2 till 4 hrs/wk"/>
    <s v="1-10 weeks (1 quartile)"/>
    <x v="2"/>
  </r>
  <r>
    <n v="157"/>
    <x v="1"/>
    <n v="123"/>
    <x v="9"/>
    <n v="1487"/>
    <s v="BHV"/>
    <n v="0"/>
    <n v="1"/>
    <n v="5"/>
    <n v="2"/>
    <n v="0"/>
    <n v="2"/>
    <s v="2 till 4 hrs/wk"/>
    <s v="52+ weeks (ongoing/longer than a year)"/>
    <x v="2"/>
  </r>
  <r>
    <n v="157"/>
    <x v="1"/>
    <n v="123"/>
    <x v="9"/>
    <n v="1488"/>
    <s v="Webredactie"/>
    <n v="1"/>
    <n v="0"/>
    <n v="0"/>
    <n v="0"/>
    <n v="0"/>
    <n v="2"/>
    <s v="&lt;2 hrs/wk"/>
    <s v="52+ weeks (ongoing/longer than a year)"/>
    <x v="2"/>
  </r>
  <r>
    <n v="158"/>
    <x v="1"/>
    <n v="124"/>
    <x v="10"/>
    <n v="322"/>
    <s v="Board"/>
    <n v="0"/>
    <n v="1"/>
    <n v="1"/>
    <n v="1"/>
    <n v="0"/>
    <n v="1"/>
    <s v="5 till 8 hrs/wk"/>
    <s v="52+ weeks (ongoing/longer than a year)"/>
    <x v="3"/>
  </r>
  <r>
    <n v="158"/>
    <x v="1"/>
    <n v="124"/>
    <x v="10"/>
    <n v="323"/>
    <s v="CBHT"/>
    <n v="1"/>
    <n v="0"/>
    <n v="2"/>
    <n v="1"/>
    <n v="1"/>
    <n v="1"/>
    <s v="&lt;2 hrs/wk"/>
    <s v="11-20 weeks (2 quartiles)"/>
    <x v="2"/>
  </r>
  <r>
    <n v="158"/>
    <x v="1"/>
    <n v="124"/>
    <x v="10"/>
    <n v="324"/>
    <s v="FlaBH"/>
    <n v="0"/>
    <n v="0"/>
    <n v="0"/>
    <n v="1"/>
    <n v="0"/>
    <n v="0"/>
    <s v="&lt;2 hrs/wk"/>
    <s v="1-10 weeks (1 quartile)"/>
    <x v="5"/>
  </r>
  <r>
    <n v="158"/>
    <x v="1"/>
    <n v="124"/>
    <x v="10"/>
    <n v="325"/>
    <s v="TC"/>
    <n v="0"/>
    <n v="0"/>
    <n v="2"/>
    <n v="0"/>
    <n v="1"/>
    <n v="1"/>
    <s v="&lt;2 hrs/wk"/>
    <s v="41-52 weeks (full year)"/>
    <x v="2"/>
  </r>
  <r>
    <n v="158"/>
    <x v="1"/>
    <n v="124"/>
    <x v="10"/>
    <n v="326"/>
    <s v="Tournament"/>
    <n v="0"/>
    <n v="0"/>
    <n v="1"/>
    <n v="1"/>
    <n v="0"/>
    <n v="0"/>
    <s v="&lt;2 hrs/wk"/>
    <s v="11-20 weeks (2 quartiles)"/>
    <x v="5"/>
  </r>
  <r>
    <n v="158"/>
    <x v="1"/>
    <n v="124"/>
    <x v="10"/>
    <n v="327"/>
    <s v="BATA"/>
    <n v="0"/>
    <n v="1"/>
    <n v="0"/>
    <n v="0"/>
    <n v="1"/>
    <n v="2"/>
    <s v="&lt;2 hrs/wk"/>
    <s v="1-10 weeks (1 quartile)"/>
    <x v="5"/>
  </r>
  <r>
    <n v="158"/>
    <x v="1"/>
    <n v="124"/>
    <x v="10"/>
    <n v="328"/>
    <s v="Activity"/>
    <n v="1"/>
    <n v="0"/>
    <n v="0"/>
    <n v="1"/>
    <n v="2"/>
    <n v="2"/>
    <s v="&lt;2 hrs/wk"/>
    <s v="41-52 weeks (full year)"/>
    <x v="4"/>
  </r>
  <r>
    <n v="158"/>
    <x v="1"/>
    <n v="124"/>
    <x v="10"/>
    <n v="1646"/>
    <s v="IT"/>
    <n v="1"/>
    <n v="2"/>
    <n v="0"/>
    <n v="1"/>
    <n v="0"/>
    <n v="0"/>
    <s v="&lt;2 hrs/wk"/>
    <s v="41-52 weeks (full year)"/>
    <x v="2"/>
  </r>
  <r>
    <n v="158"/>
    <x v="1"/>
    <n v="124"/>
    <x v="10"/>
    <n v="1647"/>
    <s v="PR"/>
    <n v="0"/>
    <n v="2"/>
    <n v="0"/>
    <n v="0"/>
    <n v="0"/>
    <n v="2"/>
    <s v="&lt;2 hrs/wk"/>
    <s v="41-52 weeks (full year)"/>
    <x v="5"/>
  </r>
  <r>
    <n v="158"/>
    <x v="1"/>
    <n v="124"/>
    <x v="10"/>
    <n v="1661"/>
    <s v="Sportcommissie"/>
    <n v="0"/>
    <n v="1"/>
    <n v="1"/>
    <n v="0"/>
    <n v="0"/>
    <n v="2"/>
    <s v="&lt;2 hrs/wk"/>
    <s v="11-20 weeks (2 quartiles)"/>
    <x v="1"/>
  </r>
  <r>
    <n v="159"/>
    <x v="1"/>
    <n v="125"/>
    <x v="11"/>
    <n v="1547"/>
    <s v="Activity Committee"/>
    <n v="1"/>
    <n v="1"/>
    <n v="1"/>
    <n v="1"/>
    <n v="0"/>
    <n v="0"/>
    <s v="2 till 4 hrs/wk"/>
    <s v="31-40 weeks (4 quartiles)"/>
    <x v="5"/>
  </r>
  <r>
    <n v="159"/>
    <x v="1"/>
    <n v="125"/>
    <x v="11"/>
    <n v="1548"/>
    <s v="Media Committee"/>
    <n v="1"/>
    <n v="1"/>
    <n v="0"/>
    <n v="1"/>
    <n v="2"/>
    <n v="0"/>
    <s v="&lt;2 hrs/wk"/>
    <s v="31-40 weeks (4 quartiles)"/>
    <x v="5"/>
  </r>
  <r>
    <n v="159"/>
    <x v="1"/>
    <n v="125"/>
    <x v="11"/>
    <n v="1549"/>
    <s v="Training Committee"/>
    <n v="0"/>
    <n v="0"/>
    <n v="1"/>
    <n v="0"/>
    <n v="3"/>
    <n v="0"/>
    <s v="&lt;2 hrs/wk"/>
    <s v="31-40 weeks (4 quartiles)"/>
    <x v="5"/>
  </r>
  <r>
    <n v="159"/>
    <x v="1"/>
    <n v="125"/>
    <x v="11"/>
    <n v="1550"/>
    <s v="Auditing Committee"/>
    <n v="0"/>
    <n v="0"/>
    <n v="2"/>
    <n v="0"/>
    <n v="0"/>
    <n v="0"/>
    <s v="&lt;2 hrs/wk"/>
    <s v="41-52 weeks (full year)"/>
    <x v="2"/>
  </r>
  <r>
    <n v="160"/>
    <x v="1"/>
    <n v="126"/>
    <x v="12"/>
    <n v="1502"/>
    <s v="Board Members"/>
    <n v="0"/>
    <n v="0"/>
    <n v="3"/>
    <n v="0"/>
    <n v="0"/>
    <n v="0"/>
    <s v="2 till 4 hrs/wk"/>
    <s v="41-52 weeks (full year)"/>
    <x v="4"/>
  </r>
  <r>
    <n v="160"/>
    <x v="1"/>
    <n v="126"/>
    <x v="12"/>
    <n v="1513"/>
    <s v="Double Swing"/>
    <n v="0"/>
    <n v="0"/>
    <n v="1"/>
    <n v="0"/>
    <n v="2"/>
    <n v="1"/>
    <s v="&lt;2 hrs/wk"/>
    <s v="1-10 weeks (1 quartile)"/>
    <x v="5"/>
  </r>
  <r>
    <n v="160"/>
    <x v="1"/>
    <n v="126"/>
    <x v="12"/>
    <n v="1516"/>
    <s v="Clothing Comittee"/>
    <n v="0"/>
    <n v="0"/>
    <n v="1"/>
    <n v="1"/>
    <n v="0"/>
    <n v="0"/>
    <s v="&lt;2 hrs/wk"/>
    <s v="1-10 weeks (1 quartile)"/>
    <x v="2"/>
  </r>
  <r>
    <n v="160"/>
    <x v="1"/>
    <n v="126"/>
    <x v="12"/>
    <n v="1518"/>
    <s v="LACH"/>
    <n v="0"/>
    <n v="0"/>
    <n v="3"/>
    <n v="0"/>
    <n v="0"/>
    <n v="1"/>
    <s v="&lt;2 hrs/wk"/>
    <s v="1-10 weeks (1 quartile)"/>
    <x v="5"/>
  </r>
  <r>
    <n v="161"/>
    <x v="1"/>
    <n v="127"/>
    <x v="13"/>
    <n v="330"/>
    <s v="Verenigingstrainers commissie"/>
    <n v="0"/>
    <n v="0"/>
    <n v="0"/>
    <n v="0"/>
    <n v="1"/>
    <n v="0"/>
    <s v="&lt;2 hrs/wk"/>
    <s v="41-52 weeks (full year)"/>
    <x v="5"/>
  </r>
  <r>
    <n v="161"/>
    <x v="1"/>
    <n v="127"/>
    <x v="13"/>
    <n v="331"/>
    <s v="Website"/>
    <n v="0"/>
    <n v="0"/>
    <n v="0"/>
    <n v="0"/>
    <n v="0"/>
    <n v="0"/>
    <s v="&lt;2 hrs/wk"/>
    <s v="52+ weeks (ongoing/longer than a year)"/>
    <x v="2"/>
  </r>
  <r>
    <n v="161"/>
    <x v="1"/>
    <n v="127"/>
    <x v="13"/>
    <n v="332"/>
    <s v="GNSK"/>
    <n v="0"/>
    <n v="1"/>
    <n v="0"/>
    <n v="0"/>
    <n v="0"/>
    <n v="0"/>
    <s v="2 till 4 hrs/wk"/>
    <s v="21-30 weeks (3 quartiles)"/>
    <x v="5"/>
  </r>
  <r>
    <n v="161"/>
    <x v="1"/>
    <n v="127"/>
    <x v="13"/>
    <n v="339"/>
    <s v="Bata"/>
    <n v="0"/>
    <n v="0"/>
    <n v="1"/>
    <n v="0"/>
    <n v="3"/>
    <n v="0"/>
    <s v="&lt;2 hrs/wk"/>
    <s v="1-10 weeks (1 quartile)"/>
    <x v="4"/>
  </r>
  <r>
    <n v="161"/>
    <x v="1"/>
    <n v="127"/>
    <x v="13"/>
    <n v="340"/>
    <s v="Reiscie"/>
    <n v="0"/>
    <n v="0"/>
    <n v="0"/>
    <n v="0"/>
    <n v="0"/>
    <n v="0"/>
    <s v="2 till 4 hrs/wk"/>
    <s v="21-30 weeks (3 quartiles)"/>
    <x v="5"/>
  </r>
  <r>
    <n v="161"/>
    <x v="1"/>
    <n v="127"/>
    <x v="13"/>
    <n v="341"/>
    <s v="Verrek Nieuwsbrief"/>
    <n v="0"/>
    <n v="0"/>
    <n v="1"/>
    <n v="1"/>
    <n v="2"/>
    <n v="0"/>
    <s v="&lt;2 hrs/wk"/>
    <s v="31-40 weeks (4 quartiles)"/>
    <x v="4"/>
  </r>
  <r>
    <n v="161"/>
    <x v="1"/>
    <n v="127"/>
    <x v="13"/>
    <n v="342"/>
    <s v="kasco"/>
    <n v="0"/>
    <n v="1"/>
    <n v="2"/>
    <n v="0"/>
    <n v="0"/>
    <n v="0"/>
    <s v="2 till 4 hrs/wk"/>
    <s v="1-10 weeks (1 quartile)"/>
    <x v="4"/>
  </r>
  <r>
    <n v="161"/>
    <x v="1"/>
    <n v="127"/>
    <x v="13"/>
    <n v="343"/>
    <s v="Activiteiten"/>
    <n v="0"/>
    <n v="1"/>
    <n v="1"/>
    <n v="1"/>
    <n v="1"/>
    <n v="0"/>
    <s v="&lt;2 hrs/wk"/>
    <s v="41-52 weeks (full year)"/>
    <x v="4"/>
  </r>
  <r>
    <n v="161"/>
    <x v="1"/>
    <n v="127"/>
    <x v="13"/>
    <n v="344"/>
    <s v="Dies"/>
    <n v="0"/>
    <n v="0"/>
    <n v="4"/>
    <n v="0"/>
    <n v="0"/>
    <n v="0"/>
    <s v="2 till 4 hrs/wk"/>
    <s v="1-10 weeks (1 quartile)"/>
    <x v="2"/>
  </r>
  <r>
    <n v="161"/>
    <x v="1"/>
    <n v="127"/>
    <x v="13"/>
    <n v="345"/>
    <s v="promcie"/>
    <n v="0"/>
    <n v="0"/>
    <n v="0"/>
    <n v="0"/>
    <n v="0"/>
    <n v="0"/>
    <s v="2 till 4 hrs/wk"/>
    <s v="11-20 weeks (2 quartiles)"/>
    <x v="5"/>
  </r>
  <r>
    <n v="161"/>
    <x v="1"/>
    <n v="127"/>
    <x v="13"/>
    <n v="1418"/>
    <s v="Kick-In"/>
    <n v="0"/>
    <n v="2"/>
    <n v="1"/>
    <n v="2"/>
    <n v="1"/>
    <n v="0"/>
    <s v="2 till 4 hrs/wk"/>
    <s v="1-10 weeks (1 quartile)"/>
    <x v="3"/>
  </r>
  <r>
    <n v="161"/>
    <x v="1"/>
    <n v="127"/>
    <x v="13"/>
    <n v="1419"/>
    <s v="Introduction"/>
    <n v="0"/>
    <n v="1"/>
    <n v="2"/>
    <n v="0"/>
    <n v="1"/>
    <n v="0"/>
    <s v="2 till 4 hrs/wk"/>
    <s v="1-10 weeks (1 quartile)"/>
    <x v="2"/>
  </r>
  <r>
    <n v="164"/>
    <x v="1"/>
    <n v="130"/>
    <x v="14"/>
    <n v="761"/>
    <s v="bestuur"/>
    <n v="0"/>
    <n v="3"/>
    <n v="1"/>
    <n v="1"/>
    <n v="0"/>
    <n v="0"/>
    <s v="2 till 4 hrs/wk"/>
    <s v="41-52 weeks (full year)"/>
    <x v="4"/>
  </r>
  <r>
    <n v="164"/>
    <x v="1"/>
    <n v="130"/>
    <x v="14"/>
    <n v="762"/>
    <s v="introductie commissie"/>
    <n v="1"/>
    <n v="0"/>
    <n v="1"/>
    <n v="1"/>
    <n v="0"/>
    <n v="0"/>
    <s v="&lt;2 hrs/wk"/>
    <s v="31-40 weeks (4 quartiles)"/>
    <x v="2"/>
  </r>
  <r>
    <n v="164"/>
    <x v="1"/>
    <n v="130"/>
    <x v="14"/>
    <n v="763"/>
    <s v="Raad van advies"/>
    <n v="0"/>
    <n v="0"/>
    <n v="1"/>
    <n v="2"/>
    <n v="3"/>
    <n v="0"/>
    <s v="&lt;2 hrs/wk"/>
    <s v="41-52 weeks (full year)"/>
    <x v="3"/>
  </r>
  <r>
    <n v="164"/>
    <x v="1"/>
    <n v="130"/>
    <x v="14"/>
    <n v="765"/>
    <s v="lustrum commissie"/>
    <n v="0"/>
    <n v="0"/>
    <n v="0"/>
    <n v="0"/>
    <n v="0"/>
    <n v="0"/>
    <s v="&lt;2 hrs/wk"/>
    <s v="11-20 weeks (2 quartiles)"/>
    <x v="2"/>
  </r>
  <r>
    <n v="164"/>
    <x v="1"/>
    <n v="130"/>
    <x v="14"/>
    <n v="766"/>
    <s v="lustrumboek commissie"/>
    <n v="0"/>
    <n v="0"/>
    <n v="0"/>
    <n v="0"/>
    <n v="0"/>
    <n v="0"/>
    <s v="&lt;2 hrs/wk"/>
    <s v="11-20 weeks (2 quartiles)"/>
    <x v="2"/>
  </r>
  <r>
    <n v="164"/>
    <x v="1"/>
    <n v="130"/>
    <x v="14"/>
    <n v="767"/>
    <s v="Public relations commissie"/>
    <n v="0"/>
    <n v="0"/>
    <n v="0"/>
    <n v="0"/>
    <n v="2"/>
    <n v="0"/>
    <s v="&lt;2 hrs/wk"/>
    <s v="41-52 weeks (full year)"/>
    <x v="1"/>
  </r>
  <r>
    <n v="164"/>
    <x v="1"/>
    <n v="130"/>
    <x v="14"/>
    <n v="768"/>
    <s v="klicko"/>
    <n v="0"/>
    <n v="0"/>
    <n v="1"/>
    <n v="1"/>
    <n v="2"/>
    <n v="0"/>
    <s v="2 till 4 hrs/wk"/>
    <s v="41-52 weeks (full year)"/>
    <x v="2"/>
  </r>
  <r>
    <n v="164"/>
    <x v="1"/>
    <n v="130"/>
    <x v="14"/>
    <n v="769"/>
    <s v="webco"/>
    <n v="0"/>
    <n v="1"/>
    <n v="0"/>
    <n v="0"/>
    <n v="1"/>
    <n v="0"/>
    <s v="2 till 4 hrs/wk"/>
    <s v="31-40 weeks (4 quartiles)"/>
    <x v="3"/>
  </r>
  <r>
    <n v="164"/>
    <x v="1"/>
    <n v="130"/>
    <x v="14"/>
    <n v="770"/>
    <s v="Vletko"/>
    <n v="0"/>
    <n v="0"/>
    <n v="0"/>
    <n v="0"/>
    <n v="0"/>
    <n v="5"/>
    <s v="2 till 4 hrs/wk"/>
    <s v="21-30 weeks (3 quartiles)"/>
    <x v="3"/>
  </r>
  <r>
    <n v="164"/>
    <x v="1"/>
    <n v="130"/>
    <x v="14"/>
    <n v="773"/>
    <s v="Kasco"/>
    <n v="0"/>
    <n v="0"/>
    <n v="0"/>
    <n v="0"/>
    <n v="2"/>
    <n v="0"/>
    <s v="&lt;2 hrs/wk"/>
    <s v="41-52 weeks (full year)"/>
    <x v="2"/>
  </r>
  <r>
    <n v="164"/>
    <x v="1"/>
    <n v="130"/>
    <x v="14"/>
    <n v="1470"/>
    <s v="Activiteiten commissie"/>
    <n v="1"/>
    <n v="0"/>
    <n v="2"/>
    <n v="0"/>
    <n v="2"/>
    <n v="0"/>
    <s v="2 till 4 hrs/wk"/>
    <s v="31-40 weeks (4 quartiles)"/>
    <x v="3"/>
  </r>
  <r>
    <n v="164"/>
    <x v="1"/>
    <n v="130"/>
    <x v="14"/>
    <n v="1471"/>
    <s v="Taco"/>
    <n v="2"/>
    <n v="0"/>
    <n v="0"/>
    <n v="0"/>
    <n v="0"/>
    <n v="1"/>
    <s v="&lt;2 hrs/wk"/>
    <s v="31-40 weeks (4 quartiles)"/>
    <x v="2"/>
  </r>
  <r>
    <n v="165"/>
    <x v="0"/>
    <n v="131"/>
    <x v="15"/>
    <n v="625"/>
    <s v="Board"/>
    <m/>
    <m/>
    <m/>
    <m/>
    <m/>
    <m/>
    <s v=""/>
    <s v=""/>
    <x v="0"/>
  </r>
  <r>
    <n v="165"/>
    <x v="0"/>
    <n v="131"/>
    <x v="15"/>
    <n v="626"/>
    <s v="Activity committee"/>
    <m/>
    <m/>
    <m/>
    <m/>
    <m/>
    <m/>
    <s v=""/>
    <s v=""/>
    <x v="0"/>
  </r>
  <r>
    <n v="165"/>
    <x v="0"/>
    <n v="131"/>
    <x v="15"/>
    <n v="627"/>
    <s v="Material committee"/>
    <m/>
    <m/>
    <m/>
    <m/>
    <m/>
    <m/>
    <s v=""/>
    <s v=""/>
    <x v="0"/>
  </r>
  <r>
    <n v="165"/>
    <x v="0"/>
    <n v="131"/>
    <x v="15"/>
    <n v="628"/>
    <s v="finance committee KasCo"/>
    <m/>
    <m/>
    <m/>
    <m/>
    <m/>
    <m/>
    <s v=""/>
    <s v=""/>
    <x v="0"/>
  </r>
  <r>
    <n v="165"/>
    <x v="0"/>
    <n v="131"/>
    <x v="15"/>
    <n v="631"/>
    <s v="StaCie"/>
    <m/>
    <m/>
    <m/>
    <m/>
    <m/>
    <m/>
    <s v=""/>
    <s v=""/>
    <x v="0"/>
  </r>
  <r>
    <n v="165"/>
    <x v="0"/>
    <n v="131"/>
    <x v="15"/>
    <n v="632"/>
    <s v="WedCo"/>
    <m/>
    <m/>
    <m/>
    <m/>
    <m/>
    <m/>
    <s v=""/>
    <s v=""/>
    <x v="0"/>
  </r>
  <r>
    <n v="165"/>
    <x v="0"/>
    <n v="131"/>
    <x v="15"/>
    <n v="633"/>
    <s v="CvA"/>
    <m/>
    <m/>
    <m/>
    <m/>
    <m/>
    <m/>
    <s v=""/>
    <s v=""/>
    <x v="0"/>
  </r>
  <r>
    <n v="169"/>
    <x v="1"/>
    <n v="135"/>
    <x v="16"/>
    <n v="950"/>
    <s v="Accie"/>
    <n v="0"/>
    <n v="1"/>
    <n v="7"/>
    <n v="1"/>
    <n v="0"/>
    <n v="0"/>
    <s v="2 till 4 hrs/wk"/>
    <s v="31-40 weeks (4 quartiles)"/>
    <x v="4"/>
  </r>
  <r>
    <n v="169"/>
    <x v="1"/>
    <n v="135"/>
    <x v="16"/>
    <n v="951"/>
    <s v="Bakcie"/>
    <n v="2"/>
    <n v="0"/>
    <n v="1"/>
    <n v="2"/>
    <n v="0"/>
    <n v="0"/>
    <s v="&lt;2 hrs/wk"/>
    <s v="31-40 weeks (4 quartiles)"/>
    <x v="5"/>
  </r>
  <r>
    <n v="169"/>
    <x v="1"/>
    <n v="135"/>
    <x v="16"/>
    <n v="952"/>
    <s v="Faccie"/>
    <n v="0"/>
    <n v="2"/>
    <n v="2"/>
    <n v="2"/>
    <n v="0"/>
    <n v="0"/>
    <s v="2 till 4 hrs/wk"/>
    <s v="31-40 weeks (4 quartiles)"/>
    <x v="4"/>
  </r>
  <r>
    <n v="169"/>
    <x v="1"/>
    <n v="135"/>
    <x v="16"/>
    <n v="953"/>
    <s v="Kader commissie"/>
    <n v="0"/>
    <n v="0"/>
    <n v="1"/>
    <n v="0"/>
    <n v="4"/>
    <n v="2"/>
    <s v="2 till 4 hrs/wk"/>
    <s v="41-52 weeks (full year)"/>
    <x v="4"/>
  </r>
  <r>
    <n v="169"/>
    <x v="1"/>
    <n v="135"/>
    <x v="16"/>
    <n v="954"/>
    <s v="Kascommissie"/>
    <n v="0"/>
    <n v="0"/>
    <n v="1"/>
    <n v="0"/>
    <n v="3"/>
    <n v="0"/>
    <s v="&lt;2 hrs/wk"/>
    <s v="1-10 weeks (1 quartile)"/>
    <x v="2"/>
  </r>
  <r>
    <n v="169"/>
    <x v="1"/>
    <n v="135"/>
    <x v="16"/>
    <n v="955"/>
    <s v="Oferall"/>
    <n v="0"/>
    <n v="1"/>
    <n v="2"/>
    <n v="0"/>
    <n v="3"/>
    <n v="0"/>
    <s v="&lt;2 hrs/wk"/>
    <s v="41-52 weeks (full year)"/>
    <x v="5"/>
  </r>
  <r>
    <n v="169"/>
    <x v="1"/>
    <n v="135"/>
    <x v="16"/>
    <n v="956"/>
    <s v="Publicie"/>
    <n v="4"/>
    <n v="2"/>
    <n v="2"/>
    <n v="0"/>
    <n v="0"/>
    <n v="0"/>
    <s v="&lt;2 hrs/wk"/>
    <s v="31-40 weeks (4 quartiles)"/>
    <x v="4"/>
  </r>
  <r>
    <n v="169"/>
    <x v="1"/>
    <n v="135"/>
    <x v="16"/>
    <n v="957"/>
    <s v="Raad van advies"/>
    <n v="0"/>
    <n v="0"/>
    <n v="0"/>
    <n v="0"/>
    <n v="6"/>
    <n v="0"/>
    <s v="&lt;2 hrs/wk"/>
    <s v="41-52 weeks (full year)"/>
    <x v="2"/>
  </r>
  <r>
    <n v="169"/>
    <x v="1"/>
    <n v="135"/>
    <x v="16"/>
    <n v="958"/>
    <s v="TNO"/>
    <n v="1"/>
    <n v="0"/>
    <n v="0"/>
    <n v="2"/>
    <n v="2"/>
    <n v="0"/>
    <s v="&lt;2 hrs/wk"/>
    <s v="31-40 weeks (4 quartiles)"/>
    <x v="5"/>
  </r>
  <r>
    <n v="169"/>
    <x v="1"/>
    <n v="135"/>
    <x v="16"/>
    <n v="959"/>
    <s v="Trainers"/>
    <n v="0"/>
    <n v="1"/>
    <n v="3"/>
    <n v="0"/>
    <n v="6"/>
    <n v="0"/>
    <s v="2 till 4 hrs/wk"/>
    <s v="31-40 weeks (4 quartiles)"/>
    <x v="5"/>
  </r>
  <r>
    <n v="169"/>
    <x v="1"/>
    <n v="135"/>
    <x v="16"/>
    <n v="960"/>
    <s v="Webmaster"/>
    <n v="0"/>
    <n v="0"/>
    <n v="0"/>
    <n v="0"/>
    <n v="0"/>
    <n v="1"/>
    <s v="2 till 4 hrs/wk"/>
    <s v="41-52 weeks (full year)"/>
    <x v="4"/>
  </r>
  <r>
    <n v="170"/>
    <x v="1"/>
    <n v="136"/>
    <x v="17"/>
    <n v="1648"/>
    <s v="Accie"/>
    <n v="2"/>
    <n v="0"/>
    <n v="0"/>
    <n v="0"/>
    <n v="2"/>
    <n v="1"/>
    <s v="2 till 4 hrs/wk"/>
    <s v="41-52 weeks (full year)"/>
    <x v="5"/>
  </r>
  <r>
    <n v="170"/>
    <x v="1"/>
    <n v="136"/>
    <x v="17"/>
    <n v="1649"/>
    <s v="WebCie"/>
    <n v="0"/>
    <n v="1"/>
    <n v="0"/>
    <n v="3"/>
    <n v="0"/>
    <n v="0"/>
    <s v="&lt;2 hrs/wk"/>
    <s v="41-52 weeks (full year)"/>
    <x v="2"/>
  </r>
  <r>
    <n v="170"/>
    <x v="1"/>
    <n v="136"/>
    <x v="17"/>
    <n v="1650"/>
    <s v="KIAI"/>
    <n v="0"/>
    <n v="0"/>
    <n v="0"/>
    <n v="0"/>
    <n v="0"/>
    <n v="0"/>
    <s v="5 till 8 hrs/wk"/>
    <s v="11-20 weeks (2 quartiles)"/>
    <x v="5"/>
  </r>
  <r>
    <n v="170"/>
    <x v="1"/>
    <n v="136"/>
    <x v="17"/>
    <n v="1651"/>
    <s v="Advisory Board"/>
    <n v="0"/>
    <n v="0"/>
    <n v="0"/>
    <n v="0"/>
    <n v="3"/>
    <n v="0"/>
    <s v="&lt;2 hrs/wk"/>
    <s v="52+ weeks (ongoing/longer than a year)"/>
    <x v="2"/>
  </r>
  <r>
    <n v="170"/>
    <x v="1"/>
    <n v="136"/>
    <x v="17"/>
    <n v="1652"/>
    <s v="KasCo"/>
    <n v="0"/>
    <n v="0"/>
    <n v="0"/>
    <n v="0"/>
    <n v="3"/>
    <n v="0"/>
    <s v="&lt;2 hrs/wk"/>
    <s v="52+ weeks (ongoing/longer than a year)"/>
    <x v="2"/>
  </r>
  <r>
    <n v="170"/>
    <x v="1"/>
    <n v="136"/>
    <x v="17"/>
    <n v="1653"/>
    <s v="Densho &amp; PR"/>
    <n v="1"/>
    <n v="0"/>
    <n v="0"/>
    <n v="0"/>
    <n v="0"/>
    <n v="1"/>
    <s v="2 till 4 hrs/wk"/>
    <s v="21-30 weeks (3 quartiles)"/>
    <x v="2"/>
  </r>
  <r>
    <n v="170"/>
    <x v="1"/>
    <n v="136"/>
    <x v="17"/>
    <n v="1655"/>
    <s v="Board"/>
    <n v="0"/>
    <n v="1"/>
    <n v="1"/>
    <n v="0"/>
    <n v="2"/>
    <n v="0"/>
    <s v="5 till 8 hrs/wk"/>
    <s v="52+ weeks (ongoing/longer than a year)"/>
    <x v="1"/>
  </r>
  <r>
    <n v="170"/>
    <x v="1"/>
    <n v="136"/>
    <x v="17"/>
    <n v="1656"/>
    <s v="Competition Committee"/>
    <n v="0"/>
    <n v="0"/>
    <n v="0"/>
    <n v="0"/>
    <n v="0"/>
    <n v="0"/>
    <s v="5 till 8 hrs/wk"/>
    <s v="21-30 weeks (3 quartiles)"/>
    <x v="2"/>
  </r>
  <r>
    <n v="171"/>
    <x v="1"/>
    <n v="137"/>
    <x v="18"/>
    <n v="879"/>
    <s v="FlaZa"/>
    <n v="0"/>
    <n v="0"/>
    <n v="0"/>
    <n v="0"/>
    <n v="0"/>
    <n v="0"/>
    <s v="&lt;2 hrs/wk"/>
    <s v="21-30 weeks (3 quartiles)"/>
    <x v="5"/>
  </r>
  <r>
    <n v="171"/>
    <x v="1"/>
    <n v="137"/>
    <x v="18"/>
    <n v="880"/>
    <s v="DD-cup"/>
    <n v="0"/>
    <n v="0"/>
    <n v="0"/>
    <n v="0"/>
    <n v="0"/>
    <n v="0"/>
    <s v="2 till 4 hrs/wk"/>
    <s v="21-30 weeks (3 quartiles)"/>
    <x v="5"/>
  </r>
  <r>
    <n v="171"/>
    <x v="1"/>
    <n v="137"/>
    <x v="18"/>
    <n v="881"/>
    <s v="Edditorial office"/>
    <n v="0"/>
    <n v="0"/>
    <n v="3"/>
    <n v="0"/>
    <n v="0"/>
    <n v="0"/>
    <s v="&lt;2 hrs/wk"/>
    <s v="41-52 weeks (full year)"/>
    <x v="4"/>
  </r>
  <r>
    <n v="171"/>
    <x v="1"/>
    <n v="137"/>
    <x v="18"/>
    <n v="882"/>
    <s v="Sponsor"/>
    <n v="1"/>
    <n v="0"/>
    <n v="0"/>
    <n v="0"/>
    <n v="0"/>
    <n v="0"/>
    <s v="2 till 4 hrs/wk"/>
    <s v="41-52 weeks (full year)"/>
    <x v="5"/>
  </r>
  <r>
    <n v="171"/>
    <x v="1"/>
    <n v="137"/>
    <x v="18"/>
    <n v="884"/>
    <s v="Promo committee"/>
    <n v="0"/>
    <n v="0"/>
    <n v="0"/>
    <n v="0"/>
    <n v="0"/>
    <n v="0"/>
    <s v="&lt;2 hrs/wk"/>
    <s v="41-52 weeks (full year)"/>
    <x v="5"/>
  </r>
  <r>
    <n v="171"/>
    <x v="1"/>
    <n v="137"/>
    <x v="18"/>
    <n v="885"/>
    <s v="BSIT"/>
    <n v="0"/>
    <n v="0"/>
    <n v="0"/>
    <n v="0"/>
    <n v="0"/>
    <n v="0"/>
    <s v="2 till 4 hrs/wk"/>
    <s v="21-30 weeks (3 quartiles)"/>
    <x v="5"/>
  </r>
  <r>
    <n v="171"/>
    <x v="1"/>
    <n v="137"/>
    <x v="18"/>
    <n v="886"/>
    <s v="TISC"/>
    <n v="0"/>
    <n v="0"/>
    <n v="0"/>
    <n v="0"/>
    <n v="0"/>
    <n v="0"/>
    <s v="2 till 4 hrs/wk"/>
    <s v="11-20 weeks (2 quartiles)"/>
    <x v="5"/>
  </r>
  <r>
    <n v="171"/>
    <x v="1"/>
    <n v="137"/>
    <x v="18"/>
    <n v="887"/>
    <s v="Beach"/>
    <n v="1"/>
    <n v="1"/>
    <n v="1"/>
    <n v="1"/>
    <n v="0"/>
    <n v="0"/>
    <s v="&lt;2 hrs/wk"/>
    <s v="11-20 weeks (2 quartiles)"/>
    <x v="2"/>
  </r>
  <r>
    <n v="171"/>
    <x v="1"/>
    <n v="137"/>
    <x v="18"/>
    <n v="888"/>
    <s v="Events committee"/>
    <n v="1"/>
    <n v="3"/>
    <n v="0"/>
    <n v="1"/>
    <n v="0"/>
    <n v="0"/>
    <s v="&lt;2 hrs/wk"/>
    <s v="41-52 weeks (full year)"/>
    <x v="4"/>
  </r>
  <r>
    <n v="171"/>
    <x v="1"/>
    <n v="137"/>
    <x v="18"/>
    <n v="889"/>
    <s v="Kick-in committee"/>
    <n v="0"/>
    <n v="0"/>
    <n v="0"/>
    <n v="1"/>
    <n v="0"/>
    <n v="0"/>
    <s v="&lt;2 hrs/wk"/>
    <s v="21-30 weeks (3 quartiles)"/>
    <x v="4"/>
  </r>
  <r>
    <n v="171"/>
    <x v="1"/>
    <n v="137"/>
    <x v="18"/>
    <n v="892"/>
    <s v="StAf"/>
    <n v="1"/>
    <n v="1"/>
    <n v="1"/>
    <n v="1"/>
    <n v="0"/>
    <n v="0"/>
    <s v="&lt;2 hrs/wk"/>
    <s v="21-30 weeks (3 quartiles)"/>
    <x v="4"/>
  </r>
  <r>
    <n v="171"/>
    <x v="1"/>
    <n v="137"/>
    <x v="18"/>
    <n v="893"/>
    <s v="Webcom"/>
    <n v="0"/>
    <n v="0"/>
    <n v="2"/>
    <n v="1"/>
    <n v="0"/>
    <n v="0"/>
    <s v="&lt;2 hrs/wk"/>
    <s v="41-52 weeks (full year)"/>
    <x v="4"/>
  </r>
  <r>
    <n v="171"/>
    <x v="1"/>
    <n v="137"/>
    <x v="18"/>
    <n v="894"/>
    <s v="Technical committee"/>
    <n v="0"/>
    <n v="1"/>
    <n v="5"/>
    <n v="1"/>
    <n v="1"/>
    <n v="0"/>
    <s v="2 till 4 hrs/wk"/>
    <s v="41-52 weeks (full year)"/>
    <x v="4"/>
  </r>
  <r>
    <n v="172"/>
    <x v="1"/>
    <n v="138"/>
    <x v="19"/>
    <n v="689"/>
    <s v="External affairs"/>
    <n v="0"/>
    <n v="0"/>
    <n v="1"/>
    <n v="0"/>
    <n v="1"/>
    <n v="3"/>
    <s v="&lt;2 hrs/wk"/>
    <s v="31-40 weeks (4 quartiles)"/>
    <x v="4"/>
  </r>
  <r>
    <n v="172"/>
    <x v="1"/>
    <n v="138"/>
    <x v="19"/>
    <n v="690"/>
    <s v="Excursion "/>
    <n v="1"/>
    <n v="1"/>
    <n v="0"/>
    <n v="1"/>
    <n v="0"/>
    <n v="2"/>
    <s v="2 till 4 hrs/wk"/>
    <s v="21-30 weeks (3 quartiles)"/>
    <x v="2"/>
  </r>
  <r>
    <n v="172"/>
    <x v="1"/>
    <n v="138"/>
    <x v="19"/>
    <n v="692"/>
    <s v="Activity - Lustrum committee "/>
    <n v="1"/>
    <n v="1"/>
    <n v="1"/>
    <n v="0"/>
    <n v="0"/>
    <n v="2"/>
    <s v="2 till 4 hrs/wk"/>
    <s v="31-40 weeks (4 quartiles)"/>
    <x v="4"/>
  </r>
  <r>
    <n v="172"/>
    <x v="1"/>
    <n v="138"/>
    <x v="19"/>
    <n v="693"/>
    <s v="Mix committee"/>
    <n v="0"/>
    <n v="0"/>
    <n v="1"/>
    <n v="3"/>
    <n v="0"/>
    <n v="0"/>
    <s v="&lt;2 hrs/wk"/>
    <s v="31-40 weeks (4 quartiles)"/>
    <x v="4"/>
  </r>
  <r>
    <n v="172"/>
    <x v="1"/>
    <n v="138"/>
    <x v="19"/>
    <n v="694"/>
    <s v="NSK beach"/>
    <n v="0"/>
    <n v="0"/>
    <n v="1"/>
    <n v="0"/>
    <n v="0"/>
    <n v="5"/>
    <s v="2 till 4 hrs/wk"/>
    <s v="31-40 weeks (4 quartiles)"/>
    <x v="2"/>
  </r>
  <r>
    <n v="172"/>
    <x v="1"/>
    <n v="138"/>
    <x v="19"/>
    <n v="695"/>
    <s v="Supervisory board "/>
    <n v="0"/>
    <n v="0"/>
    <n v="0"/>
    <n v="0"/>
    <n v="0"/>
    <n v="2"/>
    <s v="&lt;2 hrs/wk"/>
    <s v="52+ weeks (ongoing/longer than a year)"/>
    <x v="2"/>
  </r>
  <r>
    <n v="172"/>
    <x v="1"/>
    <n v="138"/>
    <x v="19"/>
    <n v="696"/>
    <s v="Technical committee "/>
    <n v="0"/>
    <n v="1"/>
    <n v="0"/>
    <n v="1"/>
    <n v="1"/>
    <n v="5"/>
    <s v="2 till 4 hrs/wk"/>
    <s v="41-52 weeks (full year)"/>
    <x v="3"/>
  </r>
  <r>
    <n v="172"/>
    <x v="1"/>
    <n v="138"/>
    <x v="19"/>
    <n v="697"/>
    <s v="Preperation tournament"/>
    <n v="2"/>
    <n v="1"/>
    <n v="0"/>
    <n v="0"/>
    <n v="0"/>
    <n v="1"/>
    <s v="2 till 4 hrs/wk"/>
    <s v="11-20 weeks (2 quartiles)"/>
    <x v="2"/>
  </r>
  <r>
    <n v="172"/>
    <x v="1"/>
    <n v="138"/>
    <x v="19"/>
    <n v="698"/>
    <s v="Wham "/>
    <n v="1"/>
    <n v="1"/>
    <n v="1"/>
    <n v="0"/>
    <n v="0"/>
    <n v="1"/>
    <s v="2 till 4 hrs/wk"/>
    <s v="21-30 weeks (3 quartiles)"/>
    <x v="2"/>
  </r>
  <r>
    <n v="172"/>
    <x v="1"/>
    <n v="138"/>
    <x v="19"/>
    <n v="699"/>
    <s v="Beach competitions committee "/>
    <n v="0"/>
    <n v="1"/>
    <n v="0"/>
    <n v="0"/>
    <n v="0"/>
    <n v="4"/>
    <s v="2 till 4 hrs/wk"/>
    <s v="11-20 weeks (2 quartiles)"/>
    <x v="2"/>
  </r>
  <r>
    <n v="172"/>
    <x v="1"/>
    <n v="138"/>
    <x v="19"/>
    <n v="700"/>
    <s v="BIX committee "/>
    <n v="0"/>
    <n v="2"/>
    <n v="0"/>
    <n v="0"/>
    <n v="1"/>
    <n v="3"/>
    <s v="2 till 4 hrs/wk"/>
    <s v="11-20 weeks (2 quartiles)"/>
    <x v="2"/>
  </r>
  <r>
    <n v="172"/>
    <x v="1"/>
    <n v="138"/>
    <x v="19"/>
    <n v="701"/>
    <s v="First years committee "/>
    <n v="3"/>
    <n v="0"/>
    <n v="1"/>
    <n v="0"/>
    <n v="0"/>
    <n v="0"/>
    <s v="2 till 4 hrs/wk"/>
    <s v="31-40 weeks (4 quartiles)"/>
    <x v="2"/>
  </r>
  <r>
    <n v="172"/>
    <x v="1"/>
    <n v="138"/>
    <x v="19"/>
    <n v="702"/>
    <s v="Harambee Kick-In "/>
    <n v="0"/>
    <n v="0"/>
    <n v="2"/>
    <n v="3"/>
    <n v="0"/>
    <n v="1"/>
    <s v="2 till 4 hrs/wk"/>
    <s v="11-20 weeks (2 quartiles)"/>
    <x v="2"/>
  </r>
  <r>
    <n v="172"/>
    <x v="1"/>
    <n v="138"/>
    <x v="19"/>
    <n v="703"/>
    <s v="Audit committee "/>
    <n v="0"/>
    <n v="0"/>
    <n v="0"/>
    <n v="1"/>
    <n v="1"/>
    <n v="2"/>
    <s v="&lt;2 hrs/wk"/>
    <s v="52+ weeks (ongoing/longer than a year)"/>
    <x v="2"/>
  </r>
  <r>
    <n v="172"/>
    <x v="1"/>
    <n v="138"/>
    <x v="19"/>
    <n v="704"/>
    <s v="Media committee "/>
    <n v="1"/>
    <n v="1"/>
    <n v="0"/>
    <n v="2"/>
    <n v="1"/>
    <n v="4"/>
    <s v="&lt;2 hrs/wk"/>
    <s v="52+ weeks (ongoing/longer than a year)"/>
    <x v="2"/>
  </r>
  <r>
    <n v="172"/>
    <x v="1"/>
    <n v="138"/>
    <x v="19"/>
    <n v="705"/>
    <s v="Nerds committee "/>
    <n v="0"/>
    <n v="0"/>
    <n v="2"/>
    <n v="0"/>
    <n v="3"/>
    <n v="3"/>
    <s v="2 till 4 hrs/wk"/>
    <s v="52+ weeks (ongoing/longer than a year)"/>
    <x v="2"/>
  </r>
  <r>
    <n v="172"/>
    <x v="1"/>
    <n v="138"/>
    <x v="19"/>
    <n v="706"/>
    <s v="Promotional committee "/>
    <n v="0"/>
    <n v="0"/>
    <n v="1"/>
    <n v="0"/>
    <n v="0"/>
    <n v="6"/>
    <s v="&lt;2 hrs/wk"/>
    <s v="52+ weeks (ongoing/longer than a year)"/>
    <x v="2"/>
  </r>
  <r>
    <n v="172"/>
    <x v="1"/>
    <n v="138"/>
    <x v="19"/>
    <n v="707"/>
    <s v="Sfeer committee"/>
    <n v="2"/>
    <n v="1"/>
    <n v="1"/>
    <n v="1"/>
    <n v="0"/>
    <n v="3"/>
    <s v="2 till 4 hrs/wk"/>
    <s v="31-40 weeks (4 quartiles)"/>
    <x v="2"/>
  </r>
  <r>
    <n v="172"/>
    <x v="1"/>
    <n v="138"/>
    <x v="19"/>
    <n v="1388"/>
    <s v="Beach tournament committee "/>
    <n v="1"/>
    <n v="1"/>
    <n v="0"/>
    <n v="1"/>
    <n v="0"/>
    <n v="1"/>
    <s v="&lt;2 hrs/wk"/>
    <s v="11-20 weeks (2 quartiles)"/>
    <x v="4"/>
  </r>
  <r>
    <n v="173"/>
    <x v="1"/>
    <n v="139"/>
    <x v="20"/>
    <n v="465"/>
    <s v="Bestuur"/>
    <n v="1"/>
    <n v="2"/>
    <n v="1"/>
    <n v="1"/>
    <n v="0"/>
    <n v="1"/>
    <s v="30+ hrs/wk"/>
    <s v="52+ weeks (ongoing/longer than a year)"/>
    <x v="3"/>
  </r>
  <r>
    <n v="173"/>
    <x v="1"/>
    <n v="139"/>
    <x v="20"/>
    <n v="466"/>
    <s v="Poolpartycie"/>
    <n v="0"/>
    <n v="0"/>
    <n v="0"/>
    <n v="0"/>
    <n v="0"/>
    <n v="12"/>
    <s v="2 till 4 hrs/wk"/>
    <s v="1-10 weeks (1 quartile)"/>
    <x v="4"/>
  </r>
  <r>
    <n v="173"/>
    <x v="1"/>
    <n v="139"/>
    <x v="20"/>
    <n v="467"/>
    <s v="Zwemcie"/>
    <n v="0"/>
    <n v="0"/>
    <n v="0"/>
    <n v="0"/>
    <n v="0"/>
    <n v="5"/>
    <s v="2 till 4 hrs/wk"/>
    <s v="52+ weeks (ongoing/longer than a year)"/>
    <x v="4"/>
  </r>
  <r>
    <n v="173"/>
    <x v="1"/>
    <n v="139"/>
    <x v="20"/>
    <n v="468"/>
    <s v="NSZKcie"/>
    <n v="0"/>
    <n v="0"/>
    <n v="0"/>
    <n v="0"/>
    <n v="0"/>
    <n v="6"/>
    <s v="2 till 4 hrs/wk"/>
    <s v="21-30 weeks (3 quartiles)"/>
    <x v="2"/>
  </r>
  <r>
    <n v="173"/>
    <x v="1"/>
    <n v="139"/>
    <x v="20"/>
    <n v="469"/>
    <s v="PIC"/>
    <n v="0"/>
    <n v="0"/>
    <n v="0"/>
    <n v="0"/>
    <n v="0"/>
    <n v="7"/>
    <s v="2 till 4 hrs/wk"/>
    <s v="11-20 weeks (2 quartiles)"/>
    <x v="4"/>
  </r>
  <r>
    <n v="173"/>
    <x v="1"/>
    <n v="139"/>
    <x v="20"/>
    <n v="470"/>
    <s v="TC"/>
    <n v="0"/>
    <n v="0"/>
    <n v="0"/>
    <n v="0"/>
    <n v="0"/>
    <n v="9"/>
    <s v="2 till 4 hrs/wk"/>
    <s v="52+ weeks (ongoing/longer than a year)"/>
    <x v="4"/>
  </r>
  <r>
    <n v="173"/>
    <x v="1"/>
    <n v="139"/>
    <x v="20"/>
    <n v="471"/>
    <s v="Lucie"/>
    <n v="0"/>
    <n v="0"/>
    <n v="0"/>
    <n v="0"/>
    <n v="0"/>
    <n v="8"/>
    <s v="2 till 4 hrs/wk"/>
    <s v="41-52 weeks (full year)"/>
    <x v="4"/>
  </r>
  <r>
    <n v="173"/>
    <x v="1"/>
    <n v="139"/>
    <x v="20"/>
    <n v="472"/>
    <s v="RVA"/>
    <n v="0"/>
    <n v="0"/>
    <n v="0"/>
    <n v="0"/>
    <n v="0"/>
    <n v="4"/>
    <s v="&lt;2 hrs/wk"/>
    <s v="52+ weeks (ongoing/longer than a year)"/>
    <x v="2"/>
  </r>
  <r>
    <n v="173"/>
    <x v="1"/>
    <n v="139"/>
    <x v="20"/>
    <n v="473"/>
    <s v="Redcie"/>
    <n v="0"/>
    <n v="0"/>
    <n v="0"/>
    <n v="0"/>
    <n v="0"/>
    <n v="7"/>
    <s v="2 till 4 hrs/wk"/>
    <s v="52+ weeks (ongoing/longer than a year)"/>
    <x v="2"/>
  </r>
  <r>
    <n v="173"/>
    <x v="1"/>
    <n v="139"/>
    <x v="20"/>
    <n v="474"/>
    <s v="Stabilicatie"/>
    <n v="0"/>
    <n v="0"/>
    <n v="0"/>
    <n v="0"/>
    <n v="0"/>
    <n v="1"/>
    <s v="2 till 4 hrs/wk"/>
    <s v="52+ weeks (ongoing/longer than a year)"/>
    <x v="2"/>
  </r>
  <r>
    <n v="173"/>
    <x v="1"/>
    <n v="139"/>
    <x v="20"/>
    <n v="475"/>
    <s v="Kasco"/>
    <n v="0"/>
    <n v="0"/>
    <n v="0"/>
    <n v="0"/>
    <n v="0"/>
    <n v="6"/>
    <s v="&lt;2 hrs/wk"/>
    <s v="52+ weeks (ongoing/longer than a year)"/>
    <x v="2"/>
  </r>
  <r>
    <n v="173"/>
    <x v="1"/>
    <n v="139"/>
    <x v="20"/>
    <n v="476"/>
    <s v="Kiosk-team"/>
    <n v="0"/>
    <n v="0"/>
    <n v="0"/>
    <n v="0"/>
    <n v="0"/>
    <n v="23"/>
    <s v="2 till 4 hrs/wk"/>
    <s v="1-10 weeks (1 quartile)"/>
    <x v="4"/>
  </r>
  <r>
    <n v="173"/>
    <x v="1"/>
    <n v="139"/>
    <x v="20"/>
    <n v="477"/>
    <s v="Bar-team"/>
    <n v="0"/>
    <n v="0"/>
    <n v="0"/>
    <n v="0"/>
    <n v="0"/>
    <n v="40"/>
    <s v="2 till 4 hrs/wk"/>
    <s v="52+ weeks (ongoing/longer than a year)"/>
    <x v="5"/>
  </r>
  <r>
    <n v="173"/>
    <x v="1"/>
    <n v="139"/>
    <x v="20"/>
    <n v="478"/>
    <s v="ICTcie"/>
    <n v="0"/>
    <n v="0"/>
    <n v="0"/>
    <n v="0"/>
    <n v="0"/>
    <n v="6"/>
    <s v="5 till 8 hrs/wk"/>
    <s v="52+ weeks (ongoing/longer than a year)"/>
    <x v="3"/>
  </r>
  <r>
    <n v="173"/>
    <x v="1"/>
    <n v="139"/>
    <x v="20"/>
    <n v="479"/>
    <s v="Polocie"/>
    <n v="0"/>
    <n v="0"/>
    <n v="0"/>
    <n v="0"/>
    <n v="0"/>
    <n v="7"/>
    <s v="2 till 4 hrs/wk"/>
    <s v="52+ weeks (ongoing/longer than a year)"/>
    <x v="2"/>
  </r>
  <r>
    <n v="173"/>
    <x v="1"/>
    <n v="139"/>
    <x v="20"/>
    <n v="480"/>
    <s v="TNC"/>
    <n v="0"/>
    <n v="0"/>
    <n v="0"/>
    <n v="0"/>
    <n v="0"/>
    <n v="6"/>
    <s v="2 till 4 hrs/wk"/>
    <s v="11-20 weeks (2 quartiles)"/>
    <x v="2"/>
  </r>
  <r>
    <n v="173"/>
    <x v="1"/>
    <n v="139"/>
    <x v="20"/>
    <n v="481"/>
    <s v="EVC"/>
    <n v="0"/>
    <n v="0"/>
    <n v="0"/>
    <n v="0"/>
    <n v="0"/>
    <n v="8"/>
    <s v="2 till 4 hrs/wk"/>
    <s v="52+ weeks (ongoing/longer than a year)"/>
    <x v="4"/>
  </r>
  <r>
    <n v="173"/>
    <x v="1"/>
    <n v="139"/>
    <x v="20"/>
    <n v="482"/>
    <s v="Mediacie"/>
    <n v="0"/>
    <n v="0"/>
    <n v="0"/>
    <n v="0"/>
    <n v="0"/>
    <n v="9"/>
    <s v="2 till 4 hrs/wk"/>
    <s v="41-52 weeks (full year)"/>
    <x v="2"/>
  </r>
  <r>
    <n v="173"/>
    <x v="1"/>
    <n v="139"/>
    <x v="20"/>
    <n v="483"/>
    <s v="Duikcie"/>
    <n v="0"/>
    <n v="0"/>
    <n v="0"/>
    <n v="0"/>
    <n v="0"/>
    <n v="5"/>
    <s v="2 till 4 hrs/wk"/>
    <s v="52+ weeks (ongoing/longer than a year)"/>
    <x v="2"/>
  </r>
  <r>
    <n v="173"/>
    <x v="1"/>
    <n v="139"/>
    <x v="20"/>
    <n v="484"/>
    <s v="Batacie"/>
    <n v="0"/>
    <n v="0"/>
    <n v="0"/>
    <n v="0"/>
    <n v="0"/>
    <n v="4"/>
    <s v="2 till 4 hrs/wk"/>
    <s v="11-20 weeks (2 quartiles)"/>
    <x v="2"/>
  </r>
  <r>
    <n v="173"/>
    <x v="1"/>
    <n v="139"/>
    <x v="20"/>
    <n v="1420"/>
    <s v="Chickcie"/>
    <n v="0"/>
    <n v="0"/>
    <n v="0"/>
    <n v="0"/>
    <n v="0"/>
    <n v="6"/>
    <s v="&lt;2 hrs/wk"/>
    <s v="52+ weeks (ongoing/longer than a year)"/>
    <x v="2"/>
  </r>
  <r>
    <n v="173"/>
    <x v="1"/>
    <n v="139"/>
    <x v="20"/>
    <n v="1422"/>
    <s v="Matcie"/>
    <n v="0"/>
    <n v="0"/>
    <n v="0"/>
    <n v="0"/>
    <n v="0"/>
    <n v="7"/>
    <s v="2 till 4 hrs/wk"/>
    <s v="52+ weeks (ongoing/longer than a year)"/>
    <x v="2"/>
  </r>
  <r>
    <n v="175"/>
    <x v="0"/>
    <n v="141"/>
    <x v="21"/>
    <n v="1391"/>
    <s v="Assemble"/>
    <n v="0"/>
    <n v="0"/>
    <n v="1"/>
    <n v="1"/>
    <n v="1"/>
    <m/>
    <s v="&lt;2 hrs/wk"/>
    <s v="41-52 weeks (full year)"/>
    <x v="5"/>
  </r>
  <r>
    <n v="175"/>
    <x v="0"/>
    <n v="141"/>
    <x v="21"/>
    <n v="1392"/>
    <s v="Raad van Advies"/>
    <m/>
    <m/>
    <m/>
    <m/>
    <m/>
    <n v="4"/>
    <s v="&lt;2 hrs/wk"/>
    <s v="52+ weeks (ongoing/longer than a year)"/>
    <x v="2"/>
  </r>
  <r>
    <n v="175"/>
    <x v="0"/>
    <n v="141"/>
    <x v="21"/>
    <n v="1393"/>
    <s v="Plie"/>
    <m/>
    <m/>
    <m/>
    <m/>
    <m/>
    <m/>
    <s v=""/>
    <s v=""/>
    <x v="0"/>
  </r>
  <r>
    <n v="175"/>
    <x v="0"/>
    <n v="141"/>
    <x v="21"/>
    <n v="1394"/>
    <s v="Releve"/>
    <m/>
    <m/>
    <m/>
    <m/>
    <m/>
    <m/>
    <s v=""/>
    <s v=""/>
    <x v="0"/>
  </r>
  <r>
    <n v="175"/>
    <x v="0"/>
    <n v="141"/>
    <x v="21"/>
    <n v="1395"/>
    <s v="Developpe"/>
    <m/>
    <m/>
    <m/>
    <m/>
    <m/>
    <m/>
    <s v=""/>
    <s v=""/>
    <x v="0"/>
  </r>
  <r>
    <n v="175"/>
    <x v="0"/>
    <n v="141"/>
    <x v="21"/>
    <n v="1396"/>
    <s v="Dance Show"/>
    <m/>
    <m/>
    <m/>
    <m/>
    <m/>
    <m/>
    <s v=""/>
    <s v=""/>
    <x v="0"/>
  </r>
  <r>
    <n v="175"/>
    <x v="0"/>
    <n v="141"/>
    <x v="21"/>
    <n v="1397"/>
    <s v="KasCo"/>
    <m/>
    <m/>
    <m/>
    <m/>
    <m/>
    <m/>
    <s v=""/>
    <s v=""/>
    <x v="0"/>
  </r>
  <r>
    <n v="185"/>
    <x v="1"/>
    <n v="152"/>
    <x v="22"/>
    <n v="968"/>
    <s v="Performance Committee"/>
    <n v="0"/>
    <n v="0"/>
    <n v="3"/>
    <n v="0"/>
    <n v="2"/>
    <n v="0"/>
    <s v="2 till 4 hrs/wk"/>
    <s v="1-10 weeks (1 quartile)"/>
    <x v="4"/>
  </r>
  <r>
    <n v="185"/>
    <x v="1"/>
    <n v="152"/>
    <x v="22"/>
    <n v="971"/>
    <s v="KasCo"/>
    <n v="0"/>
    <n v="0"/>
    <n v="2"/>
    <n v="1"/>
    <n v="0"/>
    <n v="0"/>
    <s v="&lt;2 hrs/wk"/>
    <s v="41-52 weeks (full year)"/>
    <x v="2"/>
  </r>
  <r>
    <n v="185"/>
    <x v="1"/>
    <n v="152"/>
    <x v="22"/>
    <n v="972"/>
    <s v="Whisdom Committee"/>
    <n v="0"/>
    <n v="0"/>
    <n v="0"/>
    <n v="3"/>
    <n v="0"/>
    <n v="0"/>
    <s v="&lt;2 hrs/wk"/>
    <s v="41-52 weeks (full year)"/>
    <x v="3"/>
  </r>
  <r>
    <n v="188"/>
    <x v="1"/>
    <n v="155"/>
    <x v="23"/>
    <n v="912"/>
    <s v="Gameday"/>
    <n v="0"/>
    <n v="0"/>
    <n v="0"/>
    <n v="0"/>
    <n v="0"/>
    <n v="1"/>
    <s v="&lt;2 hrs/wk"/>
    <s v="41-52 weeks (full year)"/>
    <x v="5"/>
  </r>
  <r>
    <n v="188"/>
    <x v="1"/>
    <n v="155"/>
    <x v="23"/>
    <n v="913"/>
    <s v="internal representation"/>
    <n v="0"/>
    <n v="0"/>
    <n v="0"/>
    <n v="1"/>
    <n v="0"/>
    <n v="1"/>
    <s v="&lt;2 hrs/wk"/>
    <s v="41-52 weeks (full year)"/>
    <x v="5"/>
  </r>
  <r>
    <n v="188"/>
    <x v="1"/>
    <n v="155"/>
    <x v="23"/>
    <n v="914"/>
    <s v="intro"/>
    <n v="0"/>
    <n v="1"/>
    <n v="0"/>
    <n v="1"/>
    <n v="1"/>
    <n v="0"/>
    <s v="2 till 4 hrs/wk"/>
    <s v="11-20 weeks (2 quartiles)"/>
    <x v="3"/>
  </r>
  <r>
    <n v="188"/>
    <x v="1"/>
    <n v="155"/>
    <x v="23"/>
    <n v="915"/>
    <s v="kasco"/>
    <n v="0"/>
    <n v="1"/>
    <n v="0"/>
    <n v="1"/>
    <n v="0"/>
    <n v="0"/>
    <s v="&lt;2 hrs/wk"/>
    <s v="52+ weeks (ongoing/longer than a year)"/>
    <x v="2"/>
  </r>
  <r>
    <n v="188"/>
    <x v="1"/>
    <n v="155"/>
    <x v="23"/>
    <n v="916"/>
    <s v="kercie"/>
    <n v="0"/>
    <n v="0"/>
    <n v="0"/>
    <n v="3"/>
    <n v="0"/>
    <n v="0"/>
    <s v="&lt;2 hrs/wk"/>
    <s v="1-10 weeks (1 quartile)"/>
    <x v="5"/>
  </r>
  <r>
    <n v="188"/>
    <x v="1"/>
    <n v="155"/>
    <x v="23"/>
    <n v="917"/>
    <s v="lan"/>
    <n v="0"/>
    <n v="0"/>
    <n v="2"/>
    <n v="1"/>
    <n v="0"/>
    <n v="0"/>
    <s v="&lt;2 hrs/wk"/>
    <s v="41-52 weeks (full year)"/>
    <x v="5"/>
  </r>
  <r>
    <n v="188"/>
    <x v="1"/>
    <n v="155"/>
    <x v="23"/>
    <n v="918"/>
    <s v="magic"/>
    <n v="0"/>
    <n v="0"/>
    <n v="1"/>
    <n v="0"/>
    <n v="0"/>
    <n v="0"/>
    <s v="&lt;2 hrs/wk"/>
    <s v="41-52 weeks (full year)"/>
    <x v="5"/>
  </r>
  <r>
    <n v="188"/>
    <x v="1"/>
    <n v="155"/>
    <x v="23"/>
    <n v="919"/>
    <s v="webcie"/>
    <n v="0"/>
    <n v="1"/>
    <n v="1"/>
    <n v="1"/>
    <n v="0"/>
    <n v="0"/>
    <s v="&lt;2 hrs/wk"/>
    <s v="41-52 weeks (full year)"/>
    <x v="2"/>
  </r>
  <r>
    <n v="188"/>
    <x v="1"/>
    <n v="155"/>
    <x v="23"/>
    <n v="920"/>
    <s v="erocie"/>
    <n v="0"/>
    <n v="0"/>
    <n v="0"/>
    <n v="0"/>
    <n v="0"/>
    <n v="1"/>
    <s v="&lt;2 hrs/wk"/>
    <s v="41-52 weeks (full year)"/>
    <x v="5"/>
  </r>
  <r>
    <n v="188"/>
    <x v="1"/>
    <n v="155"/>
    <x v="23"/>
    <n v="921"/>
    <s v="stacie"/>
    <n v="0"/>
    <n v="1"/>
    <n v="3"/>
    <n v="0"/>
    <n v="0"/>
    <n v="0"/>
    <s v="2 till 4 hrs/wk"/>
    <s v="52+ weeks (ongoing/longer than a year)"/>
    <x v="1"/>
  </r>
  <r>
    <n v="188"/>
    <x v="1"/>
    <n v="155"/>
    <x v="23"/>
    <n v="922"/>
    <s v="openers"/>
    <n v="0"/>
    <n v="2"/>
    <n v="5"/>
    <n v="2"/>
    <n v="2"/>
    <n v="5"/>
    <s v="&lt;2 hrs/wk"/>
    <s v="52+ weeks (ongoing/longer than a year)"/>
    <x v="5"/>
  </r>
  <r>
    <n v="188"/>
    <x v="1"/>
    <n v="155"/>
    <x v="23"/>
    <n v="923"/>
    <s v="promocie"/>
    <n v="0"/>
    <n v="0"/>
    <n v="2"/>
    <n v="0"/>
    <n v="0"/>
    <n v="0"/>
    <s v="&lt;2 hrs/wk"/>
    <s v="52+ weeks (ongoing/longer than a year)"/>
    <x v="5"/>
  </r>
  <r>
    <n v="189"/>
    <x v="1"/>
    <n v="156"/>
    <x v="24"/>
    <n v="774"/>
    <s v="Board"/>
    <n v="0"/>
    <n v="1"/>
    <n v="2"/>
    <n v="0"/>
    <n v="0"/>
    <n v="0"/>
    <s v="2 till 4 hrs/wk"/>
    <s v="41-52 weeks (full year)"/>
    <x v="4"/>
  </r>
  <r>
    <n v="189"/>
    <x v="1"/>
    <n v="156"/>
    <x v="24"/>
    <n v="775"/>
    <s v="KasCo"/>
    <n v="0"/>
    <n v="0"/>
    <n v="0"/>
    <n v="1"/>
    <n v="0"/>
    <n v="1"/>
    <s v="&lt;2 hrs/wk"/>
    <s v="52+ weeks (ongoing/longer than a year)"/>
    <x v="2"/>
  </r>
  <r>
    <n v="189"/>
    <x v="1"/>
    <n v="156"/>
    <x v="24"/>
    <n v="776"/>
    <s v="PRCo"/>
    <n v="0"/>
    <n v="1"/>
    <n v="1"/>
    <n v="0"/>
    <n v="1"/>
    <n v="1"/>
    <s v="&lt;2 hrs/wk"/>
    <s v="52+ weeks (ongoing/longer than a year)"/>
    <x v="4"/>
  </r>
  <r>
    <n v="189"/>
    <x v="1"/>
    <n v="156"/>
    <x v="24"/>
    <n v="777"/>
    <s v="Council of Wise"/>
    <n v="0"/>
    <n v="0"/>
    <n v="0"/>
    <n v="0"/>
    <n v="3"/>
    <n v="0"/>
    <s v="&lt;2 hrs/wk"/>
    <s v="52+ weeks (ongoing/longer than a year)"/>
    <x v="2"/>
  </r>
  <r>
    <n v="189"/>
    <x v="1"/>
    <n v="156"/>
    <x v="24"/>
    <n v="778"/>
    <s v="VrAXie"/>
    <n v="0"/>
    <n v="1"/>
    <n v="3"/>
    <n v="0"/>
    <n v="1"/>
    <n v="0"/>
    <s v="&lt;2 hrs/wk"/>
    <s v="52+ weeks (ongoing/longer than a year)"/>
    <x v="1"/>
  </r>
  <r>
    <n v="189"/>
    <x v="1"/>
    <n v="156"/>
    <x v="24"/>
    <n v="779"/>
    <s v="WebCo"/>
    <n v="0"/>
    <n v="0"/>
    <n v="1"/>
    <n v="0"/>
    <n v="0"/>
    <n v="1"/>
    <s v="&lt;2 hrs/wk"/>
    <s v="52+ weeks (ongoing/longer than a year)"/>
    <x v="2"/>
  </r>
  <r>
    <n v="189"/>
    <x v="1"/>
    <n v="156"/>
    <x v="24"/>
    <n v="780"/>
    <s v="ReisCo"/>
    <n v="0"/>
    <n v="0"/>
    <n v="0"/>
    <n v="1"/>
    <n v="3"/>
    <n v="0"/>
    <s v="2 till 4 hrs/wk"/>
    <s v="41-52 weeks (full year)"/>
    <x v="1"/>
  </r>
  <r>
    <n v="189"/>
    <x v="1"/>
    <n v="156"/>
    <x v="24"/>
    <n v="781"/>
    <s v="LuCo"/>
    <n v="0"/>
    <n v="1"/>
    <n v="1"/>
    <n v="0"/>
    <n v="2"/>
    <n v="0"/>
    <s v="&lt;2 hrs/wk"/>
    <s v="41-52 weeks (full year)"/>
    <x v="3"/>
  </r>
  <r>
    <n v="189"/>
    <x v="1"/>
    <n v="156"/>
    <x v="24"/>
    <n v="782"/>
    <s v="MuCo"/>
    <n v="0"/>
    <n v="1"/>
    <n v="1"/>
    <n v="0"/>
    <n v="0"/>
    <n v="2"/>
    <s v="&lt;2 hrs/wk"/>
    <s v="52+ weeks (ongoing/longer than a year)"/>
    <x v="3"/>
  </r>
  <r>
    <n v="189"/>
    <x v="1"/>
    <n v="156"/>
    <x v="24"/>
    <n v="783"/>
    <s v="InvaCie"/>
    <n v="0"/>
    <n v="0"/>
    <n v="1"/>
    <n v="0"/>
    <n v="1"/>
    <n v="2"/>
    <s v="&lt;2 hrs/wk"/>
    <s v="52+ weeks (ongoing/longer than a year)"/>
    <x v="4"/>
  </r>
  <r>
    <n v="189"/>
    <x v="1"/>
    <n v="156"/>
    <x v="24"/>
    <n v="1415"/>
    <s v="KiCo"/>
    <n v="0"/>
    <n v="1"/>
    <n v="1"/>
    <n v="1"/>
    <n v="0"/>
    <n v="0"/>
    <s v="&lt;2 hrs/wk"/>
    <s v="11-20 weeks (2 quartiles)"/>
    <x v="2"/>
  </r>
  <r>
    <n v="189"/>
    <x v="1"/>
    <n v="156"/>
    <x v="24"/>
    <n v="1416"/>
    <s v="EnsembleCo"/>
    <n v="2"/>
    <n v="1"/>
    <n v="4"/>
    <n v="3"/>
    <n v="3"/>
    <n v="5"/>
    <s v="&lt;2 hrs/wk"/>
    <s v="52+ weeks (ongoing/longer than a year)"/>
    <x v="4"/>
  </r>
  <r>
    <n v="191"/>
    <x v="1"/>
    <n v="158"/>
    <x v="25"/>
    <n v="1442"/>
    <s v="ACDC"/>
    <n v="0"/>
    <n v="0"/>
    <n v="0"/>
    <n v="0"/>
    <n v="0"/>
    <n v="6"/>
    <s v="&lt;2 hrs/wk"/>
    <s v="31-40 weeks (4 quartiles)"/>
    <x v="2"/>
  </r>
  <r>
    <n v="191"/>
    <x v="1"/>
    <n v="158"/>
    <x v="25"/>
    <n v="1443"/>
    <s v="Advisory Board"/>
    <n v="0"/>
    <n v="0"/>
    <n v="0"/>
    <n v="0"/>
    <n v="0"/>
    <n v="5"/>
    <s v="&lt;2 hrs/wk"/>
    <s v="41-52 weeks (full year)"/>
    <x v="2"/>
  </r>
  <r>
    <n v="191"/>
    <x v="1"/>
    <n v="158"/>
    <x v="25"/>
    <n v="1444"/>
    <s v="CampCom"/>
    <n v="0"/>
    <n v="0"/>
    <n v="0"/>
    <n v="0"/>
    <n v="0"/>
    <n v="0"/>
    <s v="&lt;2 hrs/wk"/>
    <s v="1-10 weeks (1 quartile)"/>
    <x v="5"/>
  </r>
  <r>
    <n v="191"/>
    <x v="1"/>
    <n v="158"/>
    <x v="25"/>
    <n v="1445"/>
    <s v="CrewCom"/>
    <n v="0"/>
    <n v="0"/>
    <n v="0"/>
    <n v="0"/>
    <n v="0"/>
    <n v="8"/>
    <s v="&lt;2 hrs/wk"/>
    <s v="31-40 weeks (4 quartiles)"/>
    <x v="4"/>
  </r>
  <r>
    <n v="191"/>
    <x v="1"/>
    <n v="158"/>
    <x v="25"/>
    <n v="1446"/>
    <s v="DirecCom"/>
    <n v="0"/>
    <n v="0"/>
    <n v="0"/>
    <n v="0"/>
    <n v="0"/>
    <n v="2"/>
    <s v="&lt;2 hrs/wk"/>
    <s v="41-52 weeks (full year)"/>
    <x v="2"/>
  </r>
  <r>
    <n v="191"/>
    <x v="1"/>
    <n v="158"/>
    <x v="25"/>
    <n v="1447"/>
    <s v="DotCom"/>
    <n v="0"/>
    <n v="0"/>
    <n v="0"/>
    <n v="0"/>
    <n v="0"/>
    <n v="5"/>
    <s v="2 till 4 hrs/wk"/>
    <s v="31-40 weeks (4 quartiles)"/>
    <x v="2"/>
  </r>
  <r>
    <n v="191"/>
    <x v="1"/>
    <n v="158"/>
    <x v="25"/>
    <n v="1448"/>
    <s v="HelloNEST"/>
    <n v="0"/>
    <n v="0"/>
    <n v="0"/>
    <n v="0"/>
    <n v="0"/>
    <n v="4"/>
    <s v="&lt;2 hrs/wk"/>
    <s v="1-10 weeks (1 quartile)"/>
    <x v="3"/>
  </r>
  <r>
    <n v="191"/>
    <x v="1"/>
    <n v="158"/>
    <x v="25"/>
    <n v="1449"/>
    <s v="KasCo"/>
    <n v="0"/>
    <n v="0"/>
    <n v="0"/>
    <n v="0"/>
    <n v="0"/>
    <n v="3"/>
    <s v="&lt;2 hrs/wk"/>
    <s v="41-52 weeks (full year)"/>
    <x v="2"/>
  </r>
  <r>
    <n v="191"/>
    <x v="1"/>
    <n v="158"/>
    <x v="25"/>
    <n v="1450"/>
    <s v="LAC"/>
    <n v="0"/>
    <n v="0"/>
    <n v="0"/>
    <n v="0"/>
    <n v="0"/>
    <n v="12"/>
    <s v="2 till 4 hrs/wk"/>
    <s v="52+ weeks (ongoing/longer than a year)"/>
    <x v="2"/>
  </r>
  <r>
    <n v="191"/>
    <x v="1"/>
    <n v="158"/>
    <x v="25"/>
    <n v="1451"/>
    <s v="MakeUpCom"/>
    <n v="0"/>
    <n v="0"/>
    <n v="0"/>
    <n v="0"/>
    <n v="0"/>
    <n v="5"/>
    <s v="&lt;2 hrs/wk"/>
    <s v="31-40 weeks (4 quartiles)"/>
    <x v="4"/>
  </r>
  <r>
    <n v="191"/>
    <x v="1"/>
    <n v="158"/>
    <x v="25"/>
    <n v="1452"/>
    <s v="NeProCom"/>
    <n v="0"/>
    <n v="0"/>
    <n v="0"/>
    <n v="0"/>
    <n v="0"/>
    <n v="3"/>
    <s v="&lt;2 hrs/wk"/>
    <s v="31-40 weeks (4 quartiles)"/>
    <x v="2"/>
  </r>
  <r>
    <n v="191"/>
    <x v="1"/>
    <n v="158"/>
    <x v="25"/>
    <n v="1454"/>
    <s v="PRCom"/>
    <n v="0"/>
    <n v="0"/>
    <n v="0"/>
    <n v="0"/>
    <n v="0"/>
    <n v="3"/>
    <s v="&lt;2 hrs/wk"/>
    <s v="11-20 weeks (2 quartiles)"/>
    <x v="4"/>
  </r>
  <r>
    <n v="191"/>
    <x v="1"/>
    <n v="158"/>
    <x v="25"/>
    <n v="1455"/>
    <s v="Room of Requirement"/>
    <n v="0"/>
    <n v="0"/>
    <n v="0"/>
    <n v="0"/>
    <n v="0"/>
    <n v="8"/>
    <s v="&lt;2 hrs/wk"/>
    <s v="31-40 weeks (4 quartiles)"/>
    <x v="4"/>
  </r>
  <r>
    <n v="191"/>
    <x v="1"/>
    <n v="158"/>
    <x v="25"/>
    <n v="1456"/>
    <s v="ShowCo"/>
    <n v="0"/>
    <n v="0"/>
    <n v="0"/>
    <n v="0"/>
    <n v="0"/>
    <n v="0"/>
    <s v="&lt;2 hrs/wk"/>
    <s v="1-10 weeks (1 quartile)"/>
    <x v="5"/>
  </r>
  <r>
    <n v="191"/>
    <x v="1"/>
    <n v="158"/>
    <x v="25"/>
    <n v="1457"/>
    <s v="TechNESTians"/>
    <n v="0"/>
    <n v="0"/>
    <n v="0"/>
    <n v="0"/>
    <n v="0"/>
    <n v="0"/>
    <s v="&lt;2 hrs/wk"/>
    <s v="1-10 weeks (1 quartile)"/>
    <x v="5"/>
  </r>
  <r>
    <n v="191"/>
    <x v="1"/>
    <n v="158"/>
    <x v="25"/>
    <n v="1458"/>
    <s v="WOCFYC"/>
    <n v="0"/>
    <n v="0"/>
    <n v="0"/>
    <n v="0"/>
    <n v="0"/>
    <n v="4"/>
    <s v="&lt;2 hrs/wk"/>
    <s v="1-10 weeks (1 quartile)"/>
    <x v="2"/>
  </r>
  <r>
    <n v="191"/>
    <x v="1"/>
    <n v="158"/>
    <x v="25"/>
    <n v="1459"/>
    <s v="Owlet"/>
    <n v="0"/>
    <n v="0"/>
    <n v="0"/>
    <n v="0"/>
    <n v="0"/>
    <n v="5"/>
    <s v="&lt;2 hrs/wk"/>
    <s v="1-10 weeks (1 quartile)"/>
    <x v="4"/>
  </r>
  <r>
    <n v="192"/>
    <x v="1"/>
    <n v="159"/>
    <x v="26"/>
    <n v="1004"/>
    <s v="NeProCom"/>
    <n v="0"/>
    <n v="1"/>
    <n v="1"/>
    <n v="0"/>
    <n v="2"/>
    <n v="0"/>
    <s v="&lt;2 hrs/wk"/>
    <s v="41-52 weeks (full year)"/>
    <x v="3"/>
  </r>
  <r>
    <n v="192"/>
    <x v="1"/>
    <n v="159"/>
    <x v="26"/>
    <n v="1005"/>
    <s v="Services"/>
    <n v="0"/>
    <n v="0"/>
    <n v="0"/>
    <n v="0"/>
    <n v="3"/>
    <n v="0"/>
    <s v="&lt;2 hrs/wk"/>
    <s v="41-52 weeks (full year)"/>
    <x v="2"/>
  </r>
  <r>
    <n v="192"/>
    <x v="1"/>
    <n v="159"/>
    <x v="26"/>
    <n v="1006"/>
    <s v="Match"/>
    <n v="0"/>
    <n v="0"/>
    <n v="0"/>
    <n v="0"/>
    <n v="0"/>
    <n v="1"/>
    <s v="&lt;2 hrs/wk"/>
    <s v="41-52 weeks (full year)"/>
    <x v="5"/>
  </r>
  <r>
    <n v="192"/>
    <x v="1"/>
    <n v="159"/>
    <x v="26"/>
    <n v="1007"/>
    <s v="Promotion"/>
    <n v="0"/>
    <n v="0"/>
    <n v="0"/>
    <n v="0"/>
    <n v="2"/>
    <n v="1"/>
    <s v="&lt;2 hrs/wk"/>
    <s v="41-52 weeks (full year)"/>
    <x v="5"/>
  </r>
  <r>
    <n v="192"/>
    <x v="1"/>
    <n v="159"/>
    <x v="26"/>
    <n v="1009"/>
    <s v="Kick-in"/>
    <n v="0"/>
    <n v="0"/>
    <n v="0"/>
    <n v="0"/>
    <n v="0"/>
    <n v="1"/>
    <s v="&lt;2 hrs/wk"/>
    <s v="1-10 weeks (1 quartile)"/>
    <x v="2"/>
  </r>
  <r>
    <n v="192"/>
    <x v="1"/>
    <n v="159"/>
    <x v="26"/>
    <n v="1010"/>
    <s v="Technic-music"/>
    <n v="0"/>
    <n v="0"/>
    <n v="0"/>
    <n v="0"/>
    <n v="2"/>
    <n v="2"/>
    <s v="&lt;2 hrs/wk"/>
    <s v="41-52 weeks (full year)"/>
    <x v="4"/>
  </r>
  <r>
    <n v="192"/>
    <x v="1"/>
    <n v="159"/>
    <x v="26"/>
    <n v="1011"/>
    <s v="Jabber"/>
    <n v="0"/>
    <n v="0"/>
    <n v="0"/>
    <n v="0"/>
    <n v="0"/>
    <n v="0"/>
    <s v="&lt;2 hrs/wk"/>
    <s v="52+ weeks (ongoing/longer than a year)"/>
    <x v="2"/>
  </r>
  <r>
    <n v="192"/>
    <x v="1"/>
    <n v="159"/>
    <x v="26"/>
    <n v="1012"/>
    <s v="Website"/>
    <n v="0"/>
    <n v="0"/>
    <n v="0"/>
    <n v="0"/>
    <n v="1"/>
    <n v="1"/>
    <s v="&lt;2 hrs/wk"/>
    <s v="41-52 weeks (full year)"/>
    <x v="2"/>
  </r>
  <r>
    <n v="192"/>
    <x v="1"/>
    <n v="159"/>
    <x v="26"/>
    <n v="1013"/>
    <s v="Camp"/>
    <n v="0"/>
    <n v="0"/>
    <n v="0"/>
    <n v="0"/>
    <n v="3"/>
    <n v="1"/>
    <s v="2 till 4 hrs/wk"/>
    <s v="11-20 weeks (2 quartiles)"/>
    <x v="5"/>
  </r>
  <r>
    <n v="192"/>
    <x v="1"/>
    <n v="159"/>
    <x v="26"/>
    <n v="1407"/>
    <s v="Pro-Active"/>
    <n v="0"/>
    <n v="1"/>
    <n v="0"/>
    <n v="0"/>
    <n v="3"/>
    <n v="2"/>
    <s v="&lt;2 hrs/wk"/>
    <s v="41-52 weeks (full year)"/>
    <x v="3"/>
  </r>
  <r>
    <n v="193"/>
    <x v="0"/>
    <n v="160"/>
    <x v="27"/>
    <n v="1529"/>
    <s v="AcCie"/>
    <m/>
    <m/>
    <m/>
    <m/>
    <m/>
    <m/>
    <s v=""/>
    <s v=""/>
    <x v="0"/>
  </r>
  <r>
    <n v="193"/>
    <x v="0"/>
    <n v="160"/>
    <x v="27"/>
    <n v="1530"/>
    <s v="CampCom"/>
    <m/>
    <m/>
    <m/>
    <m/>
    <m/>
    <m/>
    <s v=""/>
    <s v=""/>
    <x v="0"/>
  </r>
  <r>
    <n v="193"/>
    <x v="0"/>
    <n v="160"/>
    <x v="27"/>
    <n v="1531"/>
    <s v="Chick-In"/>
    <m/>
    <m/>
    <m/>
    <m/>
    <m/>
    <m/>
    <s v=""/>
    <s v=""/>
    <x v="0"/>
  </r>
  <r>
    <n v="193"/>
    <x v="0"/>
    <n v="160"/>
    <x v="27"/>
    <n v="1532"/>
    <s v="ComCom"/>
    <m/>
    <m/>
    <m/>
    <m/>
    <m/>
    <m/>
    <s v=""/>
    <s v=""/>
    <x v="0"/>
  </r>
  <r>
    <n v="193"/>
    <x v="0"/>
    <n v="160"/>
    <x v="27"/>
    <n v="1533"/>
    <s v="FacCie"/>
    <m/>
    <m/>
    <m/>
    <m/>
    <m/>
    <m/>
    <s v=""/>
    <s v=""/>
    <x v="0"/>
  </r>
  <r>
    <n v="193"/>
    <x v="0"/>
    <n v="160"/>
    <x v="27"/>
    <n v="1534"/>
    <s v="InstrucCie"/>
    <m/>
    <m/>
    <m/>
    <m/>
    <m/>
    <m/>
    <s v=""/>
    <s v=""/>
    <x v="0"/>
  </r>
  <r>
    <n v="193"/>
    <x v="0"/>
    <n v="160"/>
    <x v="27"/>
    <n v="1535"/>
    <s v="LustrumCie"/>
    <m/>
    <m/>
    <m/>
    <m/>
    <m/>
    <m/>
    <s v=""/>
    <s v=""/>
    <x v="0"/>
  </r>
  <r>
    <n v="193"/>
    <x v="0"/>
    <n v="160"/>
    <x v="27"/>
    <n v="1536"/>
    <s v="PromoCie"/>
    <m/>
    <m/>
    <m/>
    <m/>
    <m/>
    <m/>
    <s v=""/>
    <s v=""/>
    <x v="0"/>
  </r>
  <r>
    <n v="193"/>
    <x v="0"/>
    <n v="160"/>
    <x v="27"/>
    <n v="1537"/>
    <s v="ShowCo"/>
    <m/>
    <m/>
    <m/>
    <m/>
    <m/>
    <m/>
    <s v=""/>
    <s v=""/>
    <x v="0"/>
  </r>
  <r>
    <n v="196"/>
    <x v="1"/>
    <n v="163"/>
    <x v="28"/>
    <n v="1000"/>
    <s v="KasCo"/>
    <n v="0"/>
    <n v="0"/>
    <n v="1"/>
    <n v="0"/>
    <n v="2"/>
    <n v="1"/>
    <s v="&lt;2 hrs/wk"/>
    <s v="52+ weeks (ongoing/longer than a year)"/>
    <x v="2"/>
  </r>
  <r>
    <n v="196"/>
    <x v="1"/>
    <n v="163"/>
    <x v="28"/>
    <n v="1002"/>
    <s v="RvA"/>
    <n v="0"/>
    <n v="0"/>
    <n v="0"/>
    <n v="1"/>
    <n v="3"/>
    <n v="0"/>
    <s v="&lt;2 hrs/wk"/>
    <s v="52+ weeks (ongoing/longer than a year)"/>
    <x v="2"/>
  </r>
  <r>
    <n v="196"/>
    <x v="1"/>
    <n v="163"/>
    <x v="28"/>
    <n v="1400"/>
    <s v="Acquisition"/>
    <n v="0"/>
    <n v="0"/>
    <n v="3"/>
    <n v="2"/>
    <n v="0"/>
    <n v="0"/>
    <s v="&lt;2 hrs/wk"/>
    <s v="21-30 weeks (3 quartiles)"/>
    <x v="4"/>
  </r>
  <r>
    <n v="196"/>
    <x v="1"/>
    <n v="163"/>
    <x v="28"/>
    <n v="1401"/>
    <s v="Costume"/>
    <n v="0"/>
    <n v="0"/>
    <n v="2"/>
    <n v="1"/>
    <n v="2"/>
    <n v="0"/>
    <s v="2 till 4 hrs/wk"/>
    <s v="11-20 weeks (2 quartiles)"/>
    <x v="2"/>
  </r>
  <r>
    <n v="196"/>
    <x v="1"/>
    <n v="163"/>
    <x v="28"/>
    <n v="1402"/>
    <s v="Decor"/>
    <n v="1"/>
    <n v="0"/>
    <n v="1"/>
    <n v="2"/>
    <n v="2"/>
    <n v="3"/>
    <s v="2 till 4 hrs/wk"/>
    <s v="21-30 weeks (3 quartiles)"/>
    <x v="2"/>
  </r>
  <r>
    <n v="196"/>
    <x v="1"/>
    <n v="163"/>
    <x v="28"/>
    <n v="1403"/>
    <s v="Team building"/>
    <n v="0"/>
    <n v="0"/>
    <n v="0"/>
    <n v="1"/>
    <n v="1"/>
    <n v="1"/>
    <s v="&lt;2 hrs/wk"/>
    <s v="31-40 weeks (4 quartiles)"/>
    <x v="4"/>
  </r>
  <r>
    <n v="196"/>
    <x v="1"/>
    <n v="163"/>
    <x v="28"/>
    <n v="1404"/>
    <s v="Promotion"/>
    <n v="1"/>
    <n v="0"/>
    <n v="0"/>
    <n v="1"/>
    <n v="3"/>
    <n v="0"/>
    <s v="2 till 4 hrs/wk"/>
    <s v="41-52 weeks (full year)"/>
    <x v="2"/>
  </r>
  <r>
    <n v="198"/>
    <x v="1"/>
    <n v="165"/>
    <x v="29"/>
    <n v="925"/>
    <s v="Board"/>
    <n v="0"/>
    <n v="0"/>
    <n v="4"/>
    <n v="1"/>
    <n v="0"/>
    <n v="0"/>
    <s v="30+ hrs/wk"/>
    <s v="41-52 weeks (full year)"/>
    <x v="4"/>
  </r>
  <r>
    <n v="198"/>
    <x v="1"/>
    <n v="165"/>
    <x v="29"/>
    <n v="926"/>
    <s v="Bartending committee"/>
    <n v="0"/>
    <n v="5"/>
    <n v="3"/>
    <n v="4"/>
    <n v="1"/>
    <n v="0"/>
    <s v="&lt;2 hrs/wk"/>
    <s v="52+ weeks (ongoing/longer than a year)"/>
    <x v="5"/>
  </r>
  <r>
    <n v="198"/>
    <x v="1"/>
    <n v="165"/>
    <x v="29"/>
    <n v="927"/>
    <s v="ERO committee"/>
    <n v="0"/>
    <n v="0"/>
    <n v="6"/>
    <n v="1"/>
    <n v="3"/>
    <n v="0"/>
    <s v="&lt;2 hrs/wk"/>
    <s v="52+ weeks (ongoing/longer than a year)"/>
    <x v="5"/>
  </r>
  <r>
    <n v="198"/>
    <x v="1"/>
    <n v="165"/>
    <x v="29"/>
    <n v="928"/>
    <s v="Activities committee"/>
    <n v="0"/>
    <n v="2"/>
    <n v="3"/>
    <n v="1"/>
    <n v="0"/>
    <n v="0"/>
    <s v="2 till 4 hrs/wk"/>
    <s v="52+ weeks (ongoing/longer than a year)"/>
    <x v="2"/>
  </r>
  <r>
    <n v="198"/>
    <x v="1"/>
    <n v="165"/>
    <x v="29"/>
    <n v="929"/>
    <s v="Advisory council"/>
    <n v="0"/>
    <n v="0"/>
    <n v="2"/>
    <n v="2"/>
    <n v="2"/>
    <n v="0"/>
    <s v="&lt;2 hrs/wk"/>
    <s v="41-52 weeks (full year)"/>
    <x v="2"/>
  </r>
  <r>
    <n v="198"/>
    <x v="1"/>
    <n v="165"/>
    <x v="29"/>
    <n v="930"/>
    <s v="Auditing committee"/>
    <n v="0"/>
    <n v="0"/>
    <n v="2"/>
    <n v="2"/>
    <n v="2"/>
    <n v="0"/>
    <s v="&lt;2 hrs/wk"/>
    <s v="52+ weeks (ongoing/longer than a year)"/>
    <x v="2"/>
  </r>
  <r>
    <n v="198"/>
    <x v="1"/>
    <n v="165"/>
    <x v="29"/>
    <n v="931"/>
    <s v="Computer committee"/>
    <n v="0"/>
    <n v="1"/>
    <n v="1"/>
    <n v="2"/>
    <n v="1"/>
    <n v="0"/>
    <s v="2 till 4 hrs/wk"/>
    <s v="52+ weeks (ongoing/longer than a year)"/>
    <x v="5"/>
  </r>
  <r>
    <n v="198"/>
    <x v="1"/>
    <n v="165"/>
    <x v="29"/>
    <n v="932"/>
    <s v="Education committee"/>
    <n v="1"/>
    <n v="1"/>
    <n v="2"/>
    <n v="0"/>
    <n v="0"/>
    <n v="0"/>
    <s v="2 till 4 hrs/wk"/>
    <s v="52+ weeks (ongoing/longer than a year)"/>
    <x v="2"/>
  </r>
  <r>
    <n v="198"/>
    <x v="1"/>
    <n v="165"/>
    <x v="29"/>
    <n v="933"/>
    <s v="EEMCS trip committee"/>
    <n v="0"/>
    <n v="0"/>
    <n v="1"/>
    <n v="0"/>
    <n v="0"/>
    <n v="0"/>
    <s v="&lt;2 hrs/wk"/>
    <s v="11-20 weeks (2 quartiles)"/>
    <x v="5"/>
  </r>
  <r>
    <n v="198"/>
    <x v="1"/>
    <n v="165"/>
    <x v="29"/>
    <n v="934"/>
    <s v="Freshmen committee"/>
    <n v="5"/>
    <n v="0"/>
    <n v="0"/>
    <n v="0"/>
    <n v="0"/>
    <n v="0"/>
    <s v="2 till 4 hrs/wk"/>
    <s v="31-40 weeks (4 quartiles)"/>
    <x v="4"/>
  </r>
  <r>
    <n v="198"/>
    <x v="1"/>
    <n v="165"/>
    <x v="29"/>
    <n v="935"/>
    <s v="Magazine committee"/>
    <n v="0"/>
    <n v="2"/>
    <n v="3"/>
    <n v="0"/>
    <n v="0"/>
    <n v="0"/>
    <s v="2 till 4 hrs/wk"/>
    <s v="52+ weeks (ongoing/longer than a year)"/>
    <x v="2"/>
  </r>
  <r>
    <n v="198"/>
    <x v="1"/>
    <n v="165"/>
    <x v="29"/>
    <n v="936"/>
    <s v="Picture committee"/>
    <n v="1"/>
    <n v="2"/>
    <n v="3"/>
    <n v="0"/>
    <n v="1"/>
    <n v="0"/>
    <s v="&lt;2 hrs/wk"/>
    <s v="52+ weeks (ongoing/longer than a year)"/>
    <x v="5"/>
  </r>
  <r>
    <n v="198"/>
    <x v="1"/>
    <n v="165"/>
    <x v="29"/>
    <n v="937"/>
    <s v="Prom committee"/>
    <n v="1"/>
    <n v="0"/>
    <n v="1"/>
    <n v="0"/>
    <n v="0"/>
    <n v="0"/>
    <s v="&lt;2 hrs/wk"/>
    <s v="11-20 weeks (2 quartiles)"/>
    <x v="5"/>
  </r>
  <r>
    <n v="198"/>
    <x v="1"/>
    <n v="165"/>
    <x v="29"/>
    <n v="938"/>
    <s v="Sports committee"/>
    <n v="3"/>
    <n v="1"/>
    <n v="2"/>
    <n v="0"/>
    <n v="0"/>
    <n v="0"/>
    <s v="2 till 4 hrs/wk"/>
    <s v="11-20 weeks (2 quartiles)"/>
    <x v="4"/>
  </r>
  <r>
    <n v="198"/>
    <x v="1"/>
    <n v="165"/>
    <x v="29"/>
    <n v="939"/>
    <s v="Study trip committee"/>
    <n v="0"/>
    <n v="0"/>
    <n v="2"/>
    <n v="3"/>
    <n v="1"/>
    <n v="0"/>
    <s v="2 till 4 hrs/wk"/>
    <s v="52+ weeks (ongoing/longer than a year)"/>
    <x v="2"/>
  </r>
  <r>
    <n v="198"/>
    <x v="1"/>
    <n v="165"/>
    <x v="29"/>
    <n v="940"/>
    <s v="Kick in committee"/>
    <n v="0"/>
    <n v="3"/>
    <n v="2"/>
    <n v="0"/>
    <n v="0"/>
    <n v="0"/>
    <s v="2 till 4 hrs/wk"/>
    <s v="21-30 weeks (3 quartiles)"/>
    <x v="2"/>
  </r>
  <r>
    <n v="198"/>
    <x v="1"/>
    <n v="165"/>
    <x v="29"/>
    <n v="941"/>
    <s v="Website committee"/>
    <n v="0"/>
    <n v="2"/>
    <n v="3"/>
    <n v="2"/>
    <n v="2"/>
    <n v="0"/>
    <s v="2 till 4 hrs/wk"/>
    <s v="52+ weeks (ongoing/longer than a year)"/>
    <x v="4"/>
  </r>
  <r>
    <n v="198"/>
    <x v="1"/>
    <n v="165"/>
    <x v="29"/>
    <n v="1472"/>
    <s v="Symposium committee"/>
    <n v="0"/>
    <n v="1"/>
    <n v="3"/>
    <n v="3"/>
    <n v="0"/>
    <n v="0"/>
    <s v="2 till 4 hrs/wk"/>
    <s v="31-40 weeks (4 quartiles)"/>
    <x v="2"/>
  </r>
  <r>
    <n v="198"/>
    <x v="1"/>
    <n v="165"/>
    <x v="29"/>
    <n v="1473"/>
    <s v="Christmas dinner committee"/>
    <n v="0"/>
    <n v="3"/>
    <n v="1"/>
    <n v="1"/>
    <n v="0"/>
    <n v="0"/>
    <s v="2 till 4 hrs/wk"/>
    <s v="11-20 weeks (2 quartiles)"/>
    <x v="1"/>
  </r>
  <r>
    <n v="198"/>
    <x v="1"/>
    <n v="165"/>
    <x v="29"/>
    <n v="1474"/>
    <s v="Dies committee"/>
    <n v="0"/>
    <n v="0"/>
    <n v="2"/>
    <n v="2"/>
    <n v="1"/>
    <n v="0"/>
    <s v="2 till 4 hrs/wk"/>
    <s v="1-10 weeks (1 quartile)"/>
    <x v="2"/>
  </r>
  <r>
    <n v="199"/>
    <x v="1"/>
    <n v="166"/>
    <x v="30"/>
    <n v="1096"/>
    <s v="ASO"/>
    <n v="0"/>
    <n v="0"/>
    <n v="5"/>
    <n v="2"/>
    <n v="1"/>
    <n v="0"/>
    <s v="&lt;2 hrs/wk"/>
    <s v="52+ weeks (ongoing/longer than a year)"/>
    <x v="4"/>
  </r>
  <r>
    <n v="199"/>
    <x v="1"/>
    <n v="166"/>
    <x v="30"/>
    <n v="1097"/>
    <s v="Board"/>
    <n v="0"/>
    <n v="0"/>
    <n v="6"/>
    <n v="0"/>
    <n v="0"/>
    <n v="0"/>
    <s v="30+ hrs/wk"/>
    <s v="41-52 weeks (full year)"/>
    <x v="4"/>
  </r>
  <r>
    <n v="199"/>
    <x v="1"/>
    <n v="166"/>
    <x v="30"/>
    <n v="1098"/>
    <s v="Advisory Council"/>
    <n v="0"/>
    <n v="0"/>
    <n v="1"/>
    <n v="5"/>
    <n v="5"/>
    <n v="0"/>
    <s v="&lt;2 hrs/wk"/>
    <s v="52+ weeks (ongoing/longer than a year)"/>
    <x v="2"/>
  </r>
  <r>
    <n v="199"/>
    <x v="1"/>
    <n v="166"/>
    <x v="30"/>
    <n v="1099"/>
    <s v="Audit Committee"/>
    <n v="0"/>
    <n v="0"/>
    <n v="1"/>
    <n v="0"/>
    <n v="3"/>
    <n v="0"/>
    <s v="&lt;2 hrs/wk"/>
    <s v="52+ weeks (ongoing/longer than a year)"/>
    <x v="2"/>
  </r>
  <r>
    <n v="199"/>
    <x v="1"/>
    <n v="166"/>
    <x v="30"/>
    <n v="1100"/>
    <s v="KIKSTart"/>
    <n v="0"/>
    <n v="6"/>
    <n v="0"/>
    <n v="0"/>
    <n v="0"/>
    <n v="0"/>
    <s v="2 till 4 hrs/wk"/>
    <s v="31-40 weeks (4 quartiles)"/>
    <x v="2"/>
  </r>
  <r>
    <n v="199"/>
    <x v="1"/>
    <n v="166"/>
    <x v="30"/>
    <n v="1102"/>
    <s v="DiCie"/>
    <n v="4"/>
    <n v="3"/>
    <n v="0"/>
    <n v="0"/>
    <n v="0"/>
    <n v="0"/>
    <s v="&lt;2 hrs/wk"/>
    <s v="41-52 weeks (full year)"/>
    <x v="4"/>
  </r>
  <r>
    <n v="199"/>
    <x v="1"/>
    <n v="166"/>
    <x v="30"/>
    <n v="1103"/>
    <s v="FYCo"/>
    <n v="6"/>
    <n v="1"/>
    <n v="0"/>
    <n v="0"/>
    <n v="0"/>
    <n v="0"/>
    <s v="&lt;2 hrs/wk"/>
    <s v="41-52 weeks (full year)"/>
    <x v="4"/>
  </r>
  <r>
    <n v="199"/>
    <x v="1"/>
    <n v="166"/>
    <x v="30"/>
    <n v="1104"/>
    <s v="EduCo"/>
    <n v="3"/>
    <n v="1"/>
    <n v="3"/>
    <n v="0"/>
    <n v="0"/>
    <n v="0"/>
    <s v="&lt;2 hrs/wk"/>
    <s v="52+ weeks (ongoing/longer than a year)"/>
    <x v="4"/>
  </r>
  <r>
    <n v="199"/>
    <x v="1"/>
    <n v="166"/>
    <x v="30"/>
    <n v="1105"/>
    <s v="PaCo"/>
    <n v="3"/>
    <n v="2"/>
    <n v="0"/>
    <n v="0"/>
    <n v="0"/>
    <n v="0"/>
    <s v="&lt;2 hrs/wk"/>
    <s v="21-30 weeks (3 quartiles)"/>
    <x v="4"/>
  </r>
  <r>
    <n v="199"/>
    <x v="1"/>
    <n v="166"/>
    <x v="30"/>
    <n v="1107"/>
    <s v="The CaT"/>
    <n v="1"/>
    <n v="0"/>
    <n v="3"/>
    <n v="1"/>
    <n v="3"/>
    <n v="3"/>
    <s v="&lt;2 hrs/wk"/>
    <s v="52+ weeks (ongoing/longer than a year)"/>
    <x v="2"/>
  </r>
  <r>
    <n v="199"/>
    <x v="1"/>
    <n v="166"/>
    <x v="30"/>
    <n v="1109"/>
    <s v="ZeiCo"/>
    <n v="2"/>
    <n v="2"/>
    <n v="0"/>
    <n v="0"/>
    <n v="0"/>
    <n v="2"/>
    <s v="&lt;2 hrs/wk"/>
    <s v="21-30 weeks (3 quartiles)"/>
    <x v="2"/>
  </r>
  <r>
    <n v="199"/>
    <x v="1"/>
    <n v="166"/>
    <x v="30"/>
    <n v="1110"/>
    <s v="BuCo"/>
    <n v="0"/>
    <n v="0"/>
    <n v="1"/>
    <n v="4"/>
    <n v="3"/>
    <n v="4"/>
    <s v="2 till 4 hrs/wk"/>
    <s v="41-52 weeks (full year)"/>
    <x v="3"/>
  </r>
  <r>
    <n v="199"/>
    <x v="1"/>
    <n v="166"/>
    <x v="30"/>
    <n v="1111"/>
    <s v="BACo"/>
    <n v="0"/>
    <n v="1"/>
    <n v="1"/>
    <n v="2"/>
    <n v="3"/>
    <n v="4"/>
    <s v="&lt;2 hrs/wk"/>
    <s v="52+ weeks (ongoing/longer than a year)"/>
    <x v="2"/>
  </r>
  <r>
    <n v="199"/>
    <x v="1"/>
    <n v="166"/>
    <x v="30"/>
    <n v="1112"/>
    <s v="GameCie"/>
    <n v="2"/>
    <n v="2"/>
    <n v="0"/>
    <n v="1"/>
    <n v="0"/>
    <n v="0"/>
    <s v="&lt;2 hrs/wk"/>
    <s v="31-40 weeks (4 quartiles)"/>
    <x v="2"/>
  </r>
  <r>
    <n v="199"/>
    <x v="1"/>
    <n v="166"/>
    <x v="30"/>
    <n v="1113"/>
    <s v="hEROes"/>
    <n v="0"/>
    <n v="0"/>
    <n v="3"/>
    <n v="2"/>
    <n v="0"/>
    <n v="3"/>
    <s v="&lt;2 hrs/wk"/>
    <s v="52+ weeks (ongoing/longer than a year)"/>
    <x v="5"/>
  </r>
  <r>
    <n v="199"/>
    <x v="1"/>
    <n v="166"/>
    <x v="30"/>
    <n v="1114"/>
    <s v="BorrelCie"/>
    <n v="0"/>
    <n v="3"/>
    <n v="7"/>
    <n v="5"/>
    <n v="3"/>
    <n v="4"/>
    <s v="&lt;2 hrs/wk"/>
    <s v="52+ weeks (ongoing/longer than a year)"/>
    <x v="5"/>
  </r>
  <r>
    <n v="199"/>
    <x v="1"/>
    <n v="166"/>
    <x v="30"/>
    <n v="1115"/>
    <s v="COCo"/>
    <n v="0"/>
    <n v="5"/>
    <n v="1"/>
    <n v="0"/>
    <n v="0"/>
    <n v="0"/>
    <s v="&lt;2 hrs/wk"/>
    <s v="31-40 weeks (4 quartiles)"/>
    <x v="4"/>
  </r>
  <r>
    <n v="199"/>
    <x v="1"/>
    <n v="166"/>
    <x v="30"/>
    <n v="1116"/>
    <s v="MasterCie"/>
    <n v="0"/>
    <n v="0"/>
    <n v="0"/>
    <n v="4"/>
    <n v="5"/>
    <n v="0"/>
    <s v="&lt;2 hrs/wk"/>
    <s v="52+ weeks (ongoing/longer than a year)"/>
    <x v="4"/>
  </r>
  <r>
    <n v="199"/>
    <x v="1"/>
    <n v="166"/>
    <x v="30"/>
    <n v="1117"/>
    <s v="TraCey"/>
    <n v="0"/>
    <n v="1"/>
    <n v="3"/>
    <n v="2"/>
    <n v="1"/>
    <n v="6"/>
    <s v="&lt;2 hrs/wk"/>
    <s v="52+ weeks (ongoing/longer than a year)"/>
    <x v="4"/>
  </r>
  <r>
    <n v="199"/>
    <x v="1"/>
    <n v="166"/>
    <x v="30"/>
    <n v="1118"/>
    <s v="VOC"/>
    <n v="0"/>
    <n v="8"/>
    <n v="2"/>
    <n v="0"/>
    <n v="0"/>
    <n v="0"/>
    <s v="&lt;2 hrs/wk"/>
    <s v="31-40 weeks (4 quartiles)"/>
    <x v="2"/>
  </r>
  <r>
    <n v="199"/>
    <x v="1"/>
    <n v="166"/>
    <x v="30"/>
    <n v="1119"/>
    <s v="PaparaCie"/>
    <n v="0"/>
    <n v="0"/>
    <n v="6"/>
    <n v="3"/>
    <n v="0"/>
    <n v="1"/>
    <s v="&lt;2 hrs/wk"/>
    <s v="52+ weeks (ongoing/longer than a year)"/>
    <x v="5"/>
  </r>
  <r>
    <n v="199"/>
    <x v="1"/>
    <n v="166"/>
    <x v="30"/>
    <n v="1120"/>
    <s v="Cantus Senate"/>
    <n v="0"/>
    <n v="0"/>
    <n v="0"/>
    <n v="0"/>
    <n v="3"/>
    <n v="0"/>
    <s v="&lt;2 hrs/wk"/>
    <s v="52+ weeks (ongoing/longer than a year)"/>
    <x v="5"/>
  </r>
  <r>
    <n v="199"/>
    <x v="1"/>
    <n v="166"/>
    <x v="30"/>
    <n v="1122"/>
    <s v="CIACie"/>
    <n v="0"/>
    <n v="3"/>
    <n v="0"/>
    <n v="0"/>
    <n v="0"/>
    <n v="0"/>
    <s v="&lt;2 hrs/wk"/>
    <s v="11-20 weeks (2 quartiles)"/>
    <x v="2"/>
  </r>
  <r>
    <n v="199"/>
    <x v="1"/>
    <n v="166"/>
    <x v="30"/>
    <n v="1123"/>
    <s v="BorrelBestuur"/>
    <n v="0"/>
    <n v="0"/>
    <n v="3"/>
    <n v="0"/>
    <n v="0"/>
    <n v="0"/>
    <s v="&lt;2 hrs/wk"/>
    <s v="41-52 weeks (full year)"/>
    <x v="4"/>
  </r>
  <r>
    <n v="199"/>
    <x v="1"/>
    <n v="166"/>
    <x v="30"/>
    <n v="1124"/>
    <s v="KBR"/>
    <n v="0"/>
    <n v="0"/>
    <n v="5"/>
    <n v="0"/>
    <n v="0"/>
    <n v="0"/>
    <s v="2 till 4 hrs/wk"/>
    <s v="21-30 weeks (3 quartiles)"/>
    <x v="2"/>
  </r>
  <r>
    <n v="199"/>
    <x v="1"/>
    <n v="166"/>
    <x v="30"/>
    <n v="1127"/>
    <s v="Candidate Board"/>
    <n v="0"/>
    <n v="6"/>
    <n v="0"/>
    <n v="0"/>
    <n v="0"/>
    <n v="0"/>
    <s v="2 till 4 hrs/wk"/>
    <s v="11-20 weeks (2 quartiles)"/>
    <x v="2"/>
  </r>
  <r>
    <n v="199"/>
    <x v="1"/>
    <n v="166"/>
    <x v="30"/>
    <n v="1405"/>
    <s v="RecreaCie"/>
    <n v="2"/>
    <n v="3"/>
    <n v="2"/>
    <n v="0"/>
    <n v="0"/>
    <n v="0"/>
    <s v="&lt;2 hrs/wk"/>
    <s v="52+ weeks (ongoing/longer than a year)"/>
    <x v="2"/>
  </r>
  <r>
    <n v="199"/>
    <x v="1"/>
    <n v="166"/>
    <x v="30"/>
    <n v="1406"/>
    <s v="SympoCie"/>
    <n v="1"/>
    <n v="0"/>
    <n v="5"/>
    <n v="0"/>
    <n v="0"/>
    <n v="0"/>
    <s v="2 till 4 hrs/wk"/>
    <s v="41-52 weeks (full year)"/>
    <x v="2"/>
  </r>
  <r>
    <n v="200"/>
    <x v="0"/>
    <n v="167"/>
    <x v="31"/>
    <n v="1175"/>
    <s v="BACO"/>
    <n v="0"/>
    <m/>
    <m/>
    <m/>
    <m/>
    <n v="0"/>
    <s v="2 till 4 hrs/wk"/>
    <s v="52+ weeks (ongoing/longer than a year)"/>
    <x v="5"/>
  </r>
  <r>
    <n v="200"/>
    <x v="0"/>
    <n v="167"/>
    <x v="31"/>
    <n v="1176"/>
    <s v="BRAK"/>
    <m/>
    <m/>
    <m/>
    <m/>
    <m/>
    <n v="0"/>
    <s v="&lt;2 hrs/wk"/>
    <s v="52+ weeks (ongoing/longer than a year)"/>
    <x v="5"/>
  </r>
  <r>
    <n v="200"/>
    <x v="0"/>
    <n v="167"/>
    <x v="31"/>
    <n v="1177"/>
    <s v="Congres 2020"/>
    <m/>
    <m/>
    <m/>
    <m/>
    <m/>
    <n v="0"/>
    <s v="2 till 4 hrs/wk"/>
    <s v="31-40 weeks (4 quartiles)"/>
    <x v="1"/>
  </r>
  <r>
    <n v="200"/>
    <x v="0"/>
    <n v="167"/>
    <x v="31"/>
    <n v="1178"/>
    <s v="CuCo"/>
    <m/>
    <m/>
    <m/>
    <m/>
    <m/>
    <n v="0"/>
    <s v="&lt;2 hrs/wk"/>
    <s v="41-52 weeks (full year)"/>
    <x v="3"/>
  </r>
  <r>
    <n v="200"/>
    <x v="0"/>
    <n v="167"/>
    <x v="31"/>
    <n v="1179"/>
    <s v="ECO 2020"/>
    <n v="6"/>
    <n v="0"/>
    <n v="0"/>
    <n v="0"/>
    <n v="0"/>
    <n v="0"/>
    <s v="&lt;2 hrs/wk"/>
    <s v="41-52 weeks (full year)"/>
    <x v="3"/>
  </r>
  <r>
    <n v="200"/>
    <x v="0"/>
    <n v="167"/>
    <x v="31"/>
    <n v="1180"/>
    <s v="ESCo"/>
    <m/>
    <m/>
    <m/>
    <m/>
    <m/>
    <m/>
    <s v="&lt;2 hrs/wk"/>
    <s v="52+ weeks (ongoing/longer than a year)"/>
    <x v="2"/>
  </r>
  <r>
    <n v="200"/>
    <x v="0"/>
    <n v="167"/>
    <x v="31"/>
    <n v="1181"/>
    <s v="ExCom"/>
    <m/>
    <m/>
    <m/>
    <m/>
    <m/>
    <m/>
    <s v="&lt;2 hrs/wk"/>
    <s v="52+ weeks (ongoing/longer than a year)"/>
    <x v="5"/>
  </r>
  <r>
    <n v="200"/>
    <x v="0"/>
    <n v="167"/>
    <x v="31"/>
    <n v="1182"/>
    <s v="FyFy"/>
    <m/>
    <m/>
    <m/>
    <m/>
    <m/>
    <n v="0"/>
    <s v="2 till 4 hrs/wk"/>
    <s v="52+ weeks (ongoing/longer than a year)"/>
    <x v="3"/>
  </r>
  <r>
    <n v="200"/>
    <x v="0"/>
    <n v="167"/>
    <x v="31"/>
    <n v="1183"/>
    <s v="Gala 2020"/>
    <m/>
    <m/>
    <m/>
    <m/>
    <m/>
    <n v="0"/>
    <s v="2 till 4 hrs/wk"/>
    <s v="41-52 weeks (full year)"/>
    <x v="1"/>
  </r>
  <r>
    <n v="200"/>
    <x v="0"/>
    <n v="167"/>
    <x v="31"/>
    <n v="1184"/>
    <s v="Impuls"/>
    <m/>
    <m/>
    <m/>
    <m/>
    <m/>
    <m/>
    <s v="&lt;2 hrs/wk"/>
    <s v="52+ weeks (ongoing/longer than a year)"/>
    <x v="2"/>
  </r>
  <r>
    <n v="200"/>
    <x v="0"/>
    <n v="167"/>
    <x v="31"/>
    <n v="1185"/>
    <s v="Inanna"/>
    <m/>
    <m/>
    <m/>
    <m/>
    <m/>
    <n v="0"/>
    <s v="&lt;2 hrs/wk"/>
    <s v="52+ weeks (ongoing/longer than a year)"/>
    <x v="5"/>
  </r>
  <r>
    <n v="200"/>
    <x v="0"/>
    <n v="167"/>
    <x v="31"/>
    <n v="1186"/>
    <s v="KITN 2020"/>
    <n v="0"/>
    <n v="5"/>
    <n v="0"/>
    <n v="0"/>
    <n v="0"/>
    <n v="0"/>
    <s v="2 till 4 hrs/wk"/>
    <s v="41-52 weeks (full year)"/>
    <x v="1"/>
  </r>
  <r>
    <n v="200"/>
    <x v="0"/>
    <n v="167"/>
    <x v="31"/>
    <n v="1187"/>
    <s v="Lustrum 2020"/>
    <m/>
    <m/>
    <m/>
    <m/>
    <m/>
    <n v="0"/>
    <s v="&lt;2 hrs/wk"/>
    <s v="41-52 weeks (full year)"/>
    <x v="1"/>
  </r>
  <r>
    <n v="200"/>
    <x v="0"/>
    <n v="167"/>
    <x v="31"/>
    <n v="1188"/>
    <s v="Lustrumgala 2020"/>
    <m/>
    <m/>
    <m/>
    <m/>
    <m/>
    <n v="0"/>
    <s v="&lt;2 hrs/wk"/>
    <s v="31-40 weeks (4 quartiles)"/>
    <x v="2"/>
  </r>
  <r>
    <n v="200"/>
    <x v="0"/>
    <n v="167"/>
    <x v="31"/>
    <n v="1189"/>
    <s v="Mastercommittee"/>
    <n v="0"/>
    <n v="0"/>
    <n v="0"/>
    <n v="3"/>
    <n v="0"/>
    <n v="0"/>
    <s v="&lt;2 hrs/wk"/>
    <s v="52+ weeks (ongoing/longer than a year)"/>
    <x v="1"/>
  </r>
  <r>
    <n v="200"/>
    <x v="0"/>
    <n v="167"/>
    <x v="31"/>
    <n v="1190"/>
    <s v="Matunda"/>
    <m/>
    <m/>
    <m/>
    <m/>
    <m/>
    <m/>
    <s v="&lt;2 hrs/wk"/>
    <s v="52+ weeks (ongoing/longer than a year)"/>
    <x v="5"/>
  </r>
  <r>
    <n v="200"/>
    <x v="0"/>
    <n v="167"/>
    <x v="31"/>
    <n v="1191"/>
    <s v="Na-Intro 2020"/>
    <m/>
    <m/>
    <m/>
    <m/>
    <m/>
    <n v="0"/>
    <s v="&lt;2 hrs/wk"/>
    <s v="41-52 weeks (full year)"/>
    <x v="5"/>
  </r>
  <r>
    <n v="200"/>
    <x v="0"/>
    <n v="167"/>
    <x v="31"/>
    <n v="1193"/>
    <s v="Ouderdag 2020"/>
    <n v="4"/>
    <m/>
    <m/>
    <m/>
    <m/>
    <n v="0"/>
    <s v="&lt;2 hrs/wk"/>
    <s v="41-52 weeks (full year)"/>
    <x v="1"/>
  </r>
  <r>
    <n v="200"/>
    <x v="0"/>
    <n v="167"/>
    <x v="31"/>
    <n v="1195"/>
    <s v="ACE"/>
    <m/>
    <m/>
    <m/>
    <m/>
    <m/>
    <n v="0"/>
    <s v="&lt;2 hrs/wk"/>
    <s v="52+ weeks (ongoing/longer than a year)"/>
    <x v="2"/>
  </r>
  <r>
    <n v="200"/>
    <x v="0"/>
    <n v="167"/>
    <x v="31"/>
    <n v="1196"/>
    <s v="BROO"/>
    <m/>
    <m/>
    <m/>
    <m/>
    <m/>
    <n v="0"/>
    <s v="&lt;2 hrs/wk"/>
    <s v="52+ weeks (ongoing/longer than a year)"/>
    <x v="2"/>
  </r>
  <r>
    <n v="200"/>
    <x v="0"/>
    <n v="167"/>
    <x v="31"/>
    <n v="1197"/>
    <s v="CA"/>
    <m/>
    <m/>
    <m/>
    <m/>
    <m/>
    <n v="0"/>
    <s v="&lt;2 hrs/wk"/>
    <s v="52+ weeks (ongoing/longer than a year)"/>
    <x v="3"/>
  </r>
  <r>
    <n v="200"/>
    <x v="0"/>
    <n v="167"/>
    <x v="31"/>
    <n v="1199"/>
    <s v="FCC"/>
    <m/>
    <m/>
    <m/>
    <m/>
    <m/>
    <n v="0"/>
    <s v="&lt;2 hrs/wk"/>
    <s v="52+ weeks (ongoing/longer than a year)"/>
    <x v="2"/>
  </r>
  <r>
    <n v="200"/>
    <x v="0"/>
    <n v="167"/>
    <x v="31"/>
    <n v="1200"/>
    <s v="Kandidaat-bestuur 114"/>
    <m/>
    <m/>
    <m/>
    <m/>
    <m/>
    <n v="0"/>
    <s v="&lt;2 hrs/wk"/>
    <s v="41-52 weeks (full year)"/>
    <x v="1"/>
  </r>
  <r>
    <n v="200"/>
    <x v="0"/>
    <n v="167"/>
    <x v="31"/>
    <n v="1201"/>
    <s v="KasCo"/>
    <m/>
    <m/>
    <m/>
    <m/>
    <m/>
    <m/>
    <s v="&lt;2 hrs/wk"/>
    <s v="52+ weeks (ongoing/longer than a year)"/>
    <x v="2"/>
  </r>
  <r>
    <n v="200"/>
    <x v="0"/>
    <n v="167"/>
    <x v="31"/>
    <n v="1202"/>
    <s v="PrivaCie"/>
    <m/>
    <m/>
    <m/>
    <m/>
    <m/>
    <m/>
    <s v="&lt;2 hrs/wk"/>
    <s v="52+ weeks (ongoing/longer than a year)"/>
    <x v="2"/>
  </r>
  <r>
    <n v="200"/>
    <x v="0"/>
    <n v="167"/>
    <x v="31"/>
    <n v="1203"/>
    <s v="Arago-ambassadeurs"/>
    <m/>
    <m/>
    <m/>
    <m/>
    <m/>
    <m/>
    <s v="&lt;2 hrs/wk"/>
    <s v="52+ weeks (ongoing/longer than a year)"/>
    <x v="5"/>
  </r>
  <r>
    <n v="200"/>
    <x v="0"/>
    <n v="167"/>
    <x v="31"/>
    <n v="1204"/>
    <s v="BHV"/>
    <m/>
    <m/>
    <m/>
    <m/>
    <m/>
    <m/>
    <s v="5 till 8 hrs/wk"/>
    <s v="52+ weeks (ongoing/longer than a year)"/>
    <x v="5"/>
  </r>
  <r>
    <n v="200"/>
    <x v="0"/>
    <n v="167"/>
    <x v="31"/>
    <n v="1205"/>
    <s v="CCCP"/>
    <m/>
    <m/>
    <m/>
    <m/>
    <m/>
    <m/>
    <s v="5 till 8 hrs/wk"/>
    <s v="52+ weeks (ongoing/longer than a year)"/>
    <x v="1"/>
  </r>
  <r>
    <n v="200"/>
    <x v="0"/>
    <n v="167"/>
    <x v="31"/>
    <n v="1206"/>
    <s v="CCELV"/>
    <m/>
    <m/>
    <m/>
    <m/>
    <m/>
    <m/>
    <s v="&lt;2 hrs/wk"/>
    <s v="52+ weeks (ongoing/longer than a year)"/>
    <x v="5"/>
  </r>
  <r>
    <n v="200"/>
    <x v="0"/>
    <n v="167"/>
    <x v="31"/>
    <n v="1207"/>
    <s v="FYSICA 2020"/>
    <m/>
    <m/>
    <m/>
    <m/>
    <m/>
    <m/>
    <s v="&lt;2 hrs/wk"/>
    <s v="41-52 weeks (full year)"/>
    <x v="5"/>
  </r>
  <r>
    <n v="200"/>
    <x v="0"/>
    <n v="167"/>
    <x v="31"/>
    <n v="1208"/>
    <s v="Kamerdienstpool"/>
    <m/>
    <m/>
    <m/>
    <m/>
    <m/>
    <m/>
    <s v="&lt;2 hrs/wk"/>
    <s v="52+ weeks (ongoing/longer than a year)"/>
    <x v="5"/>
  </r>
  <r>
    <n v="200"/>
    <x v="0"/>
    <n v="167"/>
    <x v="31"/>
    <n v="1209"/>
    <s v="LexiCom"/>
    <m/>
    <m/>
    <m/>
    <m/>
    <m/>
    <m/>
    <s v="&lt;2 hrs/wk"/>
    <s v="52+ weeks (ongoing/longer than a year)"/>
    <x v="5"/>
  </r>
  <r>
    <n v="200"/>
    <x v="0"/>
    <n v="167"/>
    <x v="31"/>
    <n v="1210"/>
    <s v="OGG"/>
    <m/>
    <m/>
    <m/>
    <m/>
    <m/>
    <m/>
    <s v="&lt;2 hrs/wk"/>
    <s v="52+ weeks (ongoing/longer than a year)"/>
    <x v="1"/>
  </r>
  <r>
    <n v="200"/>
    <x v="0"/>
    <n v="167"/>
    <x v="31"/>
    <n v="1211"/>
    <s v="THEE"/>
    <m/>
    <m/>
    <m/>
    <m/>
    <m/>
    <m/>
    <s v="&lt;2 hrs/wk"/>
    <s v="52+ weeks (ongoing/longer than a year)"/>
    <x v="5"/>
  </r>
  <r>
    <n v="200"/>
    <x v="0"/>
    <n v="167"/>
    <x v="31"/>
    <n v="1212"/>
    <s v="Webber"/>
    <m/>
    <m/>
    <m/>
    <m/>
    <m/>
    <m/>
    <s v="5 till 8 hrs/wk"/>
    <s v="52+ weeks (ongoing/longer than a year)"/>
    <x v="1"/>
  </r>
  <r>
    <n v="200"/>
    <x v="0"/>
    <n v="167"/>
    <x v="31"/>
    <n v="1213"/>
    <s v="SOTN"/>
    <m/>
    <m/>
    <m/>
    <m/>
    <m/>
    <m/>
    <s v="&lt;2 hrs/wk"/>
    <s v="52+ weeks (ongoing/longer than a year)"/>
    <x v="5"/>
  </r>
  <r>
    <n v="200"/>
    <x v="0"/>
    <n v="167"/>
    <x v="31"/>
    <n v="1214"/>
    <s v="Focus"/>
    <m/>
    <m/>
    <m/>
    <m/>
    <m/>
    <m/>
    <s v="&lt;2 hrs/wk"/>
    <s v="52+ weeks (ongoing/longer than a year)"/>
    <x v="1"/>
  </r>
  <r>
    <n v="200"/>
    <x v="0"/>
    <n v="167"/>
    <x v="31"/>
    <n v="1215"/>
    <s v="Geschiedenisboek 2020"/>
    <m/>
    <m/>
    <m/>
    <m/>
    <m/>
    <m/>
    <s v="&lt;2 hrs/wk"/>
    <s v="52+ weeks (ongoing/longer than a year)"/>
    <x v="5"/>
  </r>
  <r>
    <n v="200"/>
    <x v="0"/>
    <n v="167"/>
    <x v="31"/>
    <n v="1216"/>
    <s v="KLAT"/>
    <m/>
    <m/>
    <m/>
    <m/>
    <m/>
    <m/>
    <s v="&lt;2 hrs/wk"/>
    <s v="52+ weeks (ongoing/longer than a year)"/>
    <x v="1"/>
  </r>
  <r>
    <n v="200"/>
    <x v="0"/>
    <n v="167"/>
    <x v="31"/>
    <n v="1217"/>
    <s v="Objectief"/>
    <m/>
    <m/>
    <m/>
    <m/>
    <m/>
    <m/>
    <s v="&lt;2 hrs/wk"/>
    <s v="52+ weeks (ongoing/longer than a year)"/>
    <x v="5"/>
  </r>
  <r>
    <n v="200"/>
    <x v="0"/>
    <n v="167"/>
    <x v="31"/>
    <n v="1218"/>
    <s v="BE 2019"/>
    <m/>
    <m/>
    <m/>
    <m/>
    <m/>
    <m/>
    <s v="5 till 8 hrs/wk"/>
    <s v="52+ weeks (ongoing/longer than a year)"/>
    <x v="1"/>
  </r>
  <r>
    <n v="200"/>
    <x v="0"/>
    <n v="167"/>
    <x v="31"/>
    <n v="1219"/>
    <s v="BE 2021"/>
    <m/>
    <m/>
    <m/>
    <m/>
    <m/>
    <m/>
    <s v="5 till 8 hrs/wk"/>
    <s v="52+ weeks (ongoing/longer than a year)"/>
    <x v="1"/>
  </r>
  <r>
    <n v="200"/>
    <x v="0"/>
    <n v="167"/>
    <x v="31"/>
    <n v="1220"/>
    <s v="Europareis 2020"/>
    <m/>
    <m/>
    <m/>
    <m/>
    <m/>
    <m/>
    <s v="&lt;2 hrs/wk"/>
    <s v="52+ weeks (ongoing/longer than a year)"/>
    <x v="5"/>
  </r>
  <r>
    <n v="200"/>
    <x v="0"/>
    <n v="167"/>
    <x v="31"/>
    <n v="1538"/>
    <s v="Board 94"/>
    <m/>
    <m/>
    <m/>
    <m/>
    <m/>
    <m/>
    <s v="30+ hrs/wk"/>
    <s v="41-52 weeks (full year)"/>
    <x v="1"/>
  </r>
  <r>
    <n v="200"/>
    <x v="0"/>
    <n v="167"/>
    <x v="31"/>
    <n v="1539"/>
    <s v="GAMER"/>
    <m/>
    <m/>
    <m/>
    <m/>
    <m/>
    <m/>
    <s v="&lt;2 hrs/wk"/>
    <s v="52+ weeks (ongoing/longer than a year)"/>
    <x v="1"/>
  </r>
  <r>
    <n v="200"/>
    <x v="0"/>
    <n v="167"/>
    <x v="31"/>
    <n v="1541"/>
    <s v="s-VARA-go"/>
    <m/>
    <m/>
    <m/>
    <m/>
    <m/>
    <m/>
    <s v="&lt;2 hrs/wk"/>
    <s v="52+ weeks (ongoing/longer than a year)"/>
    <x v="1"/>
  </r>
  <r>
    <n v="200"/>
    <x v="0"/>
    <n v="167"/>
    <x v="31"/>
    <n v="1542"/>
    <s v="TACo"/>
    <m/>
    <m/>
    <m/>
    <m/>
    <m/>
    <m/>
    <s v="&lt;2 hrs/wk"/>
    <s v="52+ weeks (ongoing/longer than a year)"/>
    <x v="0"/>
  </r>
  <r>
    <n v="201"/>
    <x v="1"/>
    <n v="168"/>
    <x v="32"/>
    <n v="660"/>
    <s v="Atac"/>
    <n v="6"/>
    <n v="0"/>
    <n v="0"/>
    <n v="0"/>
    <n v="0"/>
    <n v="0"/>
    <s v="&lt;2 hrs/wk"/>
    <s v="41-52 weeks (full year)"/>
    <x v="3"/>
  </r>
  <r>
    <n v="201"/>
    <x v="1"/>
    <n v="168"/>
    <x v="32"/>
    <n v="661"/>
    <s v="ATtentie"/>
    <n v="1"/>
    <n v="2"/>
    <n v="2"/>
    <n v="2"/>
    <n v="2"/>
    <n v="1"/>
    <s v="&lt;2 hrs/wk"/>
    <s v="52+ weeks (ongoing/longer than a year)"/>
    <x v="2"/>
  </r>
  <r>
    <n v="201"/>
    <x v="1"/>
    <n v="168"/>
    <x v="32"/>
    <n v="662"/>
    <s v="BOSS"/>
    <n v="0"/>
    <n v="3"/>
    <n v="7"/>
    <n v="6"/>
    <n v="2"/>
    <n v="4"/>
    <s v="2 till 4 hrs/wk"/>
    <s v="52+ weeks (ongoing/longer than a year)"/>
    <x v="5"/>
  </r>
  <r>
    <n v="201"/>
    <x v="1"/>
    <n v="168"/>
    <x v="32"/>
    <n v="663"/>
    <s v="Commiski"/>
    <n v="0"/>
    <n v="1"/>
    <n v="1"/>
    <n v="1"/>
    <n v="0"/>
    <n v="0"/>
    <s v="&lt;2 hrs/wk"/>
    <s v="11-20 weeks (2 quartiles)"/>
    <x v="5"/>
  </r>
  <r>
    <n v="201"/>
    <x v="1"/>
    <n v="168"/>
    <x v="32"/>
    <n v="664"/>
    <s v="Cupico"/>
    <n v="0"/>
    <n v="2"/>
    <n v="2"/>
    <n v="0"/>
    <n v="0"/>
    <n v="0"/>
    <s v="&lt;2 hrs/wk"/>
    <s v="31-40 weeks (4 quartiles)"/>
    <x v="4"/>
  </r>
  <r>
    <n v="201"/>
    <x v="1"/>
    <n v="168"/>
    <x v="32"/>
    <n v="666"/>
    <s v="Flitcie"/>
    <n v="4"/>
    <n v="5"/>
    <n v="2"/>
    <n v="4"/>
    <n v="1"/>
    <n v="0"/>
    <s v="&lt;2 hrs/wk"/>
    <s v="52+ weeks (ongoing/longer than a year)"/>
    <x v="5"/>
  </r>
  <r>
    <n v="201"/>
    <x v="1"/>
    <n v="168"/>
    <x v="32"/>
    <n v="667"/>
    <s v="Kasco"/>
    <n v="0"/>
    <n v="0"/>
    <n v="1"/>
    <n v="3"/>
    <n v="1"/>
    <n v="0"/>
    <s v="&lt;2 hrs/wk"/>
    <s v="52+ weeks (ongoing/longer than a year)"/>
    <x v="2"/>
  </r>
  <r>
    <n v="201"/>
    <x v="1"/>
    <n v="168"/>
    <x v="32"/>
    <n v="668"/>
    <s v="Lustrum"/>
    <n v="0"/>
    <n v="1"/>
    <n v="6"/>
    <n v="4"/>
    <n v="0"/>
    <n v="0"/>
    <s v="2 till 4 hrs/wk"/>
    <s v="52+ weeks (ongoing/longer than a year)"/>
    <x v="4"/>
  </r>
  <r>
    <n v="201"/>
    <x v="1"/>
    <n v="168"/>
    <x v="32"/>
    <n v="669"/>
    <s v="Nanco"/>
    <n v="0"/>
    <n v="0"/>
    <n v="1"/>
    <n v="3"/>
    <n v="1"/>
    <n v="0"/>
    <s v="&lt;2 hrs/wk"/>
    <s v="41-52 weeks (full year)"/>
    <x v="5"/>
  </r>
  <r>
    <n v="201"/>
    <x v="1"/>
    <n v="168"/>
    <x v="32"/>
    <n v="670"/>
    <s v="RvA"/>
    <n v="0"/>
    <n v="0"/>
    <n v="1"/>
    <n v="3"/>
    <n v="2"/>
    <n v="0"/>
    <s v="&lt;2 hrs/wk"/>
    <s v="52+ weeks (ongoing/longer than a year)"/>
    <x v="4"/>
  </r>
  <r>
    <n v="201"/>
    <x v="1"/>
    <n v="168"/>
    <x v="32"/>
    <n v="671"/>
    <s v="Tipcie"/>
    <n v="0"/>
    <n v="3"/>
    <n v="3"/>
    <n v="0"/>
    <n v="0"/>
    <n v="0"/>
    <s v="&lt;2 hrs/wk"/>
    <s v="41-52 weeks (full year)"/>
    <x v="5"/>
  </r>
  <r>
    <n v="201"/>
    <x v="1"/>
    <n v="168"/>
    <x v="32"/>
    <n v="672"/>
    <s v="Galacie"/>
    <n v="0"/>
    <n v="2"/>
    <n v="4"/>
    <n v="0"/>
    <n v="0"/>
    <n v="0"/>
    <s v="&lt;2 hrs/wk"/>
    <s v="11-20 weeks (2 quartiles)"/>
    <x v="5"/>
  </r>
  <r>
    <n v="201"/>
    <x v="1"/>
    <n v="168"/>
    <x v="32"/>
    <n v="673"/>
    <s v="Kitcat"/>
    <n v="0"/>
    <n v="3"/>
    <n v="5"/>
    <n v="0"/>
    <n v="0"/>
    <n v="0"/>
    <s v="5 till 8 hrs/wk"/>
    <s v="41-52 weeks (full year)"/>
    <x v="1"/>
  </r>
  <r>
    <n v="201"/>
    <x v="1"/>
    <n v="168"/>
    <x v="32"/>
    <n v="674"/>
    <s v="MaC"/>
    <n v="0"/>
    <n v="0"/>
    <n v="2"/>
    <n v="4"/>
    <n v="0"/>
    <n v="0"/>
    <s v="&lt;2 hrs/wk"/>
    <s v="31-40 weeks (4 quartiles)"/>
    <x v="5"/>
  </r>
  <r>
    <n v="201"/>
    <x v="1"/>
    <n v="168"/>
    <x v="32"/>
    <n v="675"/>
    <s v="Nicat"/>
    <n v="6"/>
    <n v="4"/>
    <n v="1"/>
    <n v="0"/>
    <n v="0"/>
    <n v="0"/>
    <s v="&lt;2 hrs/wk"/>
    <s v="31-40 weeks (4 quartiles)"/>
    <x v="4"/>
  </r>
  <r>
    <n v="201"/>
    <x v="1"/>
    <n v="168"/>
    <x v="32"/>
    <n v="676"/>
    <s v="Sportco"/>
    <n v="3"/>
    <n v="1"/>
    <n v="2"/>
    <n v="0"/>
    <n v="0"/>
    <n v="0"/>
    <s v="&lt;2 hrs/wk"/>
    <s v="41-52 weeks (full year)"/>
    <x v="4"/>
  </r>
  <r>
    <n v="201"/>
    <x v="1"/>
    <n v="168"/>
    <x v="32"/>
    <n v="677"/>
    <s v="Sympocie"/>
    <n v="0"/>
    <n v="0"/>
    <n v="2"/>
    <n v="4"/>
    <n v="0"/>
    <n v="0"/>
    <s v="2 till 4 hrs/wk"/>
    <s v="21-30 weeks (3 quartiles)"/>
    <x v="3"/>
  </r>
  <r>
    <n v="201"/>
    <x v="1"/>
    <n v="168"/>
    <x v="32"/>
    <n v="678"/>
    <s v="Zeilcie"/>
    <n v="4"/>
    <n v="2"/>
    <n v="1"/>
    <n v="0"/>
    <n v="0"/>
    <n v="0"/>
    <s v="&lt;2 hrs/wk"/>
    <s v="11-20 weeks (2 quartiles)"/>
    <x v="5"/>
  </r>
  <r>
    <n v="201"/>
    <x v="1"/>
    <n v="168"/>
    <x v="32"/>
    <n v="679"/>
    <s v="Yacca"/>
    <n v="0"/>
    <n v="1"/>
    <n v="3"/>
    <n v="1"/>
    <n v="0"/>
    <n v="0"/>
    <s v="&lt;2 hrs/wk"/>
    <s v="11-20 weeks (2 quartiles)"/>
    <x v="2"/>
  </r>
  <r>
    <n v="201"/>
    <x v="1"/>
    <n v="168"/>
    <x v="32"/>
    <n v="680"/>
    <s v="Bucom"/>
    <n v="0"/>
    <n v="1"/>
    <n v="8"/>
    <n v="0"/>
    <n v="0"/>
    <n v="0"/>
    <s v="2 till 4 hrs/wk"/>
    <s v="21-30 weeks (3 quartiles)"/>
    <x v="5"/>
  </r>
  <r>
    <n v="201"/>
    <x v="1"/>
    <n v="168"/>
    <x v="32"/>
    <n v="682"/>
    <s v="Comcon"/>
    <n v="2"/>
    <n v="1"/>
    <n v="1"/>
    <n v="0"/>
    <n v="0"/>
    <n v="0"/>
    <s v="&lt;2 hrs/wk"/>
    <s v="41-52 weeks (full year)"/>
    <x v="4"/>
  </r>
  <r>
    <n v="201"/>
    <x v="1"/>
    <n v="168"/>
    <x v="32"/>
    <n v="684"/>
    <s v="LoA"/>
    <n v="3"/>
    <n v="2"/>
    <n v="2"/>
    <n v="1"/>
    <n v="0"/>
    <n v="0"/>
    <s v="&lt;2 hrs/wk"/>
    <s v="41-52 weeks (full year)"/>
    <x v="4"/>
  </r>
  <r>
    <n v="201"/>
    <x v="1"/>
    <n v="168"/>
    <x v="32"/>
    <n v="685"/>
    <s v="Oucie"/>
    <n v="2"/>
    <n v="2"/>
    <n v="0"/>
    <n v="0"/>
    <n v="0"/>
    <n v="0"/>
    <s v="&lt;2 hrs/wk"/>
    <s v="11-20 weeks (2 quartiles)"/>
    <x v="2"/>
  </r>
  <r>
    <n v="201"/>
    <x v="1"/>
    <n v="168"/>
    <x v="32"/>
    <n v="836"/>
    <s v="Imco"/>
    <n v="0"/>
    <n v="4"/>
    <n v="4"/>
    <n v="1"/>
    <n v="1"/>
    <n v="0"/>
    <s v="&lt;2 hrs/wk"/>
    <s v="41-52 weeks (full year)"/>
    <x v="3"/>
  </r>
  <r>
    <n v="201"/>
    <x v="1"/>
    <n v="168"/>
    <x v="32"/>
    <n v="1465"/>
    <s v="ITCo"/>
    <n v="6"/>
    <n v="4"/>
    <n v="3"/>
    <n v="0"/>
    <n v="4"/>
    <n v="2"/>
    <s v="2 till 4 hrs/wk"/>
    <s v="52+ weeks (ongoing/longer than a year)"/>
    <x v="3"/>
  </r>
  <r>
    <n v="201"/>
    <x v="1"/>
    <n v="168"/>
    <x v="32"/>
    <n v="1466"/>
    <s v="Deco"/>
    <n v="1"/>
    <n v="2"/>
    <n v="5"/>
    <n v="0"/>
    <n v="0"/>
    <n v="0"/>
    <s v="&lt;2 hrs/wk"/>
    <s v="31-40 weeks (4 quartiles)"/>
    <x v="2"/>
  </r>
  <r>
    <n v="201"/>
    <x v="1"/>
    <n v="168"/>
    <x v="32"/>
    <n v="1467"/>
    <s v="educo"/>
    <n v="1"/>
    <n v="2"/>
    <n v="3"/>
    <n v="2"/>
    <n v="0"/>
    <n v="0"/>
    <s v="&lt;2 hrs/wk"/>
    <s v="52+ weeks (ongoing/longer than a year)"/>
    <x v="4"/>
  </r>
  <r>
    <n v="202"/>
    <x v="1"/>
    <n v="169"/>
    <x v="33"/>
    <n v="565"/>
    <s v="Study Association Board"/>
    <n v="0"/>
    <n v="6"/>
    <n v="0"/>
    <n v="0"/>
    <n v="0"/>
    <n v="0"/>
    <s v="17 till 29 hrs/wk"/>
    <s v="41-52 weeks (full year)"/>
    <x v="4"/>
  </r>
  <r>
    <n v="202"/>
    <x v="1"/>
    <n v="169"/>
    <x v="33"/>
    <n v="566"/>
    <s v="Kick-In Committee"/>
    <n v="4"/>
    <n v="2"/>
    <n v="0"/>
    <n v="0"/>
    <n v="0"/>
    <n v="0"/>
    <s v="2 till 4 hrs/wk"/>
    <s v="41-52 weeks (full year)"/>
    <x v="3"/>
  </r>
  <r>
    <n v="202"/>
    <x v="1"/>
    <n v="169"/>
    <x v="33"/>
    <n v="567"/>
    <s v="Activity Committee"/>
    <n v="2"/>
    <n v="1"/>
    <n v="0"/>
    <n v="1"/>
    <n v="0"/>
    <n v="0"/>
    <s v="2 till 4 hrs/wk"/>
    <s v="31-40 weeks (4 quartiles)"/>
    <x v="2"/>
  </r>
  <r>
    <n v="202"/>
    <x v="1"/>
    <n v="169"/>
    <x v="33"/>
    <n v="568"/>
    <s v="Educational Committee"/>
    <n v="6"/>
    <n v="7"/>
    <n v="5"/>
    <n v="0"/>
    <n v="0"/>
    <n v="0"/>
    <s v="2 till 4 hrs/wk"/>
    <s v="31-40 weeks (4 quartiles)"/>
    <x v="2"/>
  </r>
  <r>
    <n v="202"/>
    <x v="1"/>
    <n v="169"/>
    <x v="33"/>
    <n v="569"/>
    <s v="External Relations Committee"/>
    <n v="3"/>
    <n v="4"/>
    <n v="0"/>
    <n v="0"/>
    <n v="0"/>
    <n v="0"/>
    <s v="2 till 4 hrs/wk"/>
    <s v="31-40 weeks (4 quartiles)"/>
    <x v="3"/>
  </r>
  <r>
    <n v="202"/>
    <x v="1"/>
    <n v="169"/>
    <x v="33"/>
    <n v="570"/>
    <s v="Community Diversity Committee"/>
    <n v="3"/>
    <n v="2"/>
    <n v="0"/>
    <n v="0"/>
    <n v="0"/>
    <n v="0"/>
    <s v="&lt;2 hrs/wk"/>
    <s v="31-40 weeks (4 quartiles)"/>
    <x v="4"/>
  </r>
  <r>
    <n v="202"/>
    <x v="1"/>
    <n v="169"/>
    <x v="33"/>
    <n v="571"/>
    <s v="Connection Committee"/>
    <n v="5"/>
    <n v="2"/>
    <n v="0"/>
    <n v="0"/>
    <n v="0"/>
    <n v="0"/>
    <s v="2 till 4 hrs/wk"/>
    <s v="31-40 weeks (4 quartiles)"/>
    <x v="2"/>
  </r>
  <r>
    <n v="202"/>
    <x v="1"/>
    <n v="169"/>
    <x v="33"/>
    <n v="572"/>
    <s v="Study Trip Committee"/>
    <n v="3"/>
    <n v="2"/>
    <n v="1"/>
    <n v="0"/>
    <n v="0"/>
    <n v="0"/>
    <s v="2 till 4 hrs/wk"/>
    <s v="31-40 weeks (4 quartiles)"/>
    <x v="5"/>
  </r>
  <r>
    <n v="202"/>
    <x v="1"/>
    <n v="169"/>
    <x v="33"/>
    <n v="573"/>
    <s v="Public Relations Committee"/>
    <n v="4"/>
    <n v="1"/>
    <n v="0"/>
    <n v="0"/>
    <n v="0"/>
    <n v="0"/>
    <s v="2 till 4 hrs/wk"/>
    <s v="31-40 weeks (4 quartiles)"/>
    <x v="4"/>
  </r>
  <r>
    <n v="202"/>
    <x v="1"/>
    <n v="169"/>
    <x v="33"/>
    <n v="574"/>
    <s v="Media Committee"/>
    <n v="2"/>
    <n v="2"/>
    <n v="0"/>
    <n v="0"/>
    <n v="0"/>
    <n v="0"/>
    <s v="&lt;2 hrs/wk"/>
    <s v="31-40 weeks (4 quartiles)"/>
    <x v="5"/>
  </r>
  <r>
    <n v="202"/>
    <x v="1"/>
    <n v="169"/>
    <x v="33"/>
    <n v="575"/>
    <s v="Finance Committee"/>
    <n v="0"/>
    <n v="1"/>
    <n v="2"/>
    <n v="1"/>
    <n v="0"/>
    <n v="1"/>
    <s v="&lt;2 hrs/wk"/>
    <s v="41-52 weeks (full year)"/>
    <x v="4"/>
  </r>
  <r>
    <n v="202"/>
    <x v="1"/>
    <n v="169"/>
    <x v="33"/>
    <n v="576"/>
    <s v="Snow Committee"/>
    <n v="2"/>
    <n v="3"/>
    <n v="0"/>
    <n v="0"/>
    <n v="0"/>
    <n v="0"/>
    <s v="&lt;2 hrs/wk"/>
    <s v="31-40 weeks (4 quartiles)"/>
    <x v="5"/>
  </r>
  <r>
    <n v="202"/>
    <x v="1"/>
    <n v="169"/>
    <x v="33"/>
    <n v="577"/>
    <s v="Drinks Committee"/>
    <n v="2"/>
    <n v="2"/>
    <n v="2"/>
    <n v="0"/>
    <n v="0"/>
    <n v="0"/>
    <s v="2 till 4 hrs/wk"/>
    <s v="31-40 weeks (4 quartiles)"/>
    <x v="4"/>
  </r>
  <r>
    <n v="202"/>
    <x v="1"/>
    <n v="169"/>
    <x v="33"/>
    <n v="578"/>
    <s v="Sports Committee"/>
    <n v="3"/>
    <n v="1"/>
    <n v="0"/>
    <n v="0"/>
    <n v="0"/>
    <n v="0"/>
    <s v="&lt;2 hrs/wk"/>
    <s v="31-40 weeks (4 quartiles)"/>
    <x v="5"/>
  </r>
  <r>
    <n v="202"/>
    <x v="1"/>
    <n v="169"/>
    <x v="33"/>
    <n v="579"/>
    <s v="Yearbook Committee"/>
    <n v="5"/>
    <n v="1"/>
    <n v="0"/>
    <n v="0"/>
    <n v="0"/>
    <n v="0"/>
    <s v="2 till 4 hrs/wk"/>
    <s v="31-40 weeks (4 quartiles)"/>
    <x v="2"/>
  </r>
  <r>
    <n v="202"/>
    <x v="1"/>
    <n v="169"/>
    <x v="33"/>
    <n v="580"/>
    <s v="Statutes Committee"/>
    <n v="0"/>
    <n v="2"/>
    <n v="1"/>
    <n v="2"/>
    <n v="0"/>
    <n v="0"/>
    <s v="&lt;2 hrs/wk"/>
    <s v="52+ weeks (ongoing/longer than a year)"/>
    <x v="2"/>
  </r>
  <r>
    <n v="202"/>
    <x v="1"/>
    <n v="169"/>
    <x v="33"/>
    <n v="581"/>
    <s v="Prom Committee"/>
    <n v="1"/>
    <n v="0"/>
    <n v="1"/>
    <n v="0"/>
    <n v="0"/>
    <n v="0"/>
    <s v="2 till 4 hrs/wk"/>
    <s v="31-40 weeks (4 quartiles)"/>
    <x v="5"/>
  </r>
  <r>
    <n v="202"/>
    <x v="1"/>
    <n v="169"/>
    <x v="33"/>
    <n v="583"/>
    <s v="Fish Committee"/>
    <n v="2"/>
    <n v="0"/>
    <n v="1"/>
    <n v="0"/>
    <n v="0"/>
    <n v="0"/>
    <s v="&lt;2 hrs/wk"/>
    <s v="41-52 weeks (full year)"/>
    <x v="5"/>
  </r>
  <r>
    <n v="202"/>
    <x v="1"/>
    <n v="169"/>
    <x v="33"/>
    <n v="584"/>
    <s v="Honour Code Committee"/>
    <n v="3"/>
    <n v="1"/>
    <n v="1"/>
    <n v="0"/>
    <n v="0"/>
    <n v="1"/>
    <s v="2 till 4 hrs/wk"/>
    <s v="41-52 weeks (full year)"/>
    <x v="3"/>
  </r>
  <r>
    <n v="202"/>
    <x v="1"/>
    <n v="169"/>
    <x v="33"/>
    <n v="585"/>
    <s v="Room Committee"/>
    <n v="4"/>
    <n v="0"/>
    <n v="1"/>
    <n v="0"/>
    <n v="0"/>
    <n v="0"/>
    <s v="&lt;2 hrs/wk"/>
    <s v="31-40 weeks (4 quartiles)"/>
    <x v="5"/>
  </r>
  <r>
    <n v="202"/>
    <x v="1"/>
    <n v="169"/>
    <x v="33"/>
    <n v="586"/>
    <s v="Educational Activity and Book Committee"/>
    <n v="3"/>
    <n v="1"/>
    <n v="1"/>
    <n v="0"/>
    <n v="0"/>
    <n v="1"/>
    <s v="&lt;2 hrs/wk"/>
    <s v="31-40 weeks (4 quartiles)"/>
    <x v="4"/>
  </r>
  <r>
    <n v="202"/>
    <x v="1"/>
    <n v="169"/>
    <x v="33"/>
    <n v="587"/>
    <s v="Advisory Body"/>
    <n v="0"/>
    <n v="1"/>
    <n v="1"/>
    <n v="0"/>
    <n v="0"/>
    <n v="10"/>
    <s v="&lt;2 hrs/wk"/>
    <s v="52+ weeks (ongoing/longer than a year)"/>
    <x v="2"/>
  </r>
  <r>
    <n v="202"/>
    <x v="1"/>
    <n v="169"/>
    <x v="33"/>
    <n v="1438"/>
    <s v="Music Theatre and Arts Committee"/>
    <n v="3"/>
    <n v="1"/>
    <n v="0"/>
    <n v="0"/>
    <n v="0"/>
    <n v="0"/>
    <s v="2 till 4 hrs/wk"/>
    <s v="31-40 weeks (4 quartiles)"/>
    <x v="2"/>
  </r>
  <r>
    <n v="202"/>
    <x v="1"/>
    <n v="169"/>
    <x v="33"/>
    <n v="1439"/>
    <s v="Tournament Committee"/>
    <n v="0"/>
    <n v="0"/>
    <n v="4"/>
    <n v="2"/>
    <n v="0"/>
    <n v="0"/>
    <s v="5 till 8 hrs/wk"/>
    <s v="41-52 weeks (full year)"/>
    <x v="5"/>
  </r>
  <r>
    <n v="203"/>
    <x v="1"/>
    <n v="170"/>
    <x v="34"/>
    <n v="1613"/>
    <s v="Freshmen Committee"/>
    <n v="4"/>
    <n v="0"/>
    <n v="0"/>
    <n v="0"/>
    <n v="0"/>
    <n v="0"/>
    <s v="2 till 4 hrs/wk"/>
    <s v="11-20 weeks (2 quartiles)"/>
    <x v="4"/>
  </r>
  <r>
    <n v="203"/>
    <x v="1"/>
    <n v="170"/>
    <x v="34"/>
    <n v="1614"/>
    <s v="Activities Committee"/>
    <n v="0"/>
    <n v="3"/>
    <n v="0"/>
    <n v="0"/>
    <n v="0"/>
    <n v="0"/>
    <s v="2 till 4 hrs/wk"/>
    <s v="41-52 weeks (full year)"/>
    <x v="5"/>
  </r>
  <r>
    <n v="203"/>
    <x v="1"/>
    <n v="170"/>
    <x v="34"/>
    <n v="1615"/>
    <s v="Sport Committee"/>
    <n v="1"/>
    <n v="2"/>
    <n v="0"/>
    <n v="0"/>
    <n v="0"/>
    <n v="0"/>
    <s v="&lt;2 hrs/wk"/>
    <s v="31-40 weeks (4 quartiles)"/>
    <x v="5"/>
  </r>
  <r>
    <n v="203"/>
    <x v="1"/>
    <n v="170"/>
    <x v="34"/>
    <n v="1616"/>
    <s v="Competence Committee"/>
    <n v="0"/>
    <n v="4"/>
    <n v="1"/>
    <n v="0"/>
    <n v="0"/>
    <n v="0"/>
    <s v="9 till 16 hrs/wk"/>
    <s v="41-52 weeks (full year)"/>
    <x v="1"/>
  </r>
  <r>
    <n v="203"/>
    <x v="1"/>
    <n v="170"/>
    <x v="34"/>
    <n v="1617"/>
    <s v="Editorial Office Committee"/>
    <n v="2"/>
    <n v="1"/>
    <n v="0"/>
    <n v="0"/>
    <n v="0"/>
    <n v="0"/>
    <s v="5 till 8 hrs/wk"/>
    <s v="41-52 weeks (full year)"/>
    <x v="1"/>
  </r>
  <r>
    <n v="203"/>
    <x v="1"/>
    <n v="170"/>
    <x v="34"/>
    <n v="1618"/>
    <s v="Educational Feedback Committee"/>
    <n v="3"/>
    <n v="1"/>
    <n v="3"/>
    <n v="1"/>
    <n v="0"/>
    <n v="0"/>
    <s v="&lt;2 hrs/wk"/>
    <s v="41-52 weeks (full year)"/>
    <x v="3"/>
  </r>
  <r>
    <n v="203"/>
    <x v="1"/>
    <n v="170"/>
    <x v="34"/>
    <n v="1619"/>
    <s v="Pre Master Committee"/>
    <n v="0"/>
    <n v="0"/>
    <n v="0"/>
    <n v="4"/>
    <n v="0"/>
    <n v="0"/>
    <s v="&lt;2 hrs/wk"/>
    <s v="41-52 weeks (full year)"/>
    <x v="2"/>
  </r>
  <r>
    <n v="203"/>
    <x v="1"/>
    <n v="170"/>
    <x v="34"/>
    <n v="1620"/>
    <s v="Tappers"/>
    <n v="2"/>
    <n v="3"/>
    <n v="2"/>
    <n v="0"/>
    <n v="0"/>
    <n v="0"/>
    <s v="&lt;2 hrs/wk"/>
    <s v="41-52 weeks (full year)"/>
    <x v="5"/>
  </r>
  <r>
    <n v="203"/>
    <x v="1"/>
    <n v="170"/>
    <x v="34"/>
    <n v="1621"/>
    <s v="Booze Committee"/>
    <n v="0"/>
    <n v="0"/>
    <n v="0"/>
    <n v="0"/>
    <n v="0"/>
    <n v="0"/>
    <s v="&lt;2 hrs/wk"/>
    <s v="41-52 weeks (full year)"/>
    <x v="5"/>
  </r>
  <r>
    <n v="203"/>
    <x v="1"/>
    <n v="170"/>
    <x v="34"/>
    <n v="1622"/>
    <s v="CS Introduction Committee"/>
    <n v="3"/>
    <n v="2"/>
    <n v="0"/>
    <n v="1"/>
    <n v="0"/>
    <n v="0"/>
    <s v="5 till 8 hrs/wk"/>
    <s v="11-20 weeks (2 quartiles)"/>
    <x v="1"/>
  </r>
  <r>
    <n v="203"/>
    <x v="1"/>
    <n v="170"/>
    <x v="34"/>
    <n v="1623"/>
    <s v="Prom Committee"/>
    <n v="1"/>
    <n v="0"/>
    <n v="0"/>
    <n v="0"/>
    <n v="0"/>
    <n v="0"/>
    <s v="2 till 4 hrs/wk"/>
    <s v="11-20 weeks (2 quartiles)"/>
    <x v="5"/>
  </r>
  <r>
    <n v="203"/>
    <x v="1"/>
    <n v="170"/>
    <x v="34"/>
    <n v="1624"/>
    <s v="Party Committee"/>
    <n v="0"/>
    <n v="0"/>
    <n v="0"/>
    <n v="0"/>
    <n v="0"/>
    <n v="0"/>
    <s v="&lt;2 hrs/wk"/>
    <s v="41-52 weeks (full year)"/>
    <x v="5"/>
  </r>
  <r>
    <n v="203"/>
    <x v="1"/>
    <n v="170"/>
    <x v="34"/>
    <n v="1625"/>
    <s v="Europe Trip Committee"/>
    <n v="0"/>
    <n v="0"/>
    <n v="0"/>
    <n v="0"/>
    <n v="0"/>
    <n v="0"/>
    <s v="5 till 8 hrs/wk"/>
    <s v="11-20 weeks (2 quartiles)"/>
    <x v="5"/>
  </r>
  <r>
    <n v="203"/>
    <x v="1"/>
    <n v="170"/>
    <x v="34"/>
    <n v="1626"/>
    <s v="Financial Control Committee"/>
    <n v="0"/>
    <n v="0"/>
    <n v="0"/>
    <n v="1"/>
    <n v="0"/>
    <n v="1"/>
    <s v="&lt;2 hrs/wk"/>
    <s v="41-52 weeks (full year)"/>
    <x v="3"/>
  </r>
  <r>
    <n v="203"/>
    <x v="1"/>
    <n v="170"/>
    <x v="34"/>
    <n v="1627"/>
    <s v="Advisory Board"/>
    <n v="0"/>
    <n v="0"/>
    <n v="0"/>
    <n v="4"/>
    <n v="1"/>
    <n v="1"/>
    <s v="&lt;2 hrs/wk"/>
    <s v="41-52 weeks (full year)"/>
    <x v="3"/>
  </r>
  <r>
    <n v="203"/>
    <x v="1"/>
    <n v="170"/>
    <x v="34"/>
    <n v="1628"/>
    <s v="26th Board Vo"/>
    <n v="0"/>
    <n v="3"/>
    <n v="0"/>
    <n v="1"/>
    <n v="0"/>
    <n v="1"/>
    <s v="30+ hrs/wk"/>
    <s v="41-52 weeks (full year)"/>
    <x v="3"/>
  </r>
  <r>
    <n v="203"/>
    <x v="1"/>
    <n v="170"/>
    <x v="34"/>
    <n v="1629"/>
    <s v="Financial advise Committee"/>
    <n v="0"/>
    <n v="0"/>
    <n v="0"/>
    <n v="0"/>
    <n v="0"/>
    <n v="3"/>
    <s v="&lt;2 hrs/wk"/>
    <s v="41-52 weeks (full year)"/>
    <x v="3"/>
  </r>
  <r>
    <n v="205"/>
    <x v="0"/>
    <n v="172"/>
    <x v="35"/>
    <n v="844"/>
    <s v="Accom"/>
    <m/>
    <m/>
    <m/>
    <m/>
    <m/>
    <m/>
    <s v=""/>
    <s v=""/>
    <x v="0"/>
  </r>
  <r>
    <n v="205"/>
    <x v="0"/>
    <n v="172"/>
    <x v="35"/>
    <n v="845"/>
    <s v="ALW"/>
    <m/>
    <m/>
    <m/>
    <m/>
    <m/>
    <m/>
    <s v=""/>
    <s v=""/>
    <x v="0"/>
  </r>
  <r>
    <n v="205"/>
    <x v="0"/>
    <n v="172"/>
    <x v="35"/>
    <n v="846"/>
    <s v="Borrlecie"/>
    <m/>
    <m/>
    <m/>
    <m/>
    <m/>
    <m/>
    <s v=""/>
    <s v=""/>
    <x v="0"/>
  </r>
  <r>
    <n v="205"/>
    <x v="0"/>
    <n v="172"/>
    <x v="35"/>
    <n v="847"/>
    <s v="Campcom"/>
    <m/>
    <m/>
    <m/>
    <m/>
    <m/>
    <m/>
    <s v=""/>
    <s v=""/>
    <x v="0"/>
  </r>
  <r>
    <n v="205"/>
    <x v="0"/>
    <n v="172"/>
    <x v="35"/>
    <n v="848"/>
    <s v="coursecom"/>
    <m/>
    <m/>
    <m/>
    <m/>
    <m/>
    <m/>
    <s v=""/>
    <s v=""/>
    <x v="0"/>
  </r>
  <r>
    <n v="205"/>
    <x v="0"/>
    <n v="172"/>
    <x v="35"/>
    <n v="849"/>
    <s v="evacom"/>
    <m/>
    <m/>
    <m/>
    <m/>
    <m/>
    <m/>
    <s v=""/>
    <s v=""/>
    <x v="0"/>
  </r>
  <r>
    <n v="205"/>
    <x v="0"/>
    <n v="172"/>
    <x v="35"/>
    <n v="850"/>
    <s v="Farmercie"/>
    <m/>
    <m/>
    <m/>
    <m/>
    <m/>
    <m/>
    <s v=""/>
    <s v=""/>
    <x v="0"/>
  </r>
  <r>
    <n v="205"/>
    <x v="0"/>
    <n v="172"/>
    <x v="35"/>
    <n v="851"/>
    <s v="Galacom"/>
    <m/>
    <m/>
    <m/>
    <m/>
    <m/>
    <m/>
    <s v=""/>
    <s v=""/>
    <x v="0"/>
  </r>
  <r>
    <n v="205"/>
    <x v="0"/>
    <n v="172"/>
    <x v="35"/>
    <n v="852"/>
    <s v="Mastermind"/>
    <m/>
    <m/>
    <m/>
    <m/>
    <m/>
    <m/>
    <s v=""/>
    <s v=""/>
    <x v="0"/>
  </r>
  <r>
    <n v="205"/>
    <x v="0"/>
    <n v="172"/>
    <x v="35"/>
    <n v="853"/>
    <s v="Mediacom"/>
    <m/>
    <m/>
    <m/>
    <m/>
    <m/>
    <m/>
    <s v=""/>
    <s v=""/>
    <x v="0"/>
  </r>
  <r>
    <n v="205"/>
    <x v="0"/>
    <n v="172"/>
    <x v="35"/>
    <n v="855"/>
    <s v="omnomcom"/>
    <m/>
    <m/>
    <m/>
    <m/>
    <m/>
    <m/>
    <s v=""/>
    <s v=""/>
    <x v="0"/>
  </r>
  <r>
    <n v="205"/>
    <x v="0"/>
    <n v="172"/>
    <x v="35"/>
    <n v="856"/>
    <s v="Partnership"/>
    <m/>
    <m/>
    <m/>
    <m/>
    <m/>
    <m/>
    <s v=""/>
    <s v=""/>
    <x v="0"/>
  </r>
  <r>
    <n v="205"/>
    <x v="0"/>
    <n v="172"/>
    <x v="35"/>
    <n v="857"/>
    <s v="Podcast committee"/>
    <m/>
    <m/>
    <m/>
    <m/>
    <m/>
    <m/>
    <s v=""/>
    <s v=""/>
    <x v="0"/>
  </r>
  <r>
    <n v="205"/>
    <x v="0"/>
    <n v="172"/>
    <x v="35"/>
    <n v="858"/>
    <s v="Quizcom"/>
    <m/>
    <m/>
    <m/>
    <m/>
    <m/>
    <m/>
    <s v=""/>
    <s v=""/>
    <x v="0"/>
  </r>
  <r>
    <n v="205"/>
    <x v="0"/>
    <n v="172"/>
    <x v="35"/>
    <n v="859"/>
    <s v="Snowcie"/>
    <m/>
    <m/>
    <m/>
    <m/>
    <m/>
    <m/>
    <s v=""/>
    <s v=""/>
    <x v="0"/>
  </r>
  <r>
    <n v="205"/>
    <x v="0"/>
    <n v="172"/>
    <x v="35"/>
    <n v="860"/>
    <s v="Stduytour"/>
    <m/>
    <m/>
    <m/>
    <m/>
    <m/>
    <m/>
    <s v=""/>
    <s v=""/>
    <x v="0"/>
  </r>
  <r>
    <n v="205"/>
    <x v="0"/>
    <n v="172"/>
    <x v="35"/>
    <n v="862"/>
    <s v="Visio"/>
    <m/>
    <m/>
    <m/>
    <m/>
    <m/>
    <m/>
    <s v=""/>
    <s v=""/>
    <x v="0"/>
  </r>
  <r>
    <n v="205"/>
    <x v="0"/>
    <n v="172"/>
    <x v="35"/>
    <n v="864"/>
    <s v="Viskom"/>
    <m/>
    <m/>
    <m/>
    <m/>
    <m/>
    <m/>
    <s v=""/>
    <s v=""/>
    <x v="0"/>
  </r>
  <r>
    <n v="205"/>
    <x v="0"/>
    <n v="172"/>
    <x v="35"/>
    <n v="866"/>
    <s v="Web com"/>
    <m/>
    <m/>
    <m/>
    <m/>
    <m/>
    <m/>
    <s v=""/>
    <s v=""/>
    <x v="0"/>
  </r>
  <r>
    <n v="205"/>
    <x v="0"/>
    <n v="172"/>
    <x v="35"/>
    <n v="868"/>
    <s v="RVA"/>
    <m/>
    <m/>
    <m/>
    <m/>
    <m/>
    <m/>
    <s v=""/>
    <s v=""/>
    <x v="0"/>
  </r>
  <r>
    <n v="205"/>
    <x v="0"/>
    <n v="172"/>
    <x v="35"/>
    <n v="869"/>
    <s v="RVT"/>
    <m/>
    <m/>
    <m/>
    <m/>
    <m/>
    <m/>
    <s v=""/>
    <s v=""/>
    <x v="0"/>
  </r>
  <r>
    <n v="205"/>
    <x v="0"/>
    <n v="172"/>
    <x v="35"/>
    <n v="871"/>
    <s v="Kasco"/>
    <m/>
    <m/>
    <m/>
    <m/>
    <m/>
    <m/>
    <s v=""/>
    <s v=""/>
    <x v="0"/>
  </r>
  <r>
    <n v="205"/>
    <x v="0"/>
    <n v="172"/>
    <x v="35"/>
    <n v="874"/>
    <s v="OLC"/>
    <m/>
    <m/>
    <m/>
    <m/>
    <m/>
    <m/>
    <s v=""/>
    <s v=""/>
    <x v="0"/>
  </r>
  <r>
    <n v="205"/>
    <x v="0"/>
    <n v="172"/>
    <x v="35"/>
    <n v="1387"/>
    <s v="KliCo"/>
    <m/>
    <m/>
    <m/>
    <m/>
    <m/>
    <m/>
    <s v=""/>
    <s v=""/>
    <x v="0"/>
  </r>
  <r>
    <n v="206"/>
    <x v="1"/>
    <n v="173"/>
    <x v="36"/>
    <n v="1498"/>
    <s v="Board of Dimensie"/>
    <n v="0"/>
    <n v="3"/>
    <n v="2"/>
    <n v="2"/>
    <n v="0"/>
    <n v="0"/>
    <s v="30+ hrs/wk"/>
    <s v="41-52 weeks (full year)"/>
    <x v="4"/>
  </r>
  <r>
    <n v="206"/>
    <x v="1"/>
    <n v="173"/>
    <x v="36"/>
    <n v="1500"/>
    <s v="AcCie"/>
    <n v="2"/>
    <n v="1"/>
    <n v="0"/>
    <n v="2"/>
    <n v="0"/>
    <n v="0"/>
    <s v="2 till 4 hrs/wk"/>
    <s v="31-40 weeks (4 quartiles)"/>
    <x v="2"/>
  </r>
  <r>
    <n v="206"/>
    <x v="1"/>
    <n v="173"/>
    <x v="36"/>
    <n v="1501"/>
    <s v="Advisory Council"/>
    <n v="0"/>
    <n v="0"/>
    <n v="0"/>
    <n v="1"/>
    <n v="2"/>
    <n v="4"/>
    <s v="2 till 4 hrs/wk"/>
    <s v="41-52 weeks (full year)"/>
    <x v="2"/>
  </r>
  <r>
    <n v="206"/>
    <x v="1"/>
    <n v="173"/>
    <x v="36"/>
    <n v="1503"/>
    <s v="Cash Audit Committee"/>
    <n v="1"/>
    <n v="2"/>
    <n v="3"/>
    <n v="2"/>
    <n v="1"/>
    <n v="3"/>
    <s v="2 till 4 hrs/wk"/>
    <s v="41-52 weeks (full year)"/>
    <x v="2"/>
  </r>
  <r>
    <n v="206"/>
    <x v="1"/>
    <n v="173"/>
    <x v="36"/>
    <n v="1504"/>
    <s v="CareerCie"/>
    <n v="1"/>
    <n v="0"/>
    <n v="2"/>
    <n v="1"/>
    <n v="0"/>
    <n v="0"/>
    <s v="2 till 4 hrs/wk"/>
    <s v="31-40 weeks (4 quartiles)"/>
    <x v="2"/>
  </r>
  <r>
    <n v="206"/>
    <x v="1"/>
    <n v="173"/>
    <x v="36"/>
    <n v="1506"/>
    <s v="Career Week Committee"/>
    <n v="1"/>
    <n v="1"/>
    <n v="2"/>
    <n v="3"/>
    <n v="0"/>
    <n v="0"/>
    <s v="9 till 16 hrs/wk"/>
    <s v="11-20 weeks (2 quartiles)"/>
    <x v="3"/>
  </r>
  <r>
    <n v="206"/>
    <x v="1"/>
    <n v="173"/>
    <x v="36"/>
    <n v="1507"/>
    <s v="CondiCie"/>
    <n v="3"/>
    <n v="2"/>
    <n v="1"/>
    <n v="0"/>
    <n v="0"/>
    <n v="0"/>
    <s v="2 till 4 hrs/wk"/>
    <s v="31-40 weeks (4 quartiles)"/>
    <x v="5"/>
  </r>
  <r>
    <n v="206"/>
    <x v="1"/>
    <n v="173"/>
    <x v="36"/>
    <n v="1508"/>
    <s v="ConnexCie"/>
    <n v="2"/>
    <n v="4"/>
    <n v="0"/>
    <n v="0"/>
    <n v="0"/>
    <n v="0"/>
    <s v="2 till 4 hrs/wk"/>
    <s v="31-40 weeks (4 quartiles)"/>
    <x v="4"/>
  </r>
  <r>
    <n v="206"/>
    <x v="1"/>
    <n v="173"/>
    <x v="36"/>
    <n v="1509"/>
    <s v="EuroTrip Committee"/>
    <n v="1"/>
    <n v="2"/>
    <n v="1"/>
    <n v="0"/>
    <n v="0"/>
    <n v="0"/>
    <s v="9 till 16 hrs/wk"/>
    <s v="21-30 weeks (3 quartiles)"/>
    <x v="5"/>
  </r>
  <r>
    <n v="206"/>
    <x v="1"/>
    <n v="173"/>
    <x v="36"/>
    <n v="1510"/>
    <s v="ExpediCie"/>
    <n v="2"/>
    <n v="1"/>
    <n v="0"/>
    <n v="1"/>
    <n v="0"/>
    <n v="0"/>
    <s v="5 till 8 hrs/wk"/>
    <s v="31-40 weeks (4 quartiles)"/>
    <x v="5"/>
  </r>
  <r>
    <n v="206"/>
    <x v="1"/>
    <n v="173"/>
    <x v="36"/>
    <n v="1511"/>
    <s v="GalaCie"/>
    <n v="1"/>
    <n v="2"/>
    <n v="0"/>
    <n v="0"/>
    <n v="0"/>
    <n v="0"/>
    <s v="9 till 16 hrs/wk"/>
    <s v="21-30 weeks (3 quartiles)"/>
    <x v="4"/>
  </r>
  <r>
    <n v="206"/>
    <x v="1"/>
    <n v="173"/>
    <x v="36"/>
    <n v="1512"/>
    <s v="GreenCie"/>
    <n v="0"/>
    <n v="2"/>
    <n v="3"/>
    <n v="0"/>
    <n v="1"/>
    <n v="0"/>
    <s v="2 till 4 hrs/wk"/>
    <s v="31-40 weeks (4 quartiles)"/>
    <x v="2"/>
  </r>
  <r>
    <n v="206"/>
    <x v="1"/>
    <n v="173"/>
    <x v="36"/>
    <n v="1514"/>
    <s v="KicD"/>
    <n v="3"/>
    <n v="2"/>
    <n v="0"/>
    <n v="0"/>
    <n v="0"/>
    <n v="0"/>
    <s v="5 till 8 hrs/wk"/>
    <s v="41-52 weeks (full year)"/>
    <x v="3"/>
  </r>
  <r>
    <n v="206"/>
    <x v="1"/>
    <n v="173"/>
    <x v="36"/>
    <n v="1515"/>
    <s v="LEXsy"/>
    <n v="1"/>
    <n v="1"/>
    <n v="2"/>
    <n v="1"/>
    <n v="0"/>
    <n v="0"/>
    <s v="2 till 4 hrs/wk"/>
    <s v="31-40 weeks (4 quartiles)"/>
    <x v="2"/>
  </r>
  <r>
    <n v="206"/>
    <x v="1"/>
    <n v="173"/>
    <x v="36"/>
    <n v="1517"/>
    <s v="Parent Day Committee"/>
    <n v="0"/>
    <n v="3"/>
    <n v="0"/>
    <n v="1"/>
    <n v="1"/>
    <n v="0"/>
    <s v="5 till 8 hrs/wk"/>
    <s v="21-30 weeks (3 quartiles)"/>
    <x v="3"/>
  </r>
  <r>
    <n v="206"/>
    <x v="1"/>
    <n v="173"/>
    <x v="36"/>
    <n v="1519"/>
    <s v="PromoCie"/>
    <n v="1"/>
    <n v="1"/>
    <n v="2"/>
    <n v="1"/>
    <n v="1"/>
    <n v="0"/>
    <s v="&lt;2 hrs/wk"/>
    <s v="31-40 weeks (4 quartiles)"/>
    <x v="2"/>
  </r>
  <r>
    <n v="206"/>
    <x v="1"/>
    <n v="173"/>
    <x v="36"/>
    <n v="1520"/>
    <s v="RedacCie"/>
    <n v="0"/>
    <n v="1"/>
    <n v="1"/>
    <n v="1"/>
    <n v="1"/>
    <n v="0"/>
    <s v="2 till 4 hrs/wk"/>
    <s v="31-40 weeks (4 quartiles)"/>
    <x v="2"/>
  </r>
  <r>
    <n v="206"/>
    <x v="1"/>
    <n v="173"/>
    <x v="36"/>
    <n v="1521"/>
    <s v="Symposium Committee"/>
    <n v="1"/>
    <n v="3"/>
    <n v="1"/>
    <n v="1"/>
    <n v="0"/>
    <n v="0"/>
    <s v="5 till 8 hrs/wk"/>
    <s v="52+ weeks (ongoing/longer than a year)"/>
    <x v="4"/>
  </r>
  <r>
    <n v="206"/>
    <x v="1"/>
    <n v="173"/>
    <x v="36"/>
    <n v="1522"/>
    <s v="XTCie"/>
    <n v="0"/>
    <n v="0"/>
    <n v="1"/>
    <n v="1"/>
    <n v="2"/>
    <n v="0"/>
    <s v="2 till 4 hrs/wk"/>
    <s v="52+ weeks (ongoing/longer than a year)"/>
    <x v="2"/>
  </r>
  <r>
    <n v="206"/>
    <x v="1"/>
    <n v="173"/>
    <x v="36"/>
    <n v="1523"/>
    <s v="Lustrum Committee"/>
    <n v="2"/>
    <n v="2"/>
    <n v="0"/>
    <n v="2"/>
    <n v="0"/>
    <n v="2"/>
    <s v="9 till 16 hrs/wk"/>
    <s v="52+ weeks (ongoing/longer than a year)"/>
    <x v="2"/>
  </r>
  <r>
    <n v="208"/>
    <x v="1"/>
    <n v="175"/>
    <x v="37"/>
    <n v="486"/>
    <s v="Board"/>
    <n v="0"/>
    <n v="0"/>
    <n v="0"/>
    <n v="5"/>
    <n v="0"/>
    <n v="0"/>
    <s v="30+ hrs/wk"/>
    <s v="41-52 weeks (full year)"/>
    <x v="3"/>
  </r>
  <r>
    <n v="208"/>
    <x v="1"/>
    <n v="175"/>
    <x v="37"/>
    <n v="487"/>
    <s v="Kick-IT"/>
    <n v="1"/>
    <n v="3"/>
    <n v="1"/>
    <n v="1"/>
    <n v="0"/>
    <n v="0"/>
    <s v="5 till 8 hrs/wk"/>
    <s v="21-30 weeks (3 quartiles)"/>
    <x v="3"/>
  </r>
  <r>
    <n v="208"/>
    <x v="1"/>
    <n v="175"/>
    <x v="37"/>
    <n v="488"/>
    <s v="aXi"/>
    <n v="1"/>
    <n v="2"/>
    <n v="3"/>
    <n v="0"/>
    <n v="0"/>
    <n v="0"/>
    <s v="2 till 4 hrs/wk"/>
    <s v="52+ weeks (ongoing/longer than a year)"/>
    <x v="5"/>
  </r>
  <r>
    <n v="208"/>
    <x v="1"/>
    <n v="175"/>
    <x v="37"/>
    <n v="489"/>
    <s v="Bit of Action"/>
    <n v="0"/>
    <n v="5"/>
    <n v="0"/>
    <n v="1"/>
    <n v="0"/>
    <n v="0"/>
    <s v="&lt;2 hrs/wk"/>
    <s v="52+ weeks (ongoing/longer than a year)"/>
    <x v="5"/>
  </r>
  <r>
    <n v="208"/>
    <x v="1"/>
    <n v="175"/>
    <x v="37"/>
    <n v="490"/>
    <s v="XMasCie"/>
    <n v="0"/>
    <n v="0"/>
    <n v="0"/>
    <n v="0"/>
    <n v="0"/>
    <n v="6"/>
    <s v="2 till 4 hrs/wk"/>
    <s v="1-10 weeks (1 quartile)"/>
    <x v="5"/>
  </r>
  <r>
    <n v="208"/>
    <x v="1"/>
    <n v="175"/>
    <x v="37"/>
    <n v="491"/>
    <s v="DiesCie"/>
    <n v="0"/>
    <n v="0"/>
    <n v="0"/>
    <n v="0"/>
    <n v="0"/>
    <n v="5"/>
    <s v="2 till 4 hrs/wk"/>
    <s v="11-20 weeks (2 quartiles)"/>
    <x v="5"/>
  </r>
  <r>
    <n v="208"/>
    <x v="1"/>
    <n v="175"/>
    <x v="37"/>
    <n v="492"/>
    <s v="Freshmen committee x3"/>
    <n v="7"/>
    <n v="0"/>
    <n v="0"/>
    <n v="0"/>
    <n v="0"/>
    <n v="0"/>
    <s v="2 till 4 hrs/wk"/>
    <s v="31-40 weeks (4 quartiles)"/>
    <x v="4"/>
  </r>
  <r>
    <n v="208"/>
    <x v="1"/>
    <n v="175"/>
    <x v="37"/>
    <n v="493"/>
    <s v="Game Jam"/>
    <n v="0"/>
    <n v="3"/>
    <n v="0"/>
    <n v="1"/>
    <n v="0"/>
    <n v="0"/>
    <s v="&lt;2 hrs/wk"/>
    <s v="1-10 weeks (1 quartile)"/>
    <x v="2"/>
  </r>
  <r>
    <n v="208"/>
    <x v="1"/>
    <n v="175"/>
    <x v="37"/>
    <n v="494"/>
    <s v="GameCie"/>
    <n v="1"/>
    <n v="0"/>
    <n v="7"/>
    <n v="1"/>
    <n v="0"/>
    <n v="0"/>
    <s v="2 till 4 hrs/wk"/>
    <s v="52+ weeks (ongoing/longer than a year)"/>
    <x v="1"/>
  </r>
  <r>
    <n v="208"/>
    <x v="1"/>
    <n v="175"/>
    <x v="37"/>
    <n v="495"/>
    <s v="Hyper-Actief"/>
    <n v="0"/>
    <n v="2"/>
    <n v="2"/>
    <n v="1"/>
    <n v="0"/>
    <n v="0"/>
    <s v="2 till 4 hrs/wk"/>
    <s v="52+ weeks (ongoing/longer than a year)"/>
    <x v="5"/>
  </r>
  <r>
    <n v="208"/>
    <x v="1"/>
    <n v="175"/>
    <x v="37"/>
    <n v="496"/>
    <s v="LANCie"/>
    <n v="3"/>
    <n v="2"/>
    <n v="0"/>
    <n v="0"/>
    <n v="0"/>
    <n v="0"/>
    <s v="&lt;2 hrs/wk"/>
    <s v="21-30 weeks (3 quartiles)"/>
    <x v="4"/>
  </r>
  <r>
    <n v="208"/>
    <x v="1"/>
    <n v="175"/>
    <x v="37"/>
    <n v="497"/>
    <s v="LuCie"/>
    <n v="0"/>
    <n v="0"/>
    <n v="3"/>
    <n v="2"/>
    <n v="1"/>
    <n v="0"/>
    <s v="5 till 8 hrs/wk"/>
    <s v="31-40 weeks (4 quartiles)"/>
    <x v="2"/>
  </r>
  <r>
    <n v="208"/>
    <x v="1"/>
    <n v="175"/>
    <x v="37"/>
    <n v="498"/>
    <s v="FeCie"/>
    <n v="1"/>
    <n v="4"/>
    <n v="3"/>
    <n v="2"/>
    <n v="0"/>
    <n v="0"/>
    <s v="&lt;2 hrs/wk"/>
    <s v="52+ weeks (ongoing/longer than a year)"/>
    <x v="5"/>
  </r>
  <r>
    <n v="208"/>
    <x v="1"/>
    <n v="175"/>
    <x v="37"/>
    <n v="499"/>
    <s v="PromCie"/>
    <n v="1"/>
    <n v="0"/>
    <n v="0"/>
    <n v="0"/>
    <n v="0"/>
    <n v="5"/>
    <s v="2 till 4 hrs/wk"/>
    <s v="11-20 weeks (2 quartiles)"/>
    <x v="2"/>
  </r>
  <r>
    <n v="208"/>
    <x v="1"/>
    <n v="175"/>
    <x v="37"/>
    <n v="500"/>
    <s v="Rially"/>
    <n v="0"/>
    <n v="5"/>
    <n v="0"/>
    <n v="0"/>
    <n v="0"/>
    <n v="0"/>
    <s v="5 till 8 hrs/wk"/>
    <s v="11-20 weeks (2 quartiles)"/>
    <x v="2"/>
  </r>
  <r>
    <n v="208"/>
    <x v="1"/>
    <n v="175"/>
    <x v="37"/>
    <n v="501"/>
    <s v="SocCie"/>
    <n v="0"/>
    <n v="0"/>
    <n v="5"/>
    <n v="2"/>
    <n v="0"/>
    <n v="0"/>
    <s v="2 till 4 hrs/wk"/>
    <s v="52+ weeks (ongoing/longer than a year)"/>
    <x v="2"/>
  </r>
  <r>
    <n v="208"/>
    <x v="1"/>
    <n v="175"/>
    <x v="37"/>
    <n v="502"/>
    <s v="Theme Drink Committee"/>
    <n v="2"/>
    <n v="4"/>
    <n v="1"/>
    <n v="0"/>
    <n v="1"/>
    <n v="0"/>
    <s v="2 till 4 hrs/wk"/>
    <s v="52+ weeks (ongoing/longer than a year)"/>
    <x v="4"/>
  </r>
  <r>
    <n v="208"/>
    <x v="1"/>
    <n v="175"/>
    <x v="37"/>
    <n v="503"/>
    <s v="Archive Committee"/>
    <n v="0"/>
    <n v="0"/>
    <n v="0"/>
    <n v="5"/>
    <n v="0"/>
    <n v="0"/>
    <s v="&lt;2 hrs/wk"/>
    <s v="52+ weeks (ongoing/longer than a year)"/>
    <x v="2"/>
  </r>
  <r>
    <n v="208"/>
    <x v="1"/>
    <n v="175"/>
    <x v="37"/>
    <n v="504"/>
    <s v="KasCo"/>
    <n v="0"/>
    <n v="0"/>
    <n v="4"/>
    <n v="2"/>
    <n v="1"/>
    <n v="0"/>
    <s v="2 till 4 hrs/wk"/>
    <s v="52+ weeks (ongoing/longer than a year)"/>
    <x v="3"/>
  </r>
  <r>
    <n v="208"/>
    <x v="1"/>
    <n v="175"/>
    <x v="37"/>
    <n v="505"/>
    <s v="Cooking Club"/>
    <n v="2"/>
    <n v="1"/>
    <n v="13"/>
    <n v="3"/>
    <n v="2"/>
    <n v="0"/>
    <s v="&lt;2 hrs/wk"/>
    <s v="52+ weeks (ongoing/longer than a year)"/>
    <x v="5"/>
  </r>
  <r>
    <n v="208"/>
    <x v="1"/>
    <n v="175"/>
    <x v="37"/>
    <n v="506"/>
    <s v="hEROs"/>
    <n v="0"/>
    <n v="3"/>
    <n v="12"/>
    <n v="6"/>
    <n v="4"/>
    <n v="0"/>
    <s v="&lt;2 hrs/wk"/>
    <s v="52+ weeks (ongoing/longer than a year)"/>
    <x v="5"/>
  </r>
  <r>
    <n v="208"/>
    <x v="1"/>
    <n v="175"/>
    <x v="37"/>
    <n v="507"/>
    <s v="FlitCie"/>
    <n v="2"/>
    <n v="3"/>
    <n v="9"/>
    <n v="2"/>
    <n v="0"/>
    <n v="0"/>
    <s v="&lt;2 hrs/wk"/>
    <s v="52+ weeks (ongoing/longer than a year)"/>
    <x v="5"/>
  </r>
  <r>
    <n v="208"/>
    <x v="1"/>
    <n v="175"/>
    <x v="37"/>
    <n v="508"/>
    <s v="IO Vivat editorial committee"/>
    <n v="0"/>
    <n v="2"/>
    <n v="5"/>
    <n v="3"/>
    <n v="1"/>
    <n v="0"/>
    <s v="2 till 4 hrs/wk"/>
    <s v="52+ weeks (ongoing/longer than a year)"/>
    <x v="2"/>
  </r>
  <r>
    <n v="208"/>
    <x v="1"/>
    <n v="175"/>
    <x v="37"/>
    <n v="509"/>
    <s v="Studio Cinematografico"/>
    <n v="1"/>
    <n v="1"/>
    <n v="0"/>
    <n v="2"/>
    <n v="3"/>
    <n v="0"/>
    <s v="&lt;2 hrs/wk"/>
    <s v="52+ weeks (ongoing/longer than a year)"/>
    <x v="5"/>
  </r>
  <r>
    <n v="208"/>
    <x v="1"/>
    <n v="175"/>
    <x v="37"/>
    <n v="510"/>
    <s v="EEMCS Trip Committee"/>
    <n v="0"/>
    <n v="1"/>
    <n v="0"/>
    <n v="0"/>
    <n v="0"/>
    <n v="5"/>
    <s v="2 till 4 hrs/wk"/>
    <s v="21-30 weeks (3 quartiles)"/>
    <x v="5"/>
  </r>
  <r>
    <n v="208"/>
    <x v="1"/>
    <n v="175"/>
    <x v="37"/>
    <n v="511"/>
    <s v="International Business Course committee"/>
    <n v="0"/>
    <n v="0"/>
    <n v="6"/>
    <n v="0"/>
    <n v="0"/>
    <n v="0"/>
    <s v="5 till 8 hrs/wk"/>
    <s v="21-30 weeks (3 quartiles)"/>
    <x v="5"/>
  </r>
  <r>
    <n v="208"/>
    <x v="1"/>
    <n v="175"/>
    <x v="37"/>
    <n v="512"/>
    <s v="Sailing Committee"/>
    <n v="0"/>
    <n v="5"/>
    <n v="0"/>
    <n v="0"/>
    <n v="0"/>
    <n v="0"/>
    <s v="&lt;2 hrs/wk"/>
    <s v="11-20 weeks (2 quartiles)"/>
    <x v="5"/>
  </r>
  <r>
    <n v="208"/>
    <x v="1"/>
    <n v="175"/>
    <x v="37"/>
    <n v="513"/>
    <s v="Ski trip committee"/>
    <n v="1"/>
    <n v="3"/>
    <n v="0"/>
    <n v="0"/>
    <n v="0"/>
    <n v="0"/>
    <s v="2 till 4 hrs/wk"/>
    <s v="11-20 weeks (2 quartiles)"/>
    <x v="2"/>
  </r>
  <r>
    <n v="208"/>
    <x v="1"/>
    <n v="175"/>
    <x v="37"/>
    <n v="514"/>
    <s v="Study Tour committee"/>
    <n v="0"/>
    <n v="1"/>
    <n v="4"/>
    <n v="1"/>
    <n v="0"/>
    <n v="0"/>
    <s v="9 till 16 hrs/wk"/>
    <s v="52+ weeks (ongoing/longer than a year)"/>
    <x v="2"/>
  </r>
  <r>
    <n v="208"/>
    <x v="1"/>
    <n v="175"/>
    <x v="37"/>
    <n v="515"/>
    <s v="System Administration Committee"/>
    <n v="2"/>
    <n v="3"/>
    <n v="5"/>
    <n v="4"/>
    <n v="0"/>
    <n v="0"/>
    <s v="2 till 4 hrs/wk"/>
    <s v="52+ weeks (ongoing/longer than a year)"/>
    <x v="3"/>
  </r>
  <r>
    <n v="208"/>
    <x v="1"/>
    <n v="175"/>
    <x v="37"/>
    <n v="516"/>
    <s v="WWW Committee"/>
    <n v="3"/>
    <n v="4"/>
    <n v="4"/>
    <n v="6"/>
    <n v="1"/>
    <n v="0"/>
    <s v="2 till 4 hrs/wk"/>
    <s v="52+ weeks (ongoing/longer than a year)"/>
    <x v="3"/>
  </r>
  <r>
    <n v="208"/>
    <x v="1"/>
    <n v="175"/>
    <x v="37"/>
    <n v="517"/>
    <s v="Committee for Lectures and Excursions"/>
    <n v="2"/>
    <n v="3"/>
    <n v="0"/>
    <n v="1"/>
    <n v="0"/>
    <n v="0"/>
    <s v="2 till 4 hrs/wk"/>
    <s v="52+ weeks (ongoing/longer than a year)"/>
    <x v="3"/>
  </r>
  <r>
    <n v="208"/>
    <x v="1"/>
    <n v="175"/>
    <x v="37"/>
    <n v="518"/>
    <s v="Education Committee"/>
    <n v="1"/>
    <n v="0"/>
    <n v="4"/>
    <n v="0"/>
    <n v="0"/>
    <n v="0"/>
    <s v="2 till 4 hrs/wk"/>
    <s v="52+ weeks (ongoing/longer than a year)"/>
    <x v="3"/>
  </r>
  <r>
    <n v="208"/>
    <x v="1"/>
    <n v="175"/>
    <x v="37"/>
    <n v="519"/>
    <s v="SymCie"/>
    <n v="2"/>
    <n v="4"/>
    <n v="0"/>
    <n v="0"/>
    <n v="0"/>
    <n v="0"/>
    <s v="5 till 8 hrs/wk"/>
    <s v="41-52 weeks (full year)"/>
    <x v="2"/>
  </r>
  <r>
    <n v="208"/>
    <x v="1"/>
    <n v="175"/>
    <x v="37"/>
    <n v="520"/>
    <s v="Pandora committee"/>
    <n v="0"/>
    <n v="0"/>
    <n v="6"/>
    <n v="0"/>
    <n v="0"/>
    <n v="0"/>
    <s v="5 till 8 hrs/wk"/>
    <s v="31-40 weeks (4 quartiles)"/>
    <x v="3"/>
  </r>
  <r>
    <n v="208"/>
    <x v="1"/>
    <n v="175"/>
    <x v="37"/>
    <n v="521"/>
    <s v="Twents Algorithm Programming Contest TAPC"/>
    <n v="0"/>
    <n v="2"/>
    <n v="2"/>
    <n v="2"/>
    <n v="0"/>
    <n v="0"/>
    <s v="&lt;2 hrs/wk"/>
    <s v="1-10 weeks (1 quartile)"/>
    <x v="2"/>
  </r>
  <r>
    <n v="208"/>
    <x v="1"/>
    <n v="175"/>
    <x v="37"/>
    <n v="522"/>
    <s v="Bartenders Guild"/>
    <n v="3"/>
    <n v="3"/>
    <n v="10"/>
    <n v="12"/>
    <n v="6"/>
    <n v="0"/>
    <s v="&lt;2 hrs/wk"/>
    <s v="52+ weeks (ongoing/longer than a year)"/>
    <x v="5"/>
  </r>
  <r>
    <n v="208"/>
    <x v="1"/>
    <n v="175"/>
    <x v="37"/>
    <n v="1526"/>
    <s v="EEMCS freshmen committee"/>
    <n v="1"/>
    <n v="0"/>
    <n v="0"/>
    <n v="0"/>
    <n v="0"/>
    <n v="4"/>
    <s v="2 till 4 hrs/wk"/>
    <s v="11-20 weeks (2 quartiles)"/>
    <x v="2"/>
  </r>
  <r>
    <n v="208"/>
    <x v="1"/>
    <n v="175"/>
    <x v="37"/>
    <n v="1527"/>
    <s v="Parents day committee"/>
    <n v="0"/>
    <n v="5"/>
    <n v="0"/>
    <n v="0"/>
    <n v="0"/>
    <n v="0"/>
    <s v="&lt;2 hrs/wk"/>
    <s v="11-20 weeks (2 quartiles)"/>
    <x v="5"/>
  </r>
  <r>
    <n v="208"/>
    <x v="1"/>
    <n v="175"/>
    <x v="37"/>
    <n v="1528"/>
    <s v="Almanac"/>
    <n v="0"/>
    <n v="0"/>
    <n v="4"/>
    <n v="2"/>
    <n v="0"/>
    <n v="0"/>
    <s v="2 till 4 hrs/wk"/>
    <s v="41-52 weeks (full year)"/>
    <x v="2"/>
  </r>
  <r>
    <n v="209"/>
    <x v="1"/>
    <n v="176"/>
    <x v="38"/>
    <n v="372"/>
    <s v="AlmanaCie"/>
    <n v="0"/>
    <n v="2"/>
    <n v="2"/>
    <n v="4"/>
    <n v="1"/>
    <n v="0"/>
    <s v="2 till 4 hrs/wk"/>
    <s v="52+ weeks (ongoing/longer than a year)"/>
    <x v="2"/>
  </r>
  <r>
    <n v="209"/>
    <x v="1"/>
    <n v="176"/>
    <x v="38"/>
    <n v="373"/>
    <s v="AmibiCie"/>
    <n v="0"/>
    <n v="0"/>
    <n v="0"/>
    <n v="2"/>
    <n v="7"/>
    <n v="0"/>
    <s v="&lt;2 hrs/wk"/>
    <s v="52+ weeks (ongoing/longer than a year)"/>
    <x v="4"/>
  </r>
  <r>
    <n v="209"/>
    <x v="1"/>
    <n v="176"/>
    <x v="38"/>
    <n v="374"/>
    <s v="Appelredactie"/>
    <n v="0"/>
    <n v="2"/>
    <n v="2"/>
    <n v="4"/>
    <n v="6"/>
    <n v="0"/>
    <s v="2 till 4 hrs/wk"/>
    <s v="52+ weeks (ongoing/longer than a year)"/>
    <x v="2"/>
  </r>
  <r>
    <n v="209"/>
    <x v="1"/>
    <n v="176"/>
    <x v="38"/>
    <n v="376"/>
    <s v="BorrelCie"/>
    <n v="0"/>
    <n v="3"/>
    <n v="8"/>
    <n v="7"/>
    <n v="7"/>
    <n v="0"/>
    <s v="2 till 4 hrs/wk"/>
    <s v="52+ weeks (ongoing/longer than a year)"/>
    <x v="5"/>
  </r>
  <r>
    <n v="209"/>
    <x v="1"/>
    <n v="176"/>
    <x v="38"/>
    <n v="377"/>
    <s v="BusCie"/>
    <n v="0"/>
    <n v="1"/>
    <n v="2"/>
    <n v="2"/>
    <n v="0"/>
    <n v="0"/>
    <s v="&lt;2 hrs/wk"/>
    <s v="52+ weeks (ongoing/longer than a year)"/>
    <x v="4"/>
  </r>
  <r>
    <n v="209"/>
    <x v="1"/>
    <n v="176"/>
    <x v="38"/>
    <n v="378"/>
    <s v="ColeXie"/>
    <n v="0"/>
    <n v="2"/>
    <n v="0"/>
    <n v="0"/>
    <n v="0"/>
    <n v="0"/>
    <s v="&lt;2 hrs/wk"/>
    <s v="41-52 weeks (full year)"/>
    <x v="5"/>
  </r>
  <r>
    <n v="209"/>
    <x v="1"/>
    <n v="176"/>
    <x v="38"/>
    <n v="379"/>
    <s v="CompuCie"/>
    <n v="0"/>
    <n v="1"/>
    <n v="5"/>
    <n v="2"/>
    <n v="3"/>
    <n v="0"/>
    <s v="&lt;2 hrs/wk"/>
    <s v="52+ weeks (ongoing/longer than a year)"/>
    <x v="4"/>
  </r>
  <r>
    <n v="209"/>
    <x v="1"/>
    <n v="176"/>
    <x v="38"/>
    <n v="381"/>
    <s v="Eurocommissie"/>
    <n v="0"/>
    <n v="2"/>
    <n v="2"/>
    <n v="1"/>
    <n v="0"/>
    <n v="0"/>
    <s v="2 till 4 hrs/wk"/>
    <s v="52+ weeks (ongoing/longer than a year)"/>
    <x v="2"/>
  </r>
  <r>
    <n v="209"/>
    <x v="1"/>
    <n v="176"/>
    <x v="38"/>
    <n v="382"/>
    <s v="First Years AXI"/>
    <n v="5"/>
    <n v="0"/>
    <n v="0"/>
    <n v="0"/>
    <n v="0"/>
    <n v="0"/>
    <s v="&lt;2 hrs/wk"/>
    <s v="41-52 weeks (full year)"/>
    <x v="4"/>
  </r>
  <r>
    <n v="209"/>
    <x v="1"/>
    <n v="176"/>
    <x v="38"/>
    <n v="386"/>
    <s v="FotoCie"/>
    <n v="0"/>
    <n v="2"/>
    <n v="6"/>
    <n v="4"/>
    <n v="0"/>
    <n v="0"/>
    <s v="&lt;2 hrs/wk"/>
    <s v="52+ weeks (ongoing/longer than a year)"/>
    <x v="5"/>
  </r>
  <r>
    <n v="209"/>
    <x v="1"/>
    <n v="176"/>
    <x v="38"/>
    <n v="387"/>
    <s v="GalaCie"/>
    <n v="0"/>
    <n v="0"/>
    <n v="0"/>
    <n v="0"/>
    <n v="0"/>
    <n v="0"/>
    <s v="&lt;2 hrs/wk"/>
    <s v="21-30 weeks (3 quartiles)"/>
    <x v="2"/>
  </r>
  <r>
    <n v="209"/>
    <x v="1"/>
    <n v="176"/>
    <x v="38"/>
    <n v="388"/>
    <s v="KiME"/>
    <n v="0"/>
    <n v="4"/>
    <n v="1"/>
    <n v="0"/>
    <n v="0"/>
    <n v="0"/>
    <s v="2 till 4 hrs/wk"/>
    <s v="21-30 weeks (3 quartiles)"/>
    <x v="2"/>
  </r>
  <r>
    <n v="209"/>
    <x v="1"/>
    <n v="176"/>
    <x v="38"/>
    <n v="389"/>
    <s v="LasCie"/>
    <n v="0"/>
    <n v="0"/>
    <n v="0"/>
    <n v="4"/>
    <n v="3"/>
    <n v="0"/>
    <s v="&lt;2 hrs/wk"/>
    <s v="52+ weeks (ongoing/longer than a year)"/>
    <x v="4"/>
  </r>
  <r>
    <n v="209"/>
    <x v="1"/>
    <n v="176"/>
    <x v="38"/>
    <n v="391"/>
    <s v="LustrumCie"/>
    <n v="0"/>
    <n v="0"/>
    <n v="1"/>
    <n v="2"/>
    <n v="6"/>
    <n v="0"/>
    <s v="2 till 4 hrs/wk"/>
    <s v="52+ weeks (ongoing/longer than a year)"/>
    <x v="4"/>
  </r>
  <r>
    <n v="209"/>
    <x v="1"/>
    <n v="176"/>
    <x v="38"/>
    <n v="392"/>
    <s v="Parents day committee"/>
    <n v="1"/>
    <n v="3"/>
    <n v="0"/>
    <n v="0"/>
    <n v="0"/>
    <n v="0"/>
    <s v="&lt;2 hrs/wk"/>
    <s v="21-30 weeks (3 quartiles)"/>
    <x v="4"/>
  </r>
  <r>
    <n v="209"/>
    <x v="1"/>
    <n v="176"/>
    <x v="38"/>
    <n v="393"/>
    <s v="PropulCie"/>
    <n v="0"/>
    <n v="6"/>
    <n v="6"/>
    <n v="2"/>
    <n v="0"/>
    <n v="0"/>
    <s v="&lt;2 hrs/wk"/>
    <s v="52+ weeks (ongoing/longer than a year)"/>
    <x v="4"/>
  </r>
  <r>
    <n v="209"/>
    <x v="1"/>
    <n v="176"/>
    <x v="38"/>
    <n v="394"/>
    <s v="RallyCie"/>
    <n v="1"/>
    <n v="1"/>
    <n v="2"/>
    <n v="0"/>
    <n v="0"/>
    <n v="0"/>
    <s v="&lt;2 hrs/wk"/>
    <s v="21-30 weeks (3 quartiles)"/>
    <x v="2"/>
  </r>
  <r>
    <n v="209"/>
    <x v="1"/>
    <n v="176"/>
    <x v="38"/>
    <n v="395"/>
    <s v="SkiCie"/>
    <n v="0"/>
    <n v="0"/>
    <n v="2"/>
    <n v="0"/>
    <n v="0"/>
    <n v="0"/>
    <s v="2 till 4 hrs/wk"/>
    <s v="21-30 weeks (3 quartiles)"/>
    <x v="5"/>
  </r>
  <r>
    <n v="209"/>
    <x v="1"/>
    <n v="176"/>
    <x v="38"/>
    <n v="396"/>
    <s v="Symposium Committee"/>
    <n v="0"/>
    <n v="0"/>
    <n v="2"/>
    <n v="3"/>
    <n v="0"/>
    <n v="0"/>
    <s v="&lt;2 hrs/wk"/>
    <s v="52+ weeks (ongoing/longer than a year)"/>
    <x v="4"/>
  </r>
  <r>
    <n v="209"/>
    <x v="1"/>
    <n v="176"/>
    <x v="38"/>
    <n v="397"/>
    <s v="SportCie"/>
    <n v="0"/>
    <n v="2"/>
    <n v="2"/>
    <n v="0"/>
    <n v="0"/>
    <n v="0"/>
    <s v="&lt;2 hrs/wk"/>
    <s v="41-52 weeks (full year)"/>
    <x v="4"/>
  </r>
  <r>
    <n v="209"/>
    <x v="1"/>
    <n v="176"/>
    <x v="38"/>
    <n v="398"/>
    <s v="TripCie"/>
    <n v="0"/>
    <n v="2"/>
    <n v="1"/>
    <n v="1"/>
    <n v="0"/>
    <n v="0"/>
    <s v="&lt;2 hrs/wk"/>
    <s v="21-30 weeks (3 quartiles)"/>
    <x v="2"/>
  </r>
  <r>
    <n v="209"/>
    <x v="1"/>
    <n v="176"/>
    <x v="38"/>
    <n v="400"/>
    <s v="VuCie"/>
    <n v="0"/>
    <n v="5"/>
    <n v="0"/>
    <n v="0"/>
    <n v="0"/>
    <n v="0"/>
    <s v="2 till 4 hrs/wk"/>
    <s v="41-52 weeks (full year)"/>
    <x v="2"/>
  </r>
  <r>
    <n v="209"/>
    <x v="1"/>
    <n v="176"/>
    <x v="38"/>
    <n v="1478"/>
    <s v="AXI 2021"/>
    <n v="0"/>
    <n v="3"/>
    <n v="1"/>
    <n v="0"/>
    <n v="0"/>
    <n v="0"/>
    <s v="&lt;2 hrs/wk"/>
    <s v="41-52 weeks (full year)"/>
    <x v="4"/>
  </r>
  <r>
    <n v="209"/>
    <x v="1"/>
    <n v="176"/>
    <x v="38"/>
    <n v="1481"/>
    <s v="First Years Construction Lampcie"/>
    <n v="5"/>
    <n v="0"/>
    <n v="0"/>
    <n v="0"/>
    <n v="0"/>
    <n v="0"/>
    <s v="&lt;2 hrs/wk"/>
    <s v="31-40 weeks (4 quartiles)"/>
    <x v="2"/>
  </r>
  <r>
    <n v="209"/>
    <x v="1"/>
    <n v="176"/>
    <x v="38"/>
    <n v="1482"/>
    <s v="First Years Construction JasCie"/>
    <n v="0"/>
    <n v="5"/>
    <n v="0"/>
    <n v="0"/>
    <n v="0"/>
    <n v="0"/>
    <s v="&lt;2 hrs/wk"/>
    <s v="41-52 weeks (full year)"/>
    <x v="2"/>
  </r>
  <r>
    <n v="209"/>
    <x v="1"/>
    <n v="176"/>
    <x v="38"/>
    <n v="1483"/>
    <s v="First years weekend 2021"/>
    <n v="1"/>
    <n v="4"/>
    <n v="0"/>
    <n v="0"/>
    <n v="0"/>
    <n v="0"/>
    <s v="2 till 4 hrs/wk"/>
    <s v="21-30 weeks (3 quartiles)"/>
    <x v="2"/>
  </r>
  <r>
    <n v="209"/>
    <x v="1"/>
    <n v="176"/>
    <x v="38"/>
    <n v="1484"/>
    <s v="First years weekend 2020"/>
    <n v="0"/>
    <n v="5"/>
    <n v="0"/>
    <n v="0"/>
    <n v="0"/>
    <n v="0"/>
    <s v="2 till 4 hrs/wk"/>
    <s v="52+ weeks (ongoing/longer than a year)"/>
    <x v="2"/>
  </r>
  <r>
    <n v="209"/>
    <x v="1"/>
    <n v="176"/>
    <x v="38"/>
    <n v="1485"/>
    <s v="Study Tour Finding Our Bearings"/>
    <n v="0"/>
    <n v="4"/>
    <n v="2"/>
    <n v="0"/>
    <n v="0"/>
    <n v="0"/>
    <s v="9 till 16 hrs/wk"/>
    <s v="52+ weeks (ongoing/longer than a year)"/>
    <x v="2"/>
  </r>
  <r>
    <n v="210"/>
    <x v="1"/>
    <n v="177"/>
    <x v="39"/>
    <n v="1460"/>
    <s v="Educational"/>
    <n v="0"/>
    <n v="0"/>
    <n v="0"/>
    <n v="1"/>
    <n v="0"/>
    <n v="0"/>
    <s v="2 till 4 hrs/wk"/>
    <s v="52+ weeks (ongoing/longer than a year)"/>
    <x v="4"/>
  </r>
  <r>
    <n v="210"/>
    <x v="1"/>
    <n v="177"/>
    <x v="39"/>
    <n v="1461"/>
    <s v="Promotional"/>
    <n v="0"/>
    <n v="0"/>
    <n v="0"/>
    <n v="1"/>
    <n v="0"/>
    <n v="0"/>
    <s v="&lt;2 hrs/wk"/>
    <s v="52+ weeks (ongoing/longer than a year)"/>
    <x v="4"/>
  </r>
  <r>
    <n v="210"/>
    <x v="1"/>
    <n v="177"/>
    <x v="39"/>
    <n v="1462"/>
    <s v="Professional"/>
    <n v="0"/>
    <n v="0"/>
    <n v="0"/>
    <n v="1"/>
    <n v="0"/>
    <n v="0"/>
    <s v="2 till 4 hrs/wk"/>
    <s v="52+ weeks (ongoing/longer than a year)"/>
    <x v="5"/>
  </r>
  <r>
    <n v="210"/>
    <x v="1"/>
    <n v="177"/>
    <x v="39"/>
    <n v="1463"/>
    <s v="Social"/>
    <n v="0"/>
    <n v="0"/>
    <n v="0"/>
    <n v="1"/>
    <n v="0"/>
    <n v="0"/>
    <s v="2 till 4 hrs/wk"/>
    <s v="52+ weeks (ongoing/longer than a year)"/>
    <x v="4"/>
  </r>
  <r>
    <n v="212"/>
    <x v="1"/>
    <n v="179"/>
    <x v="40"/>
    <n v="710"/>
    <s v="Activity Committee Extraordinaire"/>
    <n v="0"/>
    <n v="3"/>
    <n v="2"/>
    <n v="0"/>
    <n v="0"/>
    <n v="0"/>
    <s v="&lt;2 hrs/wk"/>
    <s v="52+ weeks (ongoing/longer than a year)"/>
    <x v="4"/>
  </r>
  <r>
    <n v="212"/>
    <x v="1"/>
    <n v="179"/>
    <x v="40"/>
    <n v="711"/>
    <s v="Almanac Committee"/>
    <n v="0"/>
    <n v="1"/>
    <n v="2"/>
    <n v="2"/>
    <n v="0"/>
    <n v="2"/>
    <s v="2 till 4 hrs/wk"/>
    <s v="31-40 weeks (4 quartiles)"/>
    <x v="2"/>
  </r>
  <r>
    <n v="212"/>
    <x v="1"/>
    <n v="179"/>
    <x v="40"/>
    <n v="712"/>
    <s v="Acquisition Committee"/>
    <n v="0"/>
    <n v="2"/>
    <n v="1"/>
    <n v="2"/>
    <n v="0"/>
    <n v="0"/>
    <s v="&lt;2 hrs/wk"/>
    <s v="52+ weeks (ongoing/longer than a year)"/>
    <x v="5"/>
  </r>
  <r>
    <n v="212"/>
    <x v="1"/>
    <n v="179"/>
    <x v="40"/>
    <n v="713"/>
    <s v="Association Board"/>
    <n v="0"/>
    <n v="0"/>
    <n v="4"/>
    <n v="0"/>
    <n v="0"/>
    <n v="0"/>
    <s v="30+ hrs/wk"/>
    <s v="41-52 weeks (full year)"/>
    <x v="1"/>
  </r>
  <r>
    <n v="212"/>
    <x v="1"/>
    <n v="179"/>
    <x v="40"/>
    <n v="714"/>
    <s v="Audit Committee "/>
    <n v="0"/>
    <n v="0"/>
    <n v="0"/>
    <n v="1"/>
    <n v="1"/>
    <n v="1"/>
    <s v="&lt;2 hrs/wk"/>
    <s v="41-52 weeks (full year)"/>
    <x v="2"/>
  </r>
  <r>
    <n v="212"/>
    <x v="1"/>
    <n v="179"/>
    <x v="40"/>
    <n v="715"/>
    <s v="Board of Advisors"/>
    <n v="0"/>
    <n v="0"/>
    <n v="0"/>
    <n v="1"/>
    <n v="1"/>
    <n v="4"/>
    <s v="2 till 4 hrs/wk"/>
    <s v="41-52 weeks (full year)"/>
    <x v="3"/>
  </r>
  <r>
    <n v="212"/>
    <x v="1"/>
    <n v="179"/>
    <x v="40"/>
    <n v="717"/>
    <s v="Camp Committee"/>
    <n v="0"/>
    <n v="6"/>
    <n v="1"/>
    <n v="0"/>
    <n v="0"/>
    <n v="1"/>
    <s v="2 till 4 hrs/wk"/>
    <s v="21-30 weeks (3 quartiles)"/>
    <x v="3"/>
  </r>
  <r>
    <n v="212"/>
    <x v="1"/>
    <n v="179"/>
    <x v="40"/>
    <n v="718"/>
    <s v="Culture Committee"/>
    <n v="0"/>
    <n v="2"/>
    <n v="2"/>
    <n v="0"/>
    <n v="1"/>
    <n v="0"/>
    <s v="&lt;2 hrs/wk"/>
    <s v="41-52 weeks (full year)"/>
    <x v="4"/>
  </r>
  <r>
    <n v="212"/>
    <x v="1"/>
    <n v="179"/>
    <x v="40"/>
    <n v="719"/>
    <s v="Dies Committee"/>
    <n v="0"/>
    <n v="0"/>
    <n v="0"/>
    <n v="0"/>
    <n v="0"/>
    <n v="0"/>
    <s v="2 till 4 hrs/wk"/>
    <s v="21-30 weeks (3 quartiles)"/>
    <x v="2"/>
  </r>
  <r>
    <n v="212"/>
    <x v="1"/>
    <n v="179"/>
    <x v="40"/>
    <n v="720"/>
    <s v="DisCo"/>
    <n v="0"/>
    <n v="2"/>
    <n v="2"/>
    <n v="0"/>
    <n v="0"/>
    <n v="0"/>
    <s v="&lt;2 hrs/wk"/>
    <s v="41-52 weeks (full year)"/>
    <x v="5"/>
  </r>
  <r>
    <n v="212"/>
    <x v="1"/>
    <n v="179"/>
    <x v="40"/>
    <n v="722"/>
    <s v="EducaCie"/>
    <n v="3"/>
    <n v="3"/>
    <n v="3"/>
    <n v="3"/>
    <n v="0"/>
    <n v="0"/>
    <s v="2 till 4 hrs/wk"/>
    <s v="41-52 weeks (full year)"/>
    <x v="3"/>
  </r>
  <r>
    <n v="212"/>
    <x v="1"/>
    <n v="179"/>
    <x v="40"/>
    <n v="723"/>
    <s v="EEMCS-trip"/>
    <n v="0"/>
    <n v="0"/>
    <n v="1"/>
    <n v="0"/>
    <n v="0"/>
    <n v="0"/>
    <s v="2 till 4 hrs/wk"/>
    <s v="11-20 weeks (2 quartiles)"/>
    <x v="5"/>
  </r>
  <r>
    <n v="212"/>
    <x v="1"/>
    <n v="179"/>
    <x v="40"/>
    <n v="724"/>
    <s v="EmergenCie"/>
    <n v="0"/>
    <n v="1"/>
    <n v="2"/>
    <n v="4"/>
    <n v="3"/>
    <n v="3"/>
    <s v="&lt;2 hrs/wk"/>
    <s v="52+ weeks (ongoing/longer than a year)"/>
    <x v="5"/>
  </r>
  <r>
    <n v="212"/>
    <x v="1"/>
    <n v="179"/>
    <x v="40"/>
    <n v="725"/>
    <s v="ENTROPcY"/>
    <n v="0"/>
    <n v="0"/>
    <n v="1"/>
    <n v="2"/>
    <n v="3"/>
    <n v="1"/>
    <s v="&lt;2 hrs/wk"/>
    <s v="52+ weeks (ongoing/longer than a year)"/>
    <x v="5"/>
  </r>
  <r>
    <n v="212"/>
    <x v="1"/>
    <n v="179"/>
    <x v="40"/>
    <n v="726"/>
    <s v="First Year Committee"/>
    <n v="3"/>
    <n v="1"/>
    <n v="1"/>
    <n v="0"/>
    <n v="0"/>
    <n v="0"/>
    <s v="&lt;2 hrs/wk"/>
    <s v="41-52 weeks (full year)"/>
    <x v="4"/>
  </r>
  <r>
    <n v="212"/>
    <x v="1"/>
    <n v="179"/>
    <x v="40"/>
    <n v="729"/>
    <s v="Gala Committee"/>
    <n v="1"/>
    <n v="0"/>
    <n v="1"/>
    <n v="0"/>
    <n v="0"/>
    <n v="0"/>
    <s v="2 till 4 hrs/wk"/>
    <s v="21-30 weeks (3 quartiles)"/>
    <x v="4"/>
  </r>
  <r>
    <n v="212"/>
    <x v="1"/>
    <n v="179"/>
    <x v="40"/>
    <n v="730"/>
    <s v="GraphiCie"/>
    <n v="0"/>
    <n v="4"/>
    <n v="4"/>
    <n v="2"/>
    <n v="2"/>
    <n v="4"/>
    <s v="&lt;2 hrs/wk"/>
    <s v="52+ weeks (ongoing/longer than a year)"/>
    <x v="5"/>
  </r>
  <r>
    <n v="212"/>
    <x v="1"/>
    <n v="179"/>
    <x v="40"/>
    <n v="731"/>
    <s v="Guild of Drafters"/>
    <n v="0"/>
    <n v="5"/>
    <n v="5"/>
    <n v="6"/>
    <n v="6"/>
    <n v="7"/>
    <s v="&lt;2 hrs/wk"/>
    <s v="52+ weeks (ongoing/longer than a year)"/>
    <x v="5"/>
  </r>
  <r>
    <n v="212"/>
    <x v="1"/>
    <n v="179"/>
    <x v="40"/>
    <n v="733"/>
    <s v="Have You Tried Turning It Off And On Again Co"/>
    <n v="3"/>
    <n v="1"/>
    <n v="3"/>
    <n v="0"/>
    <n v="3"/>
    <n v="1"/>
    <s v="5 till 8 hrs/wk"/>
    <s v="52+ weeks (ongoing/longer than a year)"/>
    <x v="2"/>
  </r>
  <r>
    <n v="212"/>
    <x v="1"/>
    <n v="179"/>
    <x v="40"/>
    <n v="734"/>
    <s v="InteracCie"/>
    <n v="0"/>
    <n v="0"/>
    <n v="1"/>
    <n v="2"/>
    <n v="0"/>
    <n v="0"/>
    <s v="&lt;2 hrs/wk"/>
    <s v="41-52 weeks (full year)"/>
    <x v="5"/>
  </r>
  <r>
    <n v="212"/>
    <x v="1"/>
    <n v="179"/>
    <x v="40"/>
    <n v="735"/>
    <s v="Kick-In Committee CreaTe"/>
    <n v="3"/>
    <n v="1"/>
    <n v="1"/>
    <n v="1"/>
    <n v="0"/>
    <n v="1"/>
    <s v="2 till 4 hrs/wk"/>
    <s v="21-30 weeks (3 quartiles)"/>
    <x v="3"/>
  </r>
  <r>
    <n v="212"/>
    <x v="1"/>
    <n v="179"/>
    <x v="40"/>
    <n v="736"/>
    <s v="Lustrum Committee"/>
    <n v="0"/>
    <n v="2"/>
    <n v="2"/>
    <n v="0"/>
    <n v="0"/>
    <n v="3"/>
    <s v="2 till 4 hrs/wk"/>
    <s v="31-40 weeks (4 quartiles)"/>
    <x v="3"/>
  </r>
  <r>
    <n v="212"/>
    <x v="1"/>
    <n v="179"/>
    <x v="40"/>
    <n v="737"/>
    <s v="pLAN"/>
    <n v="1"/>
    <n v="2"/>
    <n v="2"/>
    <n v="0"/>
    <n v="0"/>
    <n v="1"/>
    <s v="&lt;2 hrs/wk"/>
    <s v="41-52 weeks (full year)"/>
    <x v="4"/>
  </r>
  <r>
    <n v="212"/>
    <x v="1"/>
    <n v="179"/>
    <x v="40"/>
    <n v="738"/>
    <s v="Protography"/>
    <n v="1"/>
    <n v="4"/>
    <n v="5"/>
    <n v="4"/>
    <n v="5"/>
    <n v="2"/>
    <s v="&lt;2 hrs/wk"/>
    <s v="52+ weeks (ongoing/longer than a year)"/>
    <x v="5"/>
  </r>
  <r>
    <n v="212"/>
    <x v="1"/>
    <n v="179"/>
    <x v="40"/>
    <n v="739"/>
    <s v="ProtOpeners"/>
    <n v="0"/>
    <n v="6"/>
    <n v="4"/>
    <n v="8"/>
    <n v="13"/>
    <n v="7"/>
    <s v="&lt;2 hrs/wk"/>
    <s v="52+ weeks (ongoing/longer than a year)"/>
    <x v="5"/>
  </r>
  <r>
    <n v="212"/>
    <x v="1"/>
    <n v="179"/>
    <x v="40"/>
    <n v="740"/>
    <s v="ProtoTrip"/>
    <n v="0"/>
    <n v="0"/>
    <n v="1"/>
    <n v="0"/>
    <n v="0"/>
    <n v="0"/>
    <s v="2 till 4 hrs/wk"/>
    <s v="11-20 weeks (2 quartiles)"/>
    <x v="5"/>
  </r>
  <r>
    <n v="212"/>
    <x v="1"/>
    <n v="179"/>
    <x v="40"/>
    <n v="741"/>
    <s v="Senatus Viridi"/>
    <n v="0"/>
    <n v="0"/>
    <n v="0"/>
    <n v="0"/>
    <n v="4"/>
    <n v="0"/>
    <s v="&lt;2 hrs/wk"/>
    <s v="52+ weeks (ongoing/longer than a year)"/>
    <x v="5"/>
  </r>
  <r>
    <n v="212"/>
    <x v="1"/>
    <n v="179"/>
    <x v="40"/>
    <n v="742"/>
    <s v="SportCie"/>
    <n v="1"/>
    <n v="2"/>
    <n v="3"/>
    <n v="1"/>
    <n v="0"/>
    <n v="0"/>
    <s v="&lt;2 hrs/wk"/>
    <s v="41-52 weeks (full year)"/>
    <x v="4"/>
  </r>
  <r>
    <n v="212"/>
    <x v="1"/>
    <n v="179"/>
    <x v="40"/>
    <n v="743"/>
    <s v="Symposium Committee"/>
    <n v="0"/>
    <n v="2"/>
    <n v="1"/>
    <n v="1"/>
    <n v="0"/>
    <n v="1"/>
    <s v="2 till 4 hrs/wk"/>
    <s v="31-40 weeks (4 quartiles)"/>
    <x v="5"/>
  </r>
  <r>
    <n v="212"/>
    <x v="1"/>
    <n v="179"/>
    <x v="40"/>
    <n v="745"/>
    <s v="TIPCie"/>
    <n v="0"/>
    <n v="2"/>
    <n v="1"/>
    <n v="1"/>
    <n v="0"/>
    <n v="1"/>
    <s v="2 till 4 hrs/wk"/>
    <s v="52+ weeks (ongoing/longer than a year)"/>
    <x v="5"/>
  </r>
  <r>
    <n v="212"/>
    <x v="1"/>
    <n v="179"/>
    <x v="40"/>
    <n v="1091"/>
    <s v="DIYCie2"/>
    <n v="0"/>
    <n v="3"/>
    <n v="2"/>
    <n v="2"/>
    <n v="1"/>
    <n v="1"/>
    <s v="2 till 4 hrs/wk"/>
    <s v="52+ weeks (ongoing/longer than a year)"/>
    <x v="4"/>
  </r>
  <r>
    <n v="212"/>
    <x v="1"/>
    <n v="179"/>
    <x v="40"/>
    <n v="1093"/>
    <s v="FishCie"/>
    <n v="0"/>
    <n v="2"/>
    <n v="2"/>
    <n v="0"/>
    <n v="2"/>
    <n v="0"/>
    <s v="&lt;2 hrs/wk"/>
    <s v="52+ weeks (ongoing/longer than a year)"/>
    <x v="2"/>
  </r>
  <r>
    <n v="212"/>
    <x v="1"/>
    <n v="179"/>
    <x v="40"/>
    <n v="1094"/>
    <s v="Handyman Committee"/>
    <n v="0"/>
    <n v="3"/>
    <n v="2"/>
    <n v="1"/>
    <n v="0"/>
    <n v="1"/>
    <s v="&lt;2 hrs/wk"/>
    <s v="41-52 weeks (full year)"/>
    <x v="4"/>
  </r>
  <r>
    <n v="212"/>
    <x v="1"/>
    <n v="179"/>
    <x v="40"/>
    <n v="1095"/>
    <s v="OmNomCom"/>
    <n v="0"/>
    <n v="2"/>
    <n v="1"/>
    <n v="2"/>
    <n v="0"/>
    <n v="2"/>
    <s v="&lt;2 hrs/wk"/>
    <s v="52+ weeks (ongoing/longer than a year)"/>
    <x v="5"/>
  </r>
  <r>
    <n v="212"/>
    <x v="1"/>
    <n v="179"/>
    <x v="40"/>
    <n v="1333"/>
    <s v="Alumni Committee"/>
    <n v="0"/>
    <n v="0"/>
    <n v="1"/>
    <n v="0"/>
    <n v="0"/>
    <n v="0"/>
    <s v="&lt;2 hrs/wk"/>
    <s v="41-52 weeks (full year)"/>
    <x v="4"/>
  </r>
  <r>
    <n v="212"/>
    <x v="1"/>
    <n v="179"/>
    <x v="40"/>
    <n v="1334"/>
    <s v="Foundation ICE"/>
    <n v="0"/>
    <n v="0"/>
    <n v="3"/>
    <n v="1"/>
    <n v="0"/>
    <n v="0"/>
    <s v="5 till 8 hrs/wk"/>
    <s v="52+ weeks (ongoing/longer than a year)"/>
    <x v="3"/>
  </r>
  <r>
    <n v="213"/>
    <x v="1"/>
    <n v="180"/>
    <x v="41"/>
    <n v="800"/>
    <s v="BHV"/>
    <n v="0"/>
    <n v="0"/>
    <n v="3"/>
    <n v="2"/>
    <n v="4"/>
    <n v="2"/>
    <s v="2 till 4 hrs/wk"/>
    <s v="52+ weeks (ongoing/longer than a year)"/>
    <x v="5"/>
  </r>
  <r>
    <n v="213"/>
    <x v="1"/>
    <n v="180"/>
    <x v="41"/>
    <n v="801"/>
    <s v="De Borrel"/>
    <n v="1"/>
    <n v="3"/>
    <n v="7"/>
    <n v="7"/>
    <n v="3"/>
    <n v="3"/>
    <s v="2 till 4 hrs/wk"/>
    <s v="52+ weeks (ongoing/longer than a year)"/>
    <x v="5"/>
  </r>
  <r>
    <n v="213"/>
    <x v="1"/>
    <n v="180"/>
    <x v="41"/>
    <n v="802"/>
    <s v="CCS"/>
    <n v="0"/>
    <n v="0"/>
    <n v="2"/>
    <n v="2"/>
    <n v="6"/>
    <n v="0"/>
    <s v="&lt;2 hrs/wk"/>
    <s v="52+ weeks (ongoing/longer than a year)"/>
    <x v="4"/>
  </r>
  <r>
    <n v="213"/>
    <x v="1"/>
    <n v="180"/>
    <x v="41"/>
    <n v="803"/>
    <s v="EE-Sports"/>
    <n v="0"/>
    <n v="0"/>
    <n v="5"/>
    <n v="2"/>
    <n v="0"/>
    <n v="0"/>
    <s v="&lt;2 hrs/wk"/>
    <s v="52+ weeks (ongoing/longer than a year)"/>
    <x v="4"/>
  </r>
  <r>
    <n v="213"/>
    <x v="1"/>
    <n v="180"/>
    <x v="41"/>
    <n v="806"/>
    <s v="FC Scintilla"/>
    <n v="0"/>
    <n v="2"/>
    <n v="1"/>
    <n v="4"/>
    <n v="1"/>
    <n v="2"/>
    <s v="&lt;2 hrs/wk"/>
    <s v="52+ weeks (ongoing/longer than a year)"/>
    <x v="4"/>
  </r>
  <r>
    <n v="213"/>
    <x v="1"/>
    <n v="180"/>
    <x v="41"/>
    <n v="808"/>
    <s v="KCC"/>
    <n v="0"/>
    <n v="0"/>
    <n v="4"/>
    <n v="4"/>
    <n v="4"/>
    <n v="2"/>
    <s v="2 till 4 hrs/wk"/>
    <s v="52+ weeks (ongoing/longer than a year)"/>
    <x v="2"/>
  </r>
  <r>
    <n v="213"/>
    <x v="1"/>
    <n v="180"/>
    <x v="41"/>
    <n v="809"/>
    <s v="KickEm"/>
    <n v="0"/>
    <n v="0"/>
    <n v="0"/>
    <n v="0"/>
    <n v="1"/>
    <n v="0"/>
    <s v="2 till 4 hrs/wk"/>
    <s v="1-10 weeks (1 quartile)"/>
    <x v="3"/>
  </r>
  <r>
    <n v="213"/>
    <x v="1"/>
    <n v="180"/>
    <x v="41"/>
    <n v="810"/>
    <s v="LEX"/>
    <n v="0"/>
    <n v="0"/>
    <n v="4"/>
    <n v="2"/>
    <n v="1"/>
    <n v="0"/>
    <s v="2 till 4 hrs/wk"/>
    <s v="52+ weeks (ongoing/longer than a year)"/>
    <x v="3"/>
  </r>
  <r>
    <n v="213"/>
    <x v="1"/>
    <n v="180"/>
    <x v="41"/>
    <n v="811"/>
    <s v="Lustrumcommittee"/>
    <n v="0"/>
    <n v="0"/>
    <n v="3"/>
    <n v="2"/>
    <n v="2"/>
    <n v="0"/>
    <s v="&lt;2 hrs/wk"/>
    <s v="41-52 weeks (full year)"/>
    <x v="5"/>
  </r>
  <r>
    <n v="213"/>
    <x v="1"/>
    <n v="180"/>
    <x v="41"/>
    <n v="814"/>
    <s v="RvA"/>
    <n v="0"/>
    <n v="0"/>
    <n v="0"/>
    <n v="0"/>
    <n v="3"/>
    <n v="3"/>
    <s v="&lt;2 hrs/wk"/>
    <s v="52+ weeks (ongoing/longer than a year)"/>
    <x v="2"/>
  </r>
  <r>
    <n v="213"/>
    <x v="1"/>
    <n v="180"/>
    <x v="41"/>
    <n v="815"/>
    <s v="RvT"/>
    <n v="0"/>
    <n v="0"/>
    <n v="0"/>
    <n v="2"/>
    <n v="1"/>
    <n v="1"/>
    <s v="&lt;2 hrs/wk"/>
    <s v="52+ weeks (ongoing/longer than a year)"/>
    <x v="2"/>
  </r>
  <r>
    <n v="213"/>
    <x v="1"/>
    <n v="180"/>
    <x v="41"/>
    <n v="816"/>
    <s v="SCALA"/>
    <n v="2"/>
    <n v="3"/>
    <n v="4"/>
    <n v="0"/>
    <n v="0"/>
    <n v="0"/>
    <s v="&lt;2 hrs/wk"/>
    <s v="52+ weeks (ongoing/longer than a year)"/>
    <x v="5"/>
  </r>
  <r>
    <n v="213"/>
    <x v="1"/>
    <n v="180"/>
    <x v="41"/>
    <n v="818"/>
    <s v="SECS"/>
    <n v="0"/>
    <n v="1"/>
    <n v="4"/>
    <n v="1"/>
    <n v="0"/>
    <n v="0"/>
    <s v="&lt;2 hrs/wk"/>
    <s v="52+ weeks (ongoing/longer than a year)"/>
    <x v="4"/>
  </r>
  <r>
    <n v="213"/>
    <x v="1"/>
    <n v="180"/>
    <x v="41"/>
    <n v="819"/>
    <s v="Shock"/>
    <n v="1"/>
    <n v="0"/>
    <n v="2"/>
    <n v="2"/>
    <n v="0"/>
    <n v="0"/>
    <s v="&lt;2 hrs/wk"/>
    <s v="52+ weeks (ongoing/longer than a year)"/>
    <x v="4"/>
  </r>
  <r>
    <n v="213"/>
    <x v="1"/>
    <n v="180"/>
    <x v="41"/>
    <n v="820"/>
    <s v="Sjaarscie"/>
    <n v="6"/>
    <n v="0"/>
    <n v="0"/>
    <n v="0"/>
    <n v="0"/>
    <n v="0"/>
    <s v="&lt;2 hrs/wk"/>
    <s v="52+ weeks (ongoing/longer than a year)"/>
    <x v="4"/>
  </r>
  <r>
    <n v="213"/>
    <x v="1"/>
    <n v="180"/>
    <x v="41"/>
    <n v="821"/>
    <s v="Lustrum Book"/>
    <n v="0"/>
    <n v="0"/>
    <n v="2"/>
    <n v="2"/>
    <n v="2"/>
    <n v="0"/>
    <s v="2 till 4 hrs/wk"/>
    <s v="41-52 weeks (full year)"/>
    <x v="2"/>
  </r>
  <r>
    <n v="213"/>
    <x v="1"/>
    <n v="180"/>
    <x v="41"/>
    <n v="822"/>
    <s v="SKIC"/>
    <n v="0"/>
    <n v="0"/>
    <n v="6"/>
    <n v="0"/>
    <n v="0"/>
    <n v="0"/>
    <s v="2 till 4 hrs/wk"/>
    <s v="21-30 weeks (3 quartiles)"/>
    <x v="3"/>
  </r>
  <r>
    <n v="213"/>
    <x v="1"/>
    <n v="180"/>
    <x v="41"/>
    <n v="824"/>
    <s v="SOT"/>
    <n v="1"/>
    <n v="0"/>
    <n v="2"/>
    <n v="2"/>
    <n v="2"/>
    <n v="2"/>
    <s v="2 till 4 hrs/wk"/>
    <s v="52+ weeks (ongoing/longer than a year)"/>
    <x v="2"/>
  </r>
  <r>
    <n v="213"/>
    <x v="1"/>
    <n v="180"/>
    <x v="41"/>
    <n v="825"/>
    <s v="Spock"/>
    <n v="0"/>
    <n v="0"/>
    <n v="0"/>
    <n v="10"/>
    <n v="10"/>
    <n v="0"/>
    <s v="2 till 4 hrs/wk"/>
    <s v="41-52 weeks (full year)"/>
    <x v="2"/>
  </r>
  <r>
    <n v="213"/>
    <x v="1"/>
    <n v="180"/>
    <x v="41"/>
    <n v="826"/>
    <s v="SRC"/>
    <n v="0"/>
    <n v="0"/>
    <n v="0"/>
    <n v="0"/>
    <n v="6"/>
    <n v="0"/>
    <s v="2 till 4 hrs/wk"/>
    <s v="41-52 weeks (full year)"/>
    <x v="3"/>
  </r>
  <r>
    <n v="213"/>
    <x v="1"/>
    <n v="180"/>
    <x v="41"/>
    <n v="827"/>
    <s v="STORES"/>
    <n v="0"/>
    <n v="0"/>
    <n v="3"/>
    <n v="3"/>
    <n v="3"/>
    <n v="5"/>
    <s v="2 till 4 hrs/wk"/>
    <s v="52+ weeks (ongoing/longer than a year)"/>
    <x v="5"/>
  </r>
  <r>
    <n v="213"/>
    <x v="1"/>
    <n v="180"/>
    <x v="41"/>
    <n v="828"/>
    <s v="STUDI"/>
    <n v="2"/>
    <n v="2"/>
    <n v="2"/>
    <n v="2"/>
    <n v="0"/>
    <n v="0"/>
    <s v="&lt;2 hrs/wk"/>
    <s v="52+ weeks (ongoing/longer than a year)"/>
    <x v="3"/>
  </r>
  <r>
    <n v="213"/>
    <x v="1"/>
    <n v="180"/>
    <x v="41"/>
    <n v="829"/>
    <s v="SUN"/>
    <n v="0"/>
    <n v="0"/>
    <n v="0"/>
    <n v="3"/>
    <n v="3"/>
    <n v="3"/>
    <s v="&lt;2 hrs/wk"/>
    <s v="52+ weeks (ongoing/longer than a year)"/>
    <x v="4"/>
  </r>
  <r>
    <n v="213"/>
    <x v="1"/>
    <n v="180"/>
    <x v="41"/>
    <n v="831"/>
    <s v="Vauxhall"/>
    <n v="0"/>
    <n v="0"/>
    <n v="2"/>
    <n v="2"/>
    <n v="0"/>
    <n v="0"/>
    <s v="2 till 4 hrs/wk"/>
    <s v="1-10 weeks (1 quartile)"/>
    <x v="2"/>
  </r>
  <r>
    <n v="213"/>
    <x v="1"/>
    <n v="180"/>
    <x v="41"/>
    <n v="832"/>
    <s v="De Vonk"/>
    <n v="1"/>
    <n v="1"/>
    <n v="4"/>
    <n v="2"/>
    <n v="2"/>
    <n v="0"/>
    <s v="2 till 4 hrs/wk"/>
    <s v="52+ weeks (ongoing/longer than a year)"/>
    <x v="2"/>
  </r>
  <r>
    <n v="213"/>
    <x v="1"/>
    <n v="180"/>
    <x v="41"/>
    <n v="833"/>
    <s v="Webteam"/>
    <n v="0"/>
    <n v="2"/>
    <n v="0"/>
    <n v="4"/>
    <n v="6"/>
    <n v="3"/>
    <s v="&lt;2 hrs/wk"/>
    <s v="52+ weeks (ongoing/longer than a year)"/>
    <x v="2"/>
  </r>
  <r>
    <n v="213"/>
    <x v="1"/>
    <n v="180"/>
    <x v="41"/>
    <n v="834"/>
    <s v="Board"/>
    <n v="0"/>
    <n v="0"/>
    <n v="3"/>
    <n v="3"/>
    <n v="0"/>
    <n v="0"/>
    <s v="30+ hrs/wk"/>
    <s v="41-52 weeks (full year)"/>
    <x v="2"/>
  </r>
  <r>
    <n v="214"/>
    <x v="1"/>
    <n v="181"/>
    <x v="42"/>
    <n v="1015"/>
    <s v="Big Trip Committee"/>
    <n v="2"/>
    <n v="2"/>
    <n v="1"/>
    <n v="0"/>
    <n v="0"/>
    <n v="0"/>
    <s v="&lt;2 hrs/wk"/>
    <s v="1-10 weeks (1 quartile)"/>
    <x v="5"/>
  </r>
  <r>
    <n v="214"/>
    <x v="1"/>
    <n v="181"/>
    <x v="42"/>
    <n v="1016"/>
    <s v="Career Committee"/>
    <n v="2"/>
    <n v="1"/>
    <n v="0"/>
    <n v="1"/>
    <n v="0"/>
    <n v="0"/>
    <s v="2 till 4 hrs/wk"/>
    <s v="41-52 weeks (full year)"/>
    <x v="4"/>
  </r>
  <r>
    <n v="214"/>
    <x v="1"/>
    <n v="181"/>
    <x v="42"/>
    <n v="1019"/>
    <s v="Freshmen Committee"/>
    <n v="8"/>
    <n v="0"/>
    <n v="0"/>
    <n v="0"/>
    <n v="0"/>
    <n v="0"/>
    <s v="2 till 4 hrs/wk"/>
    <s v="41-52 weeks (full year)"/>
    <x v="3"/>
  </r>
  <r>
    <n v="214"/>
    <x v="1"/>
    <n v="181"/>
    <x v="42"/>
    <n v="1020"/>
    <s v="Gala Committee"/>
    <n v="4"/>
    <n v="4"/>
    <n v="1"/>
    <n v="0"/>
    <n v="0"/>
    <n v="0"/>
    <s v="2 till 4 hrs/wk"/>
    <s v="41-52 weeks (full year)"/>
    <x v="3"/>
  </r>
  <r>
    <n v="214"/>
    <x v="1"/>
    <n v="181"/>
    <x v="42"/>
    <n v="1021"/>
    <s v="Multicultural Committee"/>
    <n v="0"/>
    <n v="5"/>
    <n v="0"/>
    <n v="0"/>
    <n v="0"/>
    <n v="0"/>
    <s v="2 till 4 hrs/wk"/>
    <s v="41-52 weeks (full year)"/>
    <x v="2"/>
  </r>
  <r>
    <n v="214"/>
    <x v="1"/>
    <n v="181"/>
    <x v="42"/>
    <n v="1022"/>
    <s v="Poster Committee"/>
    <n v="0"/>
    <n v="0"/>
    <n v="0"/>
    <n v="0"/>
    <n v="0"/>
    <n v="13"/>
    <s v="&lt;2 hrs/wk"/>
    <s v="41-52 weeks (full year)"/>
    <x v="2"/>
  </r>
  <r>
    <n v="214"/>
    <x v="1"/>
    <n v="181"/>
    <x v="42"/>
    <n v="1023"/>
    <s v="Privacy Committee"/>
    <n v="0"/>
    <n v="0"/>
    <n v="0"/>
    <n v="0"/>
    <n v="0"/>
    <n v="7"/>
    <s v="&lt;2 hrs/wk"/>
    <s v="41-52 weeks (full year)"/>
    <x v="2"/>
  </r>
  <r>
    <n v="214"/>
    <x v="1"/>
    <n v="181"/>
    <x v="42"/>
    <n v="1024"/>
    <s v="Relations Committee"/>
    <n v="0"/>
    <n v="0"/>
    <n v="0"/>
    <n v="0"/>
    <n v="0"/>
    <n v="4"/>
    <s v="2 till 4 hrs/wk"/>
    <s v="41-52 weeks (full year)"/>
    <x v="2"/>
  </r>
  <r>
    <n v="214"/>
    <x v="1"/>
    <n v="181"/>
    <x v="42"/>
    <n v="1025"/>
    <s v="Sirius Kick-In Committee"/>
    <n v="4"/>
    <n v="4"/>
    <n v="0"/>
    <n v="0"/>
    <n v="0"/>
    <n v="0"/>
    <s v="2 till 4 hrs/wk"/>
    <s v="11-20 weeks (2 quartiles)"/>
    <x v="3"/>
  </r>
  <r>
    <n v="214"/>
    <x v="1"/>
    <n v="181"/>
    <x v="42"/>
    <n v="1026"/>
    <s v="Sirius Politics Committee"/>
    <n v="2"/>
    <n v="3"/>
    <n v="1"/>
    <n v="3"/>
    <n v="0"/>
    <n v="0"/>
    <s v="&lt;2 hrs/wk"/>
    <s v="41-52 weeks (full year)"/>
    <x v="2"/>
  </r>
  <r>
    <n v="214"/>
    <x v="1"/>
    <n v="181"/>
    <x v="42"/>
    <n v="1027"/>
    <s v="SnowTrip Committee"/>
    <n v="1"/>
    <n v="4"/>
    <n v="0"/>
    <n v="0"/>
    <n v="0"/>
    <n v="0"/>
    <s v="5 till 8 hrs/wk"/>
    <s v="21-30 weeks (3 quartiles)"/>
    <x v="4"/>
  </r>
  <r>
    <n v="214"/>
    <x v="1"/>
    <n v="181"/>
    <x v="42"/>
    <n v="1029"/>
    <s v="Tap and Party Committee"/>
    <n v="4"/>
    <n v="6"/>
    <n v="3"/>
    <n v="3"/>
    <n v="0"/>
    <n v="0"/>
    <s v="2 till 4 hrs/wk"/>
    <s v="41-52 weeks (full year)"/>
    <x v="5"/>
  </r>
  <r>
    <n v="214"/>
    <x v="1"/>
    <n v="181"/>
    <x v="42"/>
    <n v="1030"/>
    <s v="Activities Committee"/>
    <n v="0"/>
    <n v="8"/>
    <n v="0"/>
    <n v="0"/>
    <n v="0"/>
    <n v="0"/>
    <s v="&lt;2 hrs/wk"/>
    <s v="41-52 weeks (full year)"/>
    <x v="4"/>
  </r>
  <r>
    <n v="214"/>
    <x v="1"/>
    <n v="181"/>
    <x v="42"/>
    <n v="1031"/>
    <s v="Symposium Committee"/>
    <n v="2"/>
    <n v="5"/>
    <n v="2"/>
    <n v="0"/>
    <n v="0"/>
    <n v="0"/>
    <s v="2 till 4 hrs/wk"/>
    <s v="21-30 weeks (3 quartiles)"/>
    <x v="3"/>
  </r>
  <r>
    <n v="214"/>
    <x v="1"/>
    <n v="181"/>
    <x v="42"/>
    <n v="1032"/>
    <s v="Excursion Committee Gezondheidswetenschappen"/>
    <n v="0"/>
    <n v="6"/>
    <n v="0"/>
    <n v="0"/>
    <n v="0"/>
    <n v="0"/>
    <s v="2 till 4 hrs/wk"/>
    <s v="41-52 weeks (full year)"/>
    <x v="5"/>
  </r>
  <r>
    <n v="214"/>
    <x v="1"/>
    <n v="181"/>
    <x v="42"/>
    <n v="1033"/>
    <s v="Excursion Committee Management Society and Te"/>
    <n v="0"/>
    <n v="5"/>
    <n v="0"/>
    <n v="0"/>
    <n v="0"/>
    <n v="0"/>
    <s v="2 till 4 hrs/wk"/>
    <s v="31-40 weeks (4 quartiles)"/>
    <x v="5"/>
  </r>
  <r>
    <n v="214"/>
    <x v="1"/>
    <n v="181"/>
    <x v="42"/>
    <n v="1034"/>
    <s v="Advisory Council"/>
    <n v="0"/>
    <n v="0"/>
    <n v="2"/>
    <n v="6"/>
    <n v="0"/>
    <n v="0"/>
    <s v="&lt;2 hrs/wk"/>
    <s v="41-52 weeks (full year)"/>
    <x v="2"/>
  </r>
  <r>
    <n v="214"/>
    <x v="1"/>
    <n v="181"/>
    <x v="42"/>
    <n v="1035"/>
    <s v="Cash Audit Committee"/>
    <n v="0"/>
    <n v="0"/>
    <n v="2"/>
    <n v="2"/>
    <n v="0"/>
    <n v="6"/>
    <s v="2 till 4 hrs/wk"/>
    <s v="41-52 weeks (full year)"/>
    <x v="2"/>
  </r>
  <r>
    <n v="214"/>
    <x v="1"/>
    <n v="181"/>
    <x v="42"/>
    <n v="1590"/>
    <s v="Lustrum Committee"/>
    <n v="0"/>
    <n v="0"/>
    <n v="0"/>
    <n v="0"/>
    <n v="0"/>
    <n v="6"/>
    <s v="2 till 4 hrs/wk"/>
    <s v="52+ weeks (ongoing/longer than a year)"/>
    <x v="3"/>
  </r>
  <r>
    <n v="214"/>
    <x v="1"/>
    <n v="181"/>
    <x v="42"/>
    <n v="1592"/>
    <s v="Master Committee"/>
    <n v="0"/>
    <n v="0"/>
    <n v="0"/>
    <n v="0"/>
    <n v="0"/>
    <n v="4"/>
    <s v="2 till 4 hrs/wk"/>
    <s v="31-40 weeks (4 quartiles)"/>
    <x v="2"/>
  </r>
  <r>
    <n v="214"/>
    <x v="1"/>
    <n v="181"/>
    <x v="42"/>
    <n v="1594"/>
    <s v="Sirius Socials Committee"/>
    <n v="0"/>
    <n v="0"/>
    <n v="0"/>
    <n v="0"/>
    <n v="0"/>
    <n v="4"/>
    <s v="2 till 4 hrs/wk"/>
    <s v="41-52 weeks (full year)"/>
    <x v="2"/>
  </r>
  <r>
    <n v="214"/>
    <x v="1"/>
    <n v="181"/>
    <x v="42"/>
    <n v="1595"/>
    <s v="Almanac Committee"/>
    <n v="0"/>
    <n v="0"/>
    <n v="0"/>
    <n v="0"/>
    <n v="0"/>
    <n v="7"/>
    <s v="2 till 4 hrs/wk"/>
    <s v="52+ weeks (ongoing/longer than a year)"/>
    <x v="3"/>
  </r>
  <r>
    <n v="216"/>
    <x v="1"/>
    <n v="183"/>
    <x v="43"/>
    <n v="349"/>
    <s v="Board"/>
    <n v="0"/>
    <n v="0"/>
    <n v="0"/>
    <n v="1"/>
    <n v="1"/>
    <n v="0"/>
    <s v="5 till 8 hrs/wk"/>
    <s v="52+ weeks (ongoing/longer than a year)"/>
    <x v="5"/>
  </r>
  <r>
    <n v="216"/>
    <x v="1"/>
    <n v="183"/>
    <x v="43"/>
    <n v="353"/>
    <s v="OLC"/>
    <n v="0"/>
    <n v="0"/>
    <n v="0"/>
    <n v="2"/>
    <n v="2"/>
    <n v="0"/>
    <s v="&lt;2 hrs/wk"/>
    <s v="52+ weeks (ongoing/longer than a year)"/>
    <x v="2"/>
  </r>
  <r>
    <n v="219"/>
    <x v="1"/>
    <n v="186"/>
    <x v="44"/>
    <n v="1342"/>
    <s v="SoMeCie"/>
    <n v="2"/>
    <n v="1"/>
    <n v="2"/>
    <n v="0"/>
    <n v="1"/>
    <n v="0"/>
    <s v="&lt;2 hrs/wk"/>
    <s v="52+ weeks (ongoing/longer than a year)"/>
    <x v="2"/>
  </r>
  <r>
    <n v="219"/>
    <x v="1"/>
    <n v="186"/>
    <x v="44"/>
    <n v="1343"/>
    <s v="Promoteam"/>
    <n v="0"/>
    <n v="0"/>
    <n v="4"/>
    <n v="3"/>
    <n v="3"/>
    <n v="0"/>
    <s v="&lt;2 hrs/wk"/>
    <s v="52+ weeks (ongoing/longer than a year)"/>
    <x v="2"/>
  </r>
  <r>
    <n v="219"/>
    <x v="1"/>
    <n v="186"/>
    <x v="44"/>
    <n v="1344"/>
    <s v="Kamp"/>
    <n v="0"/>
    <n v="4"/>
    <n v="2"/>
    <n v="0"/>
    <n v="1"/>
    <n v="0"/>
    <s v="&lt;2 hrs/wk"/>
    <s v="11-20 weeks (2 quartiles)"/>
    <x v="4"/>
  </r>
  <r>
    <n v="219"/>
    <x v="1"/>
    <n v="186"/>
    <x v="44"/>
    <n v="1345"/>
    <s v="BataCie"/>
    <n v="0"/>
    <n v="0"/>
    <n v="1"/>
    <n v="2"/>
    <n v="0"/>
    <n v="0"/>
    <s v="&lt;2 hrs/wk"/>
    <s v="1-10 weeks (1 quartile)"/>
    <x v="4"/>
  </r>
  <r>
    <n v="219"/>
    <x v="1"/>
    <n v="186"/>
    <x v="44"/>
    <n v="1348"/>
    <s v="Het After Intro Programma commissie"/>
    <n v="2"/>
    <n v="1"/>
    <n v="2"/>
    <n v="2"/>
    <n v="0"/>
    <n v="0"/>
    <s v="9 till 16 hrs/wk"/>
    <s v="11-20 weeks (2 quartiles)"/>
    <x v="3"/>
  </r>
  <r>
    <n v="219"/>
    <x v="1"/>
    <n v="186"/>
    <x v="44"/>
    <n v="1349"/>
    <s v="Sollicitatiecommissie"/>
    <n v="0"/>
    <n v="0"/>
    <n v="1"/>
    <n v="23"/>
    <n v="0"/>
    <n v="0"/>
    <s v="2 till 4 hrs/wk"/>
    <s v="1-10 weeks (1 quartile)"/>
    <x v="2"/>
  </r>
  <r>
    <n v="219"/>
    <x v="1"/>
    <n v="186"/>
    <x v="44"/>
    <n v="1350"/>
    <s v="Bestuur"/>
    <n v="0"/>
    <n v="0"/>
    <n v="1"/>
    <n v="3"/>
    <n v="0"/>
    <n v="0"/>
    <s v="30+ hrs/wk"/>
    <s v="41-52 weeks (full year)"/>
    <x v="1"/>
  </r>
  <r>
    <n v="219"/>
    <x v="1"/>
    <n v="186"/>
    <x v="44"/>
    <n v="1351"/>
    <s v="Societeitsbestuur"/>
    <n v="0"/>
    <n v="1"/>
    <n v="2"/>
    <n v="0"/>
    <n v="0"/>
    <n v="0"/>
    <s v="17 till 29 hrs/wk"/>
    <s v="41-52 weeks (full year)"/>
    <x v="4"/>
  </r>
  <r>
    <n v="219"/>
    <x v="1"/>
    <n v="186"/>
    <x v="44"/>
    <n v="1352"/>
    <s v="Activiteitencommissie"/>
    <n v="3"/>
    <n v="0"/>
    <n v="1"/>
    <n v="0"/>
    <n v="0"/>
    <n v="0"/>
    <s v="&lt;2 hrs/wk"/>
    <s v="11-20 weeks (2 quartiles)"/>
    <x v="3"/>
  </r>
  <r>
    <n v="219"/>
    <x v="1"/>
    <n v="186"/>
    <x v="44"/>
    <n v="1354"/>
    <s v="Delegate"/>
    <n v="0"/>
    <n v="1"/>
    <n v="2"/>
    <n v="1"/>
    <n v="1"/>
    <n v="0"/>
    <s v="9 till 16 hrs/wk"/>
    <s v="1-10 weeks (1 quartile)"/>
    <x v="4"/>
  </r>
  <r>
    <n v="219"/>
    <x v="1"/>
    <n v="186"/>
    <x v="44"/>
    <n v="1355"/>
    <s v="Summer University"/>
    <n v="2"/>
    <n v="0"/>
    <n v="3"/>
    <n v="2"/>
    <n v="0"/>
    <n v="0"/>
    <s v="5 till 8 hrs/wk"/>
    <s v="11-20 weeks (2 quartiles)"/>
    <x v="3"/>
  </r>
  <r>
    <n v="219"/>
    <x v="1"/>
    <n v="186"/>
    <x v="44"/>
    <n v="1356"/>
    <s v="Kascontrolecommissie"/>
    <n v="0"/>
    <n v="0"/>
    <n v="5"/>
    <n v="1"/>
    <n v="3"/>
    <n v="0"/>
    <s v="&lt;2 hrs/wk"/>
    <s v="52+ weeks (ongoing/longer than a year)"/>
    <x v="2"/>
  </r>
  <r>
    <n v="219"/>
    <x v="1"/>
    <n v="186"/>
    <x v="44"/>
    <n v="1357"/>
    <s v="Lustrumcommissie"/>
    <n v="1"/>
    <n v="1"/>
    <n v="1"/>
    <n v="5"/>
    <n v="0"/>
    <n v="0"/>
    <s v="5 till 8 hrs/wk"/>
    <s v="21-30 weeks (3 quartiles)"/>
    <x v="3"/>
  </r>
  <r>
    <n v="219"/>
    <x v="1"/>
    <n v="186"/>
    <x v="44"/>
    <n v="1358"/>
    <s v="Kic"/>
    <n v="3"/>
    <n v="0"/>
    <n v="2"/>
    <n v="1"/>
    <n v="0"/>
    <n v="0"/>
    <s v="17 till 29 hrs/wk"/>
    <s v="11-20 weeks (2 quartiles)"/>
    <x v="1"/>
  </r>
  <r>
    <n v="219"/>
    <x v="1"/>
    <n v="186"/>
    <x v="44"/>
    <n v="1359"/>
    <s v="Computer Operating Team"/>
    <n v="0"/>
    <n v="1"/>
    <n v="3"/>
    <n v="2"/>
    <n v="1"/>
    <n v="0"/>
    <s v="2 till 4 hrs/wk"/>
    <s v="52+ weeks (ongoing/longer than a year)"/>
    <x v="3"/>
  </r>
  <r>
    <n v="219"/>
    <x v="1"/>
    <n v="186"/>
    <x v="44"/>
    <n v="1360"/>
    <s v="Papara commissie"/>
    <n v="2"/>
    <n v="2"/>
    <n v="3"/>
    <n v="2"/>
    <n v="2"/>
    <n v="0"/>
    <s v="&lt;2 hrs/wk"/>
    <s v="52+ weeks (ongoing/longer than a year)"/>
    <x v="5"/>
  </r>
  <r>
    <n v="219"/>
    <x v="1"/>
    <n v="186"/>
    <x v="44"/>
    <n v="1361"/>
    <s v="Dies"/>
    <n v="0"/>
    <n v="3"/>
    <n v="0"/>
    <n v="2"/>
    <n v="0"/>
    <n v="0"/>
    <s v="2 till 4 hrs/wk"/>
    <s v="11-20 weeks (2 quartiles)"/>
    <x v="4"/>
  </r>
  <r>
    <n v="219"/>
    <x v="1"/>
    <n v="186"/>
    <x v="44"/>
    <n v="1362"/>
    <s v="Eerstejaarscommissie"/>
    <n v="7"/>
    <n v="0"/>
    <n v="0"/>
    <n v="0"/>
    <n v="0"/>
    <n v="0"/>
    <s v="&lt;2 hrs/wk"/>
    <s v="1-10 weeks (1 quartile)"/>
    <x v="2"/>
  </r>
  <r>
    <n v="219"/>
    <x v="1"/>
    <n v="186"/>
    <x v="44"/>
    <n v="1363"/>
    <s v="European working group"/>
    <n v="0"/>
    <n v="0"/>
    <n v="1"/>
    <n v="1"/>
    <n v="0"/>
    <n v="0"/>
    <s v="&lt;2 hrs/wk"/>
    <s v="52+ weeks (ongoing/longer than a year)"/>
    <x v="4"/>
  </r>
  <r>
    <n v="219"/>
    <x v="1"/>
    <n v="186"/>
    <x v="44"/>
    <n v="1364"/>
    <s v="Strategisch Plan"/>
    <n v="0"/>
    <n v="1"/>
    <n v="0"/>
    <n v="2"/>
    <n v="1"/>
    <n v="0"/>
    <s v="2 till 4 hrs/wk"/>
    <s v="31-40 weeks (4 quartiles)"/>
    <x v="2"/>
  </r>
  <r>
    <n v="219"/>
    <x v="1"/>
    <n v="186"/>
    <x v="44"/>
    <n v="1365"/>
    <s v="GaafCie"/>
    <n v="1"/>
    <n v="0"/>
    <n v="3"/>
    <n v="2"/>
    <n v="1"/>
    <n v="0"/>
    <s v="2 till 4 hrs/wk"/>
    <s v="52+ weeks (ongoing/longer than a year)"/>
    <x v="3"/>
  </r>
  <r>
    <n v="219"/>
    <x v="1"/>
    <n v="186"/>
    <x v="44"/>
    <n v="1366"/>
    <s v="Kledingcommissiee"/>
    <n v="0"/>
    <n v="0"/>
    <n v="0"/>
    <n v="3"/>
    <n v="2"/>
    <n v="4"/>
    <s v="&lt;2 hrs/wk"/>
    <s v="52+ weeks (ongoing/longer than a year)"/>
    <x v="2"/>
  </r>
  <r>
    <n v="219"/>
    <x v="1"/>
    <n v="186"/>
    <x v="44"/>
    <n v="1367"/>
    <s v="Bon AppeCie"/>
    <n v="1"/>
    <n v="3"/>
    <n v="3"/>
    <n v="1"/>
    <n v="1"/>
    <n v="0"/>
    <s v="&lt;2 hrs/wk"/>
    <s v="52+ weeks (ongoing/longer than a year)"/>
    <x v="5"/>
  </r>
  <r>
    <n v="219"/>
    <x v="1"/>
    <n v="186"/>
    <x v="44"/>
    <n v="1368"/>
    <s v="PromoCheck"/>
    <n v="0"/>
    <n v="2"/>
    <n v="2"/>
    <n v="2"/>
    <n v="5"/>
    <n v="0"/>
    <s v="&lt;2 hrs/wk"/>
    <s v="52+ weeks (ongoing/longer than a year)"/>
    <x v="2"/>
  </r>
  <r>
    <n v="219"/>
    <x v="1"/>
    <n v="186"/>
    <x v="44"/>
    <n v="1369"/>
    <s v="almanak"/>
    <n v="0"/>
    <n v="0"/>
    <n v="2"/>
    <n v="2"/>
    <n v="1"/>
    <n v="0"/>
    <s v="5 till 8 hrs/wk"/>
    <s v="11-20 weeks (2 quartiles)"/>
    <x v="2"/>
  </r>
  <r>
    <n v="219"/>
    <x v="1"/>
    <n v="186"/>
    <x v="44"/>
    <n v="1390"/>
    <s v="Raad van Advies"/>
    <n v="0"/>
    <n v="0"/>
    <n v="4"/>
    <n v="3"/>
    <n v="1"/>
    <n v="0"/>
    <s v="&lt;2 hrs/wk"/>
    <s v="52+ weeks (ongoing/longer than a year)"/>
    <x v="3"/>
  </r>
  <r>
    <n v="220"/>
    <x v="1"/>
    <n v="187"/>
    <x v="45"/>
    <n v="525"/>
    <s v="Bestuur"/>
    <n v="0"/>
    <n v="3"/>
    <n v="3"/>
    <n v="2"/>
    <n v="0"/>
    <n v="0"/>
    <s v="30+ hrs/wk"/>
    <s v="41-52 weeks (full year)"/>
    <x v="2"/>
  </r>
  <r>
    <n v="220"/>
    <x v="1"/>
    <n v="187"/>
    <x v="45"/>
    <n v="526"/>
    <s v="Kick-In Committee"/>
    <n v="2"/>
    <n v="7"/>
    <n v="0"/>
    <n v="0"/>
    <n v="0"/>
    <n v="0"/>
    <s v="17 till 29 hrs/wk"/>
    <s v="21-30 weeks (3 quartiles)"/>
    <x v="1"/>
  </r>
  <r>
    <n v="220"/>
    <x v="1"/>
    <n v="187"/>
    <x v="45"/>
    <n v="1234"/>
    <s v="Active Beginners Committee "/>
    <n v="6"/>
    <n v="2"/>
    <n v="0"/>
    <n v="0"/>
    <n v="0"/>
    <n v="0"/>
    <s v="2 till 4 hrs/wk"/>
    <s v="31-40 weeks (4 quartiles)"/>
    <x v="2"/>
  </r>
  <r>
    <n v="220"/>
    <x v="1"/>
    <n v="187"/>
    <x v="45"/>
    <n v="1235"/>
    <s v="First year guidance committee"/>
    <n v="0"/>
    <n v="4"/>
    <n v="4"/>
    <n v="0"/>
    <n v="0"/>
    <n v="0"/>
    <s v="9 till 16 hrs/wk"/>
    <s v="21-30 weeks (3 quartiles)"/>
    <x v="1"/>
  </r>
  <r>
    <n v="220"/>
    <x v="1"/>
    <n v="187"/>
    <x v="45"/>
    <n v="1236"/>
    <s v="Au Printemps committee"/>
    <n v="0"/>
    <n v="0"/>
    <n v="0"/>
    <n v="0"/>
    <n v="0"/>
    <n v="0"/>
    <s v="&lt;2 hrs/wk"/>
    <s v="1-10 weeks (1 quartile)"/>
    <x v="5"/>
  </r>
  <r>
    <n v="220"/>
    <x v="1"/>
    <n v="187"/>
    <x v="45"/>
    <n v="1238"/>
    <s v="Net Committee"/>
    <n v="0"/>
    <n v="3"/>
    <n v="3"/>
    <n v="1"/>
    <n v="0"/>
    <n v="0"/>
    <s v="&lt;2 hrs/wk"/>
    <s v="52+ weeks (ongoing/longer than a year)"/>
    <x v="2"/>
  </r>
  <r>
    <n v="220"/>
    <x v="1"/>
    <n v="187"/>
    <x v="45"/>
    <n v="1239"/>
    <s v="Acquisition committee"/>
    <n v="0"/>
    <n v="2"/>
    <n v="4"/>
    <n v="3"/>
    <n v="0"/>
    <n v="0"/>
    <s v="2 till 4 hrs/wk"/>
    <s v="52+ weeks (ongoing/longer than a year)"/>
    <x v="2"/>
  </r>
  <r>
    <n v="220"/>
    <x v="1"/>
    <n v="187"/>
    <x v="45"/>
    <n v="1240"/>
    <s v="Almanac Committee"/>
    <n v="0"/>
    <n v="2"/>
    <n v="3"/>
    <n v="1"/>
    <n v="0"/>
    <n v="0"/>
    <s v="5 till 8 hrs/wk"/>
    <s v="21-30 weeks (3 quartiles)"/>
    <x v="2"/>
  </r>
  <r>
    <n v="220"/>
    <x v="1"/>
    <n v="187"/>
    <x v="45"/>
    <n v="1241"/>
    <s v="Advisory council"/>
    <n v="0"/>
    <n v="0"/>
    <n v="5"/>
    <n v="4"/>
    <n v="0"/>
    <n v="0"/>
    <s v="&lt;2 hrs/wk"/>
    <s v="52+ weeks (ongoing/longer than a year)"/>
    <x v="2"/>
  </r>
  <r>
    <n v="220"/>
    <x v="1"/>
    <n v="187"/>
    <x v="45"/>
    <n v="1242"/>
    <s v="Supervisory council"/>
    <n v="0"/>
    <n v="0"/>
    <n v="3"/>
    <n v="3"/>
    <n v="2"/>
    <n v="0"/>
    <s v="&lt;2 hrs/wk"/>
    <s v="52+ weeks (ongoing/longer than a year)"/>
    <x v="2"/>
  </r>
  <r>
    <n v="220"/>
    <x v="1"/>
    <n v="187"/>
    <x v="45"/>
    <n v="1243"/>
    <s v="Dies committee"/>
    <n v="0"/>
    <n v="4"/>
    <n v="4"/>
    <n v="0"/>
    <n v="0"/>
    <n v="0"/>
    <s v="17 till 29 hrs/wk"/>
    <s v="31-40 weeks (4 quartiles)"/>
    <x v="3"/>
  </r>
  <r>
    <n v="220"/>
    <x v="1"/>
    <n v="187"/>
    <x v="45"/>
    <n v="1244"/>
    <s v="Best Friends and Family committee"/>
    <n v="2"/>
    <n v="4"/>
    <n v="0"/>
    <n v="0"/>
    <n v="0"/>
    <n v="0"/>
    <s v="2 till 4 hrs/wk"/>
    <s v="11-20 weeks (2 quartiles)"/>
    <x v="2"/>
  </r>
  <r>
    <n v="220"/>
    <x v="1"/>
    <n v="187"/>
    <x v="45"/>
    <n v="1246"/>
    <s v="Association Integration committee"/>
    <n v="2"/>
    <n v="3"/>
    <n v="0"/>
    <n v="0"/>
    <n v="0"/>
    <n v="0"/>
    <s v="2 till 4 hrs/wk"/>
    <s v="11-20 weeks (2 quartiles)"/>
    <x v="2"/>
  </r>
  <r>
    <n v="220"/>
    <x v="1"/>
    <n v="187"/>
    <x v="45"/>
    <n v="1247"/>
    <s v="Maintenance committee"/>
    <n v="5"/>
    <n v="10"/>
    <n v="10"/>
    <n v="3"/>
    <n v="3"/>
    <n v="0"/>
    <s v="2 till 4 hrs/wk"/>
    <s v="52+ weeks (ongoing/longer than a year)"/>
    <x v="2"/>
  </r>
  <r>
    <n v="220"/>
    <x v="1"/>
    <n v="187"/>
    <x v="45"/>
    <n v="1248"/>
    <s v="Bus and Trailer committee"/>
    <n v="1"/>
    <n v="2"/>
    <n v="2"/>
    <n v="2"/>
    <n v="2"/>
    <n v="0"/>
    <s v="&lt;2 hrs/wk"/>
    <s v="52+ weeks (ongoing/longer than a year)"/>
    <x v="2"/>
  </r>
  <r>
    <n v="220"/>
    <x v="1"/>
    <n v="187"/>
    <x v="45"/>
    <n v="1249"/>
    <s v="Activities committee"/>
    <n v="3"/>
    <n v="3"/>
    <n v="3"/>
    <n v="0"/>
    <n v="0"/>
    <n v="0"/>
    <s v="2 till 4 hrs/wk"/>
    <s v="52+ weeks (ongoing/longer than a year)"/>
    <x v="1"/>
  </r>
  <r>
    <n v="220"/>
    <x v="1"/>
    <n v="187"/>
    <x v="45"/>
    <n v="1250"/>
    <s v="Bata committee"/>
    <n v="1"/>
    <n v="4"/>
    <n v="0"/>
    <n v="0"/>
    <n v="0"/>
    <n v="0"/>
    <s v="2 till 4 hrs/wk"/>
    <s v="11-20 weeks (2 quartiles)"/>
    <x v="2"/>
  </r>
  <r>
    <n v="220"/>
    <x v="1"/>
    <n v="187"/>
    <x v="45"/>
    <n v="1251"/>
    <s v="Sustainable committee"/>
    <n v="2"/>
    <n v="3"/>
    <n v="2"/>
    <n v="0"/>
    <n v="0"/>
    <n v="0"/>
    <s v="&lt;2 hrs/wk"/>
    <s v="52+ weeks (ongoing/longer than a year)"/>
    <x v="2"/>
  </r>
  <r>
    <n v="220"/>
    <x v="1"/>
    <n v="187"/>
    <x v="45"/>
    <n v="1252"/>
    <s v="Graphical committee"/>
    <n v="4"/>
    <n v="2"/>
    <n v="2"/>
    <n v="0"/>
    <n v="0"/>
    <n v="0"/>
    <s v="2 till 4 hrs/wk"/>
    <s v="52+ weeks (ongoing/longer than a year)"/>
    <x v="2"/>
  </r>
  <r>
    <n v="220"/>
    <x v="1"/>
    <n v="187"/>
    <x v="45"/>
    <n v="1254"/>
    <s v="Merchandise committee"/>
    <n v="3"/>
    <n v="3"/>
    <n v="2"/>
    <n v="0"/>
    <n v="0"/>
    <n v="0"/>
    <s v="&lt;2 hrs/wk"/>
    <s v="52+ weeks (ongoing/longer than a year)"/>
    <x v="2"/>
  </r>
  <r>
    <n v="220"/>
    <x v="1"/>
    <n v="187"/>
    <x v="45"/>
    <n v="1255"/>
    <s v="MOVE committee"/>
    <n v="2"/>
    <n v="0"/>
    <n v="0"/>
    <n v="0"/>
    <n v="0"/>
    <n v="0"/>
    <s v="2 till 4 hrs/wk"/>
    <s v="52+ weeks (ongoing/longer than a year)"/>
    <x v="4"/>
  </r>
  <r>
    <n v="220"/>
    <x v="1"/>
    <n v="187"/>
    <x v="45"/>
    <n v="1256"/>
    <s v="Ski committee"/>
    <n v="0"/>
    <n v="4"/>
    <n v="3"/>
    <n v="0"/>
    <n v="0"/>
    <n v="0"/>
    <s v="2 till 4 hrs/wk"/>
    <s v="11-20 weeks (2 quartiles)"/>
    <x v="5"/>
  </r>
  <r>
    <n v="220"/>
    <x v="1"/>
    <n v="187"/>
    <x v="45"/>
    <n v="1257"/>
    <s v="Sailingweekend committee"/>
    <n v="3"/>
    <n v="3"/>
    <n v="0"/>
    <n v="0"/>
    <n v="0"/>
    <n v="0"/>
    <s v="2 till 4 hrs/wk"/>
    <s v="11-20 weeks (2 quartiles)"/>
    <x v="4"/>
  </r>
  <r>
    <n v="220"/>
    <x v="1"/>
    <n v="187"/>
    <x v="45"/>
    <n v="1258"/>
    <s v="Race of the Classics committee"/>
    <n v="0"/>
    <n v="5"/>
    <n v="2"/>
    <n v="1"/>
    <n v="0"/>
    <n v="0"/>
    <s v="2 till 4 hrs/wk"/>
    <s v="11-20 weeks (2 quartiles)"/>
    <x v="5"/>
  </r>
  <r>
    <n v="220"/>
    <x v="1"/>
    <n v="187"/>
    <x v="45"/>
    <n v="1259"/>
    <s v="Smaakmaker magazine committee"/>
    <n v="1"/>
    <n v="3"/>
    <n v="1"/>
    <n v="0"/>
    <n v="0"/>
    <n v="0"/>
    <s v="2 till 4 hrs/wk"/>
    <s v="52+ weeks (ongoing/longer than a year)"/>
    <x v="2"/>
  </r>
  <r>
    <n v="220"/>
    <x v="1"/>
    <n v="187"/>
    <x v="45"/>
    <n v="1260"/>
    <s v="Introduction Camp Committee"/>
    <n v="0"/>
    <n v="0"/>
    <n v="4"/>
    <n v="5"/>
    <n v="2"/>
    <n v="0"/>
    <s v="17 till 29 hrs/wk"/>
    <s v="1-10 weeks (1 quartile)"/>
    <x v="3"/>
  </r>
  <r>
    <n v="220"/>
    <x v="1"/>
    <n v="187"/>
    <x v="45"/>
    <n v="1543"/>
    <s v="Strategic Plan Committee"/>
    <n v="0"/>
    <n v="0"/>
    <n v="3"/>
    <n v="3"/>
    <n v="0"/>
    <n v="0"/>
    <s v="2 till 4 hrs/wk"/>
    <s v="11-20 weeks (2 quartiles)"/>
    <x v="2"/>
  </r>
  <r>
    <n v="220"/>
    <x v="1"/>
    <n v="187"/>
    <x v="45"/>
    <n v="1544"/>
    <s v="Society Committee"/>
    <n v="0"/>
    <n v="2"/>
    <n v="3"/>
    <n v="3"/>
    <n v="0"/>
    <n v="0"/>
    <s v="2 till 4 hrs/wk"/>
    <s v="31-40 weeks (4 quartiles)"/>
    <x v="2"/>
  </r>
  <r>
    <n v="220"/>
    <x v="1"/>
    <n v="187"/>
    <x v="45"/>
    <n v="1546"/>
    <s v="Order comittee"/>
    <n v="5"/>
    <n v="7"/>
    <n v="3"/>
    <n v="0"/>
    <n v="0"/>
    <n v="0"/>
    <s v="5 till 8 hrs/wk"/>
    <s v="52+ weeks (ongoing/longer than a year)"/>
    <x v="5"/>
  </r>
  <r>
    <n v="222"/>
    <x v="1"/>
    <n v="189"/>
    <x v="46"/>
    <n v="410"/>
    <s v="Almanakcommissie"/>
    <n v="2"/>
    <n v="0"/>
    <n v="1"/>
    <n v="0"/>
    <n v="0"/>
    <n v="0"/>
    <s v="2 till 4 hrs/wk"/>
    <s v="11-20 weeks (2 quartiles)"/>
    <x v="2"/>
  </r>
  <r>
    <n v="222"/>
    <x v="1"/>
    <n v="189"/>
    <x v="46"/>
    <n v="411"/>
    <s v="Alpha-dinercommissie"/>
    <n v="0"/>
    <n v="1"/>
    <n v="1"/>
    <n v="3"/>
    <n v="1"/>
    <n v="0"/>
    <s v="&lt;2 hrs/wk"/>
    <s v="52+ weeks (ongoing/longer than a year)"/>
    <x v="5"/>
  </r>
  <r>
    <n v="222"/>
    <x v="1"/>
    <n v="189"/>
    <x v="46"/>
    <n v="412"/>
    <s v="Alpha-Introcommissie"/>
    <n v="3"/>
    <n v="2"/>
    <n v="0"/>
    <n v="0"/>
    <n v="0"/>
    <n v="0"/>
    <s v="9 till 16 hrs/wk"/>
    <s v="11-20 weeks (2 quartiles)"/>
    <x v="2"/>
  </r>
  <r>
    <n v="222"/>
    <x v="1"/>
    <n v="189"/>
    <x v="46"/>
    <n v="413"/>
    <s v="Alpha Kick-In Commissie"/>
    <n v="1"/>
    <n v="2"/>
    <n v="0"/>
    <n v="1"/>
    <n v="1"/>
    <n v="0"/>
    <s v="9 till 16 hrs/wk"/>
    <s v="11-20 weeks (2 quartiles)"/>
    <x v="2"/>
  </r>
  <r>
    <n v="222"/>
    <x v="1"/>
    <n v="189"/>
    <x v="46"/>
    <n v="414"/>
    <s v="Batavierenracecommissie"/>
    <n v="5"/>
    <n v="0"/>
    <n v="0"/>
    <n v="0"/>
    <n v="0"/>
    <n v="0"/>
    <s v="2 till 4 hrs/wk"/>
    <s v="1-10 weeks (1 quartile)"/>
    <x v="4"/>
  </r>
  <r>
    <n v="222"/>
    <x v="1"/>
    <n v="189"/>
    <x v="46"/>
    <n v="415"/>
    <s v="Bazencommissie"/>
    <n v="0"/>
    <n v="1"/>
    <n v="1"/>
    <n v="1"/>
    <n v="1"/>
    <n v="0"/>
    <s v="&lt;2 hrs/wk"/>
    <s v="52+ weeks (ongoing/longer than a year)"/>
    <x v="2"/>
  </r>
  <r>
    <n v="222"/>
    <x v="1"/>
    <n v="189"/>
    <x v="46"/>
    <n v="416"/>
    <s v="Beunhaas BV"/>
    <n v="0"/>
    <n v="0"/>
    <n v="1"/>
    <n v="4"/>
    <n v="1"/>
    <n v="0"/>
    <s v="&lt;2 hrs/wk"/>
    <s v="52+ weeks (ongoing/longer than a year)"/>
    <x v="5"/>
  </r>
  <r>
    <n v="222"/>
    <x v="1"/>
    <n v="189"/>
    <x v="46"/>
    <n v="417"/>
    <s v="Broederweekcommissie"/>
    <n v="0"/>
    <n v="1"/>
    <n v="0"/>
    <n v="0"/>
    <n v="0"/>
    <n v="0"/>
    <s v="2 till 4 hrs/wk"/>
    <s v="1-10 weeks (1 quartile)"/>
    <x v="4"/>
  </r>
  <r>
    <n v="222"/>
    <x v="1"/>
    <n v="189"/>
    <x v="46"/>
    <n v="418"/>
    <s v="Dagje uit 2006-commissie"/>
    <n v="0"/>
    <n v="0"/>
    <n v="0"/>
    <n v="0"/>
    <n v="0"/>
    <n v="0"/>
    <s v="&lt;2 hrs/wk"/>
    <s v="52+ weeks (ongoing/longer than a year)"/>
    <x v="2"/>
  </r>
  <r>
    <n v="222"/>
    <x v="1"/>
    <n v="189"/>
    <x v="46"/>
    <n v="419"/>
    <s v="Digtusredactie"/>
    <n v="0"/>
    <n v="1"/>
    <n v="2"/>
    <n v="0"/>
    <n v="0"/>
    <n v="0"/>
    <s v="2 till 4 hrs/wk"/>
    <s v="52+ weeks (ongoing/longer than a year)"/>
    <x v="2"/>
  </r>
  <r>
    <n v="222"/>
    <x v="1"/>
    <n v="189"/>
    <x v="46"/>
    <n v="420"/>
    <s v="Ejawecie"/>
    <n v="0"/>
    <n v="4"/>
    <n v="1"/>
    <n v="0"/>
    <n v="0"/>
    <n v="0"/>
    <s v="&lt;2 hrs/wk"/>
    <s v="1-10 weeks (1 quartile)"/>
    <x v="5"/>
  </r>
  <r>
    <n v="222"/>
    <x v="1"/>
    <n v="189"/>
    <x v="46"/>
    <n v="421"/>
    <s v="ICT-commissie"/>
    <n v="0"/>
    <n v="0"/>
    <n v="4"/>
    <n v="0"/>
    <n v="2"/>
    <n v="0"/>
    <s v="5 till 8 hrs/wk"/>
    <s v="52+ weeks (ongoing/longer than a year)"/>
    <x v="2"/>
  </r>
  <r>
    <n v="222"/>
    <x v="1"/>
    <n v="189"/>
    <x v="46"/>
    <n v="422"/>
    <s v="Januariweekendcommissie"/>
    <n v="6"/>
    <n v="0"/>
    <n v="0"/>
    <n v="0"/>
    <n v="0"/>
    <n v="0"/>
    <s v="5 till 8 hrs/wk"/>
    <s v="1-10 weeks (1 quartile)"/>
    <x v="2"/>
  </r>
  <r>
    <n v="222"/>
    <x v="1"/>
    <n v="189"/>
    <x v="46"/>
    <n v="423"/>
    <s v="Kadullen BV"/>
    <n v="0"/>
    <n v="0"/>
    <n v="1"/>
    <n v="0"/>
    <n v="3"/>
    <n v="0"/>
    <s v="&lt;2 hrs/wk"/>
    <s v="52+ weeks (ongoing/longer than a year)"/>
    <x v="2"/>
  </r>
  <r>
    <n v="222"/>
    <x v="1"/>
    <n v="189"/>
    <x v="46"/>
    <n v="424"/>
    <s v="Kascommissie"/>
    <n v="0"/>
    <n v="0"/>
    <n v="3"/>
    <n v="1"/>
    <n v="0"/>
    <n v="0"/>
    <s v="2 till 4 hrs/wk"/>
    <s v="52+ weeks (ongoing/longer than a year)"/>
    <x v="2"/>
  </r>
  <r>
    <n v="222"/>
    <x v="1"/>
    <n v="189"/>
    <x v="46"/>
    <n v="425"/>
    <s v="Kerstdinercommissie"/>
    <n v="4"/>
    <n v="1"/>
    <n v="0"/>
    <n v="0"/>
    <n v="0"/>
    <n v="0"/>
    <s v="5 till 8 hrs/wk"/>
    <s v="11-20 weeks (2 quartiles)"/>
    <x v="4"/>
  </r>
  <r>
    <n v="222"/>
    <x v="1"/>
    <n v="189"/>
    <x v="46"/>
    <n v="426"/>
    <s v="Ledenzorgteam"/>
    <n v="0"/>
    <n v="0"/>
    <n v="2"/>
    <n v="1"/>
    <n v="0"/>
    <n v="0"/>
    <s v="&lt;2 hrs/wk"/>
    <s v="52+ weeks (ongoing/longer than a year)"/>
    <x v="2"/>
  </r>
  <r>
    <n v="222"/>
    <x v="1"/>
    <n v="189"/>
    <x v="46"/>
    <n v="428"/>
    <s v="OZON-congrescommissie"/>
    <n v="0"/>
    <n v="1"/>
    <n v="2"/>
    <n v="1"/>
    <n v="0"/>
    <n v="0"/>
    <s v="5 till 8 hrs/wk"/>
    <s v="11-20 weeks (2 quartiles)"/>
    <x v="2"/>
  </r>
  <r>
    <n v="222"/>
    <x v="1"/>
    <n v="189"/>
    <x v="46"/>
    <n v="430"/>
    <s v="Promotiecommissie"/>
    <n v="0"/>
    <n v="2"/>
    <n v="4"/>
    <n v="0"/>
    <n v="0"/>
    <n v="0"/>
    <s v="5 till 8 hrs/wk"/>
    <s v="52+ weeks (ongoing/longer than a year)"/>
    <x v="2"/>
  </r>
  <r>
    <n v="222"/>
    <x v="1"/>
    <n v="189"/>
    <x v="46"/>
    <n v="431"/>
    <s v="Raad van Advies"/>
    <n v="0"/>
    <n v="0"/>
    <n v="1"/>
    <n v="3"/>
    <n v="1"/>
    <n v="0"/>
    <s v="5 till 8 hrs/wk"/>
    <s v="52+ weeks (ongoing/longer than a year)"/>
    <x v="2"/>
  </r>
  <r>
    <n v="222"/>
    <x v="1"/>
    <n v="189"/>
    <x v="46"/>
    <n v="432"/>
    <s v="Raad van Toezicht"/>
    <n v="0"/>
    <n v="0"/>
    <n v="0"/>
    <n v="0"/>
    <n v="3"/>
    <n v="0"/>
    <s v="2 till 4 hrs/wk"/>
    <s v="52+ weeks (ongoing/longer than a year)"/>
    <x v="2"/>
  </r>
  <r>
    <n v="222"/>
    <x v="1"/>
    <n v="189"/>
    <x v="46"/>
    <n v="433"/>
    <s v="Shine Schuur Commissie"/>
    <n v="1"/>
    <n v="0"/>
    <n v="0"/>
    <n v="0"/>
    <n v="1"/>
    <n v="0"/>
    <s v="&lt;2 hrs/wk"/>
    <s v="52+ weeks (ongoing/longer than a year)"/>
    <x v="2"/>
  </r>
  <r>
    <n v="222"/>
    <x v="1"/>
    <n v="189"/>
    <x v="46"/>
    <n v="434"/>
    <s v="Societeitscommissie"/>
    <n v="0"/>
    <n v="2"/>
    <n v="2"/>
    <n v="2"/>
    <n v="0"/>
    <n v="0"/>
    <s v="2 till 4 hrs/wk"/>
    <s v="52+ weeks (ongoing/longer than a year)"/>
    <x v="5"/>
  </r>
  <r>
    <n v="222"/>
    <x v="1"/>
    <n v="189"/>
    <x v="46"/>
    <n v="436"/>
    <s v="Sponsoringcommisie"/>
    <n v="0"/>
    <n v="0"/>
    <n v="3"/>
    <n v="1"/>
    <n v="0"/>
    <n v="0"/>
    <s v="2 till 4 hrs/wk"/>
    <s v="52+ weeks (ongoing/longer than a year)"/>
    <x v="2"/>
  </r>
  <r>
    <n v="222"/>
    <x v="1"/>
    <n v="189"/>
    <x v="46"/>
    <n v="437"/>
    <s v="Streepsysteem beheerderscommissie"/>
    <n v="0"/>
    <n v="0"/>
    <n v="1"/>
    <n v="0"/>
    <n v="2"/>
    <n v="0"/>
    <s v="&lt;2 hrs/wk"/>
    <s v="52+ weeks (ongoing/longer than a year)"/>
    <x v="2"/>
  </r>
  <r>
    <n v="222"/>
    <x v="1"/>
    <n v="189"/>
    <x v="46"/>
    <n v="438"/>
    <s v="Veritas Forum Commissie"/>
    <n v="0"/>
    <n v="1"/>
    <n v="0"/>
    <n v="0"/>
    <n v="0"/>
    <n v="0"/>
    <s v="2 till 4 hrs/wk"/>
    <s v="1-10 weeks (1 quartile)"/>
    <x v="2"/>
  </r>
  <r>
    <n v="222"/>
    <x v="1"/>
    <n v="189"/>
    <x v="46"/>
    <n v="439"/>
    <s v="Vormingscommissie"/>
    <n v="2"/>
    <n v="1"/>
    <n v="2"/>
    <n v="1"/>
    <n v="0"/>
    <n v="0"/>
    <s v="5 till 8 hrs/wk"/>
    <s v="52+ weeks (ongoing/longer than a year)"/>
    <x v="4"/>
  </r>
  <r>
    <n v="222"/>
    <x v="1"/>
    <n v="189"/>
    <x v="46"/>
    <n v="440"/>
    <s v="Zeilweekcommissie"/>
    <n v="2"/>
    <n v="0"/>
    <n v="0"/>
    <n v="1"/>
    <n v="1"/>
    <n v="0"/>
    <s v="9 till 16 hrs/wk"/>
    <s v="11-20 weeks (2 quartiles)"/>
    <x v="3"/>
  </r>
  <r>
    <n v="222"/>
    <x v="1"/>
    <n v="189"/>
    <x v="46"/>
    <n v="1336"/>
    <s v="Commissie voor Overkoepelende Recreatie en On"/>
    <n v="1"/>
    <n v="1"/>
    <n v="1"/>
    <n v="1"/>
    <n v="2"/>
    <n v="0"/>
    <s v="9 till 16 hrs/wk"/>
    <s v="41-52 weeks (full year)"/>
    <x v="2"/>
  </r>
  <r>
    <n v="222"/>
    <x v="1"/>
    <n v="189"/>
    <x v="46"/>
    <n v="1337"/>
    <s v="Dagje Uit"/>
    <n v="3"/>
    <n v="0"/>
    <n v="0"/>
    <n v="0"/>
    <n v="0"/>
    <n v="0"/>
    <s v="2 till 4 hrs/wk"/>
    <s v="1-10 weeks (1 quartile)"/>
    <x v="2"/>
  </r>
  <r>
    <n v="222"/>
    <x v="1"/>
    <n v="189"/>
    <x v="46"/>
    <n v="1338"/>
    <s v="Dies Commissie"/>
    <n v="0"/>
    <n v="2"/>
    <n v="1"/>
    <n v="1"/>
    <n v="0"/>
    <n v="0"/>
    <s v="9 till 16 hrs/wk"/>
    <s v="11-20 weeks (2 quartiles)"/>
    <x v="2"/>
  </r>
  <r>
    <n v="222"/>
    <x v="1"/>
    <n v="189"/>
    <x v="46"/>
    <n v="1339"/>
    <s v="XLIe Senaat"/>
    <n v="0"/>
    <n v="2"/>
    <n v="1"/>
    <n v="0"/>
    <n v="0"/>
    <n v="0"/>
    <s v="30+ hrs/wk"/>
    <s v="41-52 weeks (full year)"/>
    <x v="2"/>
  </r>
  <r>
    <n v="225"/>
    <x v="0"/>
    <n v="192"/>
    <x v="47"/>
    <n v="1635"/>
    <s v="Bestuur"/>
    <m/>
    <m/>
    <m/>
    <m/>
    <m/>
    <m/>
    <s v=""/>
    <s v=""/>
    <x v="0"/>
  </r>
  <r>
    <n v="225"/>
    <x v="0"/>
    <n v="192"/>
    <x v="47"/>
    <n v="1637"/>
    <s v="InternetCie"/>
    <m/>
    <m/>
    <m/>
    <m/>
    <m/>
    <m/>
    <s v=""/>
    <s v=""/>
    <x v="0"/>
  </r>
  <r>
    <n v="225"/>
    <x v="0"/>
    <n v="192"/>
    <x v="47"/>
    <n v="1638"/>
    <s v="BeheerCie"/>
    <m/>
    <m/>
    <m/>
    <m/>
    <m/>
    <m/>
    <s v=""/>
    <s v=""/>
    <x v="0"/>
  </r>
  <r>
    <n v="225"/>
    <x v="0"/>
    <n v="192"/>
    <x v="47"/>
    <n v="1639"/>
    <s v="Kerstoutreach"/>
    <m/>
    <m/>
    <m/>
    <m/>
    <m/>
    <m/>
    <s v=""/>
    <s v=""/>
    <x v="0"/>
  </r>
  <r>
    <n v="228"/>
    <x v="1"/>
    <n v="195"/>
    <x v="48"/>
    <n v="839"/>
    <s v="Kick in"/>
    <n v="0"/>
    <n v="0"/>
    <n v="4"/>
    <n v="2"/>
    <n v="0"/>
    <n v="0"/>
    <s v="30+ hrs/wk"/>
    <s v="52+ weeks (ongoing/longer than a year)"/>
    <x v="3"/>
  </r>
  <r>
    <n v="228"/>
    <x v="1"/>
    <n v="195"/>
    <x v="48"/>
    <n v="840"/>
    <s v="Create tomorrow"/>
    <n v="0"/>
    <n v="2"/>
    <n v="3"/>
    <n v="0"/>
    <n v="0"/>
    <n v="0"/>
    <s v="9 till 16 hrs/wk"/>
    <s v="21-30 weeks (3 quartiles)"/>
    <x v="2"/>
  </r>
  <r>
    <n v="228"/>
    <x v="1"/>
    <n v="195"/>
    <x v="48"/>
    <n v="841"/>
    <s v="Buddy"/>
    <n v="0"/>
    <n v="0"/>
    <n v="0"/>
    <n v="4"/>
    <n v="1"/>
    <n v="0"/>
    <s v="2 till 4 hrs/wk"/>
    <s v="31-40 weeks (4 quartiles)"/>
    <x v="3"/>
  </r>
  <r>
    <n v="228"/>
    <x v="1"/>
    <n v="195"/>
    <x v="48"/>
    <n v="842"/>
    <s v="iDB"/>
    <n v="0"/>
    <n v="0"/>
    <n v="3"/>
    <n v="2"/>
    <n v="0"/>
    <n v="0"/>
    <s v="2 till 4 hrs/wk"/>
    <s v="21-30 weeks (3 quartiles)"/>
    <x v="3"/>
  </r>
  <r>
    <n v="228"/>
    <x v="1"/>
    <n v="195"/>
    <x v="48"/>
    <n v="843"/>
    <s v="TedX twenteU"/>
    <n v="0"/>
    <n v="3"/>
    <n v="2"/>
    <n v="0"/>
    <n v="0"/>
    <n v="0"/>
    <s v="9 till 16 hrs/wk"/>
    <s v="21-30 weeks (3 quartiles)"/>
    <x v="2"/>
  </r>
  <r>
    <n v="230"/>
    <x v="1"/>
    <n v="197"/>
    <x v="49"/>
    <n v="1468"/>
    <s v="Active Members Committee"/>
    <n v="0"/>
    <n v="0"/>
    <n v="2"/>
    <n v="0"/>
    <n v="0"/>
    <n v="0"/>
    <s v="&lt;2 hrs/wk"/>
    <s v="41-52 weeks (full year)"/>
    <x v="5"/>
  </r>
  <r>
    <n v="231"/>
    <x v="1"/>
    <n v="198"/>
    <x v="50"/>
    <n v="1224"/>
    <s v="Choir"/>
    <n v="1"/>
    <n v="2"/>
    <n v="0"/>
    <n v="0"/>
    <n v="3"/>
    <n v="7"/>
    <s v="5 till 8 hrs/wk"/>
    <s v="41-52 weeks (full year)"/>
    <x v="4"/>
  </r>
  <r>
    <n v="231"/>
    <x v="1"/>
    <n v="198"/>
    <x v="50"/>
    <n v="1225"/>
    <s v="Catering"/>
    <n v="0"/>
    <n v="0"/>
    <n v="0"/>
    <n v="0"/>
    <n v="1"/>
    <n v="1"/>
    <s v="2 till 4 hrs/wk"/>
    <s v="52+ weeks (ongoing/longer than a year)"/>
    <x v="5"/>
  </r>
  <r>
    <n v="231"/>
    <x v="1"/>
    <n v="198"/>
    <x v="50"/>
    <n v="1226"/>
    <s v="Library and Social Media"/>
    <n v="1"/>
    <n v="0"/>
    <n v="0"/>
    <n v="0"/>
    <n v="0"/>
    <n v="2"/>
    <s v="2 till 4 hrs/wk"/>
    <s v="52+ weeks (ongoing/longer than a year)"/>
    <x v="3"/>
  </r>
  <r>
    <n v="231"/>
    <x v="1"/>
    <n v="198"/>
    <x v="50"/>
    <n v="1227"/>
    <s v="Accounts"/>
    <n v="0"/>
    <n v="0"/>
    <n v="0"/>
    <n v="0"/>
    <n v="1"/>
    <n v="1"/>
    <s v="2 till 4 hrs/wk"/>
    <s v="41-52 weeks (full year)"/>
    <x v="4"/>
  </r>
  <r>
    <n v="231"/>
    <x v="1"/>
    <n v="198"/>
    <x v="50"/>
    <n v="1228"/>
    <s v="Slides"/>
    <n v="1"/>
    <n v="0"/>
    <n v="0"/>
    <n v="0"/>
    <n v="0"/>
    <n v="3"/>
    <s v="2 till 4 hrs/wk"/>
    <s v="41-52 weeks (full year)"/>
    <x v="2"/>
  </r>
  <r>
    <n v="231"/>
    <x v="1"/>
    <n v="198"/>
    <x v="50"/>
    <n v="1229"/>
    <s v="Ushering"/>
    <n v="0"/>
    <n v="0"/>
    <n v="0"/>
    <n v="0"/>
    <n v="1"/>
    <n v="1"/>
    <s v="2 till 4 hrs/wk"/>
    <s v="41-52 weeks (full year)"/>
    <x v="5"/>
  </r>
  <r>
    <n v="231"/>
    <x v="1"/>
    <n v="198"/>
    <x v="50"/>
    <n v="1230"/>
    <s v="Daily Board"/>
    <n v="0"/>
    <n v="0"/>
    <n v="0"/>
    <n v="0"/>
    <n v="0"/>
    <n v="2"/>
    <s v="2 till 4 hrs/wk"/>
    <s v="41-52 weeks (full year)"/>
    <x v="3"/>
  </r>
  <r>
    <n v="231"/>
    <x v="1"/>
    <n v="198"/>
    <x v="50"/>
    <n v="1231"/>
    <s v="Coordinators"/>
    <n v="1"/>
    <n v="0"/>
    <n v="0"/>
    <n v="0"/>
    <n v="1"/>
    <n v="0"/>
    <s v="2 till 4 hrs/wk"/>
    <s v="52+ weeks (ongoing/longer than a year)"/>
    <x v="3"/>
  </r>
  <r>
    <n v="231"/>
    <x v="1"/>
    <n v="198"/>
    <x v="50"/>
    <n v="1232"/>
    <s v="Bible studies and Prayer meeting"/>
    <n v="0"/>
    <n v="0"/>
    <n v="0"/>
    <n v="0"/>
    <n v="0"/>
    <n v="4"/>
    <s v="2 till 4 hrs/wk"/>
    <s v="52+ weeks (ongoing/longer than a year)"/>
    <x v="4"/>
  </r>
  <r>
    <n v="231"/>
    <x v="1"/>
    <n v="198"/>
    <x v="50"/>
    <n v="1554"/>
    <s v="Streaming Team"/>
    <n v="0"/>
    <n v="0"/>
    <n v="1"/>
    <n v="0"/>
    <n v="2"/>
    <n v="0"/>
    <s v="2 till 4 hrs/wk"/>
    <s v="52+ weeks (ongoing/longer than a year)"/>
    <x v="1"/>
  </r>
  <r>
    <n v="231"/>
    <x v="1"/>
    <n v="198"/>
    <x v="50"/>
    <n v="1558"/>
    <s v="Representatives to UT ITC and Saxion"/>
    <n v="1"/>
    <n v="0"/>
    <n v="0"/>
    <n v="0"/>
    <n v="1"/>
    <n v="0"/>
    <s v="2 till 4 hrs/wk"/>
    <s v="52+ weeks (ongoing/longer than a year)"/>
    <x v="2"/>
  </r>
  <r>
    <n v="235"/>
    <x v="1"/>
    <n v="202"/>
    <x v="51"/>
    <n v="1381"/>
    <s v="Marketing &amp; Communications"/>
    <n v="3"/>
    <n v="1"/>
    <n v="0"/>
    <n v="0"/>
    <n v="0"/>
    <n v="0"/>
    <s v="&lt;2 hrs/wk"/>
    <s v="31-40 weeks (4 quartiles)"/>
    <x v="3"/>
  </r>
  <r>
    <n v="235"/>
    <x v="1"/>
    <n v="202"/>
    <x v="51"/>
    <n v="1382"/>
    <s v="Activity Committee"/>
    <n v="2"/>
    <n v="0"/>
    <n v="0"/>
    <n v="0"/>
    <n v="0"/>
    <n v="1"/>
    <s v="&lt;2 hrs/wk"/>
    <s v="31-40 weeks (4 quartiles)"/>
    <x v="4"/>
  </r>
  <r>
    <n v="235"/>
    <x v="1"/>
    <n v="202"/>
    <x v="51"/>
    <n v="1383"/>
    <s v="Facility &amp; Khatib Team"/>
    <n v="1"/>
    <n v="0"/>
    <n v="0"/>
    <n v="0"/>
    <n v="1"/>
    <n v="1"/>
    <s v="&lt;2 hrs/wk"/>
    <s v="31-40 weeks (4 quartiles)"/>
    <x v="5"/>
  </r>
  <r>
    <n v="235"/>
    <x v="1"/>
    <n v="202"/>
    <x v="51"/>
    <n v="1384"/>
    <s v="Board"/>
    <n v="2"/>
    <n v="1"/>
    <n v="0"/>
    <n v="0"/>
    <n v="2"/>
    <n v="0"/>
    <s v="5 till 8 hrs/wk"/>
    <s v="41-52 weeks (full year)"/>
    <x v="1"/>
  </r>
  <r>
    <n v="236"/>
    <x v="1"/>
    <n v="203"/>
    <x v="52"/>
    <n v="1560"/>
    <s v="Sports Umbrella Twente"/>
    <n v="0"/>
    <n v="0"/>
    <n v="1"/>
    <n v="2"/>
    <n v="0"/>
    <n v="0"/>
    <s v="5 till 8 hrs/wk"/>
    <s v="41-52 weeks (full year)"/>
    <x v="4"/>
  </r>
  <r>
    <n v="236"/>
    <x v="1"/>
    <n v="203"/>
    <x v="52"/>
    <n v="1597"/>
    <s v="Advisory Board"/>
    <n v="0"/>
    <n v="1"/>
    <n v="2"/>
    <n v="4"/>
    <n v="0"/>
    <n v="0"/>
    <s v="&lt;2 hrs/wk"/>
    <s v="41-52 weeks (full year)"/>
    <x v="2"/>
  </r>
  <r>
    <n v="236"/>
    <x v="1"/>
    <n v="203"/>
    <x v="52"/>
    <n v="1598"/>
    <s v="Supervisory Board"/>
    <n v="0"/>
    <n v="0"/>
    <n v="0"/>
    <n v="2"/>
    <n v="2"/>
    <n v="0"/>
    <s v="&lt;2 hrs/wk"/>
    <s v="41-52 weeks (full year)"/>
    <x v="2"/>
  </r>
  <r>
    <n v="237"/>
    <x v="1"/>
    <n v="204"/>
    <x v="53"/>
    <n v="314"/>
    <s v="Dance Show Committee"/>
    <n v="1"/>
    <n v="2"/>
    <n v="1"/>
    <n v="2"/>
    <n v="0"/>
    <n v="0"/>
    <s v="5 till 8 hrs/wk"/>
    <s v="41-52 weeks (full year)"/>
    <x v="2"/>
  </r>
  <r>
    <n v="237"/>
    <x v="1"/>
    <n v="204"/>
    <x v="53"/>
    <n v="315"/>
    <s v="Popsi"/>
    <n v="0"/>
    <n v="0"/>
    <n v="1"/>
    <n v="0"/>
    <n v="1"/>
    <n v="0"/>
    <s v="&lt;2 hrs/wk"/>
    <s v="52+ weeks (ongoing/longer than a year)"/>
    <x v="5"/>
  </r>
  <r>
    <n v="237"/>
    <x v="1"/>
    <n v="204"/>
    <x v="53"/>
    <n v="316"/>
    <s v="Gala committee"/>
    <n v="0"/>
    <n v="0"/>
    <n v="0"/>
    <n v="0"/>
    <n v="0"/>
    <n v="0"/>
    <s v="5 till 8 hrs/wk"/>
    <s v="21-30 weeks (3 quartiles)"/>
    <x v="2"/>
  </r>
  <r>
    <n v="237"/>
    <x v="1"/>
    <n v="204"/>
    <x v="53"/>
    <n v="317"/>
    <s v="Financial Auditing Committee"/>
    <n v="0"/>
    <n v="0"/>
    <n v="0"/>
    <n v="2"/>
    <n v="2"/>
    <n v="0"/>
    <s v="2 till 4 hrs/wk"/>
    <s v="52+ weeks (ongoing/longer than a year)"/>
    <x v="2"/>
  </r>
  <r>
    <n v="237"/>
    <x v="1"/>
    <n v="204"/>
    <x v="53"/>
    <n v="318"/>
    <s v="Open Stage"/>
    <n v="0"/>
    <n v="0"/>
    <n v="0"/>
    <n v="0"/>
    <n v="0"/>
    <n v="0"/>
    <s v="2 till 4 hrs/wk"/>
    <s v="41-52 weeks (full year)"/>
    <x v="2"/>
  </r>
  <r>
    <n v="237"/>
    <x v="1"/>
    <n v="204"/>
    <x v="53"/>
    <n v="319"/>
    <s v="Advisory Board"/>
    <n v="0"/>
    <n v="0"/>
    <n v="1"/>
    <n v="1"/>
    <n v="0"/>
    <n v="3"/>
    <s v="&lt;2 hrs/wk"/>
    <s v="52+ weeks (ongoing/longer than a year)"/>
    <x v="2"/>
  </r>
  <r>
    <n v="237"/>
    <x v="1"/>
    <n v="204"/>
    <x v="53"/>
    <n v="320"/>
    <s v="Promotion Committee"/>
    <n v="0"/>
    <n v="0"/>
    <n v="2"/>
    <n v="1"/>
    <n v="0"/>
    <n v="1"/>
    <s v="2 till 4 hrs/wk"/>
    <s v="52+ weeks (ongoing/longer than a year)"/>
    <x v="2"/>
  </r>
  <r>
    <n v="237"/>
    <x v="1"/>
    <n v="204"/>
    <x v="53"/>
    <n v="321"/>
    <s v="Dance Hall committee"/>
    <n v="0"/>
    <n v="0"/>
    <n v="0"/>
    <n v="0"/>
    <n v="0"/>
    <n v="0"/>
    <s v="2 till 4 hrs/wk"/>
    <s v="52+ weeks (ongoing/longer than a year)"/>
    <x v="2"/>
  </r>
  <r>
    <n v="237"/>
    <x v="1"/>
    <n v="204"/>
    <x v="53"/>
    <n v="961"/>
    <s v="Board"/>
    <n v="0"/>
    <n v="0"/>
    <n v="2"/>
    <n v="1"/>
    <n v="1"/>
    <n v="0"/>
    <s v="30+ hrs/wk"/>
    <s v="52+ weeks (ongoing/longer than a year)"/>
    <x v="1"/>
  </r>
  <r>
    <n v="237"/>
    <x v="1"/>
    <n v="204"/>
    <x v="53"/>
    <n v="1475"/>
    <s v="Dance workshop day"/>
    <n v="0"/>
    <n v="2"/>
    <n v="1"/>
    <n v="1"/>
    <n v="1"/>
    <n v="0"/>
    <s v="&lt;2 hrs/wk"/>
    <s v="41-52 weeks (full year)"/>
    <x v="2"/>
  </r>
  <r>
    <n v="237"/>
    <x v="1"/>
    <n v="204"/>
    <x v="53"/>
    <n v="1476"/>
    <s v="lustrum"/>
    <n v="0"/>
    <n v="1"/>
    <n v="2"/>
    <n v="1"/>
    <n v="0"/>
    <n v="0"/>
    <s v="2 till 4 hrs/wk"/>
    <s v="52+ weeks (ongoing/longer than a year)"/>
    <x v="2"/>
  </r>
  <r>
    <n v="237"/>
    <x v="1"/>
    <n v="204"/>
    <x v="53"/>
    <n v="1477"/>
    <s v="Music collaboration show"/>
    <n v="0"/>
    <n v="0"/>
    <n v="0"/>
    <n v="0"/>
    <n v="0"/>
    <n v="0"/>
    <s v="2 till 4 hrs/wk"/>
    <s v="21-30 weeks (3 quartiles)"/>
    <x v="2"/>
  </r>
  <r>
    <n v="237"/>
    <x v="1"/>
    <n v="204"/>
    <x v="53"/>
    <n v="1553"/>
    <s v="Working group IMA"/>
    <n v="0"/>
    <n v="0"/>
    <n v="1"/>
    <n v="2"/>
    <n v="1"/>
    <n v="1"/>
    <s v="5 till 8 hrs/wk"/>
    <s v="52+ weeks (ongoing/longer than a year)"/>
    <x v="2"/>
  </r>
  <r>
    <n v="238"/>
    <x v="1"/>
    <n v="206"/>
    <x v="54"/>
    <n v="347"/>
    <s v="Enschedays"/>
    <n v="0"/>
    <n v="3"/>
    <n v="3"/>
    <n v="2"/>
    <n v="1"/>
    <n v="0"/>
    <s v="2 till 4 hrs/wk"/>
    <s v="11-20 weeks (2 quartiles)"/>
    <x v="3"/>
  </r>
  <r>
    <n v="238"/>
    <x v="1"/>
    <n v="206"/>
    <x v="54"/>
    <n v="348"/>
    <s v="Bestuur"/>
    <n v="0"/>
    <n v="0"/>
    <n v="0"/>
    <n v="1"/>
    <n v="3"/>
    <n v="0"/>
    <s v="5 till 8 hrs/wk"/>
    <s v="41-52 weeks (full year)"/>
    <x v="5"/>
  </r>
  <r>
    <n v="238"/>
    <x v="1"/>
    <n v="206"/>
    <x v="54"/>
    <n v="1441"/>
    <s v="Walk and Dance to fight cancer "/>
    <n v="1"/>
    <n v="1"/>
    <n v="1"/>
    <n v="0"/>
    <n v="2"/>
    <n v="4"/>
    <s v="2 till 4 hrs/wk"/>
    <s v="11-20 weeks (2 quartiles)"/>
    <x v="2"/>
  </r>
  <r>
    <n v="239"/>
    <x v="1"/>
    <n v="207"/>
    <x v="55"/>
    <n v="1596"/>
    <s v="ISA"/>
    <n v="0"/>
    <n v="1"/>
    <n v="0"/>
    <n v="3"/>
    <n v="3"/>
    <n v="0"/>
    <s v="2 till 4 hrs/wk"/>
    <s v="41-52 weeks (full year)"/>
    <x v="2"/>
  </r>
  <r>
    <n v="240"/>
    <x v="1"/>
    <n v="208"/>
    <x v="56"/>
    <n v="283"/>
    <s v="Marketing"/>
    <n v="0"/>
    <n v="0"/>
    <n v="1"/>
    <n v="2"/>
    <n v="0"/>
    <n v="0"/>
    <s v="9 till 16 hrs/wk"/>
    <s v="41-52 weeks (full year)"/>
    <x v="2"/>
  </r>
  <r>
    <n v="240"/>
    <x v="1"/>
    <n v="208"/>
    <x v="56"/>
    <n v="1570"/>
    <s v="Outgoing Global Exchange"/>
    <n v="0"/>
    <n v="1"/>
    <n v="1"/>
    <n v="0"/>
    <n v="0"/>
    <n v="0"/>
    <s v="9 till 16 hrs/wk"/>
    <s v="41-52 weeks (full year)"/>
    <x v="4"/>
  </r>
  <r>
    <n v="240"/>
    <x v="1"/>
    <n v="208"/>
    <x v="56"/>
    <n v="1571"/>
    <s v="Executive Board"/>
    <n v="0"/>
    <n v="0"/>
    <n v="1"/>
    <n v="3"/>
    <n v="0"/>
    <n v="0"/>
    <s v="30+ hrs/wk"/>
    <s v="41-52 weeks (full year)"/>
    <x v="2"/>
  </r>
  <r>
    <n v="244"/>
    <x v="1"/>
    <n v="212"/>
    <x v="57"/>
    <n v="1505"/>
    <s v="Integrand Twente bestuur"/>
    <n v="0"/>
    <n v="0"/>
    <n v="6"/>
    <n v="2"/>
    <n v="0"/>
    <n v="0"/>
    <s v="17 till 29 hrs/wk"/>
    <s v="41-52 weeks (full year)"/>
    <x v="5"/>
  </r>
  <r>
    <n v="245"/>
    <x v="1"/>
    <n v="213"/>
    <x v="58"/>
    <n v="1551"/>
    <s v="WetenschapsQuiz"/>
    <n v="0"/>
    <n v="0"/>
    <n v="0"/>
    <n v="0"/>
    <n v="0"/>
    <n v="0"/>
    <s v="2 till 4 hrs/wk"/>
    <s v="41-52 weeks (full year)"/>
    <x v="2"/>
  </r>
  <r>
    <n v="251"/>
    <x v="1"/>
    <n v="219"/>
    <x v="59"/>
    <n v="1371"/>
    <s v="Syscom"/>
    <n v="0"/>
    <n v="2"/>
    <n v="0"/>
    <n v="0"/>
    <n v="0"/>
    <n v="2"/>
    <s v="&lt;2 hrs/wk"/>
    <s v="52+ weeks (ongoing/longer than a year)"/>
    <x v="2"/>
  </r>
  <r>
    <n v="251"/>
    <x v="1"/>
    <n v="219"/>
    <x v="59"/>
    <n v="1372"/>
    <s v="Skrol"/>
    <n v="0"/>
    <n v="2"/>
    <n v="0"/>
    <n v="0"/>
    <n v="0"/>
    <n v="5"/>
    <s v="2 till 4 hrs/wk"/>
    <s v="52+ weeks (ongoing/longer than a year)"/>
    <x v="2"/>
  </r>
  <r>
    <n v="251"/>
    <x v="1"/>
    <n v="219"/>
    <x v="59"/>
    <n v="1373"/>
    <s v="Sales"/>
    <n v="0"/>
    <n v="2"/>
    <n v="2"/>
    <n v="0"/>
    <n v="0"/>
    <n v="0"/>
    <s v="2 till 4 hrs/wk"/>
    <s v="31-40 weeks (4 quartiles)"/>
    <x v="2"/>
  </r>
  <r>
    <n v="251"/>
    <x v="1"/>
    <n v="219"/>
    <x v="59"/>
    <n v="1374"/>
    <s v="PR"/>
    <n v="0"/>
    <n v="2"/>
    <n v="1"/>
    <n v="0"/>
    <n v="0"/>
    <n v="0"/>
    <s v="2 till 4 hrs/wk"/>
    <s v="52+ weeks (ongoing/longer than a year)"/>
    <x v="2"/>
  </r>
  <r>
    <n v="251"/>
    <x v="1"/>
    <n v="219"/>
    <x v="59"/>
    <n v="1375"/>
    <s v="Logistics"/>
    <n v="0"/>
    <n v="1"/>
    <n v="0"/>
    <n v="0"/>
    <n v="1"/>
    <n v="1"/>
    <s v="2 till 4 hrs/wk"/>
    <s v="52+ weeks (ongoing/longer than a year)"/>
    <x v="4"/>
  </r>
  <r>
    <n v="251"/>
    <x v="1"/>
    <n v="219"/>
    <x v="59"/>
    <n v="1378"/>
    <s v="KasCo"/>
    <n v="0"/>
    <n v="4"/>
    <n v="2"/>
    <n v="0"/>
    <n v="0"/>
    <n v="0"/>
    <s v="2 till 4 hrs/wk"/>
    <s v="31-40 weeks (4 quartiles)"/>
    <x v="2"/>
  </r>
  <r>
    <n v="251"/>
    <x v="1"/>
    <n v="219"/>
    <x v="59"/>
    <n v="1379"/>
    <s v="Helpdesk"/>
    <n v="0"/>
    <n v="0"/>
    <n v="0"/>
    <n v="0"/>
    <n v="0"/>
    <n v="0"/>
    <s v="2 till 4 hrs/wk"/>
    <s v="41-52 weeks (full year)"/>
    <x v="2"/>
  </r>
  <r>
    <n v="251"/>
    <x v="1"/>
    <n v="219"/>
    <x v="59"/>
    <n v="1380"/>
    <s v="ExcurCie"/>
    <n v="0"/>
    <n v="0"/>
    <n v="0"/>
    <n v="0"/>
    <n v="0"/>
    <n v="0"/>
    <s v="2 till 4 hrs/wk"/>
    <s v="41-52 weeks (full year)"/>
    <x v="2"/>
  </r>
  <r>
    <n v="252"/>
    <x v="1"/>
    <n v="220"/>
    <x v="60"/>
    <n v="524"/>
    <s v="Daily Board"/>
    <n v="0"/>
    <n v="0"/>
    <n v="4"/>
    <n v="1"/>
    <n v="0"/>
    <n v="0"/>
    <s v="2 till 4 hrs/wk"/>
    <s v="52+ weeks (ongoing/longer than a year)"/>
    <x v="1"/>
  </r>
  <r>
    <n v="252"/>
    <x v="1"/>
    <n v="220"/>
    <x v="60"/>
    <n v="1525"/>
    <s v="Audit Committee"/>
    <n v="0"/>
    <n v="0"/>
    <n v="2"/>
    <n v="1"/>
    <n v="0"/>
    <n v="3"/>
    <s v="&lt;2 hrs/wk"/>
    <s v="52+ weeks (ongoing/longer than a year)"/>
    <x v="2"/>
  </r>
  <r>
    <n v="253"/>
    <x v="1"/>
    <n v="221"/>
    <x v="61"/>
    <n v="1134"/>
    <s v="Ebart"/>
    <n v="0"/>
    <n v="0"/>
    <n v="0"/>
    <n v="0"/>
    <n v="0"/>
    <n v="9"/>
    <s v="2 till 4 hrs/wk"/>
    <s v="52+ weeks (ongoing/longer than a year)"/>
    <x v="5"/>
  </r>
  <r>
    <n v="253"/>
    <x v="1"/>
    <n v="221"/>
    <x v="61"/>
    <n v="1135"/>
    <s v="Wedstrijdleiding"/>
    <n v="0"/>
    <n v="0"/>
    <n v="0"/>
    <n v="0"/>
    <n v="0"/>
    <n v="8"/>
    <s v="2 till 4 hrs/wk"/>
    <s v="52+ weeks (ongoing/longer than a year)"/>
    <x v="5"/>
  </r>
  <r>
    <n v="253"/>
    <x v="1"/>
    <n v="221"/>
    <x v="61"/>
    <n v="1136"/>
    <s v="Icie"/>
    <n v="0"/>
    <n v="0"/>
    <n v="0"/>
    <n v="0"/>
    <n v="0"/>
    <n v="5"/>
    <s v="&lt;2 hrs/wk"/>
    <s v="52+ weeks (ongoing/longer than a year)"/>
    <x v="4"/>
  </r>
  <r>
    <n v="253"/>
    <x v="1"/>
    <n v="221"/>
    <x v="61"/>
    <n v="1137"/>
    <s v="radioverbindingsdienst"/>
    <n v="0"/>
    <n v="0"/>
    <n v="0"/>
    <n v="0"/>
    <n v="0"/>
    <n v="13"/>
    <s v="2 till 4 hrs/wk"/>
    <s v="52+ weeks (ongoing/longer than a year)"/>
    <x v="5"/>
  </r>
  <r>
    <n v="253"/>
    <x v="1"/>
    <n v="221"/>
    <x v="61"/>
    <n v="1138"/>
    <s v="Raad van advies"/>
    <n v="0"/>
    <n v="0"/>
    <n v="0"/>
    <n v="0"/>
    <n v="0"/>
    <n v="4"/>
    <s v="2 till 4 hrs/wk"/>
    <s v="52+ weeks (ongoing/longer than a year)"/>
    <x v="4"/>
  </r>
  <r>
    <n v="253"/>
    <x v="1"/>
    <n v="221"/>
    <x v="61"/>
    <n v="1139"/>
    <s v="organisatiecommissie"/>
    <n v="0"/>
    <n v="2"/>
    <n v="0"/>
    <n v="1"/>
    <n v="1"/>
    <n v="0"/>
    <s v="30+ hrs/wk"/>
    <s v="41-52 weeks (full year)"/>
    <x v="4"/>
  </r>
  <r>
    <n v="253"/>
    <x v="1"/>
    <n v="221"/>
    <x v="61"/>
    <n v="1140"/>
    <s v="stichtingsbestuur"/>
    <n v="0"/>
    <n v="0"/>
    <n v="0"/>
    <n v="0"/>
    <n v="0"/>
    <n v="5"/>
    <s v="5 till 8 hrs/wk"/>
    <s v="52+ weeks (ongoing/longer than a year)"/>
    <x v="2"/>
  </r>
  <r>
    <n v="253"/>
    <x v="1"/>
    <n v="221"/>
    <x v="61"/>
    <n v="1141"/>
    <s v="wedstrijdsecretariaat"/>
    <n v="0"/>
    <n v="0"/>
    <n v="0"/>
    <n v="0"/>
    <n v="0"/>
    <n v="7"/>
    <s v="2 till 4 hrs/wk"/>
    <s v="52+ weeks (ongoing/longer than a year)"/>
    <x v="5"/>
  </r>
  <r>
    <n v="253"/>
    <x v="1"/>
    <n v="221"/>
    <x v="61"/>
    <n v="1142"/>
    <s v="Batasocial"/>
    <n v="0"/>
    <n v="0"/>
    <n v="0"/>
    <n v="0"/>
    <n v="0"/>
    <n v="8"/>
    <s v="2 till 4 hrs/wk"/>
    <s v="52+ weeks (ongoing/longer than a year)"/>
    <x v="2"/>
  </r>
  <r>
    <n v="253"/>
    <x v="1"/>
    <n v="221"/>
    <x v="61"/>
    <n v="1640"/>
    <s v="Bataradio"/>
    <n v="0"/>
    <n v="0"/>
    <n v="0"/>
    <n v="0"/>
    <n v="0"/>
    <n v="5"/>
    <s v="2 till 4 hrs/wk"/>
    <s v="52+ weeks (ongoing/longer than a year)"/>
    <x v="3"/>
  </r>
  <r>
    <n v="253"/>
    <x v="1"/>
    <n v="221"/>
    <x v="61"/>
    <n v="1641"/>
    <s v="Batavideo"/>
    <n v="0"/>
    <n v="0"/>
    <n v="0"/>
    <n v="0"/>
    <n v="0"/>
    <n v="8"/>
    <s v="2 till 4 hrs/wk"/>
    <s v="52+ weeks (ongoing/longer than a year)"/>
    <x v="3"/>
  </r>
  <r>
    <n v="253"/>
    <x v="1"/>
    <n v="221"/>
    <x v="61"/>
    <n v="1642"/>
    <s v="Kasco"/>
    <n v="0"/>
    <n v="0"/>
    <n v="0"/>
    <n v="0"/>
    <n v="0"/>
    <n v="5"/>
    <s v="2 till 4 hrs/wk"/>
    <s v="52+ weeks (ongoing/longer than a year)"/>
    <x v="2"/>
  </r>
  <r>
    <n v="253"/>
    <x v="1"/>
    <n v="221"/>
    <x v="61"/>
    <n v="1643"/>
    <s v="Lustrum"/>
    <n v="0"/>
    <n v="0"/>
    <n v="0"/>
    <n v="0"/>
    <n v="0"/>
    <n v="6"/>
    <s v="5 till 8 hrs/wk"/>
    <s v="41-52 weeks (full year)"/>
    <x v="2"/>
  </r>
  <r>
    <n v="253"/>
    <x v="1"/>
    <n v="221"/>
    <x v="61"/>
    <n v="1644"/>
    <s v="Medisch Advies Orgaan"/>
    <n v="0"/>
    <n v="0"/>
    <n v="0"/>
    <n v="0"/>
    <n v="0"/>
    <n v="3"/>
    <s v="&lt;2 hrs/wk"/>
    <s v="52+ weeks (ongoing/longer than a year)"/>
    <x v="5"/>
  </r>
  <r>
    <n v="253"/>
    <x v="1"/>
    <n v="221"/>
    <x v="61"/>
    <n v="1645"/>
    <s v="Motorrijders"/>
    <n v="0"/>
    <n v="0"/>
    <n v="0"/>
    <n v="0"/>
    <n v="0"/>
    <n v="12"/>
    <s v="&lt;2 hrs/wk"/>
    <s v="52+ weeks (ongoing/longer than a year)"/>
    <x v="5"/>
  </r>
  <r>
    <n v="254"/>
    <x v="0"/>
    <n v="222"/>
    <x v="62"/>
    <n v="1493"/>
    <s v="Management Team"/>
    <m/>
    <m/>
    <m/>
    <m/>
    <m/>
    <m/>
    <s v=""/>
    <s v=""/>
    <x v="0"/>
  </r>
  <r>
    <n v="254"/>
    <x v="0"/>
    <n v="222"/>
    <x v="62"/>
    <n v="1495"/>
    <s v="Technical Team"/>
    <m/>
    <m/>
    <m/>
    <m/>
    <m/>
    <m/>
    <s v=""/>
    <s v=""/>
    <x v="0"/>
  </r>
  <r>
    <n v="254"/>
    <x v="0"/>
    <n v="222"/>
    <x v="62"/>
    <n v="1496"/>
    <s v="Marketing &amp; Communications Team"/>
    <m/>
    <m/>
    <m/>
    <m/>
    <m/>
    <m/>
    <s v=""/>
    <s v=""/>
    <x v="0"/>
  </r>
  <r>
    <n v="259"/>
    <x v="1"/>
    <n v="227"/>
    <x v="63"/>
    <n v="1630"/>
    <s v="zomerkamp"/>
    <n v="0"/>
    <n v="0"/>
    <n v="0"/>
    <n v="0"/>
    <n v="0"/>
    <n v="4"/>
    <s v="&lt;2 hrs/wk"/>
    <s v="11-20 weeks (2 quartiles)"/>
    <x v="3"/>
  </r>
  <r>
    <n v="259"/>
    <x v="1"/>
    <n v="227"/>
    <x v="63"/>
    <n v="1631"/>
    <s v="websitemensen"/>
    <n v="0"/>
    <n v="0"/>
    <n v="0"/>
    <n v="0"/>
    <n v="0"/>
    <n v="4"/>
    <s v="&lt;2 hrs/wk"/>
    <s v="52+ weeks (ongoing/longer than a year)"/>
    <x v="2"/>
  </r>
  <r>
    <n v="259"/>
    <x v="1"/>
    <n v="227"/>
    <x v="63"/>
    <n v="1632"/>
    <s v="kasco"/>
    <n v="0"/>
    <n v="0"/>
    <n v="0"/>
    <n v="0"/>
    <n v="0"/>
    <n v="2"/>
    <s v="&lt;2 hrs/wk"/>
    <s v="52+ weeks (ongoing/longer than a year)"/>
    <x v="2"/>
  </r>
  <r>
    <n v="259"/>
    <x v="1"/>
    <n v="227"/>
    <x v="63"/>
    <n v="1633"/>
    <s v="sociale zaken"/>
    <n v="0"/>
    <n v="0"/>
    <n v="0"/>
    <n v="0"/>
    <n v="0"/>
    <n v="0"/>
    <s v="&lt;2 hrs/wk"/>
    <s v="52+ weeks (ongoing/longer than a year)"/>
    <x v="2"/>
  </r>
  <r>
    <n v="259"/>
    <x v="1"/>
    <n v="227"/>
    <x v="63"/>
    <n v="1634"/>
    <s v="verhuur mensen"/>
    <n v="0"/>
    <n v="0"/>
    <n v="0"/>
    <n v="0"/>
    <n v="0"/>
    <n v="1"/>
    <s v="&lt;2 hrs/wk"/>
    <s v="52+ weeks (ongoing/longer than a year)"/>
    <x v="5"/>
  </r>
  <r>
    <n v="263"/>
    <x v="1"/>
    <n v="231"/>
    <x v="64"/>
    <n v="1341"/>
    <s v="none"/>
    <n v="0"/>
    <n v="0"/>
    <n v="0"/>
    <n v="0"/>
    <n v="0"/>
    <n v="0"/>
    <s v="&lt;2 hrs/wk"/>
    <s v="1-10 weeks (1 quartile)"/>
    <x v="2"/>
  </r>
  <r>
    <n v="266"/>
    <x v="1"/>
    <n v="234"/>
    <x v="65"/>
    <n v="1414"/>
    <s v="Marketing Comittee"/>
    <n v="0"/>
    <n v="3"/>
    <n v="2"/>
    <n v="0"/>
    <n v="0"/>
    <n v="0"/>
    <s v="&lt;2 hrs/wk"/>
    <s v="41-52 weeks (full year)"/>
    <x v="2"/>
  </r>
  <r>
    <n v="267"/>
    <x v="1"/>
    <n v="235"/>
    <x v="66"/>
    <n v="451"/>
    <s v="Part-timers"/>
    <n v="2"/>
    <n v="3"/>
    <n v="0"/>
    <n v="0"/>
    <n v="2"/>
    <n v="0"/>
    <s v="5 till 8 hrs/wk"/>
    <s v="41-52 weeks (full year)"/>
    <x v="3"/>
  </r>
  <r>
    <n v="267"/>
    <x v="1"/>
    <n v="235"/>
    <x v="66"/>
    <n v="452"/>
    <s v="Full-timers"/>
    <n v="0"/>
    <n v="0"/>
    <n v="3"/>
    <n v="0"/>
    <n v="0"/>
    <n v="0"/>
    <s v="30+ hrs/wk"/>
    <s v="52+ weeks (ongoing/longer than a year)"/>
    <x v="3"/>
  </r>
  <r>
    <n v="271"/>
    <x v="1"/>
    <n v="239"/>
    <x v="67"/>
    <n v="1128"/>
    <s v="KIOSK"/>
    <n v="0"/>
    <n v="0"/>
    <n v="0"/>
    <n v="0"/>
    <n v="0"/>
    <n v="0"/>
    <s v="&lt;2 hrs/wk"/>
    <s v="1-10 weeks (1 quartile)"/>
    <x v="3"/>
  </r>
  <r>
    <n v="271"/>
    <x v="1"/>
    <n v="239"/>
    <x v="67"/>
    <n v="1129"/>
    <s v="ABC"/>
    <n v="0"/>
    <n v="0"/>
    <n v="3"/>
    <n v="2"/>
    <n v="0"/>
    <n v="0"/>
    <s v="2 till 4 hrs/wk"/>
    <s v="52+ weeks (ongoing/longer than a year)"/>
    <x v="1"/>
  </r>
  <r>
    <n v="271"/>
    <x v="1"/>
    <n v="239"/>
    <x v="67"/>
    <n v="1130"/>
    <s v="SRC"/>
    <n v="0"/>
    <n v="0"/>
    <n v="2"/>
    <n v="1"/>
    <n v="0"/>
    <n v="0"/>
    <s v="&lt;2 hrs/wk"/>
    <s v="52+ weeks (ongoing/longer than a year)"/>
    <x v="5"/>
  </r>
  <r>
    <n v="271"/>
    <x v="1"/>
    <n v="239"/>
    <x v="67"/>
    <n v="1131"/>
    <s v="UTEA"/>
    <n v="0"/>
    <n v="0"/>
    <n v="3"/>
    <n v="1"/>
    <n v="0"/>
    <n v="0"/>
    <s v="2 till 4 hrs/wk"/>
    <s v="11-20 weeks (2 quartiles)"/>
    <x v="3"/>
  </r>
  <r>
    <n v="271"/>
    <x v="1"/>
    <n v="239"/>
    <x v="67"/>
    <n v="1132"/>
    <s v="GalOS"/>
    <n v="0"/>
    <n v="0"/>
    <n v="0"/>
    <n v="0"/>
    <n v="0"/>
    <n v="0"/>
    <s v="2 till 4 hrs/wk"/>
    <s v="1-10 weeks (1 quartile)"/>
    <x v="5"/>
  </r>
  <r>
    <n v="271"/>
    <x v="1"/>
    <n v="239"/>
    <x v="67"/>
    <n v="1133"/>
    <s v="KasCo"/>
    <n v="0"/>
    <n v="0"/>
    <n v="3"/>
    <n v="0"/>
    <n v="0"/>
    <n v="0"/>
    <s v="&lt;2 hrs/wk"/>
    <s v="52+ weeks (ongoing/longer than a year)"/>
    <x v="2"/>
  </r>
  <r>
    <n v="271"/>
    <x v="1"/>
    <n v="239"/>
    <x v="67"/>
    <n v="1524"/>
    <s v="BCC"/>
    <n v="0"/>
    <n v="0"/>
    <n v="3"/>
    <n v="2"/>
    <n v="0"/>
    <n v="0"/>
    <s v="2 till 4 hrs/wk"/>
    <s v="41-52 weeks (full year)"/>
    <x v="2"/>
  </r>
  <r>
    <n v="279"/>
    <x v="1"/>
    <n v="247"/>
    <x v="68"/>
    <n v="1408"/>
    <s v="Kasco"/>
    <n v="0"/>
    <n v="0"/>
    <n v="0"/>
    <n v="2"/>
    <n v="2"/>
    <n v="0"/>
    <s v="&lt;2 hrs/wk"/>
    <s v="52+ weeks (ongoing/longer than a year)"/>
    <x v="5"/>
  </r>
  <r>
    <n v="279"/>
    <x v="1"/>
    <n v="247"/>
    <x v="68"/>
    <n v="1409"/>
    <s v="Contracten"/>
    <n v="0"/>
    <n v="0"/>
    <n v="1"/>
    <n v="1"/>
    <n v="0"/>
    <n v="0"/>
    <s v="&lt;2 hrs/wk"/>
    <s v="11-20 weeks (2 quartiles)"/>
    <x v="3"/>
  </r>
  <r>
    <n v="279"/>
    <x v="1"/>
    <n v="247"/>
    <x v="68"/>
    <n v="1410"/>
    <s v="RvA"/>
    <n v="0"/>
    <n v="0"/>
    <n v="0"/>
    <n v="0"/>
    <n v="0"/>
    <n v="4"/>
    <s v="&lt;2 hrs/wk"/>
    <s v="52+ weeks (ongoing/longer than a year)"/>
    <x v="2"/>
  </r>
  <r>
    <n v="281"/>
    <x v="1"/>
    <n v="249"/>
    <x v="69"/>
    <n v="1411"/>
    <s v="Activity Committee"/>
    <n v="0"/>
    <n v="1"/>
    <n v="2"/>
    <n v="0"/>
    <n v="0"/>
    <n v="0"/>
    <s v="&lt;2 hrs/wk"/>
    <s v="1-10 weeks (1 quartile)"/>
    <x v="2"/>
  </r>
  <r>
    <n v="281"/>
    <x v="1"/>
    <n v="249"/>
    <x v="69"/>
    <n v="1412"/>
    <s v="Gaming Committee"/>
    <n v="3"/>
    <n v="0"/>
    <n v="0"/>
    <n v="0"/>
    <n v="0"/>
    <n v="0"/>
    <s v="&lt;2 hrs/wk"/>
    <s v="1-10 weeks (1 quartile)"/>
    <x v="2"/>
  </r>
  <r>
    <n v="281"/>
    <x v="1"/>
    <n v="249"/>
    <x v="69"/>
    <n v="1413"/>
    <s v="Marketing Committee"/>
    <n v="2"/>
    <n v="0"/>
    <n v="0"/>
    <n v="0"/>
    <n v="0"/>
    <n v="0"/>
    <s v="&lt;2 hrs/wk"/>
    <s v="1-10 weeks (1 quartile)"/>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n v="107"/>
    <x v="0"/>
    <x v="0"/>
    <s v="board@breakeven.utwente.nl"/>
    <s v="active"/>
    <x v="0"/>
    <n v="85"/>
    <n v="40"/>
    <n v="15"/>
    <n v="32"/>
    <n v="30"/>
    <n v="14"/>
    <n v="6"/>
    <n v="30"/>
    <n v="12"/>
  </r>
  <r>
    <n v="108"/>
    <x v="1"/>
    <x v="0"/>
    <s v="bestuur@kronos.nl"/>
    <s v="active"/>
    <x v="1"/>
    <n v="102"/>
    <n v="10"/>
    <n v="1"/>
    <n v="45"/>
    <n v="5"/>
    <n v="4"/>
    <n v="1"/>
    <n v="91"/>
    <n v="40"/>
  </r>
  <r>
    <n v="110"/>
    <x v="2"/>
    <x v="0"/>
    <s v="boardarriba@gmail.com"/>
    <s v="active"/>
    <x v="1"/>
    <n v="106"/>
    <n v="50"/>
    <n v="10"/>
    <n v="33"/>
    <n v="5"/>
    <n v="10"/>
    <n v="1"/>
    <n v="46"/>
    <n v="22"/>
  </r>
  <r>
    <n v="111"/>
    <x v="3"/>
    <x v="0"/>
    <s v="info@alohatriathlon.nl"/>
    <s v="active"/>
    <x v="1"/>
    <n v="72"/>
    <n v="1"/>
    <n v="2"/>
    <n v="29"/>
    <n v="10"/>
    <n v="1"/>
    <n v="0"/>
    <n v="69"/>
    <n v="28"/>
  </r>
  <r>
    <n v="112"/>
    <x v="4"/>
    <x v="0"/>
    <s v="bestuur@skeuvel.nl"/>
    <s v="active"/>
    <x v="1"/>
    <n v="240"/>
    <n v="5"/>
    <n v="5"/>
    <n v="75"/>
    <n v="75"/>
    <n v="1"/>
    <n v="0"/>
    <m/>
    <m/>
  </r>
  <r>
    <n v="113"/>
    <x v="5"/>
    <x v="0"/>
    <s v="bestuur@thibats.nl"/>
    <s v="active"/>
    <x v="1"/>
    <n v="29"/>
    <n v="6"/>
    <n v="6"/>
    <n v="5"/>
    <n v="25"/>
    <n v="1"/>
    <n v="0"/>
    <n v="17"/>
    <n v="4"/>
  </r>
  <r>
    <n v="114"/>
    <x v="6"/>
    <x v="0"/>
    <s v="bestuur@dwvhardboard.nl"/>
    <s v="active"/>
    <x v="1"/>
    <n v="170"/>
    <n v="30"/>
    <n v="8"/>
    <n v="40"/>
    <n v="50"/>
    <n v="7"/>
    <n v="3"/>
    <n v="132"/>
    <n v="30"/>
  </r>
  <r>
    <n v="115"/>
    <x v="7"/>
    <x v="0"/>
    <s v="bestuur@kleinverzet.utwente.nl"/>
    <s v="active"/>
    <x v="1"/>
    <n v="78"/>
    <n v="2"/>
    <n v="4"/>
    <n v="32"/>
    <n v="10"/>
    <n v="2"/>
    <n v="0"/>
    <n v="72"/>
    <n v="30"/>
  </r>
  <r>
    <n v="116"/>
    <x v="8"/>
    <x v="0"/>
    <s v="info@diok.nl"/>
    <s v="active"/>
    <x v="1"/>
    <n v="106"/>
    <n v="21"/>
    <n v="31"/>
    <n v="24"/>
    <n v="7"/>
    <n v="3"/>
    <n v="6"/>
    <n v="54"/>
    <n v="15"/>
  </r>
  <r>
    <n v="117"/>
    <x v="9"/>
    <x v="0"/>
    <s v="info@stretchers.nl"/>
    <s v="active"/>
    <x v="1"/>
    <n v="42"/>
    <n v="6"/>
    <n v="0"/>
    <n v="14"/>
    <n v="8"/>
    <n v="1"/>
    <n v="0"/>
    <n v="36"/>
    <n v="13"/>
  </r>
  <r>
    <n v="118"/>
    <x v="10"/>
    <x v="0"/>
    <s v="bestuur@dhcdrienerlo.nl"/>
    <s v="active"/>
    <x v="1"/>
    <n v="223"/>
    <n v="5"/>
    <n v="1"/>
    <n v="65"/>
    <n v="80"/>
    <n v="0"/>
    <n v="1"/>
    <n v="217"/>
    <n v="64"/>
  </r>
  <r>
    <n v="119"/>
    <x v="11"/>
    <x v="0"/>
    <s v="bestuur@euroskano.nl"/>
    <s v="active"/>
    <x v="2"/>
    <m/>
    <m/>
    <m/>
    <m/>
    <m/>
    <m/>
    <m/>
    <m/>
    <m/>
  </r>
  <r>
    <n v="120"/>
    <x v="12"/>
    <x v="0"/>
    <s v="bestuur@drv-euros.nl"/>
    <s v="active"/>
    <x v="1"/>
    <n v="353"/>
    <n v="11"/>
    <n v="0"/>
    <n v="194"/>
    <n v="10"/>
    <n v="4"/>
    <n v="0"/>
    <n v="342"/>
    <n v="190"/>
  </r>
  <r>
    <n v="121"/>
    <x v="13"/>
    <x v="0"/>
    <s v="bestuur@hippo.utwente.nl"/>
    <s v="active"/>
    <x v="1"/>
    <n v="60"/>
    <n v="10"/>
    <n v="10"/>
    <n v="20"/>
    <n v="10"/>
    <n v="5"/>
    <n v="5"/>
    <n v="40"/>
    <n v="10"/>
  </r>
  <r>
    <n v="122"/>
    <x v="14"/>
    <x v="0"/>
    <s v="bestuur@dssv-tartaros.nl"/>
    <s v="active"/>
    <x v="1"/>
    <n v="75"/>
    <n v="6"/>
    <n v="0"/>
    <n v="52"/>
    <n v="20"/>
    <n v="0"/>
    <n v="0"/>
    <n v="69"/>
    <n v="52"/>
  </r>
  <r>
    <n v="123"/>
    <x v="15"/>
    <x v="0"/>
    <s v="bestuur@euros.nl"/>
    <s v="active"/>
    <x v="1"/>
    <n v="62"/>
    <n v="8"/>
    <n v="0"/>
    <n v="45"/>
    <n v="4"/>
    <n v="4"/>
    <n v="0"/>
    <n v="54"/>
    <n v="41"/>
  </r>
  <r>
    <n v="124"/>
    <x v="16"/>
    <x v="0"/>
    <s v="bestuur@cabezota.utwente.nl"/>
    <s v="active"/>
    <x v="1"/>
    <n v="50"/>
    <n v="9"/>
    <n v="0"/>
    <n v="28"/>
    <n v="10"/>
    <n v="4"/>
    <n v="0"/>
    <n v="41"/>
    <n v="24"/>
  </r>
  <r>
    <n v="125"/>
    <x v="17"/>
    <x v="0"/>
    <s v="bestuur@buitenwesten.utwente.nl"/>
    <s v="active"/>
    <x v="1"/>
    <n v="100"/>
    <n v="70"/>
    <n v="10"/>
    <n v="15"/>
    <n v="30"/>
    <n v="8"/>
    <n v="2"/>
    <m/>
    <m/>
  </r>
  <r>
    <n v="126"/>
    <x v="18"/>
    <x v="0"/>
    <s v="bestuur@hth.utwente.nl"/>
    <s v="active"/>
    <x v="1"/>
    <n v="52"/>
    <n v="5"/>
    <n v="0"/>
    <n v="25"/>
    <n v="7"/>
    <n v="3"/>
    <n v="0"/>
    <n v="47"/>
    <n v="22"/>
  </r>
  <r>
    <n v="127"/>
    <x v="19"/>
    <x v="0"/>
    <s v="bestuur@linearecta.utwente.nl"/>
    <s v="active"/>
    <x v="1"/>
    <n v="68"/>
    <n v="14"/>
    <n v="1"/>
    <n v="40"/>
    <n v="5"/>
    <n v="7"/>
    <n v="1"/>
    <n v="53"/>
    <n v="32"/>
  </r>
  <r>
    <n v="128"/>
    <x v="20"/>
    <x v="0"/>
    <s v="info@messedup.utwente.nl"/>
    <s v="active"/>
    <x v="1"/>
    <n v="37"/>
    <n v="9"/>
    <n v="1"/>
    <n v="17"/>
    <n v="3"/>
    <n v="4"/>
    <n v="1"/>
    <n v="27"/>
    <n v="12"/>
  </r>
  <r>
    <n v="129"/>
    <x v="21"/>
    <x v="0"/>
    <s v="voorzitter@msg.utwente.nl"/>
    <s v="active"/>
    <x v="1"/>
    <n v="74"/>
    <n v="10"/>
    <n v="1"/>
    <n v="15"/>
    <n v="20"/>
    <n v="2"/>
    <n v="0"/>
    <m/>
    <m/>
  </r>
  <r>
    <n v="130"/>
    <x v="22"/>
    <x v="0"/>
    <s v="bestuur@vakgericht.nl"/>
    <s v="active"/>
    <x v="1"/>
    <n v="57"/>
    <n v="0"/>
    <n v="0"/>
    <n v="40"/>
    <n v="5"/>
    <n v="0"/>
    <n v="0"/>
    <n v="57"/>
    <n v="40"/>
  </r>
  <r>
    <n v="131"/>
    <x v="23"/>
    <x v="0"/>
    <s v="bestuur@sagittarius.utwente.nl"/>
    <s v="active"/>
    <x v="1"/>
    <n v="59"/>
    <n v="16"/>
    <n v="8"/>
    <n v="16"/>
    <n v="16"/>
    <n v="0"/>
    <n v="1"/>
    <n v="35"/>
    <n v="15"/>
  </r>
  <r>
    <n v="132"/>
    <x v="24"/>
    <x v="0"/>
    <s v="bestuur@slagvaardig.utwente.nl"/>
    <s v="active"/>
    <x v="2"/>
    <m/>
    <m/>
    <m/>
    <m/>
    <m/>
    <m/>
    <m/>
    <m/>
    <m/>
  </r>
  <r>
    <n v="133"/>
    <x v="25"/>
    <x v="0"/>
    <s v="info@slappingstuds.nl"/>
    <s v="active"/>
    <x v="1"/>
    <n v="55"/>
    <n v="10"/>
    <n v="5"/>
    <n v="4"/>
    <n v="0"/>
    <n v="1"/>
    <n v="2"/>
    <n v="40"/>
    <n v="1"/>
  </r>
  <r>
    <n v="134"/>
    <x v="26"/>
    <x v="0"/>
    <s v="secretaris@ludica.nl"/>
    <s v="active"/>
    <x v="1"/>
    <n v="560"/>
    <n v="80"/>
    <n v="25"/>
    <n v="100"/>
    <n v="250"/>
    <n v="5"/>
    <n v="0"/>
    <n v="455"/>
    <n v="95"/>
  </r>
  <r>
    <n v="135"/>
    <x v="27"/>
    <x v="0"/>
    <s v="bestuur@tsac.alpenclub.nl"/>
    <s v="active"/>
    <x v="1"/>
    <n v="175"/>
    <n v="55"/>
    <n v="45"/>
    <n v="40"/>
    <n v="11"/>
    <n v="20"/>
    <n v="5"/>
    <n v="75"/>
    <n v="15"/>
  </r>
  <r>
    <n v="136"/>
    <x v="28"/>
    <x v="0"/>
    <s v="bestuur@arashi.nl"/>
    <s v="active"/>
    <x v="1"/>
    <n v="122"/>
    <n v="120"/>
    <n v="2"/>
    <n v="30"/>
    <n v="20"/>
    <n v="10"/>
    <n v="0"/>
    <m/>
    <m/>
  </r>
  <r>
    <n v="137"/>
    <x v="29"/>
    <x v="0"/>
    <s v="bestuur@vvdrienerlo.nl"/>
    <s v="active"/>
    <x v="1"/>
    <n v="380"/>
    <n v="70"/>
    <n v="30"/>
    <n v="50"/>
    <n v="100"/>
    <n v="10"/>
    <n v="0"/>
    <n v="280"/>
    <n v="40"/>
  </r>
  <r>
    <n v="138"/>
    <x v="30"/>
    <x v="0"/>
    <s v="bestuur@harambee.nl"/>
    <s v="active"/>
    <x v="1"/>
    <n v="420"/>
    <n v="50"/>
    <n v="20"/>
    <n v="100"/>
    <n v="50"/>
    <n v="10"/>
    <n v="5"/>
    <n v="350"/>
    <n v="85"/>
  </r>
  <r>
    <n v="139"/>
    <x v="31"/>
    <x v="0"/>
    <s v="bestuur@zpv-piranha.nl"/>
    <s v="active"/>
    <x v="1"/>
    <n v="280"/>
    <n v="40"/>
    <n v="10"/>
    <n v="108"/>
    <n v="50"/>
    <n v="7"/>
    <n v="1"/>
    <n v="230"/>
    <n v="100"/>
  </r>
  <r>
    <n v="140"/>
    <x v="32"/>
    <x v="0"/>
    <s v="voorzitter@twentsethestrals.nl"/>
    <s v="active"/>
    <x v="2"/>
    <m/>
    <m/>
    <m/>
    <m/>
    <m/>
    <m/>
    <m/>
    <m/>
    <m/>
  </r>
  <r>
    <n v="141"/>
    <x v="33"/>
    <x v="0"/>
    <s v="primoballerino.ballet@gmail.com"/>
    <s v="active"/>
    <x v="0"/>
    <n v="55"/>
    <n v="13"/>
    <n v="7"/>
    <n v="18"/>
    <n v="30"/>
    <n v="3"/>
    <n v="2"/>
    <n v="35"/>
    <n v="13"/>
  </r>
  <r>
    <n v="142"/>
    <x v="34"/>
    <x v="0"/>
    <s v="board@phoenixlacrosse.nl"/>
    <s v="active"/>
    <x v="1"/>
    <n v="59"/>
    <n v="9"/>
    <n v="0"/>
    <n v="35"/>
    <n v="24"/>
    <n v="2"/>
    <n v="0"/>
    <n v="50"/>
    <n v="33"/>
  </r>
  <r>
    <n v="143"/>
    <x v="35"/>
    <x v="0"/>
    <s v="secretaris@hercules.utwente.nl"/>
    <s v="active"/>
    <x v="1"/>
    <n v="65"/>
    <n v="20"/>
    <n v="3"/>
    <n v="25"/>
    <n v="40"/>
    <n v="12"/>
    <n v="1"/>
    <n v="42"/>
    <n v="12"/>
  </r>
  <r>
    <n v="144"/>
    <x v="36"/>
    <x v="0"/>
    <s v="bestuur@alakart.nl"/>
    <s v="active"/>
    <x v="2"/>
    <m/>
    <m/>
    <m/>
    <m/>
    <m/>
    <m/>
    <m/>
    <m/>
    <m/>
  </r>
  <r>
    <n v="145"/>
    <x v="37"/>
    <x v="0"/>
    <s v="bestuur@stoottroepen.nl"/>
    <s v="active"/>
    <x v="2"/>
    <m/>
    <m/>
    <m/>
    <m/>
    <m/>
    <m/>
    <m/>
    <m/>
    <m/>
  </r>
  <r>
    <n v="146"/>
    <x v="38"/>
    <x v="0"/>
    <s v="bestuur@svmuurvast.nl"/>
    <s v="active"/>
    <x v="2"/>
    <m/>
    <m/>
    <m/>
    <m/>
    <m/>
    <m/>
    <m/>
    <m/>
    <m/>
  </r>
  <r>
    <n v="147"/>
    <x v="39"/>
    <x v="0"/>
    <s v="bestuur.dk7r@gmail.com"/>
    <s v="active"/>
    <x v="2"/>
    <m/>
    <m/>
    <m/>
    <m/>
    <m/>
    <m/>
    <m/>
    <m/>
    <m/>
  </r>
  <r>
    <n v="148"/>
    <x v="40"/>
    <x v="0"/>
    <s v="blueshellesports@gmail.com"/>
    <s v="active"/>
    <x v="1"/>
    <n v="180"/>
    <n v="40"/>
    <n v="30"/>
    <n v="60"/>
    <n v="30"/>
    <n v="15"/>
    <n v="15"/>
    <n v="110"/>
    <n v="30"/>
  </r>
  <r>
    <n v="149"/>
    <x v="41"/>
    <x v="0"/>
    <s v="bestuur@4happyfeet.nl"/>
    <s v="active"/>
    <x v="0"/>
    <n v="252"/>
    <n v="60"/>
    <n v="10"/>
    <n v="45"/>
    <n v="40"/>
    <n v="5"/>
    <n v="0"/>
    <n v="182"/>
    <n v="40"/>
  </r>
  <r>
    <n v="151"/>
    <x v="42"/>
    <x v="0"/>
    <s v="bestuur@foton.utwente.nl"/>
    <s v="active"/>
    <x v="2"/>
    <m/>
    <m/>
    <m/>
    <m/>
    <m/>
    <m/>
    <m/>
    <m/>
    <m/>
  </r>
  <r>
    <n v="152"/>
    <x v="43"/>
    <x v="0"/>
    <s v="board@arabesque.utwente.nl"/>
    <s v="active"/>
    <x v="0"/>
    <n v="28"/>
    <n v="10"/>
    <n v="4"/>
    <n v="6"/>
    <n v="6"/>
    <n v="3"/>
    <n v="1"/>
    <m/>
    <m/>
  </r>
  <r>
    <n v="153"/>
    <x v="44"/>
    <x v="0"/>
    <s v="bestuur@bellettrie.utwente.nl"/>
    <s v="active"/>
    <x v="0"/>
    <n v="133"/>
    <n v="50"/>
    <n v="20"/>
    <n v="24"/>
    <n v="40"/>
    <n v="4"/>
    <n v="1"/>
    <n v="63"/>
    <n v="19"/>
  </r>
  <r>
    <n v="154"/>
    <x v="45"/>
    <x v="0"/>
    <s v="bestuur@contramime.utwente.nl"/>
    <s v="active"/>
    <x v="2"/>
    <m/>
    <m/>
    <m/>
    <m/>
    <m/>
    <m/>
    <m/>
    <m/>
    <m/>
  </r>
  <r>
    <n v="155"/>
    <x v="46"/>
    <x v="0"/>
    <s v="bestuur@fanaat.utwente.nl"/>
    <s v="active"/>
    <x v="0"/>
    <n v="88"/>
    <n v="8"/>
    <n v="1"/>
    <n v="12"/>
    <n v="15"/>
    <n v="0"/>
    <n v="0"/>
    <m/>
    <m/>
  </r>
  <r>
    <n v="156"/>
    <x v="47"/>
    <x v="0"/>
    <s v="info@mso.utwente.nl"/>
    <s v="active"/>
    <x v="0"/>
    <n v="18"/>
    <n v="1"/>
    <n v="2"/>
    <n v="11"/>
    <n v="4"/>
    <n v="0"/>
    <n v="0"/>
    <m/>
    <m/>
  </r>
  <r>
    <n v="157"/>
    <x v="48"/>
    <x v="0"/>
    <s v="board@musilon.utwente.nl"/>
    <s v="active"/>
    <x v="0"/>
    <n v="60"/>
    <n v="21"/>
    <n v="12"/>
    <n v="35"/>
    <n v="8"/>
    <n v="8"/>
    <n v="5"/>
    <n v="27"/>
    <n v="22"/>
  </r>
  <r>
    <n v="158"/>
    <x v="49"/>
    <x v="0"/>
    <s v="bestuur@nest.utwente.nl"/>
    <s v="active"/>
    <x v="0"/>
    <n v="67"/>
    <n v="14"/>
    <n v="1"/>
    <n v="43"/>
    <n v="5"/>
    <n v="10"/>
    <n v="0"/>
    <n v="52"/>
    <n v="33"/>
  </r>
  <r>
    <n v="159"/>
    <x v="50"/>
    <x v="0"/>
    <s v="bestuur@prodeo.utwente.nl"/>
    <s v="active"/>
    <x v="0"/>
    <n v="44"/>
    <n v="6"/>
    <n v="2"/>
    <n v="17"/>
    <n v="10"/>
    <n v="2"/>
    <n v="1"/>
    <n v="36"/>
    <n v="14"/>
  </r>
  <r>
    <n v="160"/>
    <x v="51"/>
    <x v="0"/>
    <s v="bestuur@sdvchasse.utwente.nl"/>
    <s v="active"/>
    <x v="0"/>
    <n v="48"/>
    <n v="5"/>
    <n v="3"/>
    <n v="26"/>
    <n v="8"/>
    <n v="3"/>
    <n v="3"/>
    <m/>
    <m/>
  </r>
  <r>
    <n v="161"/>
    <x v="52"/>
    <x v="0"/>
    <s v="bestuur@shot.utwente.nl"/>
    <s v="active"/>
    <x v="0"/>
    <n v="63"/>
    <n v="1"/>
    <n v="2"/>
    <n v="20"/>
    <n v="10"/>
    <n v="0"/>
    <n v="1"/>
    <n v="60"/>
    <n v="19"/>
  </r>
  <r>
    <n v="162"/>
    <x v="53"/>
    <x v="0"/>
    <s v="stubiba.jazz@gmail.com"/>
    <s v="active"/>
    <x v="0"/>
    <n v="25"/>
    <n v="4"/>
    <n v="3"/>
    <n v="7"/>
    <n v="2"/>
    <n v="0"/>
    <n v="0"/>
    <n v="18"/>
    <n v="7"/>
  </r>
  <r>
    <n v="163"/>
    <x v="54"/>
    <x v="1"/>
    <s v="info@stichtinginspe.nl"/>
    <s v="active"/>
    <x v="0"/>
    <n v="70"/>
    <n v="11"/>
    <n v="1"/>
    <m/>
    <m/>
    <m/>
    <m/>
    <m/>
    <m/>
  </r>
  <r>
    <n v="164"/>
    <x v="55"/>
    <x v="0"/>
    <s v="enschede@stukafest.nl"/>
    <s v="active"/>
    <x v="2"/>
    <m/>
    <m/>
    <m/>
    <m/>
    <m/>
    <m/>
    <m/>
    <m/>
    <m/>
  </r>
  <r>
    <n v="165"/>
    <x v="56"/>
    <x v="0"/>
    <s v="bestuur@abacus.utwente.nl"/>
    <s v="active"/>
    <x v="3"/>
    <n v="477"/>
    <n v="75"/>
    <n v="25"/>
    <n v="80"/>
    <n v="30"/>
    <n v="15"/>
    <n v="5"/>
    <n v="377"/>
    <n v="60"/>
  </r>
  <r>
    <n v="166"/>
    <x v="57"/>
    <x v="0"/>
    <s v="bestuur@alembic.utwente.nl"/>
    <s v="active"/>
    <x v="3"/>
    <n v="308"/>
    <n v="13"/>
    <n v="46"/>
    <n v="100"/>
    <n v="25"/>
    <n v="10"/>
    <n v="10"/>
    <n v="249"/>
    <n v="80"/>
  </r>
  <r>
    <n v="167"/>
    <x v="58"/>
    <x v="0"/>
    <s v="bestuur@arago.utwente.nl"/>
    <s v="active"/>
    <x v="3"/>
    <n v="617"/>
    <n v="3"/>
    <n v="1"/>
    <n v="219"/>
    <n v="56"/>
    <n v="0"/>
    <n v="0"/>
    <n v="613"/>
    <n v="219"/>
  </r>
  <r>
    <n v="168"/>
    <x v="59"/>
    <x v="0"/>
    <s v="bestuur@astatine.utwente.nl"/>
    <s v="active"/>
    <x v="3"/>
    <n v="442"/>
    <n v="52"/>
    <n v="36"/>
    <n v="108"/>
    <n v="0"/>
    <n v="10"/>
    <n v="5"/>
    <m/>
    <m/>
  </r>
  <r>
    <n v="169"/>
    <x v="60"/>
    <x v="0"/>
    <s v="board@sa-atlantis.nl"/>
    <s v="active"/>
    <x v="3"/>
    <n v="193"/>
    <n v="36"/>
    <n v="14"/>
    <n v="75"/>
    <n v="10"/>
    <n v="20"/>
    <n v="10"/>
    <n v="143"/>
    <n v="45"/>
  </r>
  <r>
    <n v="170"/>
    <x v="61"/>
    <x v="0"/>
    <s v="board@communique.utwente.nl"/>
    <s v="active"/>
    <x v="3"/>
    <n v="311"/>
    <n v="180"/>
    <n v="30"/>
    <n v="55"/>
    <n v="50"/>
    <n v="23"/>
    <n v="4"/>
    <m/>
    <m/>
  </r>
  <r>
    <n v="171"/>
    <x v="62"/>
    <x v="0"/>
    <s v="concept@concept.utwente.nl"/>
    <s v="active"/>
    <x v="3"/>
    <n v="670"/>
    <n v="80"/>
    <n v="40"/>
    <n v="146"/>
    <n v="100"/>
    <n v="7"/>
    <n v="4"/>
    <n v="550"/>
    <n v="135"/>
  </r>
  <r>
    <n v="172"/>
    <x v="63"/>
    <x v="0"/>
    <s v="bestuur@daedalus.utwente.nl"/>
    <s v="active"/>
    <x v="3"/>
    <n v="862"/>
    <n v="300"/>
    <n v="62"/>
    <n v="128"/>
    <n v="100"/>
    <n v="22"/>
    <n v="5"/>
    <n v="500"/>
    <n v="101"/>
  </r>
  <r>
    <n v="173"/>
    <x v="64"/>
    <x v="0"/>
    <s v="board@svdimensie.nl"/>
    <s v="active"/>
    <x v="3"/>
    <n v="780"/>
    <n v="730"/>
    <n v="50"/>
    <n v="74"/>
    <n v="150"/>
    <n v="73"/>
    <n v="1"/>
    <m/>
    <m/>
  </r>
  <r>
    <n v="174"/>
    <x v="65"/>
    <x v="0"/>
    <s v="board@ideefiks.utwente.nl"/>
    <s v="active"/>
    <x v="3"/>
    <n v="66"/>
    <n v="30"/>
    <n v="18"/>
    <n v="25"/>
    <n v="5"/>
    <n v="10"/>
    <n v="10"/>
    <n v="18"/>
    <n v="5"/>
  </r>
  <r>
    <n v="175"/>
    <x v="66"/>
    <x v="0"/>
    <s v="contact@inter-actief.net"/>
    <s v="active"/>
    <x v="3"/>
    <n v="1200"/>
    <n v="150"/>
    <n v="200"/>
    <n v="150"/>
    <n v="90"/>
    <n v="12"/>
    <n v="8"/>
    <n v="850"/>
    <n v="130"/>
  </r>
  <r>
    <n v="176"/>
    <x v="67"/>
    <x v="0"/>
    <s v="bestuur@isaacnewton.nl"/>
    <s v="active"/>
    <x v="3"/>
    <n v="1505"/>
    <n v="292"/>
    <n v="292"/>
    <n v="197"/>
    <n v="150"/>
    <n v="10"/>
    <n v="10"/>
    <n v="921"/>
    <n v="177"/>
  </r>
  <r>
    <n v="177"/>
    <x v="68"/>
    <x v="0"/>
    <s v="board@komma.utwente.nl"/>
    <s v="active"/>
    <x v="3"/>
    <n v="298"/>
    <n v="37"/>
    <n v="65"/>
    <n v="11"/>
    <n v="4"/>
    <n v="5"/>
    <n v="4"/>
    <n v="196"/>
    <n v="2"/>
  </r>
  <r>
    <n v="178"/>
    <x v="69"/>
    <x v="0"/>
    <s v="info@paradoks.utwente.nl"/>
    <s v="active"/>
    <x v="2"/>
    <m/>
    <m/>
    <m/>
    <m/>
    <m/>
    <m/>
    <m/>
    <m/>
    <m/>
  </r>
  <r>
    <n v="179"/>
    <x v="70"/>
    <x v="0"/>
    <s v="board@proto.utwente.nl"/>
    <s v="active"/>
    <x v="3"/>
    <n v="455"/>
    <n v="112"/>
    <n v="25"/>
    <n v="128"/>
    <n v="50"/>
    <n v="13"/>
    <n v="2"/>
    <n v="318"/>
    <n v="113"/>
  </r>
  <r>
    <n v="180"/>
    <x v="71"/>
    <x v="0"/>
    <s v="bestuur@scintilla.utwente.nl"/>
    <s v="active"/>
    <x v="3"/>
    <n v="600"/>
    <n v="50"/>
    <n v="15"/>
    <n v="149"/>
    <n v="0"/>
    <n v="10"/>
    <n v="2"/>
    <n v="535"/>
    <n v="137"/>
  </r>
  <r>
    <n v="181"/>
    <x v="72"/>
    <x v="0"/>
    <s v="secretary@siriusenschede.nl"/>
    <s v="active"/>
    <x v="3"/>
    <n v="820"/>
    <n v="134"/>
    <n v="5"/>
    <n v="77"/>
    <n v="15"/>
    <n v="9"/>
    <n v="1"/>
    <n v="681"/>
    <n v="67"/>
  </r>
  <r>
    <n v="182"/>
    <x v="73"/>
    <x v="0"/>
    <s v="info@stress.utwente.nl"/>
    <s v="active"/>
    <x v="3"/>
    <n v="1960"/>
    <n v="400"/>
    <n v="200"/>
    <n v="120"/>
    <n v="49"/>
    <n v="35"/>
    <n v="10"/>
    <n v="1360"/>
    <n v="75"/>
  </r>
  <r>
    <n v="183"/>
    <x v="74"/>
    <x v="0"/>
    <s v="bestuur@onwijs.utwente.nl"/>
    <s v="active"/>
    <x v="3"/>
    <n v="80"/>
    <n v="0"/>
    <n v="0"/>
    <n v="12"/>
    <n v="40"/>
    <n v="0"/>
    <n v="0"/>
    <n v="80"/>
    <n v="12"/>
  </r>
  <r>
    <n v="184"/>
    <x v="75"/>
    <x v="0"/>
    <s v="sab@itc.nl"/>
    <s v="active"/>
    <x v="2"/>
    <m/>
    <m/>
    <m/>
    <m/>
    <m/>
    <m/>
    <m/>
    <m/>
    <m/>
  </r>
  <r>
    <n v="185"/>
    <x v="76"/>
    <x v="0"/>
    <s v="bestuur@hvockham.nl"/>
    <s v="active"/>
    <x v="3"/>
    <n v="250"/>
    <n v="130"/>
    <n v="20"/>
    <n v="40"/>
    <n v="80"/>
    <n v="20"/>
    <n v="5"/>
    <n v="100"/>
    <n v="15"/>
  </r>
  <r>
    <n v="186"/>
    <x v="77"/>
    <x v="0"/>
    <s v="board@aegee-enschede.nl"/>
    <s v="active"/>
    <x v="4"/>
    <n v="285"/>
    <n v="35"/>
    <n v="5"/>
    <n v="100"/>
    <n v="95"/>
    <n v="5"/>
    <n v="0"/>
    <m/>
    <m/>
  </r>
  <r>
    <n v="187"/>
    <x v="78"/>
    <x v="0"/>
    <s v="bestuur@asvtaste.nl"/>
    <s v="active"/>
    <x v="4"/>
    <n v="548"/>
    <n v="0"/>
    <n v="0"/>
    <n v="100"/>
    <n v="70"/>
    <n v="0"/>
    <n v="0"/>
    <n v="548"/>
    <n v="100"/>
  </r>
  <r>
    <n v="188"/>
    <x v="79"/>
    <x v="0"/>
    <s v="senaat@audentis.nl"/>
    <s v="active"/>
    <x v="4"/>
    <n v="510"/>
    <n v="0"/>
    <n v="0"/>
    <n v="205"/>
    <n v="18"/>
    <n v="0"/>
    <n v="0"/>
    <n v="510"/>
    <n v="205"/>
  </r>
  <r>
    <n v="189"/>
    <x v="80"/>
    <x v="0"/>
    <s v="bestuur@csvalpha.nl"/>
    <s v="active"/>
    <x v="4"/>
    <n v="118"/>
    <n v="0"/>
    <n v="0"/>
    <n v="85"/>
    <n v="10"/>
    <n v="0"/>
    <n v="0"/>
    <n v="118"/>
    <n v="85"/>
  </r>
  <r>
    <n v="190"/>
    <x v="81"/>
    <x v="0"/>
    <s v="voorzitter@rskenschede.nl"/>
    <s v="active"/>
    <x v="4"/>
    <n v="55"/>
    <n v="0"/>
    <n v="0"/>
    <n v="40"/>
    <n v="10"/>
    <n v="0"/>
    <n v="0"/>
    <n v="55"/>
    <n v="40"/>
  </r>
  <r>
    <n v="191"/>
    <x v="82"/>
    <x v="0"/>
    <s v="bestuur@vestingbar.nl"/>
    <s v="active"/>
    <x v="2"/>
    <m/>
    <m/>
    <m/>
    <m/>
    <m/>
    <m/>
    <m/>
    <m/>
    <m/>
  </r>
  <r>
    <n v="192"/>
    <x v="83"/>
    <x v="0"/>
    <s v="secretaris@nsenschede.nl"/>
    <s v="active"/>
    <x v="4"/>
    <n v="96"/>
    <n v="0"/>
    <n v="0"/>
    <n v="80"/>
    <n v="5"/>
    <n v="0"/>
    <n v="0"/>
    <m/>
    <m/>
  </r>
  <r>
    <n v="193"/>
    <x v="84"/>
    <x v="0"/>
    <s v="info@exaltio.nl"/>
    <s v="active"/>
    <x v="5"/>
    <n v="170"/>
    <n v="65"/>
    <n v="10"/>
    <n v="30"/>
    <n v="30"/>
    <n v="8"/>
    <n v="1"/>
    <n v="95"/>
    <n v="21"/>
  </r>
  <r>
    <n v="194"/>
    <x v="85"/>
    <x v="0"/>
    <s v="board@isa.utwente.nl"/>
    <s v="active"/>
    <x v="2"/>
    <m/>
    <m/>
    <m/>
    <m/>
    <m/>
    <m/>
    <m/>
    <m/>
    <m/>
  </r>
  <r>
    <n v="195"/>
    <x v="86"/>
    <x v="1"/>
    <s v="board@union.utwente.nl"/>
    <s v="active"/>
    <x v="5"/>
    <n v="6"/>
    <n v="0"/>
    <n v="0"/>
    <n v="0"/>
    <n v="0"/>
    <m/>
    <m/>
    <m/>
    <m/>
  </r>
  <r>
    <n v="196"/>
    <x v="87"/>
    <x v="0"/>
    <s v="contact.voz@gmail.com"/>
    <s v="active"/>
    <x v="0"/>
    <n v="65"/>
    <n v="12"/>
    <n v="50"/>
    <n v="5"/>
    <n v="2"/>
    <n v="0"/>
    <n v="4"/>
    <n v="3"/>
    <n v="1"/>
  </r>
  <r>
    <n v="197"/>
    <x v="88"/>
    <x v="1"/>
    <s v="info@esntwente.nl"/>
    <s v="active"/>
    <x v="6"/>
    <n v="0"/>
    <n v="0"/>
    <n v="0"/>
    <m/>
    <m/>
    <m/>
    <m/>
    <m/>
    <m/>
  </r>
  <r>
    <n v="198"/>
    <x v="89"/>
    <x v="1"/>
    <s v="icf-enschede@solcon.nl"/>
    <s v="active"/>
    <x v="6"/>
    <n v="50"/>
    <n v="25"/>
    <n v="25"/>
    <m/>
    <m/>
    <m/>
    <m/>
    <m/>
    <m/>
  </r>
  <r>
    <n v="199"/>
    <x v="90"/>
    <x v="0"/>
    <s v="psautwente@gmail.com"/>
    <s v="active"/>
    <x v="2"/>
    <m/>
    <m/>
    <m/>
    <m/>
    <m/>
    <m/>
    <m/>
    <m/>
    <m/>
  </r>
  <r>
    <n v="200"/>
    <x v="91"/>
    <x v="0"/>
    <s v="suutassociation@gmail.com"/>
    <s v="active"/>
    <x v="6"/>
    <n v="18"/>
    <n v="3"/>
    <n v="12"/>
    <n v="3"/>
    <n v="0"/>
    <n v="0"/>
    <n v="2"/>
    <n v="3"/>
    <n v="1"/>
  </r>
  <r>
    <n v="201"/>
    <x v="92"/>
    <x v="0"/>
    <s v="rsa.utwente@gmail.com"/>
    <s v="active"/>
    <x v="2"/>
    <m/>
    <m/>
    <m/>
    <m/>
    <m/>
    <m/>
    <m/>
    <m/>
    <m/>
  </r>
  <r>
    <n v="202"/>
    <x v="93"/>
    <x v="0"/>
    <s v="ut.muslims@gmail.com"/>
    <s v="active"/>
    <x v="6"/>
    <n v="57"/>
    <n v="4"/>
    <n v="36"/>
    <n v="15"/>
    <n v="5"/>
    <n v="1"/>
    <n v="6"/>
    <m/>
    <m/>
  </r>
  <r>
    <n v="203"/>
    <x v="94"/>
    <x v="1"/>
    <s v="board@sut.utwente.nl"/>
    <s v="active"/>
    <x v="1"/>
    <n v="3"/>
    <n v="2"/>
    <m/>
    <n v="0"/>
    <n v="0"/>
    <m/>
    <m/>
    <m/>
    <m/>
  </r>
  <r>
    <n v="204"/>
    <x v="95"/>
    <x v="1"/>
    <s v="board@apollo.utwente.nl"/>
    <s v="active"/>
    <x v="0"/>
    <n v="3"/>
    <n v="3"/>
    <n v="0"/>
    <m/>
    <m/>
    <m/>
    <m/>
    <m/>
    <m/>
  </r>
  <r>
    <n v="206"/>
    <x v="96"/>
    <x v="1"/>
    <s v="bestuur@pkvvfact.nl"/>
    <s v="active"/>
    <x v="4"/>
    <n v="1447"/>
    <n v="0"/>
    <n v="0"/>
    <m/>
    <m/>
    <m/>
    <m/>
    <m/>
    <m/>
  </r>
  <r>
    <n v="207"/>
    <x v="97"/>
    <x v="1"/>
    <s v="Secretary@unite.utwente.nl"/>
    <s v="active"/>
    <x v="6"/>
    <n v="7"/>
    <n v="0"/>
    <n v="6"/>
    <n v="0"/>
    <n v="0"/>
    <m/>
    <m/>
    <m/>
    <m/>
  </r>
  <r>
    <n v="209"/>
    <x v="98"/>
    <x v="1"/>
    <s v="info@bedrijvendagentwente.nl"/>
    <s v="active"/>
    <x v="5"/>
    <n v="6"/>
    <n v="0"/>
    <n v="0"/>
    <m/>
    <m/>
    <m/>
    <m/>
    <m/>
    <m/>
  </r>
  <r>
    <n v="210"/>
    <x v="99"/>
    <x v="0"/>
    <s v="info@duitenberg.nl"/>
    <s v="active"/>
    <x v="5"/>
    <n v="110"/>
    <n v="48"/>
    <n v="12"/>
    <n v="17"/>
    <n v="30"/>
    <n v="7"/>
    <n v="2"/>
    <n v="50"/>
    <n v="8"/>
  </r>
  <r>
    <n v="212"/>
    <x v="100"/>
    <x v="1"/>
    <s v="twente@integrand.nl"/>
    <s v="active"/>
    <x v="5"/>
    <n v="9"/>
    <n v="9"/>
    <n v="0"/>
    <m/>
    <m/>
    <m/>
    <m/>
    <m/>
    <m/>
  </r>
  <r>
    <n v="213"/>
    <x v="101"/>
    <x v="1"/>
    <s v="studentstwente@kivi.nl"/>
    <s v="active"/>
    <x v="5"/>
    <n v="25"/>
    <n v="4"/>
    <n v="2"/>
    <m/>
    <m/>
    <m/>
    <m/>
    <m/>
    <m/>
  </r>
  <r>
    <n v="214"/>
    <x v="102"/>
    <x v="1"/>
    <s v="twente@unipartners.nl"/>
    <s v="active"/>
    <x v="2"/>
    <m/>
    <m/>
    <m/>
    <m/>
    <m/>
    <m/>
    <m/>
    <m/>
    <m/>
  </r>
  <r>
    <n v="215"/>
    <x v="103"/>
    <x v="1"/>
    <s v="board@dsif.nl"/>
    <s v="active"/>
    <x v="5"/>
    <n v="8"/>
    <n v="6"/>
    <n v="2"/>
    <m/>
    <m/>
    <m/>
    <m/>
    <m/>
    <m/>
  </r>
  <r>
    <n v="216"/>
    <x v="104"/>
    <x v="1"/>
    <s v="info@stichtingnesst.nl"/>
    <s v="active"/>
    <x v="5"/>
    <n v="5"/>
    <n v="4"/>
    <n v="1"/>
    <n v="0"/>
    <n v="0"/>
    <m/>
    <m/>
    <m/>
    <m/>
  </r>
  <r>
    <n v="218"/>
    <x v="105"/>
    <x v="1"/>
    <s v="info@greenteamtwente.nl"/>
    <s v="active"/>
    <x v="5"/>
    <n v="31"/>
    <n v="2"/>
    <n v="0"/>
    <m/>
    <m/>
    <m/>
    <m/>
    <m/>
    <m/>
  </r>
  <r>
    <n v="219"/>
    <x v="106"/>
    <x v="1"/>
    <s v="bestuur@iapc.utwente.nl"/>
    <s v="active"/>
    <x v="5"/>
    <n v="30"/>
    <n v="30"/>
    <n v="0"/>
    <m/>
    <m/>
    <m/>
    <m/>
    <m/>
    <m/>
  </r>
  <r>
    <n v="220"/>
    <x v="107"/>
    <x v="1"/>
    <s v="overleg@sbz.utwente.nl"/>
    <s v="active"/>
    <x v="4"/>
    <n v="17"/>
    <n v="0"/>
    <n v="0"/>
    <n v="0"/>
    <n v="0"/>
    <m/>
    <m/>
    <m/>
    <m/>
  </r>
  <r>
    <n v="221"/>
    <x v="108"/>
    <x v="1"/>
    <s v="enschede@batavierenrace.nl"/>
    <s v="active"/>
    <x v="1"/>
    <n v="120"/>
    <n v="0"/>
    <n v="0"/>
    <m/>
    <m/>
    <m/>
    <m/>
    <m/>
    <m/>
  </r>
  <r>
    <n v="222"/>
    <x v="109"/>
    <x v="1"/>
    <s v="info@solarteam.nl"/>
    <s v="active"/>
    <x v="5"/>
    <n v="28"/>
    <n v="28"/>
    <n v="0"/>
    <m/>
    <m/>
    <m/>
    <m/>
    <m/>
    <m/>
  </r>
  <r>
    <n v="223"/>
    <x v="110"/>
    <x v="0"/>
    <s v="bestuur@snt.utwente.nl"/>
    <s v="active"/>
    <x v="5"/>
    <n v="145"/>
    <n v="0"/>
    <n v="2"/>
    <n v="20"/>
    <n v="4"/>
    <n v="0"/>
    <n v="1"/>
    <n v="143"/>
    <n v="19"/>
  </r>
  <r>
    <n v="224"/>
    <x v="111"/>
    <x v="0"/>
    <s v="info@vck.utwente.nl"/>
    <s v="active"/>
    <x v="2"/>
    <m/>
    <m/>
    <m/>
    <m/>
    <m/>
    <m/>
    <m/>
    <m/>
    <m/>
  </r>
  <r>
    <n v="225"/>
    <x v="112"/>
    <x v="0"/>
    <s v="wot.bestuur@gmail.com"/>
    <s v="active"/>
    <x v="5"/>
    <n v="89"/>
    <n v="5"/>
    <n v="2"/>
    <n v="13"/>
    <n v="3"/>
    <n v="0"/>
    <n v="0"/>
    <n v="82"/>
    <n v="13"/>
  </r>
  <r>
    <n v="226"/>
    <x v="113"/>
    <x v="1"/>
    <s v="tapbestuur@arago.utwente.nl"/>
    <s v="active"/>
    <x v="4"/>
    <n v="0"/>
    <n v="0"/>
    <n v="0"/>
    <m/>
    <m/>
    <m/>
    <m/>
    <m/>
    <m/>
  </r>
  <r>
    <n v="227"/>
    <x v="114"/>
    <x v="0"/>
    <s v="bestuur@radixenschede.nl"/>
    <s v="active"/>
    <x v="5"/>
    <n v="38"/>
    <n v="3"/>
    <n v="0"/>
    <n v="15"/>
    <n v="5"/>
    <n v="0"/>
    <n v="0"/>
    <n v="35"/>
    <n v="15"/>
  </r>
  <r>
    <n v="228"/>
    <x v="115"/>
    <x v="1"/>
    <s v="onbekend@onbekend.nl"/>
    <s v="active"/>
    <x v="2"/>
    <m/>
    <m/>
    <m/>
    <m/>
    <m/>
    <m/>
    <m/>
    <m/>
    <m/>
  </r>
  <r>
    <n v="230"/>
    <x v="116"/>
    <x v="1"/>
    <s v="contact@solarboattwente.nl"/>
    <s v="active"/>
    <x v="5"/>
    <n v="21"/>
    <n v="1"/>
    <n v="0"/>
    <m/>
    <m/>
    <m/>
    <m/>
    <m/>
    <m/>
  </r>
  <r>
    <n v="231"/>
    <x v="117"/>
    <x v="1"/>
    <s v="info@roboteamtwente.nl"/>
    <s v="active"/>
    <x v="5"/>
    <n v="18"/>
    <n v="15"/>
    <n v="3"/>
    <m/>
    <m/>
    <m/>
    <m/>
    <m/>
    <m/>
  </r>
  <r>
    <n v="232"/>
    <x v="118"/>
    <x v="1"/>
    <s v="info@superbiketwente.nl"/>
    <s v="active"/>
    <x v="5"/>
    <n v="14"/>
    <n v="13"/>
    <n v="1"/>
    <m/>
    <m/>
    <m/>
    <m/>
    <m/>
    <m/>
  </r>
  <r>
    <n v="233"/>
    <x v="119"/>
    <x v="1"/>
    <s v="bestuur@sevendecamer.nl"/>
    <s v="active"/>
    <x v="1"/>
    <n v="500"/>
    <n v="15"/>
    <n v="5"/>
    <m/>
    <m/>
    <m/>
    <m/>
    <m/>
    <m/>
  </r>
  <r>
    <n v="234"/>
    <x v="120"/>
    <x v="1"/>
    <s v="board@negotiationproject.utwente.nl"/>
    <s v="active"/>
    <x v="4"/>
    <n v="25"/>
    <n v="9"/>
    <n v="6"/>
    <n v="0"/>
    <n v="0"/>
    <m/>
    <m/>
    <m/>
    <m/>
  </r>
  <r>
    <n v="235"/>
    <x v="121"/>
    <x v="1"/>
    <s v="info@droneteamtwente.nl"/>
    <s v="active"/>
    <x v="5"/>
    <n v="16"/>
    <n v="15"/>
    <n v="1"/>
    <m/>
    <m/>
    <m/>
    <m/>
    <m/>
    <m/>
  </r>
  <r>
    <n v="236"/>
    <x v="122"/>
    <x v="0"/>
    <s v="sustain.utwente@gmail.com"/>
    <s v="active"/>
    <x v="2"/>
    <m/>
    <m/>
    <m/>
    <m/>
    <m/>
    <m/>
    <m/>
    <m/>
    <m/>
  </r>
  <r>
    <n v="237"/>
    <x v="123"/>
    <x v="0"/>
    <s v="board@spacesocietytwente.nl"/>
    <s v="active"/>
    <x v="5"/>
    <n v="38"/>
    <n v="6"/>
    <n v="12"/>
    <n v="16"/>
    <n v="5"/>
    <n v="4"/>
    <n v="6"/>
    <n v="20"/>
    <n v="6"/>
  </r>
  <r>
    <n v="238"/>
    <x v="124"/>
    <x v="1"/>
    <s v="dst@dhcdrienerlo.nl"/>
    <s v="active"/>
    <x v="2"/>
    <m/>
    <m/>
    <m/>
    <m/>
    <m/>
    <m/>
    <m/>
    <m/>
    <m/>
  </r>
  <r>
    <n v="239"/>
    <x v="125"/>
    <x v="0"/>
    <s v="bestuur@os.utwente.nl"/>
    <s v="active"/>
    <x v="3"/>
    <n v="20"/>
    <n v="20"/>
    <n v="0"/>
    <n v="20"/>
    <n v="0"/>
    <n v="20"/>
    <n v="0"/>
    <n v="0"/>
    <n v="0"/>
  </r>
  <r>
    <n v="240"/>
    <x v="126"/>
    <x v="0"/>
    <s v="irnut@utwente.nl"/>
    <s v="active"/>
    <x v="2"/>
    <m/>
    <m/>
    <m/>
    <m/>
    <m/>
    <m/>
    <m/>
    <m/>
    <m/>
  </r>
  <r>
    <n v="241"/>
    <x v="127"/>
    <x v="1"/>
    <s v="coordinatorsocieteit@asvtaste.nl"/>
    <s v="active"/>
    <x v="4"/>
    <n v="467"/>
    <n v="0"/>
    <n v="0"/>
    <m/>
    <m/>
    <m/>
    <m/>
    <m/>
    <m/>
  </r>
  <r>
    <n v="242"/>
    <x v="128"/>
    <x v="1"/>
    <s v="soccie@audentis.nl"/>
    <s v="active"/>
    <x v="0"/>
    <n v="0"/>
    <n v="0"/>
    <n v="0"/>
    <m/>
    <m/>
    <m/>
    <m/>
    <m/>
    <m/>
  </r>
  <r>
    <n v="243"/>
    <x v="129"/>
    <x v="1"/>
    <s v="soccie@societeitflux.nl"/>
    <s v="active"/>
    <x v="4"/>
    <n v="0"/>
    <n v="0"/>
    <n v="0"/>
    <m/>
    <m/>
    <m/>
    <m/>
    <m/>
    <m/>
  </r>
  <r>
    <n v="244"/>
    <x v="130"/>
    <x v="1"/>
    <s v="vanbraak@onzekroeg.nl"/>
    <s v="active"/>
    <x v="4"/>
    <n v="0"/>
    <n v="0"/>
    <n v="0"/>
    <n v="0"/>
    <n v="0"/>
    <m/>
    <m/>
    <m/>
    <m/>
  </r>
  <r>
    <n v="245"/>
    <x v="131"/>
    <x v="1"/>
    <s v="bestuur@sportkantine-ut.nl"/>
    <s v="active"/>
    <x v="2"/>
    <m/>
    <m/>
    <m/>
    <m/>
    <m/>
    <m/>
    <m/>
    <m/>
    <m/>
  </r>
  <r>
    <n v="246"/>
    <x v="132"/>
    <x v="0"/>
    <s v="abactis@vgst.nl"/>
    <s v="active"/>
    <x v="5"/>
    <n v="79"/>
    <n v="79"/>
    <n v="0"/>
    <n v="65"/>
    <n v="1"/>
    <n v="0"/>
    <n v="0"/>
    <m/>
    <m/>
  </r>
  <r>
    <n v="247"/>
    <x v="133"/>
    <x v="1"/>
    <s v="voorzitter@tfluitje.nl"/>
    <s v="active"/>
    <x v="5"/>
    <n v="4"/>
    <n v="0"/>
    <n v="0"/>
    <m/>
    <m/>
    <m/>
    <m/>
    <m/>
    <m/>
  </r>
  <r>
    <n v="248"/>
    <x v="134"/>
    <x v="1"/>
    <s v="enactus.utwente@gmail.com"/>
    <s v="active"/>
    <x v="2"/>
    <m/>
    <m/>
    <m/>
    <m/>
    <m/>
    <m/>
    <m/>
    <m/>
    <m/>
  </r>
  <r>
    <n v="249"/>
    <x v="135"/>
    <x v="0"/>
    <s v="eso.utwente@gmail.com"/>
    <s v="active"/>
    <x v="6"/>
    <n v="200"/>
    <n v="10"/>
    <n v="200"/>
    <n v="20"/>
    <n v="15"/>
    <n v="5"/>
    <n v="20"/>
    <m/>
    <m/>
  </r>
  <r>
    <n v="250"/>
    <x v="136"/>
    <x v="0"/>
    <s v="a.v.nateshan@student.utwente.nl"/>
    <s v="active"/>
    <x v="2"/>
    <m/>
    <m/>
    <m/>
    <m/>
    <m/>
    <m/>
    <m/>
    <m/>
    <m/>
  </r>
  <r>
    <n v="252"/>
    <x v="137"/>
    <x v="0"/>
    <s v="ambitiouswomenut@gmail.com"/>
    <s v="active"/>
    <x v="5"/>
    <n v="28"/>
    <n v="11"/>
    <n v="17"/>
    <n v="4"/>
    <n v="7"/>
    <n v="7"/>
    <n v="9"/>
    <m/>
    <m/>
  </r>
  <r>
    <n v="253"/>
    <x v="138"/>
    <x v="1"/>
    <s v="egor.tamarin@iaeste.nl"/>
    <s v="active"/>
    <x v="2"/>
    <m/>
    <m/>
    <m/>
    <m/>
    <m/>
    <m/>
    <m/>
    <m/>
    <m/>
  </r>
  <r>
    <n v="254"/>
    <x v="139"/>
    <x v="0"/>
    <s v="afrisa.board@gmail.com"/>
    <s v="active"/>
    <x v="6"/>
    <n v="63"/>
    <n v="15"/>
    <n v="40"/>
    <n v="16"/>
    <n v="47"/>
    <n v="5"/>
    <n v="9"/>
    <n v="8"/>
    <n v="2"/>
  </r>
  <r>
    <n v="255"/>
    <x v="140"/>
    <x v="0"/>
    <s v="bestuur@klocus.nl"/>
    <s v="active"/>
    <x v="1"/>
    <n v="166"/>
    <n v="20"/>
    <n v="5"/>
    <n v="20"/>
    <n v="50"/>
    <n v="4"/>
    <n v="0"/>
    <n v="141"/>
    <n v="16"/>
  </r>
  <r>
    <n v="256"/>
    <x v="141"/>
    <x v="0"/>
    <s v="calzquad@gmail.com"/>
    <s v="active"/>
    <x v="2"/>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s v="Break-even"/>
    <n v="1"/>
    <x v="0"/>
    <s v="association"/>
  </r>
  <r>
    <s v="DAV Kronos"/>
    <n v="1"/>
    <x v="1"/>
    <s v="association"/>
  </r>
  <r>
    <s v="DBV Arriba"/>
    <n v="1"/>
    <x v="1"/>
    <s v="association"/>
  </r>
  <r>
    <s v="DSTV Aloha"/>
    <n v="1"/>
    <x v="1"/>
    <s v="association"/>
  </r>
  <r>
    <s v="DSV de Skeuvel"/>
    <n v="1"/>
    <x v="1"/>
    <s v="association"/>
  </r>
  <r>
    <s v="DTTV Thibats"/>
    <n v="1"/>
    <x v="1"/>
    <s v="association"/>
  </r>
  <r>
    <s v="DWV Hardboard"/>
    <n v="1"/>
    <x v="1"/>
    <s v="association"/>
  </r>
  <r>
    <s v="DWV Klein Verzet"/>
    <n v="1"/>
    <x v="1"/>
    <s v="association"/>
  </r>
  <r>
    <s v="DBV DIOK"/>
    <n v="1"/>
    <x v="1"/>
    <s v="association"/>
  </r>
  <r>
    <s v="DBV de Stretchers"/>
    <n v="1"/>
    <x v="1"/>
    <s v="association"/>
  </r>
  <r>
    <s v="DHC Drienerlo"/>
    <n v="1"/>
    <x v="1"/>
    <s v="association"/>
  </r>
  <r>
    <s v="DKV Euros"/>
    <n v="0"/>
    <x v="1"/>
    <s v="association"/>
  </r>
  <r>
    <s v="DRV Euros"/>
    <n v="1"/>
    <x v="1"/>
    <s v="association"/>
  </r>
  <r>
    <s v="DRV Hippocampus"/>
    <n v="1"/>
    <x v="1"/>
    <s v="association"/>
  </r>
  <r>
    <s v="DSSV Tartaros"/>
    <n v="1"/>
    <x v="1"/>
    <s v="association"/>
  </r>
  <r>
    <s v="DZV Euros"/>
    <n v="1"/>
    <x v="1"/>
    <s v="association"/>
  </r>
  <r>
    <s v="EEEHV Cabezota"/>
    <n v="1"/>
    <x v="1"/>
    <s v="association"/>
  </r>
  <r>
    <s v="ESBV Buitenwesten"/>
    <n v="1"/>
    <x v="1"/>
    <s v="association"/>
  </r>
  <r>
    <s v="HSV High-Tech-Hitters"/>
    <n v="1"/>
    <x v="1"/>
    <s v="association"/>
  </r>
  <r>
    <s v="Linea Recta"/>
    <n v="1"/>
    <x v="1"/>
    <s v="association"/>
  </r>
  <r>
    <s v="Messed Up"/>
    <n v="1"/>
    <x v="1"/>
    <s v="association"/>
  </r>
  <r>
    <s v="Motor Sport Groep"/>
    <n v="1"/>
    <x v="1"/>
    <s v="association"/>
  </r>
  <r>
    <s v="SKV Vakgericht"/>
    <n v="1"/>
    <x v="1"/>
    <s v="association"/>
  </r>
  <r>
    <s v="SHBV Sagittarius"/>
    <n v="1"/>
    <x v="1"/>
    <s v="association"/>
  </r>
  <r>
    <s v="ADSKV Slagvaardig"/>
    <n v="0"/>
    <x v="1"/>
    <s v="association"/>
  </r>
  <r>
    <s v="SYHV The Slapping Studs"/>
    <n v="1"/>
    <x v="1"/>
    <e v="#N/A"/>
  </r>
  <r>
    <s v="TC Ludica"/>
    <n v="1"/>
    <x v="1"/>
    <s v="association"/>
  </r>
  <r>
    <s v="TSAC"/>
    <n v="1"/>
    <x v="1"/>
    <s v="association"/>
  </r>
  <r>
    <s v="VAS Arashi"/>
    <n v="1"/>
    <x v="1"/>
    <s v="association"/>
  </r>
  <r>
    <s v="VV Drienerlo"/>
    <n v="1"/>
    <x v="1"/>
    <s v="association"/>
  </r>
  <r>
    <s v="VV Harambee"/>
    <n v="1"/>
    <x v="1"/>
    <s v="association"/>
  </r>
  <r>
    <s v="ZPV Piranha"/>
    <n v="1"/>
    <x v="1"/>
    <s v="association"/>
  </r>
  <r>
    <s v="Twentse Thestrals"/>
    <n v="0"/>
    <x v="1"/>
    <s v="association"/>
  </r>
  <r>
    <s v="Primo Ballerino"/>
    <n v="1"/>
    <x v="0"/>
    <s v="association"/>
  </r>
  <r>
    <s v="Phoenix Lacrosse"/>
    <n v="1"/>
    <x v="1"/>
    <s v="association"/>
  </r>
  <r>
    <s v="SKV Hercules"/>
    <n v="1"/>
    <x v="1"/>
    <s v="association"/>
  </r>
  <r>
    <s v="A la Kart"/>
    <n v="0"/>
    <x v="1"/>
    <s v="association"/>
  </r>
  <r>
    <s v="BSV de Stoottroepen"/>
    <n v="0"/>
    <x v="1"/>
    <s v="association"/>
  </r>
  <r>
    <s v="SV Muurvast"/>
    <n v="0"/>
    <x v="1"/>
    <s v="association"/>
  </r>
  <r>
    <s v="DKV De Zeeuven Reen"/>
    <n v="0"/>
    <x v="1"/>
    <s v="association"/>
  </r>
  <r>
    <s v="BlueShell"/>
    <n v="1"/>
    <x v="1"/>
    <s v="association"/>
  </r>
  <r>
    <s v="4 happy feet"/>
    <n v="1"/>
    <x v="0"/>
    <s v="association"/>
  </r>
  <r>
    <s v="AFVD Foton"/>
    <n v="0"/>
    <x v="0"/>
    <s v="association"/>
  </r>
  <r>
    <s v="Arabesque"/>
    <n v="1"/>
    <x v="0"/>
    <s v="association"/>
  </r>
  <r>
    <s v="Belletrie Bibliotheek"/>
    <n v="1"/>
    <x v="0"/>
    <s v="association"/>
  </r>
  <r>
    <s v="Contramime"/>
    <n v="0"/>
    <x v="0"/>
    <s v="association"/>
  </r>
  <r>
    <s v="Fanaat"/>
    <n v="1"/>
    <x v="0"/>
    <s v="association"/>
  </r>
  <r>
    <s v="Musica Silvestra Orkest"/>
    <n v="1"/>
    <x v="0"/>
    <s v="association"/>
  </r>
  <r>
    <s v="Musilon"/>
    <n v="1"/>
    <x v="0"/>
    <s v="association"/>
  </r>
  <r>
    <s v="Nest"/>
    <n v="1"/>
    <x v="0"/>
    <s v="association"/>
  </r>
  <r>
    <s v="Pro Deo"/>
    <n v="1"/>
    <x v="0"/>
    <s v="association"/>
  </r>
  <r>
    <s v="SDV Chasse"/>
    <n v="1"/>
    <x v="0"/>
    <s v="association"/>
  </r>
  <r>
    <s v="SHOT"/>
    <n v="1"/>
    <x v="0"/>
    <s v="association"/>
  </r>
  <r>
    <s v="Stubiba"/>
    <n v="1"/>
    <x v="0"/>
    <s v="association"/>
  </r>
  <r>
    <s v="Inspe"/>
    <n v="1"/>
    <x v="0"/>
    <s v="foundation"/>
  </r>
  <r>
    <s v="Stukafest"/>
    <n v="0"/>
    <x v="0"/>
    <s v="association"/>
  </r>
  <r>
    <s v="Abacus"/>
    <n v="1"/>
    <x v="2"/>
    <s v="association"/>
  </r>
  <r>
    <s v="Alembic"/>
    <n v="1"/>
    <x v="2"/>
    <s v="association"/>
  </r>
  <r>
    <s v="Arago"/>
    <n v="1"/>
    <x v="2"/>
    <s v="association"/>
  </r>
  <r>
    <s v="Astatine"/>
    <n v="1"/>
    <x v="2"/>
    <s v="association"/>
  </r>
  <r>
    <s v="Atlantis"/>
    <n v="1"/>
    <x v="2"/>
    <s v="association"/>
  </r>
  <r>
    <s v="Communique"/>
    <n v="1"/>
    <x v="2"/>
    <s v="association"/>
  </r>
  <r>
    <s v="ConcepT"/>
    <n v="1"/>
    <x v="2"/>
    <s v="association"/>
  </r>
  <r>
    <s v="Daedalus"/>
    <n v="1"/>
    <x v="2"/>
    <s v="association"/>
  </r>
  <r>
    <s v="Dimensie"/>
    <n v="1"/>
    <x v="2"/>
    <s v="association"/>
  </r>
  <r>
    <s v="Ideefiks"/>
    <n v="1"/>
    <x v="2"/>
    <s v="association"/>
  </r>
  <r>
    <s v="Inter-Actief"/>
    <n v="1"/>
    <x v="2"/>
    <s v="association"/>
  </r>
  <r>
    <s v="Isaac Newton"/>
    <n v="1"/>
    <x v="2"/>
    <s v="association"/>
  </r>
  <r>
    <s v="Komma"/>
    <n v="1"/>
    <x v="2"/>
    <s v="association"/>
  </r>
  <r>
    <s v="Paradoks"/>
    <n v="0"/>
    <x v="2"/>
    <s v="association"/>
  </r>
  <r>
    <s v="Proto"/>
    <n v="1"/>
    <x v="2"/>
    <s v="association"/>
  </r>
  <r>
    <s v="Scintilla"/>
    <n v="1"/>
    <x v="2"/>
    <s v="association"/>
  </r>
  <r>
    <s v="Sirius"/>
    <n v="1"/>
    <x v="2"/>
    <s v="association"/>
  </r>
  <r>
    <s v="Stress"/>
    <n v="1"/>
    <x v="2"/>
    <s v="association"/>
  </r>
  <r>
    <s v="SV Onwijs"/>
    <n v="1"/>
    <x v="2"/>
    <s v="association"/>
  </r>
  <r>
    <s v="ITC-SAB"/>
    <n v="0"/>
    <x v="2"/>
    <s v="association"/>
  </r>
  <r>
    <s v="Honoursvereniging Ockham"/>
    <n v="1"/>
    <x v="2"/>
    <s v="association"/>
  </r>
  <r>
    <s v="AEGEE Enschede"/>
    <n v="1"/>
    <x v="3"/>
    <s v="association"/>
  </r>
  <r>
    <s v="ASV Taste"/>
    <n v="1"/>
    <x v="3"/>
    <s v="association"/>
  </r>
  <r>
    <s v="Audentis et Virtutis"/>
    <n v="1"/>
    <x v="3"/>
    <s v="association"/>
  </r>
  <r>
    <s v="CSV Alpha"/>
    <n v="1"/>
    <x v="3"/>
    <s v="association"/>
  </r>
  <r>
    <s v="Reformatorische Studenten Kring"/>
    <n v="1"/>
    <x v="3"/>
    <s v="association"/>
  </r>
  <r>
    <s v="SV De Gevreesde Koe VB"/>
    <n v="0"/>
    <x v="3"/>
    <s v="association"/>
  </r>
  <r>
    <s v="Navigators studentenvereniging Enschede"/>
    <n v="1"/>
    <x v="3"/>
    <s v="association"/>
  </r>
  <r>
    <s v="Jongeren - en Studentenvereniging Exaltio"/>
    <n v="1"/>
    <x v="3"/>
    <s v="association"/>
  </r>
  <r>
    <s v="ISA AT UT"/>
    <n v="0"/>
    <x v="4"/>
    <s v="association"/>
  </r>
  <r>
    <s v="Student Union"/>
    <n v="1"/>
    <x v="5"/>
    <s v="foundation"/>
  </r>
  <r>
    <s v="LA Voz"/>
    <n v="1"/>
    <x v="4"/>
    <s v="association"/>
  </r>
  <r>
    <s v="ESN Twente"/>
    <n v="1"/>
    <x v="4"/>
    <s v="foundation"/>
  </r>
  <r>
    <s v="ICF-E"/>
    <n v="1"/>
    <x v="4"/>
    <s v="foundation"/>
  </r>
  <r>
    <s v="PSA"/>
    <n v="0"/>
    <x v="4"/>
    <s v="association"/>
  </r>
  <r>
    <s v="SUUT"/>
    <n v="1"/>
    <x v="4"/>
    <s v="association"/>
  </r>
  <r>
    <s v="RSA"/>
    <n v="0"/>
    <x v="4"/>
    <s v="association"/>
  </r>
  <r>
    <s v="UT Muslims"/>
    <n v="1"/>
    <x v="4"/>
    <s v="association"/>
  </r>
  <r>
    <s v="SUT"/>
    <n v="1"/>
    <x v="1"/>
    <s v="foundation"/>
  </r>
  <r>
    <s v="Cultuurkoepel Apollo"/>
    <n v="1"/>
    <x v="0"/>
    <s v="foundation"/>
  </r>
  <r>
    <s v="PKVV Fact"/>
    <n v="1"/>
    <x v="3"/>
    <s v="foundation"/>
  </r>
  <r>
    <s v="UniTe"/>
    <n v="1"/>
    <x v="4"/>
    <s v="foundation"/>
  </r>
  <r>
    <s v="Bedrijvendagen"/>
    <n v="1"/>
    <x v="5"/>
    <s v="foundation"/>
  </r>
  <r>
    <s v="Duitenberg"/>
    <n v="1"/>
    <x v="5"/>
    <s v="association"/>
  </r>
  <r>
    <s v="Integrand Twente"/>
    <n v="1"/>
    <x v="5"/>
    <s v="foundation"/>
  </r>
  <r>
    <s v="KIVI Students Twente"/>
    <n v="1"/>
    <x v="5"/>
    <s v="foundation"/>
  </r>
  <r>
    <s v="Unipartners"/>
    <n v="0"/>
    <x v="5"/>
    <s v="foundation"/>
  </r>
  <r>
    <s v="DSIF"/>
    <n v="1"/>
    <x v="5"/>
    <s v="foundation"/>
  </r>
  <r>
    <s v="Hive01"/>
    <n v="1"/>
    <x v="5"/>
    <s v="foundation"/>
  </r>
  <r>
    <s v="Green Team Twente"/>
    <n v="1"/>
    <x v="5"/>
    <s v="foundation"/>
  </r>
  <r>
    <s v="IAPC"/>
    <n v="1"/>
    <x v="5"/>
    <s v="foundation"/>
  </r>
  <r>
    <s v="Stichting Borrelbeheer Zilvering"/>
    <n v="1"/>
    <x v="5"/>
    <s v="foundation"/>
  </r>
  <r>
    <s v="Stichting Batavierenrace"/>
    <n v="1"/>
    <x v="5"/>
    <s v="foundation"/>
  </r>
  <r>
    <s v="Stichting Solar Team Twente"/>
    <n v="1"/>
    <x v="3"/>
    <s v="foundation"/>
  </r>
  <r>
    <s v="Studenten Net Twente"/>
    <n v="1"/>
    <x v="5"/>
    <s v="association"/>
  </r>
  <r>
    <s v="Vereniging Campus kabel"/>
    <n v="0"/>
    <x v="5"/>
    <s v="association"/>
  </r>
  <r>
    <s v="Werkgroep OntwikkelingsTechnieken"/>
    <n v="1"/>
    <x v="5"/>
    <s v="association"/>
  </r>
  <r>
    <s v="Borrelbeheer TAP"/>
    <n v="1"/>
    <x v="5"/>
    <s v="foundation"/>
  </r>
  <r>
    <s v="Studentenstam Radix"/>
    <n v="1"/>
    <x v="5"/>
    <s v="association"/>
  </r>
  <r>
    <s v="IEEE Student Branch"/>
    <n v="0"/>
    <x v="5"/>
    <s v="foundation"/>
  </r>
  <r>
    <s v="Stichting Solar Boat Twente"/>
    <n v="1"/>
    <x v="1"/>
    <s v="foundation"/>
  </r>
  <r>
    <s v="Stichting Robo Team Twente"/>
    <n v="1"/>
    <x v="5"/>
    <s v="foundation"/>
  </r>
  <r>
    <s v="Stichting Electric Superbike Twente"/>
    <n v="1"/>
    <x v="5"/>
    <s v="foundation"/>
  </r>
  <r>
    <s v="De sevende camer"/>
    <n v="1"/>
    <x v="5"/>
    <s v="foundation"/>
  </r>
  <r>
    <s v="The negotiation project"/>
    <n v="1"/>
    <x v="5"/>
    <s v="foundation"/>
  </r>
  <r>
    <s v="Drone Team Twente"/>
    <n v="1"/>
    <x v="5"/>
    <s v="foundation"/>
  </r>
  <r>
    <s v="Sustain"/>
    <n v="0"/>
    <x v="5"/>
    <s v="association"/>
  </r>
  <r>
    <s v="Space Society"/>
    <n v="1"/>
    <x v="5"/>
    <s v="association"/>
  </r>
  <r>
    <s v="Drienerlose Stichting Torenhoog"/>
    <n v="0"/>
    <x v="5"/>
    <s v="foundation"/>
  </r>
  <r>
    <s v="Vereniging Overleg Studieverenigingen"/>
    <n v="1"/>
    <x v="5"/>
    <s v="association"/>
  </r>
  <r>
    <s v="IrNUT"/>
    <n v="0"/>
    <x v="5"/>
    <s v="association"/>
  </r>
  <r>
    <s v="Stichting Societeit Antigoon"/>
    <n v="1"/>
    <x v="2"/>
    <s v="foundation"/>
  </r>
  <r>
    <s v="Stichting Societeit TRAM"/>
    <n v="1"/>
    <x v="4"/>
    <s v="foundation"/>
  </r>
  <r>
    <s v="Stichting Societeit Flux"/>
    <n v="1"/>
    <x v="5"/>
    <s v="foundation"/>
  </r>
  <r>
    <s v="Stichting Societeit Asterion"/>
    <n v="1"/>
    <x v="5"/>
    <s v="foundation"/>
  </r>
  <r>
    <s v="Stichting Kantine Sportcentrum"/>
    <n v="0"/>
    <x v="5"/>
    <s v="foundation"/>
  </r>
  <r>
    <s v="VGST"/>
    <n v="1"/>
    <x v="5"/>
    <s v="association"/>
  </r>
  <r>
    <s v="Stichting t Fluitje"/>
    <n v="1"/>
    <x v="5"/>
    <s v="foundation"/>
  </r>
  <r>
    <s v="Enactus Twente"/>
    <n v="0"/>
    <x v="3"/>
    <s v="foundation"/>
  </r>
  <r>
    <s v="Eurasian Student Organisation"/>
    <n v="1"/>
    <x v="5"/>
    <s v="association"/>
  </r>
  <r>
    <s v="Ultimate Frisbee Twente"/>
    <n v="0"/>
    <x v="1"/>
    <s v="association"/>
  </r>
  <r>
    <s v="Ambitious Women UT"/>
    <n v="1"/>
    <x v="4"/>
    <e v="#N/A"/>
  </r>
  <r>
    <s v="IAESTE Twente"/>
    <n v="0"/>
    <x v="1"/>
    <e v="#N/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x v="0"/>
    <x v="0"/>
    <x v="0"/>
    <x v="0"/>
    <n v="10"/>
    <n v="75"/>
    <n v="0.11764705882352941"/>
    <n v="0.88235294117647056"/>
    <x v="0"/>
    <n v="20"/>
    <n v="10"/>
    <n v="55"/>
    <n v="8"/>
    <n v="12"/>
    <s v="N/A"/>
    <n v="0.8"/>
    <n v="1.2"/>
    <s v="N/A"/>
    <s v="T"/>
    <s v="F"/>
    <s v="F"/>
    <s v="F"/>
    <s v="F"/>
    <s v="T"/>
    <s v="F"/>
    <n v="0"/>
    <n v="0"/>
    <n v="0"/>
    <n v="0"/>
    <n v="0"/>
    <x v="0"/>
    <n v="7"/>
    <n v="2022"/>
  </r>
  <r>
    <x v="1"/>
    <x v="1"/>
    <x v="0"/>
    <x v="1"/>
    <n v="10"/>
    <n v="89"/>
    <n v="0.10101010101010101"/>
    <n v="0.89898989898989901"/>
    <x v="0"/>
    <n v="40"/>
    <n v="1"/>
    <n v="58"/>
    <n v="1"/>
    <n v="0"/>
    <n v="9"/>
    <n v="0.1"/>
    <n v="0"/>
    <n v="0.15517241379310345"/>
    <s v="T"/>
    <s v="T"/>
    <s v="T"/>
    <s v="T"/>
    <s v="T"/>
    <s v="T"/>
    <s v="T"/>
    <n v="14"/>
    <n v="16"/>
    <n v="18"/>
    <n v="7"/>
    <n v="13"/>
    <x v="1"/>
    <n v="0"/>
    <n v="2022"/>
  </r>
  <r>
    <x v="2"/>
    <x v="1"/>
    <x v="0"/>
    <x v="2"/>
    <n v="5"/>
    <n v="0"/>
    <n v="1"/>
    <n v="0"/>
    <x v="1"/>
    <n v="5"/>
    <n v="5"/>
    <s v="N/A"/>
    <n v="5"/>
    <n v="5"/>
    <s v="N/A"/>
    <n v="1"/>
    <n v="1"/>
    <s v="N/A"/>
    <s v="F"/>
    <s v="F"/>
    <s v="F"/>
    <s v="T"/>
    <s v="T"/>
    <s v="T"/>
    <s v="F"/>
    <s v="N/A"/>
    <s v="N/A"/>
    <s v="N/A"/>
    <s v="N/A"/>
    <s v="N/A"/>
    <x v="0"/>
    <n v="0"/>
    <n v="2022"/>
  </r>
  <r>
    <x v="3"/>
    <x v="1"/>
    <x v="0"/>
    <x v="3"/>
    <n v="10"/>
    <n v="62"/>
    <n v="0.1388888888888889"/>
    <n v="0.86111111111111116"/>
    <x v="0"/>
    <n v="29"/>
    <n v="2"/>
    <n v="41"/>
    <n v="0"/>
    <n v="2"/>
    <n v="8"/>
    <n v="0"/>
    <n v="1"/>
    <n v="0.1951219512195122"/>
    <s v="T"/>
    <s v="T"/>
    <s v="T"/>
    <s v="T"/>
    <s v="T"/>
    <s v="T"/>
    <s v="T"/>
    <n v="1"/>
    <n v="1"/>
    <n v="0"/>
    <n v="9"/>
    <n v="24"/>
    <x v="2"/>
    <n v="14"/>
    <n v="2022"/>
  </r>
  <r>
    <x v="4"/>
    <x v="1"/>
    <x v="0"/>
    <x v="4"/>
    <n v="75"/>
    <n v="165"/>
    <n v="0.3125"/>
    <n v="0.6875"/>
    <x v="2"/>
    <n v="75"/>
    <n v="5"/>
    <n v="160"/>
    <n v="0"/>
    <n v="1"/>
    <n v="74"/>
    <n v="0"/>
    <n v="0.2"/>
    <n v="0.46250000000000002"/>
    <s v="T"/>
    <s v="T"/>
    <s v="T"/>
    <s v="T"/>
    <s v="T"/>
    <s v="T"/>
    <s v="T"/>
    <n v="0"/>
    <n v="0"/>
    <n v="0"/>
    <n v="0"/>
    <n v="0"/>
    <x v="0"/>
    <n v="28"/>
    <n v="2022"/>
  </r>
  <r>
    <x v="5"/>
    <x v="1"/>
    <x v="0"/>
    <x v="5"/>
    <n v="5"/>
    <n v="24"/>
    <n v="0.17241379310344829"/>
    <n v="0.82758620689655171"/>
    <x v="1"/>
    <n v="10"/>
    <n v="6"/>
    <n v="13"/>
    <n v="0"/>
    <n v="12"/>
    <s v="N/A"/>
    <n v="0"/>
    <n v="2"/>
    <s v="N/A"/>
    <s v="T"/>
    <s v="F"/>
    <s v="F"/>
    <s v="F"/>
    <s v="F"/>
    <s v="T"/>
    <s v="F"/>
    <n v="1"/>
    <n v="0"/>
    <n v="1"/>
    <n v="3"/>
    <n v="15"/>
    <x v="3"/>
    <n v="6"/>
    <n v="2022"/>
  </r>
  <r>
    <x v="6"/>
    <x v="1"/>
    <x v="0"/>
    <x v="6"/>
    <n v="50"/>
    <n v="120"/>
    <n v="0.29411764705882354"/>
    <n v="0.70588235294117641"/>
    <x v="2"/>
    <n v="35"/>
    <n v="4"/>
    <n v="131"/>
    <n v="3"/>
    <n v="7"/>
    <n v="40"/>
    <n v="0.06"/>
    <n v="1.75"/>
    <n v="0.30534351145038169"/>
    <s v="T"/>
    <s v="T"/>
    <s v="T"/>
    <s v="F"/>
    <s v="T"/>
    <s v="T"/>
    <s v="F"/>
    <n v="0"/>
    <n v="0"/>
    <n v="0"/>
    <n v="0"/>
    <n v="0"/>
    <x v="0"/>
    <n v="18"/>
    <n v="2022"/>
  </r>
  <r>
    <x v="7"/>
    <x v="1"/>
    <x v="0"/>
    <x v="0"/>
    <n v="10"/>
    <n v="75"/>
    <n v="0.11764705882352941"/>
    <n v="0.88235294117647056"/>
    <x v="0"/>
    <n v="32"/>
    <n v="0"/>
    <n v="53"/>
    <n v="0"/>
    <n v="1"/>
    <n v="9"/>
    <n v="0"/>
    <s v="N/A"/>
    <n v="0.16981132075471697"/>
    <s v="T"/>
    <s v="T"/>
    <s v="T"/>
    <s v="F"/>
    <s v="T"/>
    <s v="T"/>
    <s v="F"/>
    <s v="N/A"/>
    <s v="N/A"/>
    <s v="N/A"/>
    <s v="N/A"/>
    <s v="N/A"/>
    <x v="0"/>
    <n v="14"/>
    <n v="2022"/>
  </r>
  <r>
    <x v="8"/>
    <x v="1"/>
    <x v="0"/>
    <x v="7"/>
    <s v="N/A"/>
    <s v="N/A"/>
    <s v="N/A"/>
    <s v="N/A"/>
    <x v="3"/>
    <s v="N/A"/>
    <s v="N/A"/>
    <s v="N/A"/>
    <n v="0"/>
    <n v="0"/>
    <s v="N/A"/>
    <s v="N/A"/>
    <s v="N/A"/>
    <s v="N/A"/>
    <s v="F"/>
    <s v="F"/>
    <s v="F"/>
    <s v="T"/>
    <s v="T"/>
    <s v="T"/>
    <s v="F"/>
    <s v="N/A"/>
    <s v="N/A"/>
    <s v="N/A"/>
    <s v="N/A"/>
    <s v="N/A"/>
    <x v="0"/>
    <n v="0"/>
    <n v="2022"/>
  </r>
  <r>
    <x v="9"/>
    <x v="1"/>
    <x v="0"/>
    <x v="8"/>
    <n v="8"/>
    <n v="34"/>
    <n v="0.19047619047619047"/>
    <n v="0.80952380952380953"/>
    <x v="1"/>
    <n v="14"/>
    <n v="0"/>
    <n v="28"/>
    <n v="0"/>
    <n v="1"/>
    <n v="7"/>
    <n v="0"/>
    <s v="N/A"/>
    <n v="0.25"/>
    <s v="T"/>
    <s v="T"/>
    <s v="T"/>
    <s v="F"/>
    <s v="T"/>
    <s v="T"/>
    <s v="F"/>
    <n v="2"/>
    <n v="2"/>
    <n v="2"/>
    <n v="3"/>
    <n v="16"/>
    <x v="4"/>
    <n v="6"/>
    <n v="2022"/>
  </r>
  <r>
    <x v="10"/>
    <x v="1"/>
    <x v="0"/>
    <x v="9"/>
    <n v="175"/>
    <n v="115"/>
    <n v="0.60344827586206895"/>
    <n v="0.39655172413793105"/>
    <x v="2"/>
    <n v="0"/>
    <n v="1"/>
    <n v="289"/>
    <n v="0"/>
    <n v="0"/>
    <n v="175"/>
    <n v="0"/>
    <n v="0"/>
    <n v="0.60553633217993075"/>
    <s v="T"/>
    <s v="T"/>
    <s v="T"/>
    <s v="T"/>
    <s v="T"/>
    <s v="T"/>
    <s v="T"/>
    <n v="22"/>
    <n v="25"/>
    <n v="38"/>
    <n v="19"/>
    <n v="42"/>
    <x v="5"/>
    <n v="18"/>
    <n v="2022"/>
  </r>
  <r>
    <x v="11"/>
    <x v="1"/>
    <x v="0"/>
    <x v="7"/>
    <s v="N/A"/>
    <s v="N/A"/>
    <s v="N/A"/>
    <s v="N/A"/>
    <x v="3"/>
    <s v="N/A"/>
    <s v="N/A"/>
    <s v="N/A"/>
    <n v="0"/>
    <n v="0"/>
    <s v="N/A"/>
    <s v="N/A"/>
    <s v="N/A"/>
    <s v="N/A"/>
    <s v="F"/>
    <s v="F"/>
    <s v="F"/>
    <s v="T"/>
    <s v="T"/>
    <s v="T"/>
    <s v="F"/>
    <s v="N/A"/>
    <s v="N/A"/>
    <s v="N/A"/>
    <s v="N/A"/>
    <s v="N/A"/>
    <x v="0"/>
    <n v="0"/>
    <n v="2022"/>
  </r>
  <r>
    <x v="12"/>
    <x v="1"/>
    <x v="0"/>
    <x v="10"/>
    <n v="10"/>
    <n v="380"/>
    <n v="2.564102564102564E-2"/>
    <n v="0.97435897435897434"/>
    <x v="2"/>
    <n v="170"/>
    <n v="0"/>
    <n v="220"/>
    <n v="0"/>
    <n v="3"/>
    <n v="7"/>
    <n v="0"/>
    <s v="N/A"/>
    <n v="3.1818181818181815E-2"/>
    <s v="T"/>
    <s v="T"/>
    <s v="T"/>
    <s v="F"/>
    <s v="T"/>
    <s v="T"/>
    <s v="F"/>
    <n v="0"/>
    <n v="0"/>
    <n v="0"/>
    <n v="0"/>
    <n v="0"/>
    <x v="0"/>
    <n v="39"/>
    <n v="2022"/>
  </r>
  <r>
    <x v="13"/>
    <x v="1"/>
    <x v="0"/>
    <x v="11"/>
    <n v="13"/>
    <n v="52"/>
    <n v="0.2"/>
    <n v="0.8"/>
    <x v="0"/>
    <n v="25"/>
    <n v="7"/>
    <n v="33"/>
    <n v="5"/>
    <n v="20"/>
    <s v="N/A"/>
    <n v="0.38461538461538464"/>
    <n v="2.8571428571428572"/>
    <s v="N/A"/>
    <s v="T"/>
    <s v="F"/>
    <s v="F"/>
    <s v="F"/>
    <s v="F"/>
    <s v="T"/>
    <s v="F"/>
    <s v="N/A"/>
    <s v="N/A"/>
    <s v="N/A"/>
    <s v="N/A"/>
    <s v="N/A"/>
    <x v="0"/>
    <n v="8"/>
    <n v="2022"/>
  </r>
  <r>
    <x v="14"/>
    <x v="1"/>
    <x v="0"/>
    <x v="12"/>
    <n v="20"/>
    <n v="57"/>
    <n v="0.25974025974025972"/>
    <n v="0.74025974025974028"/>
    <x v="0"/>
    <n v="40"/>
    <n v="0"/>
    <n v="37"/>
    <n v="0"/>
    <n v="0"/>
    <n v="20"/>
    <n v="0"/>
    <s v="N/A"/>
    <n v="0.54054054054054057"/>
    <s v="T"/>
    <s v="T"/>
    <s v="T"/>
    <s v="T"/>
    <s v="T"/>
    <s v="T"/>
    <s v="T"/>
    <s v="N/A"/>
    <s v="N/A"/>
    <s v="N/A"/>
    <s v="N/A"/>
    <s v="N/A"/>
    <x v="0"/>
    <n v="16"/>
    <n v="2022"/>
  </r>
  <r>
    <x v="15"/>
    <x v="1"/>
    <x v="0"/>
    <x v="13"/>
    <n v="0"/>
    <n v="70"/>
    <n v="0"/>
    <n v="1"/>
    <x v="0"/>
    <n v="25"/>
    <n v="3"/>
    <n v="42"/>
    <n v="0"/>
    <n v="4"/>
    <s v="N/A"/>
    <s v="N/A"/>
    <n v="1.3333333333333333"/>
    <s v="N/A"/>
    <s v="T"/>
    <s v="F"/>
    <s v="F"/>
    <s v="F"/>
    <s v="F"/>
    <s v="T"/>
    <s v="F"/>
    <n v="7"/>
    <n v="11"/>
    <n v="22"/>
    <n v="9"/>
    <n v="0"/>
    <x v="6"/>
    <n v="15"/>
    <n v="2022"/>
  </r>
  <r>
    <x v="16"/>
    <x v="1"/>
    <x v="0"/>
    <x v="14"/>
    <n v="10"/>
    <n v="40"/>
    <n v="0.2"/>
    <n v="0.8"/>
    <x v="0"/>
    <n v="25"/>
    <n v="0"/>
    <n v="25"/>
    <n v="0"/>
    <n v="4"/>
    <n v="6"/>
    <n v="0"/>
    <s v="N/A"/>
    <n v="0.24"/>
    <s v="T"/>
    <s v="T"/>
    <s v="T"/>
    <s v="F"/>
    <s v="T"/>
    <s v="T"/>
    <s v="F"/>
    <n v="3"/>
    <n v="7"/>
    <n v="7"/>
    <n v="6"/>
    <n v="5"/>
    <x v="7"/>
    <n v="13"/>
    <n v="2022"/>
  </r>
  <r>
    <x v="17"/>
    <x v="1"/>
    <x v="0"/>
    <x v="15"/>
    <n v="30"/>
    <n v="70"/>
    <n v="0.3"/>
    <n v="0.7"/>
    <x v="2"/>
    <n v="15"/>
    <n v="10"/>
    <n v="75"/>
    <n v="2"/>
    <n v="8"/>
    <n v="20"/>
    <n v="6.6666666666666666E-2"/>
    <n v="0.8"/>
    <n v="0.26666666666666666"/>
    <s v="T"/>
    <s v="T"/>
    <s v="T"/>
    <s v="T"/>
    <s v="T"/>
    <s v="T"/>
    <s v="T"/>
    <n v="2"/>
    <n v="2"/>
    <n v="4"/>
    <n v="2"/>
    <n v="5"/>
    <x v="8"/>
    <n v="8"/>
    <n v="2022"/>
  </r>
  <r>
    <x v="18"/>
    <x v="1"/>
    <x v="0"/>
    <x v="16"/>
    <n v="3"/>
    <n v="40"/>
    <n v="6.9767441860465115E-2"/>
    <n v="0.93023255813953487"/>
    <x v="1"/>
    <n v="10"/>
    <n v="2"/>
    <n v="31"/>
    <n v="0"/>
    <n v="1"/>
    <n v="2"/>
    <n v="0"/>
    <n v="0.5"/>
    <n v="6.4516129032258063E-2"/>
    <s v="T"/>
    <s v="T"/>
    <s v="T"/>
    <s v="T"/>
    <s v="T"/>
    <s v="T"/>
    <s v="T"/>
    <n v="0"/>
    <n v="0"/>
    <n v="8"/>
    <n v="1"/>
    <n v="2"/>
    <x v="9"/>
    <n v="12"/>
    <n v="2022"/>
  </r>
  <r>
    <x v="19"/>
    <x v="1"/>
    <x v="0"/>
    <x v="17"/>
    <n v="5"/>
    <n v="63"/>
    <n v="7.3529411764705885E-2"/>
    <n v="0.92647058823529416"/>
    <x v="0"/>
    <n v="40"/>
    <n v="1"/>
    <n v="27"/>
    <n v="1"/>
    <n v="7"/>
    <s v="N/A"/>
    <n v="0.2"/>
    <n v="7"/>
    <s v="N/A"/>
    <s v="T"/>
    <s v="F"/>
    <s v="F"/>
    <s v="F"/>
    <s v="F"/>
    <s v="T"/>
    <s v="F"/>
    <n v="0"/>
    <n v="6"/>
    <n v="12"/>
    <n v="4"/>
    <n v="9"/>
    <x v="10"/>
    <n v="15"/>
    <n v="2022"/>
  </r>
  <r>
    <x v="20"/>
    <x v="1"/>
    <x v="0"/>
    <x v="18"/>
    <n v="5"/>
    <n v="30"/>
    <n v="0.14285714285714285"/>
    <n v="0.85714285714285721"/>
    <x v="1"/>
    <n v="17"/>
    <n v="3"/>
    <n v="15"/>
    <n v="1"/>
    <n v="4"/>
    <s v="N/A"/>
    <n v="0.2"/>
    <n v="1.3333333333333333"/>
    <s v="N/A"/>
    <s v="T"/>
    <s v="F"/>
    <s v="F"/>
    <s v="F"/>
    <s v="F"/>
    <s v="T"/>
    <s v="F"/>
    <s v="N/A"/>
    <s v="N/A"/>
    <s v="N/A"/>
    <s v="N/A"/>
    <s v="N/A"/>
    <x v="0"/>
    <n v="6"/>
    <n v="2022"/>
  </r>
  <r>
    <x v="21"/>
    <x v="1"/>
    <x v="0"/>
    <x v="19"/>
    <n v="20"/>
    <n v="54"/>
    <n v="0.27027027027027029"/>
    <n v="0.72972972972972971"/>
    <x v="0"/>
    <n v="15"/>
    <n v="1"/>
    <n v="58"/>
    <n v="0"/>
    <n v="2"/>
    <n v="18"/>
    <n v="0"/>
    <n v="2"/>
    <n v="0.31034482758620691"/>
    <s v="T"/>
    <s v="T"/>
    <s v="T"/>
    <s v="F"/>
    <s v="T"/>
    <s v="T"/>
    <s v="F"/>
    <s v="N/A"/>
    <s v="N/A"/>
    <s v="N/A"/>
    <s v="N/A"/>
    <s v="N/A"/>
    <x v="0"/>
    <n v="6"/>
    <n v="2022"/>
  </r>
  <r>
    <x v="22"/>
    <x v="1"/>
    <x v="0"/>
    <x v="20"/>
    <n v="5"/>
    <n v="52"/>
    <n v="8.771929824561403E-2"/>
    <n v="0.91228070175438591"/>
    <x v="0"/>
    <n v="40"/>
    <n v="0"/>
    <n v="17"/>
    <n v="0"/>
    <n v="0"/>
    <n v="5"/>
    <n v="0"/>
    <s v="N/A"/>
    <n v="0.29411764705882354"/>
    <s v="T"/>
    <s v="T"/>
    <s v="T"/>
    <s v="T"/>
    <s v="T"/>
    <s v="T"/>
    <s v="T"/>
    <n v="4"/>
    <n v="4"/>
    <n v="6"/>
    <n v="5"/>
    <n v="12"/>
    <x v="10"/>
    <n v="16"/>
    <n v="2022"/>
  </r>
  <r>
    <x v="23"/>
    <x v="1"/>
    <x v="0"/>
    <x v="21"/>
    <n v="25"/>
    <n v="26"/>
    <n v="0.49019607843137253"/>
    <n v="0.50980392156862742"/>
    <x v="0"/>
    <n v="16"/>
    <n v="16"/>
    <n v="19"/>
    <n v="1"/>
    <n v="0"/>
    <n v="24"/>
    <n v="0.04"/>
    <n v="0"/>
    <n v="1.263157894736842"/>
    <s v="T"/>
    <s v="T"/>
    <s v="T"/>
    <s v="T"/>
    <s v="F"/>
    <s v="T"/>
    <s v="F"/>
    <n v="0"/>
    <n v="0"/>
    <n v="0"/>
    <n v="0"/>
    <n v="0"/>
    <x v="0"/>
    <n v="8"/>
    <n v="2022"/>
  </r>
  <r>
    <x v="24"/>
    <x v="1"/>
    <x v="0"/>
    <x v="7"/>
    <s v="N/A"/>
    <s v="N/A"/>
    <s v="N/A"/>
    <s v="N/A"/>
    <x v="3"/>
    <s v="N/A"/>
    <s v="N/A"/>
    <s v="N/A"/>
    <n v="0"/>
    <n v="0"/>
    <s v="N/A"/>
    <s v="N/A"/>
    <s v="N/A"/>
    <s v="N/A"/>
    <s v="F"/>
    <s v="F"/>
    <s v="F"/>
    <s v="T"/>
    <s v="T"/>
    <s v="T"/>
    <s v="F"/>
    <s v="N/A"/>
    <s v="N/A"/>
    <s v="N/A"/>
    <s v="N/A"/>
    <s v="N/A"/>
    <x v="0"/>
    <n v="0"/>
    <n v="2022"/>
  </r>
  <r>
    <x v="25"/>
    <x v="1"/>
    <x v="0"/>
    <x v="22"/>
    <n v="5"/>
    <n v="50"/>
    <n v="9.0909090909090912E-2"/>
    <n v="0.90909090909090906"/>
    <x v="0"/>
    <n v="10"/>
    <n v="5"/>
    <n v="40"/>
    <n v="2"/>
    <n v="2"/>
    <n v="1"/>
    <n v="0.4"/>
    <n v="0.4"/>
    <n v="2.5000000000000001E-2"/>
    <s v="T"/>
    <s v="T"/>
    <s v="T"/>
    <s v="T"/>
    <s v="T"/>
    <s v="T"/>
    <s v="T"/>
    <s v="N/A"/>
    <s v="N/A"/>
    <s v="N/A"/>
    <s v="N/A"/>
    <s v="N/A"/>
    <x v="0"/>
    <n v="6"/>
    <n v="2022"/>
  </r>
  <r>
    <x v="26"/>
    <x v="1"/>
    <x v="0"/>
    <x v="23"/>
    <n v="250"/>
    <n v="360"/>
    <n v="0.4098360655737705"/>
    <n v="0.5901639344262295"/>
    <x v="4"/>
    <n v="120"/>
    <n v="30"/>
    <n v="460"/>
    <n v="3"/>
    <n v="10"/>
    <n v="237"/>
    <n v="1.2E-2"/>
    <n v="0.33333333333333331"/>
    <n v="0.51521739130434785"/>
    <s v="T"/>
    <s v="T"/>
    <s v="T"/>
    <s v="T"/>
    <s v="T"/>
    <s v="T"/>
    <s v="T"/>
    <s v="N/A"/>
    <s v="N/A"/>
    <s v="N/A"/>
    <s v="N/A"/>
    <s v="N/A"/>
    <x v="0"/>
    <n v="22"/>
    <n v="2022"/>
  </r>
  <r>
    <x v="27"/>
    <x v="1"/>
    <x v="0"/>
    <x v="24"/>
    <n v="11"/>
    <n v="164"/>
    <n v="6.2857142857142861E-2"/>
    <n v="0.93714285714285717"/>
    <x v="2"/>
    <n v="40"/>
    <n v="0"/>
    <n v="135"/>
    <n v="0"/>
    <n v="0"/>
    <n v="11"/>
    <n v="0"/>
    <s v="N/A"/>
    <n v="8.1481481481481488E-2"/>
    <s v="T"/>
    <s v="T"/>
    <s v="T"/>
    <s v="T"/>
    <s v="T"/>
    <s v="T"/>
    <s v="T"/>
    <n v="7"/>
    <n v="7"/>
    <n v="19"/>
    <n v="7"/>
    <n v="24"/>
    <x v="11"/>
    <n v="11"/>
    <n v="2022"/>
  </r>
  <r>
    <x v="28"/>
    <x v="1"/>
    <x v="0"/>
    <x v="25"/>
    <n v="20"/>
    <n v="102"/>
    <n v="0.16393442622950818"/>
    <n v="0.83606557377049184"/>
    <x v="2"/>
    <n v="30"/>
    <n v="2"/>
    <n v="90"/>
    <n v="0"/>
    <n v="10"/>
    <n v="10"/>
    <n v="0"/>
    <n v="5"/>
    <n v="0.1111111111111111"/>
    <s v="T"/>
    <s v="T"/>
    <s v="T"/>
    <s v="F"/>
    <s v="T"/>
    <s v="T"/>
    <s v="F"/>
    <n v="3"/>
    <n v="2"/>
    <n v="1"/>
    <n v="3"/>
    <n v="10"/>
    <x v="12"/>
    <n v="10"/>
    <n v="2022"/>
  </r>
  <r>
    <x v="29"/>
    <x v="1"/>
    <x v="0"/>
    <x v="26"/>
    <n v="100"/>
    <n v="280"/>
    <n v="0.26315789473684209"/>
    <n v="0.73684210526315796"/>
    <x v="2"/>
    <n v="50"/>
    <n v="30"/>
    <n v="300"/>
    <n v="0"/>
    <n v="10"/>
    <n v="90"/>
    <n v="0"/>
    <n v="0.33333333333333331"/>
    <n v="0.3"/>
    <s v="T"/>
    <s v="T"/>
    <s v="T"/>
    <s v="T"/>
    <s v="T"/>
    <s v="T"/>
    <s v="T"/>
    <n v="4"/>
    <n v="6"/>
    <n v="12"/>
    <n v="6"/>
    <n v="1"/>
    <x v="13"/>
    <n v="14"/>
    <n v="2022"/>
  </r>
  <r>
    <x v="30"/>
    <x v="1"/>
    <x v="0"/>
    <x v="27"/>
    <n v="100"/>
    <n v="320"/>
    <n v="0.23809523809523808"/>
    <n v="0.76190476190476186"/>
    <x v="4"/>
    <n v="100"/>
    <s v="N/A"/>
    <s v="N/A"/>
    <n v="0"/>
    <n v="0"/>
    <n v="100"/>
    <n v="0"/>
    <s v="N/A"/>
    <s v="N/A"/>
    <s v="F"/>
    <s v="T"/>
    <s v="T"/>
    <s v="T"/>
    <s v="T"/>
    <s v="T"/>
    <s v="F"/>
    <n v="12"/>
    <n v="11"/>
    <n v="12"/>
    <n v="13"/>
    <n v="8"/>
    <x v="14"/>
    <n v="0"/>
    <n v="2022"/>
  </r>
  <r>
    <x v="31"/>
    <x v="1"/>
    <x v="0"/>
    <x v="28"/>
    <n v="40"/>
    <n v="210"/>
    <n v="0.16"/>
    <n v="0.84"/>
    <x v="2"/>
    <n v="80"/>
    <n v="0"/>
    <n v="170"/>
    <n v="0"/>
    <n v="5"/>
    <n v="35"/>
    <n v="0"/>
    <s v="N/A"/>
    <n v="0.20588235294117646"/>
    <s v="T"/>
    <s v="T"/>
    <s v="T"/>
    <s v="F"/>
    <s v="T"/>
    <s v="T"/>
    <s v="F"/>
    <n v="1"/>
    <n v="2"/>
    <n v="1"/>
    <n v="1"/>
    <n v="0"/>
    <x v="15"/>
    <n v="22"/>
    <n v="2022"/>
  </r>
  <r>
    <x v="32"/>
    <x v="1"/>
    <x v="0"/>
    <x v="7"/>
    <s v="N/A"/>
    <s v="N/A"/>
    <s v="N/A"/>
    <s v="N/A"/>
    <x v="3"/>
    <s v="N/A"/>
    <s v="N/A"/>
    <s v="N/A"/>
    <n v="0"/>
    <n v="0"/>
    <s v="N/A"/>
    <s v="N/A"/>
    <s v="N/A"/>
    <s v="N/A"/>
    <s v="F"/>
    <s v="F"/>
    <s v="F"/>
    <s v="T"/>
    <s v="T"/>
    <s v="T"/>
    <s v="F"/>
    <s v="N/A"/>
    <s v="N/A"/>
    <s v="N/A"/>
    <s v="N/A"/>
    <s v="N/A"/>
    <x v="0"/>
    <n v="0"/>
    <n v="2022"/>
  </r>
  <r>
    <x v="33"/>
    <x v="0"/>
    <x v="0"/>
    <x v="29"/>
    <n v="20"/>
    <n v="24"/>
    <n v="0.45454545454545453"/>
    <n v="0.54545454545454541"/>
    <x v="1"/>
    <n v="15"/>
    <n v="5"/>
    <n v="24"/>
    <n v="2"/>
    <n v="13"/>
    <n v="5"/>
    <n v="0.1"/>
    <n v="2.6"/>
    <n v="0.20833333333333334"/>
    <s v="T"/>
    <s v="T"/>
    <s v="T"/>
    <s v="F"/>
    <s v="T"/>
    <s v="T"/>
    <s v="F"/>
    <n v="0"/>
    <n v="0"/>
    <n v="1"/>
    <n v="1"/>
    <n v="1"/>
    <x v="16"/>
    <n v="8"/>
    <n v="2022"/>
  </r>
  <r>
    <x v="34"/>
    <x v="1"/>
    <x v="0"/>
    <x v="7"/>
    <s v="N/A"/>
    <s v="N/A"/>
    <s v="N/A"/>
    <s v="N/A"/>
    <x v="3"/>
    <s v="N/A"/>
    <s v="N/A"/>
    <s v="N/A"/>
    <n v="0"/>
    <n v="0"/>
    <s v="N/A"/>
    <s v="N/A"/>
    <s v="N/A"/>
    <s v="N/A"/>
    <s v="F"/>
    <s v="F"/>
    <s v="F"/>
    <s v="T"/>
    <s v="T"/>
    <s v="T"/>
    <s v="F"/>
    <s v="N/A"/>
    <s v="N/A"/>
    <s v="N/A"/>
    <s v="N/A"/>
    <s v="N/A"/>
    <x v="0"/>
    <n v="0"/>
    <n v="2022"/>
  </r>
  <r>
    <x v="35"/>
    <x v="1"/>
    <x v="0"/>
    <x v="11"/>
    <n v="0"/>
    <n v="65"/>
    <n v="0"/>
    <n v="1"/>
    <x v="0"/>
    <n v="10"/>
    <n v="3"/>
    <n v="52"/>
    <n v="1"/>
    <n v="9"/>
    <s v="N/A"/>
    <s v="N/A"/>
    <n v="3"/>
    <s v="N/A"/>
    <s v="T"/>
    <s v="F"/>
    <s v="F"/>
    <s v="F"/>
    <s v="F"/>
    <s v="T"/>
    <s v="F"/>
    <s v="N/A"/>
    <s v="N/A"/>
    <s v="N/A"/>
    <s v="N/A"/>
    <s v="N/A"/>
    <x v="0"/>
    <n v="3"/>
    <n v="2022"/>
  </r>
  <r>
    <x v="36"/>
    <x v="1"/>
    <x v="0"/>
    <x v="7"/>
    <s v="N/A"/>
    <s v="N/A"/>
    <s v="N/A"/>
    <s v="N/A"/>
    <x v="3"/>
    <s v="N/A"/>
    <s v="N/A"/>
    <s v="N/A"/>
    <n v="0"/>
    <n v="0"/>
    <s v="N/A"/>
    <s v="N/A"/>
    <s v="N/A"/>
    <s v="N/A"/>
    <s v="F"/>
    <s v="F"/>
    <s v="F"/>
    <s v="T"/>
    <s v="T"/>
    <s v="T"/>
    <s v="F"/>
    <s v="N/A"/>
    <s v="N/A"/>
    <s v="N/A"/>
    <s v="N/A"/>
    <s v="N/A"/>
    <x v="0"/>
    <n v="0"/>
    <n v="2022"/>
  </r>
  <r>
    <x v="37"/>
    <x v="1"/>
    <x v="0"/>
    <x v="7"/>
    <s v="N/A"/>
    <s v="N/A"/>
    <s v="N/A"/>
    <s v="N/A"/>
    <x v="3"/>
    <s v="N/A"/>
    <s v="N/A"/>
    <s v="N/A"/>
    <n v="0"/>
    <n v="0"/>
    <s v="N/A"/>
    <s v="N/A"/>
    <s v="N/A"/>
    <s v="N/A"/>
    <s v="F"/>
    <s v="F"/>
    <s v="F"/>
    <s v="T"/>
    <s v="T"/>
    <s v="T"/>
    <s v="F"/>
    <s v="N/A"/>
    <s v="N/A"/>
    <s v="N/A"/>
    <s v="N/A"/>
    <s v="N/A"/>
    <x v="0"/>
    <n v="0"/>
    <n v="2022"/>
  </r>
  <r>
    <x v="38"/>
    <x v="1"/>
    <x v="0"/>
    <x v="7"/>
    <s v="N/A"/>
    <s v="N/A"/>
    <s v="N/A"/>
    <s v="N/A"/>
    <x v="3"/>
    <s v="N/A"/>
    <s v="N/A"/>
    <s v="N/A"/>
    <n v="0"/>
    <n v="0"/>
    <s v="N/A"/>
    <s v="N/A"/>
    <s v="N/A"/>
    <s v="N/A"/>
    <s v="F"/>
    <s v="F"/>
    <s v="F"/>
    <s v="T"/>
    <s v="T"/>
    <s v="T"/>
    <s v="F"/>
    <s v="N/A"/>
    <s v="N/A"/>
    <s v="N/A"/>
    <s v="N/A"/>
    <s v="N/A"/>
    <x v="0"/>
    <n v="0"/>
    <n v="2022"/>
  </r>
  <r>
    <x v="39"/>
    <x v="1"/>
    <x v="0"/>
    <x v="7"/>
    <s v="N/A"/>
    <s v="N/A"/>
    <s v="N/A"/>
    <s v="N/A"/>
    <x v="3"/>
    <s v="N/A"/>
    <s v="N/A"/>
    <s v="N/A"/>
    <n v="0"/>
    <n v="0"/>
    <s v="N/A"/>
    <s v="N/A"/>
    <s v="N/A"/>
    <s v="N/A"/>
    <s v="F"/>
    <s v="F"/>
    <s v="F"/>
    <s v="T"/>
    <s v="T"/>
    <s v="T"/>
    <s v="F"/>
    <s v="N/A"/>
    <s v="N/A"/>
    <s v="N/A"/>
    <s v="N/A"/>
    <s v="N/A"/>
    <x v="0"/>
    <n v="0"/>
    <n v="2022"/>
  </r>
  <r>
    <x v="40"/>
    <x v="1"/>
    <x v="0"/>
    <x v="30"/>
    <n v="30"/>
    <n v="150"/>
    <n v="0.16666666666666666"/>
    <n v="0.83333333333333337"/>
    <x v="2"/>
    <n v="60"/>
    <n v="30"/>
    <n v="90"/>
    <n v="25"/>
    <n v="25"/>
    <s v="N/A"/>
    <n v="0.83333333333333337"/>
    <n v="0.83333333333333337"/>
    <s v="N/A"/>
    <s v="T"/>
    <s v="F"/>
    <s v="F"/>
    <s v="T"/>
    <s v="F"/>
    <s v="T"/>
    <s v="F"/>
    <s v="N/A"/>
    <s v="N/A"/>
    <s v="N/A"/>
    <s v="N/A"/>
    <s v="N/A"/>
    <x v="0"/>
    <n v="16"/>
    <n v="2022"/>
  </r>
  <r>
    <x v="41"/>
    <x v="0"/>
    <x v="0"/>
    <x v="31"/>
    <n v="0"/>
    <n v="190"/>
    <n v="0"/>
    <n v="1"/>
    <x v="2"/>
    <n v="40"/>
    <n v="50"/>
    <n v="100"/>
    <n v="0"/>
    <n v="0"/>
    <s v="N/A"/>
    <s v="N/A"/>
    <n v="0"/>
    <s v="N/A"/>
    <s v="T"/>
    <s v="F"/>
    <s v="F"/>
    <s v="T"/>
    <s v="F"/>
    <s v="T"/>
    <s v="F"/>
    <s v="N/A"/>
    <s v="N/A"/>
    <s v="N/A"/>
    <s v="N/A"/>
    <s v="N/A"/>
    <x v="0"/>
    <n v="17"/>
    <n v="2022"/>
  </r>
  <r>
    <x v="42"/>
    <x v="0"/>
    <x v="0"/>
    <x v="7"/>
    <s v="N/A"/>
    <s v="N/A"/>
    <s v="N/A"/>
    <s v="N/A"/>
    <x v="3"/>
    <s v="N/A"/>
    <s v="N/A"/>
    <s v="N/A"/>
    <n v="0"/>
    <n v="0"/>
    <s v="N/A"/>
    <s v="N/A"/>
    <s v="N/A"/>
    <s v="N/A"/>
    <s v="F"/>
    <s v="F"/>
    <s v="F"/>
    <s v="T"/>
    <s v="T"/>
    <s v="T"/>
    <s v="F"/>
    <s v="N/A"/>
    <s v="N/A"/>
    <s v="N/A"/>
    <s v="N/A"/>
    <s v="N/A"/>
    <x v="0"/>
    <n v="0"/>
    <n v="2022"/>
  </r>
  <r>
    <x v="43"/>
    <x v="0"/>
    <x v="0"/>
    <x v="32"/>
    <n v="6"/>
    <n v="22"/>
    <n v="0.21428571428571427"/>
    <n v="0.7857142857142857"/>
    <x v="1"/>
    <n v="6"/>
    <n v="4"/>
    <n v="18"/>
    <n v="1"/>
    <n v="3"/>
    <n v="2"/>
    <n v="0.16666666666666666"/>
    <n v="0.75"/>
    <n v="0.1111111111111111"/>
    <s v="T"/>
    <s v="T"/>
    <s v="T"/>
    <s v="T"/>
    <s v="T"/>
    <s v="T"/>
    <s v="T"/>
    <n v="0"/>
    <n v="0"/>
    <n v="5"/>
    <n v="4"/>
    <n v="2"/>
    <x v="9"/>
    <n v="0"/>
    <n v="2022"/>
  </r>
  <r>
    <x v="44"/>
    <x v="0"/>
    <x v="0"/>
    <x v="33"/>
    <n v="35"/>
    <n v="120"/>
    <n v="0.22580645161290322"/>
    <n v="0.77419354838709675"/>
    <x v="2"/>
    <n v="24"/>
    <n v="60"/>
    <n v="71"/>
    <n v="0"/>
    <n v="24"/>
    <n v="11"/>
    <n v="0"/>
    <n v="0.4"/>
    <n v="0.15492957746478872"/>
    <s v="T"/>
    <s v="T"/>
    <s v="T"/>
    <s v="T"/>
    <s v="T"/>
    <s v="T"/>
    <s v="T"/>
    <s v="N/A"/>
    <s v="N/A"/>
    <s v="N/A"/>
    <s v="N/A"/>
    <s v="N/A"/>
    <x v="0"/>
    <n v="12"/>
    <n v="2022"/>
  </r>
  <r>
    <x v="45"/>
    <x v="0"/>
    <x v="0"/>
    <x v="7"/>
    <s v="N/A"/>
    <s v="N/A"/>
    <s v="N/A"/>
    <s v="N/A"/>
    <x v="3"/>
    <s v="N/A"/>
    <s v="N/A"/>
    <s v="N/A"/>
    <n v="0"/>
    <n v="0"/>
    <s v="N/A"/>
    <s v="N/A"/>
    <s v="N/A"/>
    <s v="N/A"/>
    <s v="F"/>
    <s v="F"/>
    <s v="F"/>
    <s v="T"/>
    <s v="T"/>
    <s v="T"/>
    <s v="F"/>
    <s v="N/A"/>
    <s v="N/A"/>
    <s v="N/A"/>
    <s v="N/A"/>
    <s v="N/A"/>
    <x v="0"/>
    <n v="0"/>
    <n v="2022"/>
  </r>
  <r>
    <x v="46"/>
    <x v="0"/>
    <x v="0"/>
    <x v="34"/>
    <n v="15"/>
    <n v="73"/>
    <n v="0.17045454545454544"/>
    <n v="0.82954545454545459"/>
    <x v="0"/>
    <n v="12"/>
    <n v="1"/>
    <n v="75"/>
    <n v="0"/>
    <n v="0"/>
    <n v="15"/>
    <n v="0"/>
    <n v="0"/>
    <n v="0.2"/>
    <s v="T"/>
    <s v="T"/>
    <s v="T"/>
    <s v="T"/>
    <s v="T"/>
    <s v="T"/>
    <s v="T"/>
    <n v="0"/>
    <n v="6"/>
    <n v="14"/>
    <n v="10"/>
    <n v="3"/>
    <x v="17"/>
    <n v="13"/>
    <n v="2022"/>
  </r>
  <r>
    <x v="47"/>
    <x v="0"/>
    <x v="0"/>
    <x v="35"/>
    <n v="4"/>
    <n v="14"/>
    <n v="0.22222222222222221"/>
    <n v="0.77777777777777779"/>
    <x v="1"/>
    <n v="11"/>
    <n v="2"/>
    <n v="5"/>
    <n v="0"/>
    <n v="0"/>
    <n v="4"/>
    <n v="0"/>
    <n v="0"/>
    <n v="0.8"/>
    <s v="T"/>
    <s v="T"/>
    <s v="T"/>
    <s v="T"/>
    <s v="T"/>
    <s v="T"/>
    <s v="T"/>
    <n v="2"/>
    <n v="7"/>
    <n v="15"/>
    <n v="6"/>
    <n v="14"/>
    <x v="18"/>
    <n v="10"/>
    <n v="2022"/>
  </r>
  <r>
    <x v="48"/>
    <x v="0"/>
    <x v="0"/>
    <x v="16"/>
    <n v="15"/>
    <n v="28"/>
    <n v="0.34883720930232559"/>
    <n v="0.65116279069767447"/>
    <x v="1"/>
    <n v="25"/>
    <n v="5"/>
    <n v="13"/>
    <n v="4"/>
    <n v="8"/>
    <n v="3"/>
    <n v="0.26666666666666666"/>
    <n v="1.6"/>
    <n v="0.23076923076923078"/>
    <s v="T"/>
    <s v="T"/>
    <s v="T"/>
    <s v="F"/>
    <s v="T"/>
    <s v="T"/>
    <s v="F"/>
    <s v="N/A"/>
    <s v="N/A"/>
    <s v="N/A"/>
    <s v="N/A"/>
    <s v="N/A"/>
    <x v="0"/>
    <n v="11"/>
    <n v="2022"/>
  </r>
  <r>
    <x v="49"/>
    <x v="0"/>
    <x v="0"/>
    <x v="13"/>
    <n v="10"/>
    <n v="60"/>
    <n v="0.14285714285714285"/>
    <n v="0.85714285714285721"/>
    <x v="0"/>
    <n v="28"/>
    <n v="0"/>
    <n v="42"/>
    <n v="0"/>
    <n v="8"/>
    <n v="2"/>
    <n v="0"/>
    <s v="N/A"/>
    <n v="4.7619047619047616E-2"/>
    <s v="T"/>
    <s v="T"/>
    <s v="T"/>
    <s v="F"/>
    <s v="T"/>
    <s v="T"/>
    <s v="F"/>
    <n v="0"/>
    <n v="0"/>
    <n v="0"/>
    <n v="0"/>
    <n v="0"/>
    <x v="0"/>
    <n v="0"/>
    <n v="2022"/>
  </r>
  <r>
    <x v="50"/>
    <x v="0"/>
    <x v="0"/>
    <x v="36"/>
    <n v="6"/>
    <n v="42"/>
    <n v="0.125"/>
    <n v="0.875"/>
    <x v="1"/>
    <n v="15"/>
    <n v="2"/>
    <n v="31"/>
    <n v="0"/>
    <n v="2"/>
    <n v="4"/>
    <n v="0"/>
    <n v="1"/>
    <n v="0.12903225806451613"/>
    <s v="T"/>
    <s v="T"/>
    <s v="T"/>
    <s v="T"/>
    <s v="T"/>
    <s v="T"/>
    <s v="T"/>
    <n v="0"/>
    <n v="2"/>
    <n v="1"/>
    <n v="0"/>
    <n v="16"/>
    <x v="12"/>
    <n v="10"/>
    <n v="2022"/>
  </r>
  <r>
    <x v="51"/>
    <x v="0"/>
    <x v="0"/>
    <x v="36"/>
    <n v="8"/>
    <n v="40"/>
    <n v="0.16666666666666666"/>
    <n v="0.83333333333333337"/>
    <x v="1"/>
    <n v="26"/>
    <n v="3"/>
    <n v="19"/>
    <n v="3"/>
    <n v="3"/>
    <n v="2"/>
    <n v="0.375"/>
    <n v="1"/>
    <n v="0.10526315789473684"/>
    <s v="T"/>
    <s v="T"/>
    <s v="T"/>
    <s v="T"/>
    <s v="T"/>
    <s v="T"/>
    <s v="T"/>
    <n v="0"/>
    <n v="0"/>
    <n v="0"/>
    <n v="0"/>
    <n v="0"/>
    <x v="0"/>
    <n v="8"/>
    <n v="2022"/>
  </r>
  <r>
    <x v="52"/>
    <x v="0"/>
    <x v="0"/>
    <x v="37"/>
    <n v="10"/>
    <n v="50"/>
    <n v="0.16666666666666666"/>
    <n v="0.83333333333333337"/>
    <x v="0"/>
    <n v="20"/>
    <n v="0"/>
    <n v="40"/>
    <n v="0"/>
    <n v="0"/>
    <n v="10"/>
    <n v="0"/>
    <s v="N/A"/>
    <n v="0.25"/>
    <s v="T"/>
    <s v="T"/>
    <s v="T"/>
    <s v="T"/>
    <s v="T"/>
    <s v="T"/>
    <s v="T"/>
    <s v="N/A"/>
    <s v="N/A"/>
    <s v="N/A"/>
    <s v="N/A"/>
    <s v="N/A"/>
    <x v="0"/>
    <n v="14"/>
    <n v="2022"/>
  </r>
  <r>
    <x v="53"/>
    <x v="0"/>
    <x v="0"/>
    <x v="38"/>
    <n v="6"/>
    <n v="14"/>
    <n v="0.3"/>
    <n v="0.7"/>
    <x v="1"/>
    <n v="3"/>
    <n v="1"/>
    <n v="16"/>
    <n v="0"/>
    <n v="1"/>
    <n v="5"/>
    <n v="0"/>
    <n v="1"/>
    <n v="0.3125"/>
    <s v="T"/>
    <s v="T"/>
    <s v="T"/>
    <s v="T"/>
    <s v="T"/>
    <s v="T"/>
    <s v="T"/>
    <s v="N/A"/>
    <s v="N/A"/>
    <s v="N/A"/>
    <s v="N/A"/>
    <s v="N/A"/>
    <x v="0"/>
    <n v="0"/>
    <n v="2022"/>
  </r>
  <r>
    <x v="54"/>
    <x v="0"/>
    <x v="1"/>
    <x v="14"/>
    <n v="0"/>
    <n v="50"/>
    <n v="0"/>
    <n v="1"/>
    <x v="0"/>
    <n v="0"/>
    <n v="2"/>
    <n v="48"/>
    <n v="0"/>
    <n v="0"/>
    <s v="N/A"/>
    <s v="N/A"/>
    <n v="0"/>
    <s v="N/A"/>
    <s v="T"/>
    <s v="F"/>
    <s v="F"/>
    <s v="T"/>
    <s v="F"/>
    <s v="T"/>
    <s v="F"/>
    <n v="2"/>
    <n v="0"/>
    <n v="7"/>
    <n v="8"/>
    <n v="13"/>
    <x v="19"/>
    <n v="11"/>
    <n v="2022"/>
  </r>
  <r>
    <x v="55"/>
    <x v="0"/>
    <x v="0"/>
    <x v="7"/>
    <s v="N/A"/>
    <s v="N/A"/>
    <s v="N/A"/>
    <s v="N/A"/>
    <x v="3"/>
    <s v="N/A"/>
    <s v="N/A"/>
    <s v="N/A"/>
    <n v="0"/>
    <n v="0"/>
    <s v="N/A"/>
    <s v="N/A"/>
    <s v="N/A"/>
    <s v="N/A"/>
    <s v="F"/>
    <s v="F"/>
    <s v="F"/>
    <s v="T"/>
    <s v="T"/>
    <s v="T"/>
    <s v="F"/>
    <s v="N/A"/>
    <s v="N/A"/>
    <s v="N/A"/>
    <s v="N/A"/>
    <s v="N/A"/>
    <x v="0"/>
    <n v="0"/>
    <n v="2022"/>
  </r>
  <r>
    <x v="56"/>
    <x v="2"/>
    <x v="0"/>
    <x v="39"/>
    <n v="40"/>
    <n v="418"/>
    <n v="8.7336244541484712E-2"/>
    <n v="0.9126637554585153"/>
    <x v="4"/>
    <n v="110"/>
    <n v="15"/>
    <n v="333"/>
    <n v="5"/>
    <n v="15"/>
    <n v="20"/>
    <n v="0.125"/>
    <n v="1"/>
    <n v="6.006006006006006E-2"/>
    <s v="T"/>
    <s v="T"/>
    <s v="T"/>
    <s v="T"/>
    <s v="T"/>
    <s v="T"/>
    <s v="T"/>
    <n v="11"/>
    <n v="23"/>
    <n v="46"/>
    <n v="24"/>
    <n v="14"/>
    <x v="20"/>
    <n v="27"/>
    <n v="2022"/>
  </r>
  <r>
    <x v="57"/>
    <x v="2"/>
    <x v="0"/>
    <x v="40"/>
    <n v="30"/>
    <n v="316"/>
    <n v="8.6705202312138727E-2"/>
    <n v="0.91329479768786126"/>
    <x v="2"/>
    <n v="100"/>
    <n v="36"/>
    <n v="210"/>
    <n v="10"/>
    <n v="25"/>
    <s v="N/A"/>
    <n v="0.33333333333333331"/>
    <n v="0.69444444444444442"/>
    <s v="N/A"/>
    <s v="T"/>
    <s v="F"/>
    <s v="F"/>
    <s v="T"/>
    <s v="F"/>
    <s v="T"/>
    <s v="F"/>
    <n v="24"/>
    <n v="47"/>
    <n v="58"/>
    <n v="31"/>
    <n v="30"/>
    <x v="21"/>
    <n v="29"/>
    <n v="2022"/>
  </r>
  <r>
    <x v="58"/>
    <x v="2"/>
    <x v="0"/>
    <x v="41"/>
    <n v="50"/>
    <n v="543"/>
    <n v="8.4317032040472181E-2"/>
    <n v="0.91568296795952786"/>
    <x v="4"/>
    <n v="217"/>
    <n v="1"/>
    <n v="375"/>
    <n v="0"/>
    <n v="0"/>
    <n v="50"/>
    <n v="0"/>
    <n v="0"/>
    <n v="0.13333333333333333"/>
    <s v="T"/>
    <s v="T"/>
    <s v="T"/>
    <s v="T"/>
    <s v="T"/>
    <s v="T"/>
    <s v="T"/>
    <n v="10"/>
    <n v="5"/>
    <n v="0"/>
    <n v="3"/>
    <n v="0"/>
    <x v="22"/>
    <n v="59"/>
    <n v="2022"/>
  </r>
  <r>
    <x v="59"/>
    <x v="2"/>
    <x v="0"/>
    <x v="42"/>
    <n v="0"/>
    <n v="442"/>
    <n v="0"/>
    <n v="1"/>
    <x v="4"/>
    <n v="108"/>
    <n v="36"/>
    <n v="298"/>
    <n v="5"/>
    <n v="10"/>
    <s v="N/A"/>
    <s v="N/A"/>
    <n v="0.27777777777777779"/>
    <s v="N/A"/>
    <s v="T"/>
    <s v="F"/>
    <s v="F"/>
    <s v="T"/>
    <s v="F"/>
    <s v="T"/>
    <s v="F"/>
    <n v="39"/>
    <n v="48"/>
    <n v="72"/>
    <n v="39"/>
    <n v="14"/>
    <x v="23"/>
    <n v="0"/>
    <n v="2022"/>
  </r>
  <r>
    <x v="60"/>
    <x v="2"/>
    <x v="0"/>
    <x v="43"/>
    <n v="30"/>
    <n v="159"/>
    <n v="0.15873015873015872"/>
    <n v="0.84126984126984128"/>
    <x v="2"/>
    <n v="75"/>
    <n v="29"/>
    <n v="85"/>
    <n v="10"/>
    <n v="20"/>
    <s v="N/A"/>
    <n v="0.33333333333333331"/>
    <n v="0.68965517241379315"/>
    <s v="N/A"/>
    <s v="T"/>
    <s v="F"/>
    <s v="F"/>
    <s v="T"/>
    <s v="F"/>
    <s v="T"/>
    <s v="F"/>
    <n v="60"/>
    <n v="43"/>
    <n v="21"/>
    <n v="6"/>
    <n v="0"/>
    <x v="24"/>
    <n v="21"/>
    <n v="2022"/>
  </r>
  <r>
    <x v="61"/>
    <x v="2"/>
    <x v="0"/>
    <x v="44"/>
    <n v="50"/>
    <n v="261"/>
    <n v="0.16077170418006431"/>
    <n v="0.83922829581993574"/>
    <x v="2"/>
    <n v="55"/>
    <n v="30"/>
    <n v="226"/>
    <n v="4"/>
    <n v="23"/>
    <n v="23"/>
    <n v="0.08"/>
    <n v="0.76666666666666672"/>
    <n v="0.10176991150442478"/>
    <s v="T"/>
    <s v="T"/>
    <s v="T"/>
    <s v="T"/>
    <s v="T"/>
    <s v="T"/>
    <s v="T"/>
    <n v="16"/>
    <n v="19"/>
    <n v="6"/>
    <n v="12"/>
    <n v="1"/>
    <x v="25"/>
    <n v="22"/>
    <n v="2022"/>
  </r>
  <r>
    <x v="62"/>
    <x v="2"/>
    <x v="0"/>
    <x v="45"/>
    <n v="100"/>
    <n v="570"/>
    <n v="0.14925373134328357"/>
    <n v="0.85074626865671643"/>
    <x v="4"/>
    <n v="146"/>
    <n v="40"/>
    <n v="484"/>
    <n v="4"/>
    <n v="7"/>
    <n v="89"/>
    <n v="0.04"/>
    <n v="0.17499999999999999"/>
    <n v="0.18388429752066116"/>
    <s v="T"/>
    <s v="T"/>
    <s v="T"/>
    <s v="T"/>
    <s v="T"/>
    <s v="T"/>
    <s v="T"/>
    <s v="N/A"/>
    <s v="N/A"/>
    <s v="N/A"/>
    <s v="N/A"/>
    <s v="N/A"/>
    <x v="0"/>
    <n v="19"/>
    <n v="2022"/>
  </r>
  <r>
    <x v="63"/>
    <x v="2"/>
    <x v="0"/>
    <x v="46"/>
    <n v="100"/>
    <n v="685"/>
    <n v="0.12738853503184713"/>
    <n v="0.87261146496815289"/>
    <x v="4"/>
    <n v="150"/>
    <n v="80"/>
    <n v="555"/>
    <n v="5"/>
    <n v="15"/>
    <n v="80"/>
    <n v="0.05"/>
    <n v="0.1875"/>
    <n v="0.14414414414414414"/>
    <s v="T"/>
    <s v="T"/>
    <s v="T"/>
    <s v="T"/>
    <s v="T"/>
    <s v="T"/>
    <s v="T"/>
    <n v="0"/>
    <n v="0"/>
    <n v="0"/>
    <n v="0"/>
    <n v="0"/>
    <x v="0"/>
    <n v="34"/>
    <n v="2022"/>
  </r>
  <r>
    <x v="64"/>
    <x v="2"/>
    <x v="0"/>
    <x v="47"/>
    <n v="150"/>
    <n v="630"/>
    <n v="0.19230769230769232"/>
    <n v="0.80769230769230771"/>
    <x v="4"/>
    <n v="74"/>
    <n v="50"/>
    <n v="656"/>
    <n v="1"/>
    <n v="73"/>
    <n v="76"/>
    <n v="6.6666666666666671E-3"/>
    <n v="1.46"/>
    <n v="0.11585365853658537"/>
    <s v="T"/>
    <s v="T"/>
    <s v="T"/>
    <s v="F"/>
    <s v="T"/>
    <s v="T"/>
    <s v="F"/>
    <n v="22"/>
    <n v="33"/>
    <n v="21"/>
    <n v="20"/>
    <n v="9"/>
    <x v="26"/>
    <n v="20"/>
    <n v="2022"/>
  </r>
  <r>
    <x v="65"/>
    <x v="2"/>
    <x v="0"/>
    <x v="48"/>
    <n v="12"/>
    <n v="54"/>
    <n v="0.18181818181818182"/>
    <n v="0.81818181818181812"/>
    <x v="0"/>
    <n v="10"/>
    <n v="11"/>
    <n v="45"/>
    <n v="11"/>
    <n v="45"/>
    <s v="N/A"/>
    <n v="0.91666666666666663"/>
    <n v="4.0909090909090908"/>
    <s v="N/A"/>
    <s v="T"/>
    <s v="F"/>
    <s v="F"/>
    <s v="F"/>
    <s v="F"/>
    <s v="F"/>
    <s v="F"/>
    <s v="N/A"/>
    <s v="N/A"/>
    <s v="N/A"/>
    <s v="N/A"/>
    <s v="N/A"/>
    <x v="0"/>
    <n v="6"/>
    <n v="2022"/>
  </r>
  <r>
    <x v="66"/>
    <x v="2"/>
    <x v="0"/>
    <x v="49"/>
    <n v="100"/>
    <n v="1200"/>
    <n v="7.6923076923076927E-2"/>
    <n v="0.92307692307692313"/>
    <x v="3"/>
    <n v="190"/>
    <n v="220"/>
    <n v="890"/>
    <n v="6"/>
    <n v="10"/>
    <n v="84"/>
    <n v="0.06"/>
    <n v="4.5454545454545456E-2"/>
    <n v="9.4382022471910118E-2"/>
    <s v="T"/>
    <s v="T"/>
    <s v="T"/>
    <s v="T"/>
    <s v="T"/>
    <s v="T"/>
    <s v="T"/>
    <n v="37"/>
    <n v="74"/>
    <n v="113"/>
    <n v="67"/>
    <n v="20"/>
    <x v="27"/>
    <n v="38"/>
    <n v="2022"/>
  </r>
  <r>
    <x v="67"/>
    <x v="2"/>
    <x v="0"/>
    <x v="50"/>
    <n v="400"/>
    <n v="909"/>
    <n v="0.30557677616501144"/>
    <n v="0.69442322383498856"/>
    <x v="3"/>
    <n v="120"/>
    <n v="150"/>
    <n v="1039"/>
    <n v="7"/>
    <n v="15"/>
    <n v="378"/>
    <n v="1.7500000000000002E-2"/>
    <n v="0.1"/>
    <n v="0.36381135707410972"/>
    <s v="T"/>
    <s v="T"/>
    <s v="T"/>
    <s v="T"/>
    <s v="T"/>
    <s v="T"/>
    <s v="T"/>
    <n v="13"/>
    <n v="59"/>
    <n v="47"/>
    <n v="38"/>
    <n v="33"/>
    <x v="21"/>
    <n v="28"/>
    <n v="2022"/>
  </r>
  <r>
    <x v="68"/>
    <x v="2"/>
    <x v="0"/>
    <x v="51"/>
    <n v="40"/>
    <n v="145"/>
    <n v="0.21621621621621623"/>
    <n v="0.78378378378378377"/>
    <x v="2"/>
    <n v="10"/>
    <n v="85"/>
    <n v="90"/>
    <n v="7"/>
    <n v="3"/>
    <n v="30"/>
    <n v="0.17499999999999999"/>
    <n v="3.5294117647058823E-2"/>
    <n v="0.33333333333333331"/>
    <s v="T"/>
    <s v="T"/>
    <s v="T"/>
    <s v="T"/>
    <s v="T"/>
    <s v="T"/>
    <s v="T"/>
    <n v="0"/>
    <n v="0"/>
    <n v="0"/>
    <n v="4"/>
    <n v="0"/>
    <x v="28"/>
    <n v="0"/>
    <n v="2022"/>
  </r>
  <r>
    <x v="69"/>
    <x v="2"/>
    <x v="0"/>
    <x v="7"/>
    <s v="N/A"/>
    <s v="N/A"/>
    <s v="N/A"/>
    <s v="N/A"/>
    <x v="3"/>
    <s v="N/A"/>
    <s v="N/A"/>
    <s v="N/A"/>
    <n v="0"/>
    <n v="0"/>
    <s v="N/A"/>
    <s v="N/A"/>
    <s v="N/A"/>
    <s v="N/A"/>
    <s v="F"/>
    <s v="F"/>
    <s v="F"/>
    <s v="T"/>
    <s v="T"/>
    <s v="T"/>
    <s v="F"/>
    <s v="N/A"/>
    <s v="N/A"/>
    <s v="N/A"/>
    <s v="N/A"/>
    <s v="N/A"/>
    <x v="0"/>
    <n v="0"/>
    <n v="2022"/>
  </r>
  <r>
    <x v="70"/>
    <x v="2"/>
    <x v="0"/>
    <x v="52"/>
    <n v="0"/>
    <n v="932"/>
    <n v="0"/>
    <n v="1"/>
    <x v="4"/>
    <n v="122"/>
    <s v="N/A"/>
    <s v="N/A"/>
    <n v="0"/>
    <n v="0"/>
    <s v="N/A"/>
    <s v="N/A"/>
    <s v="N/A"/>
    <s v="N/A"/>
    <s v="F"/>
    <s v="F"/>
    <s v="F"/>
    <s v="T"/>
    <s v="T"/>
    <s v="T"/>
    <s v="F"/>
    <n v="16"/>
    <n v="62"/>
    <n v="67"/>
    <n v="47"/>
    <n v="45"/>
    <x v="29"/>
    <n v="36"/>
    <n v="2022"/>
  </r>
  <r>
    <x v="71"/>
    <x v="2"/>
    <x v="0"/>
    <x v="53"/>
    <n v="50"/>
    <n v="625"/>
    <n v="7.407407407407407E-2"/>
    <n v="0.92592592592592593"/>
    <x v="4"/>
    <n v="145"/>
    <n v="150"/>
    <n v="380"/>
    <n v="5"/>
    <n v="5"/>
    <n v="40"/>
    <n v="0.1"/>
    <n v="3.3333333333333333E-2"/>
    <n v="0.10526315789473684"/>
    <s v="T"/>
    <s v="T"/>
    <s v="T"/>
    <s v="T"/>
    <s v="T"/>
    <s v="T"/>
    <s v="T"/>
    <n v="14"/>
    <n v="14"/>
    <n v="63"/>
    <n v="63"/>
    <n v="60"/>
    <x v="30"/>
    <n v="27"/>
    <n v="2022"/>
  </r>
  <r>
    <x v="72"/>
    <x v="2"/>
    <x v="0"/>
    <x v="54"/>
    <n v="200"/>
    <n v="570"/>
    <n v="0.25974025974025972"/>
    <n v="0.74025974025974028"/>
    <x v="4"/>
    <n v="94"/>
    <n v="10"/>
    <n v="666"/>
    <n v="0"/>
    <n v="10"/>
    <n v="190"/>
    <n v="0"/>
    <n v="1"/>
    <n v="0.28528528528528529"/>
    <s v="T"/>
    <s v="T"/>
    <s v="T"/>
    <s v="T"/>
    <s v="T"/>
    <s v="T"/>
    <s v="T"/>
    <n v="29"/>
    <n v="53"/>
    <n v="12"/>
    <n v="15"/>
    <n v="0"/>
    <x v="31"/>
    <n v="0"/>
    <n v="2022"/>
  </r>
  <r>
    <x v="73"/>
    <x v="2"/>
    <x v="0"/>
    <x v="55"/>
    <n v="200"/>
    <n v="1723"/>
    <n v="0.10400416016640665"/>
    <n v="0.89599583983359332"/>
    <x v="3"/>
    <n v="155"/>
    <n v="100"/>
    <n v="1668"/>
    <n v="12"/>
    <n v="30"/>
    <n v="158"/>
    <n v="0.06"/>
    <n v="0.3"/>
    <n v="9.4724220623501193E-2"/>
    <s v="T"/>
    <s v="T"/>
    <s v="T"/>
    <s v="T"/>
    <s v="T"/>
    <s v="T"/>
    <s v="T"/>
    <s v="N/A"/>
    <s v="N/A"/>
    <s v="N/A"/>
    <s v="N/A"/>
    <s v="N/A"/>
    <x v="0"/>
    <n v="26"/>
    <n v="2022"/>
  </r>
  <r>
    <x v="74"/>
    <x v="2"/>
    <x v="0"/>
    <x v="56"/>
    <n v="40"/>
    <n v="40"/>
    <n v="0.5"/>
    <n v="0.5"/>
    <x v="0"/>
    <n v="8"/>
    <s v="N/A"/>
    <s v="N/A"/>
    <n v="0"/>
    <n v="0"/>
    <n v="40"/>
    <n v="0"/>
    <s v="N/A"/>
    <s v="N/A"/>
    <s v="F"/>
    <s v="T"/>
    <s v="T"/>
    <s v="T"/>
    <s v="T"/>
    <s v="T"/>
    <s v="F"/>
    <n v="0"/>
    <n v="0"/>
    <n v="0"/>
    <n v="3"/>
    <n v="3"/>
    <x v="32"/>
    <n v="3"/>
    <n v="2022"/>
  </r>
  <r>
    <x v="75"/>
    <x v="2"/>
    <x v="0"/>
    <x v="7"/>
    <s v="N/A"/>
    <s v="N/A"/>
    <s v="N/A"/>
    <s v="N/A"/>
    <x v="3"/>
    <s v="N/A"/>
    <s v="N/A"/>
    <s v="N/A"/>
    <n v="0"/>
    <n v="0"/>
    <s v="N/A"/>
    <s v="N/A"/>
    <s v="N/A"/>
    <s v="N/A"/>
    <s v="F"/>
    <s v="F"/>
    <s v="F"/>
    <s v="T"/>
    <s v="T"/>
    <s v="T"/>
    <s v="F"/>
    <s v="N/A"/>
    <s v="N/A"/>
    <s v="N/A"/>
    <s v="N/A"/>
    <s v="N/A"/>
    <x v="0"/>
    <n v="0"/>
    <n v="2022"/>
  </r>
  <r>
    <x v="76"/>
    <x v="2"/>
    <x v="0"/>
    <x v="57"/>
    <n v="60"/>
    <n v="90"/>
    <n v="0.4"/>
    <n v="0.6"/>
    <x v="2"/>
    <n v="40"/>
    <n v="100"/>
    <n v="10"/>
    <n v="4"/>
    <n v="10"/>
    <n v="46"/>
    <n v="6.6666666666666666E-2"/>
    <n v="0.1"/>
    <n v="4.5999999999999996"/>
    <s v="T"/>
    <s v="T"/>
    <s v="T"/>
    <s v="T"/>
    <s v="F"/>
    <s v="T"/>
    <s v="F"/>
    <s v="N/A"/>
    <s v="N/A"/>
    <s v="N/A"/>
    <s v="N/A"/>
    <s v="N/A"/>
    <x v="0"/>
    <n v="11"/>
    <n v="2022"/>
  </r>
  <r>
    <x v="77"/>
    <x v="3"/>
    <x v="0"/>
    <x v="58"/>
    <n v="95"/>
    <n v="190"/>
    <n v="0.33333333333333331"/>
    <n v="0.66666666666666674"/>
    <x v="2"/>
    <n v="100"/>
    <n v="5"/>
    <n v="180"/>
    <n v="0"/>
    <n v="5"/>
    <n v="90"/>
    <n v="0"/>
    <n v="1"/>
    <n v="0.5"/>
    <s v="T"/>
    <s v="T"/>
    <s v="T"/>
    <s v="T"/>
    <s v="T"/>
    <s v="T"/>
    <s v="T"/>
    <n v="24"/>
    <n v="21"/>
    <n v="50"/>
    <n v="65"/>
    <n v="24"/>
    <x v="33"/>
    <n v="26"/>
    <n v="2022"/>
  </r>
  <r>
    <x v="78"/>
    <x v="3"/>
    <x v="0"/>
    <x v="59"/>
    <n v="70"/>
    <n v="455"/>
    <n v="0.13333333333333333"/>
    <n v="0.8666666666666667"/>
    <x v="4"/>
    <n v="100"/>
    <n v="0"/>
    <n v="425"/>
    <n v="0"/>
    <n v="1"/>
    <n v="69"/>
    <n v="0"/>
    <s v="N/A"/>
    <n v="0.16235294117647059"/>
    <s v="T"/>
    <s v="T"/>
    <s v="T"/>
    <s v="F"/>
    <s v="T"/>
    <s v="T"/>
    <s v="F"/>
    <n v="42"/>
    <n v="85"/>
    <n v="69"/>
    <n v="31"/>
    <n v="9"/>
    <x v="34"/>
    <n v="29"/>
    <n v="2022"/>
  </r>
  <r>
    <x v="79"/>
    <x v="3"/>
    <x v="0"/>
    <x v="60"/>
    <n v="15"/>
    <n v="515"/>
    <n v="2.8301886792452831E-2"/>
    <n v="0.97169811320754718"/>
    <x v="4"/>
    <n v="200"/>
    <n v="0"/>
    <n v="330"/>
    <n v="0"/>
    <n v="0"/>
    <n v="15"/>
    <n v="0"/>
    <s v="N/A"/>
    <n v="4.5454545454545456E-2"/>
    <s v="T"/>
    <s v="T"/>
    <s v="T"/>
    <s v="T"/>
    <s v="T"/>
    <s v="T"/>
    <s v="T"/>
    <s v="N/A"/>
    <s v="N/A"/>
    <s v="N/A"/>
    <s v="N/A"/>
    <s v="N/A"/>
    <x v="0"/>
    <n v="24"/>
    <n v="2022"/>
  </r>
  <r>
    <x v="80"/>
    <x v="3"/>
    <x v="0"/>
    <x v="61"/>
    <n v="15"/>
    <n v="93"/>
    <n v="0.1388888888888889"/>
    <n v="0.86111111111111116"/>
    <x v="2"/>
    <n v="80"/>
    <n v="0"/>
    <n v="28"/>
    <n v="0"/>
    <n v="0"/>
    <n v="15"/>
    <n v="0"/>
    <s v="N/A"/>
    <n v="0.5357142857142857"/>
    <s v="T"/>
    <s v="T"/>
    <s v="T"/>
    <s v="T"/>
    <s v="T"/>
    <s v="T"/>
    <s v="T"/>
    <n v="30"/>
    <n v="25"/>
    <n v="35"/>
    <n v="22"/>
    <n v="19"/>
    <x v="35"/>
    <n v="36"/>
    <n v="2022"/>
  </r>
  <r>
    <x v="81"/>
    <x v="4"/>
    <x v="0"/>
    <x v="62"/>
    <n v="1"/>
    <n v="52"/>
    <n v="1.8867924528301886E-2"/>
    <n v="0.98113207547169812"/>
    <x v="0"/>
    <n v="40"/>
    <n v="0"/>
    <n v="13"/>
    <n v="0"/>
    <n v="1"/>
    <s v="N/A"/>
    <n v="0"/>
    <s v="N/A"/>
    <s v="N/A"/>
    <s v="T"/>
    <s v="F"/>
    <s v="F"/>
    <s v="F"/>
    <s v="F"/>
    <s v="T"/>
    <s v="F"/>
    <s v="N/A"/>
    <s v="N/A"/>
    <s v="N/A"/>
    <s v="N/A"/>
    <s v="N/A"/>
    <x v="0"/>
    <n v="28"/>
    <n v="2022"/>
  </r>
  <r>
    <x v="82"/>
    <x v="3"/>
    <x v="0"/>
    <x v="7"/>
    <s v="N/A"/>
    <s v="N/A"/>
    <s v="N/A"/>
    <s v="N/A"/>
    <x v="3"/>
    <s v="N/A"/>
    <s v="N/A"/>
    <s v="N/A"/>
    <n v="0"/>
    <n v="0"/>
    <s v="N/A"/>
    <s v="N/A"/>
    <s v="N/A"/>
    <s v="N/A"/>
    <s v="F"/>
    <s v="F"/>
    <s v="F"/>
    <s v="T"/>
    <s v="T"/>
    <s v="T"/>
    <s v="F"/>
    <s v="N/A"/>
    <s v="N/A"/>
    <s v="N/A"/>
    <s v="N/A"/>
    <s v="N/A"/>
    <x v="0"/>
    <n v="0"/>
    <n v="2022"/>
  </r>
  <r>
    <x v="83"/>
    <x v="3"/>
    <x v="0"/>
    <x v="63"/>
    <n v="5"/>
    <n v="91"/>
    <n v="5.2083333333333336E-2"/>
    <n v="0.94791666666666663"/>
    <x v="0"/>
    <n v="80"/>
    <n v="0"/>
    <n v="16"/>
    <n v="0"/>
    <n v="0"/>
    <n v="5"/>
    <n v="0"/>
    <s v="N/A"/>
    <n v="0.3125"/>
    <s v="T"/>
    <s v="T"/>
    <s v="T"/>
    <s v="T"/>
    <s v="T"/>
    <s v="T"/>
    <s v="T"/>
    <n v="0"/>
    <n v="0"/>
    <n v="0"/>
    <n v="0"/>
    <n v="0"/>
    <x v="0"/>
    <n v="26"/>
    <n v="2022"/>
  </r>
  <r>
    <x v="84"/>
    <x v="3"/>
    <x v="0"/>
    <x v="7"/>
    <s v="N/A"/>
    <s v="N/A"/>
    <s v="N/A"/>
    <s v="N/A"/>
    <x v="3"/>
    <s v="N/A"/>
    <s v="N/A"/>
    <s v="N/A"/>
    <n v="0"/>
    <n v="0"/>
    <s v="N/A"/>
    <s v="N/A"/>
    <s v="N/A"/>
    <s v="N/A"/>
    <s v="F"/>
    <s v="F"/>
    <s v="F"/>
    <s v="T"/>
    <s v="T"/>
    <s v="T"/>
    <s v="F"/>
    <s v="N/A"/>
    <s v="N/A"/>
    <s v="N/A"/>
    <s v="N/A"/>
    <s v="N/A"/>
    <x v="0"/>
    <n v="0"/>
    <n v="2022"/>
  </r>
  <r>
    <x v="85"/>
    <x v="5"/>
    <x v="0"/>
    <x v="7"/>
    <s v="N/A"/>
    <s v="N/A"/>
    <s v="N/A"/>
    <s v="N/A"/>
    <x v="3"/>
    <s v="N/A"/>
    <s v="N/A"/>
    <s v="N/A"/>
    <n v="0"/>
    <n v="0"/>
    <s v="N/A"/>
    <s v="N/A"/>
    <s v="N/A"/>
    <s v="N/A"/>
    <s v="F"/>
    <s v="F"/>
    <s v="F"/>
    <s v="T"/>
    <s v="T"/>
    <s v="T"/>
    <s v="F"/>
    <s v="N/A"/>
    <s v="N/A"/>
    <s v="N/A"/>
    <s v="N/A"/>
    <s v="N/A"/>
    <x v="0"/>
    <n v="0"/>
    <n v="2022"/>
  </r>
  <r>
    <x v="86"/>
    <x v="4"/>
    <x v="1"/>
    <x v="64"/>
    <n v="0"/>
    <n v="6"/>
    <n v="0"/>
    <n v="1"/>
    <x v="1"/>
    <n v="0"/>
    <n v="0"/>
    <n v="6"/>
    <n v="0"/>
    <n v="0"/>
    <s v="N/A"/>
    <s v="N/A"/>
    <s v="N/A"/>
    <s v="N/A"/>
    <s v="T"/>
    <s v="F"/>
    <s v="F"/>
    <s v="T"/>
    <s v="F"/>
    <s v="T"/>
    <s v="F"/>
    <n v="0"/>
    <n v="5"/>
    <n v="12"/>
    <n v="8"/>
    <n v="1"/>
    <x v="36"/>
    <n v="5"/>
    <n v="2022"/>
  </r>
  <r>
    <x v="87"/>
    <x v="0"/>
    <x v="0"/>
    <x v="2"/>
    <n v="2"/>
    <n v="3"/>
    <n v="0.4"/>
    <n v="0.6"/>
    <x v="1"/>
    <n v="5"/>
    <n v="4"/>
    <s v="N/A"/>
    <n v="4"/>
    <n v="1"/>
    <s v="N/A"/>
    <n v="2"/>
    <n v="0.25"/>
    <s v="N/A"/>
    <s v="F"/>
    <s v="F"/>
    <s v="F"/>
    <s v="T"/>
    <s v="T"/>
    <s v="T"/>
    <s v="F"/>
    <s v="N/A"/>
    <s v="N/A"/>
    <s v="N/A"/>
    <s v="N/A"/>
    <s v="N/A"/>
    <x v="0"/>
    <n v="1"/>
    <n v="2022"/>
  </r>
  <r>
    <x v="88"/>
    <x v="5"/>
    <x v="1"/>
    <x v="65"/>
    <n v="0"/>
    <n v="800"/>
    <n v="0"/>
    <n v="1"/>
    <x v="4"/>
    <n v="0"/>
    <n v="350"/>
    <n v="450"/>
    <n v="0"/>
    <n v="0"/>
    <s v="N/A"/>
    <s v="N/A"/>
    <n v="0"/>
    <s v="N/A"/>
    <s v="T"/>
    <s v="F"/>
    <s v="F"/>
    <s v="T"/>
    <s v="F"/>
    <s v="T"/>
    <s v="F"/>
    <n v="0"/>
    <n v="0"/>
    <n v="2"/>
    <n v="0"/>
    <n v="0"/>
    <x v="37"/>
    <n v="1"/>
    <n v="2022"/>
  </r>
  <r>
    <x v="89"/>
    <x v="5"/>
    <x v="1"/>
    <x v="15"/>
    <n v="0"/>
    <n v="100"/>
    <n v="0"/>
    <n v="1"/>
    <x v="2"/>
    <n v="0"/>
    <n v="40"/>
    <n v="60"/>
    <n v="0"/>
    <n v="0"/>
    <s v="N/A"/>
    <s v="N/A"/>
    <n v="0"/>
    <s v="N/A"/>
    <s v="T"/>
    <s v="F"/>
    <s v="F"/>
    <s v="T"/>
    <s v="F"/>
    <s v="T"/>
    <s v="F"/>
    <n v="5"/>
    <n v="2"/>
    <n v="1"/>
    <n v="0"/>
    <n v="10"/>
    <x v="22"/>
    <n v="11"/>
    <n v="2022"/>
  </r>
  <r>
    <x v="90"/>
    <x v="5"/>
    <x v="0"/>
    <x v="7"/>
    <s v="N/A"/>
    <s v="N/A"/>
    <s v="N/A"/>
    <s v="N/A"/>
    <x v="3"/>
    <s v="N/A"/>
    <s v="N/A"/>
    <s v="N/A"/>
    <n v="0"/>
    <n v="0"/>
    <s v="N/A"/>
    <s v="N/A"/>
    <s v="N/A"/>
    <s v="N/A"/>
    <s v="F"/>
    <s v="F"/>
    <s v="F"/>
    <s v="T"/>
    <s v="T"/>
    <s v="T"/>
    <s v="F"/>
    <s v="N/A"/>
    <s v="N/A"/>
    <s v="N/A"/>
    <s v="N/A"/>
    <s v="N/A"/>
    <x v="0"/>
    <n v="0"/>
    <n v="2022"/>
  </r>
  <r>
    <x v="91"/>
    <x v="5"/>
    <x v="0"/>
    <x v="7"/>
    <s v="N/A"/>
    <s v="N/A"/>
    <s v="N/A"/>
    <s v="N/A"/>
    <x v="3"/>
    <s v="N/A"/>
    <s v="N/A"/>
    <s v="N/A"/>
    <n v="0"/>
    <n v="0"/>
    <s v="N/A"/>
    <s v="N/A"/>
    <s v="N/A"/>
    <s v="N/A"/>
    <s v="F"/>
    <s v="F"/>
    <s v="F"/>
    <s v="T"/>
    <s v="T"/>
    <s v="T"/>
    <s v="F"/>
    <s v="N/A"/>
    <s v="N/A"/>
    <s v="N/A"/>
    <s v="N/A"/>
    <s v="N/A"/>
    <x v="0"/>
    <n v="0"/>
    <n v="2022"/>
  </r>
  <r>
    <x v="92"/>
    <x v="5"/>
    <x v="0"/>
    <x v="7"/>
    <s v="N/A"/>
    <s v="N/A"/>
    <s v="N/A"/>
    <s v="N/A"/>
    <x v="3"/>
    <s v="N/A"/>
    <s v="N/A"/>
    <s v="N/A"/>
    <n v="0"/>
    <n v="0"/>
    <s v="N/A"/>
    <s v="N/A"/>
    <s v="N/A"/>
    <s v="N/A"/>
    <s v="F"/>
    <s v="F"/>
    <s v="F"/>
    <s v="T"/>
    <s v="T"/>
    <s v="T"/>
    <s v="F"/>
    <s v="N/A"/>
    <s v="N/A"/>
    <s v="N/A"/>
    <s v="N/A"/>
    <s v="N/A"/>
    <x v="0"/>
    <n v="0"/>
    <n v="2022"/>
  </r>
  <r>
    <x v="93"/>
    <x v="5"/>
    <x v="0"/>
    <x v="20"/>
    <n v="5"/>
    <n v="52"/>
    <n v="8.771929824561403E-2"/>
    <n v="0.91228070175438591"/>
    <x v="0"/>
    <n v="15"/>
    <n v="36"/>
    <n v="6"/>
    <n v="6"/>
    <n v="1"/>
    <s v="N/A"/>
    <n v="1.2"/>
    <n v="2.7777777777777776E-2"/>
    <s v="N/A"/>
    <s v="T"/>
    <s v="F"/>
    <s v="F"/>
    <s v="T"/>
    <s v="F"/>
    <s v="T"/>
    <s v="F"/>
    <n v="8"/>
    <n v="2"/>
    <n v="0"/>
    <n v="0"/>
    <n v="3"/>
    <x v="38"/>
    <n v="0"/>
    <n v="2022"/>
  </r>
  <r>
    <x v="94"/>
    <x v="1"/>
    <x v="1"/>
    <x v="66"/>
    <n v="0"/>
    <n v="3"/>
    <n v="0"/>
    <n v="1"/>
    <x v="1"/>
    <n v="0"/>
    <s v="N/A"/>
    <s v="N/A"/>
    <n v="0"/>
    <n v="0"/>
    <s v="N/A"/>
    <s v="N/A"/>
    <s v="N/A"/>
    <s v="N/A"/>
    <s v="F"/>
    <s v="F"/>
    <s v="F"/>
    <s v="T"/>
    <s v="T"/>
    <s v="T"/>
    <s v="F"/>
    <n v="0"/>
    <n v="1"/>
    <n v="3"/>
    <n v="8"/>
    <n v="2"/>
    <x v="39"/>
    <n v="5"/>
    <n v="2022"/>
  </r>
  <r>
    <x v="95"/>
    <x v="0"/>
    <x v="1"/>
    <x v="66"/>
    <n v="0"/>
    <n v="3"/>
    <n v="0"/>
    <n v="1"/>
    <x v="1"/>
    <n v="0"/>
    <n v="0"/>
    <n v="3"/>
    <n v="0"/>
    <n v="0"/>
    <s v="N/A"/>
    <s v="N/A"/>
    <s v="N/A"/>
    <s v="N/A"/>
    <s v="T"/>
    <s v="F"/>
    <s v="F"/>
    <s v="T"/>
    <s v="F"/>
    <s v="T"/>
    <s v="F"/>
    <n v="1"/>
    <n v="5"/>
    <n v="11"/>
    <n v="11"/>
    <n v="6"/>
    <x v="40"/>
    <n v="15"/>
    <n v="2022"/>
  </r>
  <r>
    <x v="96"/>
    <x v="3"/>
    <x v="1"/>
    <x v="2"/>
    <n v="0"/>
    <n v="5"/>
    <n v="0"/>
    <n v="1"/>
    <x v="1"/>
    <n v="0"/>
    <n v="0"/>
    <n v="5"/>
    <n v="0"/>
    <n v="0"/>
    <s v="N/A"/>
    <s v="N/A"/>
    <s v="N/A"/>
    <s v="N/A"/>
    <s v="T"/>
    <s v="F"/>
    <s v="F"/>
    <s v="T"/>
    <s v="F"/>
    <s v="T"/>
    <s v="F"/>
    <n v="1"/>
    <n v="4"/>
    <n v="4"/>
    <n v="3"/>
    <n v="6"/>
    <x v="22"/>
    <n v="2"/>
    <n v="2022"/>
  </r>
  <r>
    <x v="97"/>
    <x v="5"/>
    <x v="1"/>
    <x v="67"/>
    <n v="0"/>
    <n v="7"/>
    <n v="0"/>
    <n v="1"/>
    <x v="1"/>
    <n v="0"/>
    <n v="6"/>
    <n v="1"/>
    <n v="0"/>
    <n v="0"/>
    <s v="N/A"/>
    <s v="N/A"/>
    <n v="0"/>
    <s v="N/A"/>
    <s v="T"/>
    <s v="F"/>
    <s v="F"/>
    <s v="T"/>
    <s v="F"/>
    <s v="T"/>
    <s v="F"/>
    <n v="0"/>
    <n v="1"/>
    <n v="0"/>
    <n v="3"/>
    <n v="3"/>
    <x v="41"/>
    <n v="0"/>
    <n v="2022"/>
  </r>
  <r>
    <x v="98"/>
    <x v="4"/>
    <x v="1"/>
    <x v="68"/>
    <n v="0"/>
    <n v="0"/>
    <s v="N/A"/>
    <s v="N/A"/>
    <x v="5"/>
    <n v="0"/>
    <s v="N/A"/>
    <s v="N/A"/>
    <n v="0"/>
    <n v="0"/>
    <s v="N/A"/>
    <s v="N/A"/>
    <s v="N/A"/>
    <s v="N/A"/>
    <s v="F"/>
    <s v="F"/>
    <s v="F"/>
    <s v="T"/>
    <s v="T"/>
    <s v="T"/>
    <s v="F"/>
    <s v="N/A"/>
    <s v="N/A"/>
    <s v="N/A"/>
    <s v="N/A"/>
    <s v="N/A"/>
    <x v="0"/>
    <n v="1"/>
    <n v="2022"/>
  </r>
  <r>
    <x v="99"/>
    <x v="4"/>
    <x v="0"/>
    <x v="7"/>
    <s v="N/A"/>
    <s v="N/A"/>
    <s v="N/A"/>
    <s v="N/A"/>
    <x v="3"/>
    <s v="N/A"/>
    <s v="N/A"/>
    <s v="N/A"/>
    <n v="0"/>
    <n v="0"/>
    <s v="N/A"/>
    <s v="N/A"/>
    <s v="N/A"/>
    <s v="N/A"/>
    <s v="F"/>
    <s v="F"/>
    <s v="F"/>
    <s v="T"/>
    <s v="T"/>
    <s v="T"/>
    <s v="F"/>
    <s v="N/A"/>
    <s v="N/A"/>
    <s v="N/A"/>
    <s v="N/A"/>
    <s v="N/A"/>
    <x v="0"/>
    <n v="0"/>
    <n v="2022"/>
  </r>
  <r>
    <x v="100"/>
    <x v="4"/>
    <x v="1"/>
    <x v="69"/>
    <n v="0"/>
    <n v="9"/>
    <n v="0"/>
    <n v="1"/>
    <x v="1"/>
    <n v="0"/>
    <n v="0"/>
    <n v="9"/>
    <n v="0"/>
    <n v="0"/>
    <s v="N/A"/>
    <s v="N/A"/>
    <s v="N/A"/>
    <s v="N/A"/>
    <s v="T"/>
    <s v="F"/>
    <s v="F"/>
    <s v="T"/>
    <s v="F"/>
    <s v="T"/>
    <s v="F"/>
    <n v="0"/>
    <n v="0"/>
    <n v="6"/>
    <n v="2"/>
    <n v="0"/>
    <x v="42"/>
    <n v="1"/>
    <n v="2022"/>
  </r>
  <r>
    <x v="101"/>
    <x v="2"/>
    <x v="1"/>
    <x v="67"/>
    <n v="0"/>
    <n v="7"/>
    <n v="0"/>
    <n v="1"/>
    <x v="1"/>
    <n v="0"/>
    <n v="0"/>
    <n v="7"/>
    <n v="0"/>
    <n v="0"/>
    <s v="N/A"/>
    <s v="N/A"/>
    <s v="N/A"/>
    <s v="N/A"/>
    <s v="T"/>
    <s v="F"/>
    <s v="F"/>
    <s v="T"/>
    <s v="F"/>
    <s v="T"/>
    <s v="F"/>
    <n v="0"/>
    <n v="0"/>
    <n v="0"/>
    <n v="0"/>
    <n v="0"/>
    <x v="0"/>
    <n v="4"/>
    <n v="2022"/>
  </r>
  <r>
    <x v="102"/>
    <x v="4"/>
    <x v="1"/>
    <x v="7"/>
    <s v="N/A"/>
    <s v="N/A"/>
    <s v="N/A"/>
    <s v="N/A"/>
    <x v="3"/>
    <s v="N/A"/>
    <s v="N/A"/>
    <s v="N/A"/>
    <n v="0"/>
    <n v="0"/>
    <s v="N/A"/>
    <s v="N/A"/>
    <s v="N/A"/>
    <s v="N/A"/>
    <s v="F"/>
    <s v="F"/>
    <s v="F"/>
    <s v="T"/>
    <s v="T"/>
    <s v="T"/>
    <s v="F"/>
    <s v="N/A"/>
    <s v="N/A"/>
    <s v="N/A"/>
    <s v="N/A"/>
    <s v="N/A"/>
    <x v="0"/>
    <n v="0"/>
    <n v="2022"/>
  </r>
  <r>
    <x v="103"/>
    <x v="4"/>
    <x v="1"/>
    <x v="7"/>
    <s v="N/A"/>
    <s v="N/A"/>
    <s v="N/A"/>
    <s v="N/A"/>
    <x v="3"/>
    <s v="N/A"/>
    <s v="N/A"/>
    <s v="N/A"/>
    <n v="0"/>
    <n v="0"/>
    <s v="N/A"/>
    <s v="N/A"/>
    <s v="N/A"/>
    <s v="N/A"/>
    <s v="F"/>
    <s v="F"/>
    <s v="F"/>
    <s v="T"/>
    <s v="T"/>
    <s v="T"/>
    <s v="F"/>
    <s v="N/A"/>
    <s v="N/A"/>
    <s v="N/A"/>
    <s v="N/A"/>
    <s v="N/A"/>
    <x v="0"/>
    <n v="0"/>
    <n v="2022"/>
  </r>
  <r>
    <x v="104"/>
    <x v="4"/>
    <x v="1"/>
    <x v="2"/>
    <n v="0"/>
    <n v="5"/>
    <n v="0"/>
    <n v="1"/>
    <x v="1"/>
    <n v="0"/>
    <n v="1"/>
    <n v="4"/>
    <n v="0"/>
    <n v="0"/>
    <s v="N/A"/>
    <s v="N/A"/>
    <n v="0"/>
    <s v="N/A"/>
    <s v="T"/>
    <s v="F"/>
    <s v="F"/>
    <s v="T"/>
    <s v="F"/>
    <s v="T"/>
    <s v="F"/>
    <s v="N/A"/>
    <s v="N/A"/>
    <s v="N/A"/>
    <s v="N/A"/>
    <s v="N/A"/>
    <x v="0"/>
    <n v="0"/>
    <n v="2022"/>
  </r>
  <r>
    <x v="105"/>
    <x v="4"/>
    <x v="1"/>
    <x v="32"/>
    <n v="0"/>
    <n v="28"/>
    <n v="0"/>
    <n v="1"/>
    <x v="1"/>
    <n v="0"/>
    <n v="1"/>
    <n v="27"/>
    <n v="0"/>
    <n v="0"/>
    <s v="N/A"/>
    <s v="N/A"/>
    <n v="0"/>
    <s v="N/A"/>
    <s v="T"/>
    <s v="F"/>
    <s v="F"/>
    <s v="T"/>
    <s v="F"/>
    <s v="T"/>
    <s v="F"/>
    <s v="N/A"/>
    <s v="N/A"/>
    <s v="N/A"/>
    <s v="N/A"/>
    <s v="N/A"/>
    <x v="0"/>
    <n v="1"/>
    <n v="2022"/>
  </r>
  <r>
    <x v="106"/>
    <x v="4"/>
    <x v="1"/>
    <x v="70"/>
    <n v="0"/>
    <n v="92"/>
    <n v="0"/>
    <n v="1"/>
    <x v="0"/>
    <n v="0"/>
    <n v="0"/>
    <n v="92"/>
    <n v="0"/>
    <n v="0"/>
    <s v="N/A"/>
    <s v="N/A"/>
    <s v="N/A"/>
    <s v="N/A"/>
    <s v="T"/>
    <s v="F"/>
    <s v="F"/>
    <s v="T"/>
    <s v="F"/>
    <s v="T"/>
    <s v="F"/>
    <n v="0"/>
    <n v="13"/>
    <n v="5"/>
    <n v="0"/>
    <n v="1"/>
    <x v="12"/>
    <n v="0"/>
    <n v="2022"/>
  </r>
  <r>
    <x v="107"/>
    <x v="3"/>
    <x v="1"/>
    <x v="71"/>
    <n v="0"/>
    <n v="17"/>
    <n v="0"/>
    <n v="1"/>
    <x v="1"/>
    <n v="0"/>
    <n v="0"/>
    <n v="17"/>
    <n v="0"/>
    <n v="0"/>
    <s v="N/A"/>
    <s v="N/A"/>
    <s v="N/A"/>
    <s v="N/A"/>
    <s v="T"/>
    <s v="F"/>
    <s v="F"/>
    <s v="T"/>
    <s v="F"/>
    <s v="T"/>
    <s v="F"/>
    <n v="0"/>
    <n v="0"/>
    <n v="6"/>
    <n v="2"/>
    <n v="0"/>
    <x v="42"/>
    <n v="0"/>
    <n v="2022"/>
  </r>
  <r>
    <x v="108"/>
    <x v="1"/>
    <x v="1"/>
    <x v="72"/>
    <n v="0"/>
    <n v="120"/>
    <n v="0"/>
    <n v="1"/>
    <x v="2"/>
    <n v="0"/>
    <n v="0"/>
    <n v="120"/>
    <n v="0"/>
    <n v="0"/>
    <s v="N/A"/>
    <s v="N/A"/>
    <s v="N/A"/>
    <s v="N/A"/>
    <s v="T"/>
    <s v="F"/>
    <s v="F"/>
    <s v="T"/>
    <s v="F"/>
    <s v="T"/>
    <s v="F"/>
    <n v="0"/>
    <n v="2"/>
    <n v="0"/>
    <n v="1"/>
    <n v="1"/>
    <x v="28"/>
    <n v="16"/>
    <n v="2022"/>
  </r>
  <r>
    <x v="109"/>
    <x v="4"/>
    <x v="1"/>
    <x v="73"/>
    <n v="0"/>
    <n v="21"/>
    <n v="0"/>
    <n v="1"/>
    <x v="1"/>
    <n v="0"/>
    <n v="0"/>
    <n v="21"/>
    <n v="0"/>
    <n v="0"/>
    <s v="N/A"/>
    <s v="N/A"/>
    <s v="N/A"/>
    <s v="N/A"/>
    <s v="T"/>
    <s v="F"/>
    <s v="F"/>
    <s v="T"/>
    <s v="F"/>
    <s v="T"/>
    <s v="F"/>
    <n v="0"/>
    <n v="0"/>
    <n v="0"/>
    <n v="0"/>
    <n v="0"/>
    <x v="0"/>
    <n v="3"/>
    <n v="2022"/>
  </r>
  <r>
    <x v="110"/>
    <x v="4"/>
    <x v="0"/>
    <x v="7"/>
    <s v="N/A"/>
    <s v="N/A"/>
    <s v="N/A"/>
    <s v="N/A"/>
    <x v="3"/>
    <s v="N/A"/>
    <s v="N/A"/>
    <s v="N/A"/>
    <n v="0"/>
    <n v="0"/>
    <s v="N/A"/>
    <s v="N/A"/>
    <s v="N/A"/>
    <s v="N/A"/>
    <s v="F"/>
    <s v="F"/>
    <s v="F"/>
    <s v="T"/>
    <s v="T"/>
    <s v="T"/>
    <s v="F"/>
    <s v="N/A"/>
    <s v="N/A"/>
    <s v="N/A"/>
    <s v="N/A"/>
    <s v="N/A"/>
    <x v="0"/>
    <n v="0"/>
    <n v="2022"/>
  </r>
  <r>
    <x v="111"/>
    <x v="4"/>
    <x v="0"/>
    <x v="7"/>
    <s v="N/A"/>
    <s v="N/A"/>
    <s v="N/A"/>
    <s v="N/A"/>
    <x v="3"/>
    <s v="N/A"/>
    <s v="N/A"/>
    <s v="N/A"/>
    <n v="0"/>
    <n v="0"/>
    <s v="N/A"/>
    <s v="N/A"/>
    <s v="N/A"/>
    <s v="N/A"/>
    <s v="F"/>
    <s v="F"/>
    <s v="F"/>
    <s v="T"/>
    <s v="T"/>
    <s v="T"/>
    <s v="F"/>
    <s v="N/A"/>
    <s v="N/A"/>
    <s v="N/A"/>
    <s v="N/A"/>
    <s v="N/A"/>
    <x v="0"/>
    <n v="0"/>
    <n v="2022"/>
  </r>
  <r>
    <x v="112"/>
    <x v="4"/>
    <x v="0"/>
    <x v="7"/>
    <s v="N/A"/>
    <s v="N/A"/>
    <s v="N/A"/>
    <s v="N/A"/>
    <x v="3"/>
    <s v="N/A"/>
    <s v="N/A"/>
    <s v="N/A"/>
    <n v="0"/>
    <n v="0"/>
    <s v="N/A"/>
    <s v="N/A"/>
    <s v="N/A"/>
    <s v="N/A"/>
    <s v="F"/>
    <s v="F"/>
    <s v="F"/>
    <s v="T"/>
    <s v="T"/>
    <s v="T"/>
    <s v="F"/>
    <s v="N/A"/>
    <s v="N/A"/>
    <s v="N/A"/>
    <s v="N/A"/>
    <s v="N/A"/>
    <x v="0"/>
    <n v="0"/>
    <n v="2022"/>
  </r>
  <r>
    <x v="113"/>
    <x v="3"/>
    <x v="1"/>
    <x v="74"/>
    <n v="0"/>
    <n v="300"/>
    <n v="0"/>
    <n v="1"/>
    <x v="2"/>
    <n v="0"/>
    <n v="50"/>
    <n v="250"/>
    <n v="0"/>
    <n v="0"/>
    <s v="N/A"/>
    <s v="N/A"/>
    <n v="0"/>
    <s v="N/A"/>
    <s v="T"/>
    <s v="F"/>
    <s v="F"/>
    <s v="T"/>
    <s v="F"/>
    <s v="T"/>
    <s v="F"/>
    <s v="N/A"/>
    <s v="N/A"/>
    <s v="N/A"/>
    <s v="N/A"/>
    <s v="N/A"/>
    <x v="0"/>
    <n v="1"/>
    <n v="2022"/>
  </r>
  <r>
    <x v="114"/>
    <x v="1"/>
    <x v="0"/>
    <x v="75"/>
    <n v="3"/>
    <n v="35"/>
    <n v="7.8947368421052627E-2"/>
    <n v="0.92105263157894735"/>
    <x v="1"/>
    <n v="20"/>
    <n v="0"/>
    <n v="18"/>
    <n v="0"/>
    <n v="0"/>
    <n v="3"/>
    <n v="0"/>
    <s v="N/A"/>
    <n v="0.16666666666666666"/>
    <s v="T"/>
    <s v="T"/>
    <s v="T"/>
    <s v="T"/>
    <s v="T"/>
    <s v="T"/>
    <s v="T"/>
    <n v="0"/>
    <n v="0"/>
    <n v="0"/>
    <n v="0"/>
    <n v="0"/>
    <x v="0"/>
    <n v="5"/>
    <n v="2022"/>
  </r>
  <r>
    <x v="115"/>
    <x v="4"/>
    <x v="1"/>
    <x v="7"/>
    <s v="N/A"/>
    <s v="N/A"/>
    <s v="N/A"/>
    <s v="N/A"/>
    <x v="3"/>
    <s v="N/A"/>
    <s v="N/A"/>
    <s v="N/A"/>
    <n v="0"/>
    <n v="0"/>
    <s v="N/A"/>
    <s v="N/A"/>
    <s v="N/A"/>
    <s v="N/A"/>
    <s v="F"/>
    <s v="F"/>
    <s v="F"/>
    <s v="T"/>
    <s v="T"/>
    <s v="T"/>
    <s v="F"/>
    <s v="N/A"/>
    <s v="N/A"/>
    <s v="N/A"/>
    <s v="N/A"/>
    <s v="N/A"/>
    <x v="0"/>
    <n v="0"/>
    <n v="2022"/>
  </r>
  <r>
    <x v="116"/>
    <x v="4"/>
    <x v="1"/>
    <x v="73"/>
    <n v="0"/>
    <n v="21"/>
    <n v="0"/>
    <n v="1"/>
    <x v="1"/>
    <n v="0"/>
    <n v="0"/>
    <n v="21"/>
    <n v="0"/>
    <n v="0"/>
    <s v="N/A"/>
    <s v="N/A"/>
    <s v="N/A"/>
    <s v="N/A"/>
    <s v="T"/>
    <s v="F"/>
    <s v="F"/>
    <s v="T"/>
    <s v="F"/>
    <s v="T"/>
    <s v="F"/>
    <s v="N/A"/>
    <s v="N/A"/>
    <s v="N/A"/>
    <s v="N/A"/>
    <s v="N/A"/>
    <x v="0"/>
    <n v="1"/>
    <n v="2022"/>
  </r>
  <r>
    <x v="117"/>
    <x v="4"/>
    <x v="1"/>
    <x v="76"/>
    <n v="0"/>
    <n v="11"/>
    <n v="0"/>
    <n v="1"/>
    <x v="1"/>
    <n v="0"/>
    <n v="2"/>
    <n v="9"/>
    <n v="0"/>
    <n v="0"/>
    <s v="N/A"/>
    <s v="N/A"/>
    <n v="0"/>
    <s v="N/A"/>
    <s v="T"/>
    <s v="F"/>
    <s v="F"/>
    <s v="T"/>
    <s v="F"/>
    <s v="T"/>
    <s v="F"/>
    <n v="0"/>
    <n v="0"/>
    <n v="0"/>
    <n v="0"/>
    <n v="0"/>
    <x v="0"/>
    <n v="1"/>
    <n v="2022"/>
  </r>
  <r>
    <x v="118"/>
    <x v="4"/>
    <x v="1"/>
    <x v="7"/>
    <s v="N/A"/>
    <s v="N/A"/>
    <s v="N/A"/>
    <s v="N/A"/>
    <x v="3"/>
    <s v="N/A"/>
    <s v="N/A"/>
    <s v="N/A"/>
    <n v="0"/>
    <n v="0"/>
    <s v="N/A"/>
    <s v="N/A"/>
    <s v="N/A"/>
    <s v="N/A"/>
    <s v="F"/>
    <s v="F"/>
    <s v="F"/>
    <s v="T"/>
    <s v="T"/>
    <s v="T"/>
    <s v="F"/>
    <s v="N/A"/>
    <s v="N/A"/>
    <s v="N/A"/>
    <s v="N/A"/>
    <s v="N/A"/>
    <x v="0"/>
    <n v="0"/>
    <n v="2022"/>
  </r>
  <r>
    <x v="119"/>
    <x v="1"/>
    <x v="1"/>
    <x v="68"/>
    <n v="0"/>
    <n v="0"/>
    <s v="N/A"/>
    <s v="N/A"/>
    <x v="5"/>
    <n v="0"/>
    <n v="0"/>
    <s v="N/A"/>
    <n v="0"/>
    <n v="0"/>
    <s v="N/A"/>
    <s v="N/A"/>
    <s v="N/A"/>
    <s v="N/A"/>
    <s v="F"/>
    <s v="F"/>
    <s v="F"/>
    <s v="T"/>
    <s v="T"/>
    <s v="T"/>
    <s v="F"/>
    <s v="N/A"/>
    <s v="N/A"/>
    <s v="N/A"/>
    <s v="N/A"/>
    <s v="N/A"/>
    <x v="0"/>
    <n v="0"/>
    <n v="2022"/>
  </r>
  <r>
    <x v="120"/>
    <x v="3"/>
    <x v="1"/>
    <x v="77"/>
    <n v="0"/>
    <n v="25"/>
    <n v="0"/>
    <n v="1"/>
    <x v="1"/>
    <n v="0"/>
    <n v="6"/>
    <n v="19"/>
    <n v="0"/>
    <n v="0"/>
    <s v="N/A"/>
    <s v="N/A"/>
    <n v="0"/>
    <s v="N/A"/>
    <s v="T"/>
    <s v="F"/>
    <s v="F"/>
    <s v="T"/>
    <s v="F"/>
    <s v="T"/>
    <s v="F"/>
    <n v="0"/>
    <n v="3"/>
    <n v="2"/>
    <n v="0"/>
    <n v="0"/>
    <x v="15"/>
    <n v="2"/>
    <n v="2022"/>
  </r>
  <r>
    <x v="121"/>
    <x v="4"/>
    <x v="1"/>
    <x v="78"/>
    <n v="0"/>
    <n v="26"/>
    <n v="0"/>
    <n v="1"/>
    <x v="1"/>
    <n v="0"/>
    <n v="8"/>
    <n v="18"/>
    <n v="0"/>
    <n v="0"/>
    <s v="N/A"/>
    <s v="N/A"/>
    <n v="0"/>
    <s v="N/A"/>
    <s v="T"/>
    <s v="F"/>
    <s v="F"/>
    <s v="T"/>
    <s v="F"/>
    <s v="T"/>
    <s v="F"/>
    <n v="2"/>
    <n v="3"/>
    <n v="3"/>
    <n v="0"/>
    <n v="2"/>
    <x v="43"/>
    <n v="2"/>
    <n v="2022"/>
  </r>
  <r>
    <x v="122"/>
    <x v="4"/>
    <x v="0"/>
    <x v="7"/>
    <s v="N/A"/>
    <s v="N/A"/>
    <s v="N/A"/>
    <s v="N/A"/>
    <x v="3"/>
    <s v="N/A"/>
    <s v="N/A"/>
    <s v="N/A"/>
    <n v="0"/>
    <n v="0"/>
    <s v="N/A"/>
    <s v="N/A"/>
    <s v="N/A"/>
    <s v="N/A"/>
    <s v="F"/>
    <s v="F"/>
    <s v="F"/>
    <s v="T"/>
    <s v="T"/>
    <s v="T"/>
    <s v="F"/>
    <s v="N/A"/>
    <s v="N/A"/>
    <s v="N/A"/>
    <s v="N/A"/>
    <s v="N/A"/>
    <x v="0"/>
    <n v="0"/>
    <n v="2022"/>
  </r>
  <r>
    <x v="123"/>
    <x v="4"/>
    <x v="0"/>
    <x v="16"/>
    <n v="5"/>
    <n v="38"/>
    <n v="0.11627906976744186"/>
    <n v="0.88372093023255816"/>
    <x v="1"/>
    <n v="16"/>
    <n v="15"/>
    <n v="12"/>
    <n v="6"/>
    <n v="4"/>
    <s v="N/A"/>
    <n v="1.2"/>
    <n v="0.26666666666666666"/>
    <s v="N/A"/>
    <s v="T"/>
    <s v="F"/>
    <s v="F"/>
    <s v="T"/>
    <s v="F"/>
    <s v="T"/>
    <s v="F"/>
    <s v="N/A"/>
    <s v="N/A"/>
    <s v="N/A"/>
    <s v="N/A"/>
    <s v="N/A"/>
    <x v="0"/>
    <n v="4"/>
    <n v="2022"/>
  </r>
  <r>
    <x v="124"/>
    <x v="4"/>
    <x v="1"/>
    <x v="7"/>
    <s v="N/A"/>
    <s v="N/A"/>
    <s v="N/A"/>
    <s v="N/A"/>
    <x v="3"/>
    <s v="N/A"/>
    <s v="N/A"/>
    <s v="N/A"/>
    <n v="0"/>
    <n v="0"/>
    <s v="N/A"/>
    <s v="N/A"/>
    <s v="N/A"/>
    <s v="N/A"/>
    <s v="F"/>
    <s v="F"/>
    <s v="F"/>
    <s v="T"/>
    <s v="T"/>
    <s v="T"/>
    <s v="F"/>
    <s v="N/A"/>
    <s v="N/A"/>
    <s v="N/A"/>
    <s v="N/A"/>
    <s v="N/A"/>
    <x v="0"/>
    <n v="0"/>
    <n v="2022"/>
  </r>
  <r>
    <x v="125"/>
    <x v="2"/>
    <x v="0"/>
    <x v="38"/>
    <n v="0"/>
    <n v="20"/>
    <n v="0"/>
    <n v="1"/>
    <x v="1"/>
    <n v="20"/>
    <n v="0"/>
    <s v="N/A"/>
    <n v="0"/>
    <n v="0"/>
    <s v="N/A"/>
    <s v="N/A"/>
    <s v="N/A"/>
    <s v="N/A"/>
    <s v="F"/>
    <s v="F"/>
    <s v="F"/>
    <s v="T"/>
    <s v="T"/>
    <s v="T"/>
    <s v="F"/>
    <n v="0"/>
    <n v="0"/>
    <n v="14"/>
    <n v="6"/>
    <n v="0"/>
    <x v="3"/>
    <n v="7"/>
    <n v="2022"/>
  </r>
  <r>
    <x v="126"/>
    <x v="4"/>
    <x v="0"/>
    <x v="7"/>
    <s v="N/A"/>
    <s v="N/A"/>
    <s v="N/A"/>
    <s v="N/A"/>
    <x v="3"/>
    <s v="N/A"/>
    <s v="N/A"/>
    <s v="N/A"/>
    <n v="0"/>
    <n v="0"/>
    <s v="N/A"/>
    <s v="N/A"/>
    <s v="N/A"/>
    <s v="N/A"/>
    <s v="F"/>
    <s v="F"/>
    <s v="F"/>
    <s v="T"/>
    <s v="T"/>
    <s v="T"/>
    <s v="F"/>
    <s v="N/A"/>
    <s v="N/A"/>
    <s v="N/A"/>
    <s v="N/A"/>
    <s v="N/A"/>
    <x v="0"/>
    <n v="0"/>
    <n v="2022"/>
  </r>
  <r>
    <x v="127"/>
    <x v="4"/>
    <x v="1"/>
    <x v="68"/>
    <n v="0"/>
    <n v="0"/>
    <s v="N/A"/>
    <s v="N/A"/>
    <x v="5"/>
    <n v="0"/>
    <n v="0"/>
    <s v="N/A"/>
    <n v="0"/>
    <n v="0"/>
    <s v="N/A"/>
    <s v="N/A"/>
    <s v="N/A"/>
    <s v="N/A"/>
    <s v="F"/>
    <s v="F"/>
    <s v="F"/>
    <s v="T"/>
    <s v="T"/>
    <s v="T"/>
    <s v="F"/>
    <s v="N/A"/>
    <s v="N/A"/>
    <s v="N/A"/>
    <s v="N/A"/>
    <s v="N/A"/>
    <x v="0"/>
    <n v="0"/>
    <n v="2022"/>
  </r>
  <r>
    <x v="128"/>
    <x v="5"/>
    <x v="1"/>
    <x v="7"/>
    <s v="N/A"/>
    <s v="N/A"/>
    <s v="N/A"/>
    <s v="N/A"/>
    <x v="3"/>
    <s v="N/A"/>
    <s v="N/A"/>
    <s v="N/A"/>
    <n v="0"/>
    <n v="0"/>
    <s v="N/A"/>
    <s v="N/A"/>
    <s v="N/A"/>
    <s v="N/A"/>
    <s v="F"/>
    <s v="F"/>
    <s v="F"/>
    <s v="T"/>
    <s v="T"/>
    <s v="T"/>
    <s v="F"/>
    <s v="N/A"/>
    <s v="N/A"/>
    <s v="N/A"/>
    <s v="N/A"/>
    <s v="N/A"/>
    <x v="0"/>
    <n v="0"/>
    <n v="2022"/>
  </r>
  <r>
    <x v="129"/>
    <x v="3"/>
    <x v="1"/>
    <x v="68"/>
    <n v="0"/>
    <n v="0"/>
    <s v="N/A"/>
    <s v="N/A"/>
    <x v="5"/>
    <n v="0"/>
    <n v="0"/>
    <s v="N/A"/>
    <n v="0"/>
    <n v="0"/>
    <s v="N/A"/>
    <s v="N/A"/>
    <s v="N/A"/>
    <s v="N/A"/>
    <s v="F"/>
    <s v="F"/>
    <s v="F"/>
    <s v="T"/>
    <s v="T"/>
    <s v="T"/>
    <s v="F"/>
    <s v="N/A"/>
    <s v="N/A"/>
    <s v="N/A"/>
    <s v="N/A"/>
    <s v="N/A"/>
    <x v="0"/>
    <n v="3"/>
    <n v="2022"/>
  </r>
  <r>
    <x v="130"/>
    <x v="3"/>
    <x v="1"/>
    <x v="68"/>
    <n v="0"/>
    <n v="0"/>
    <s v="N/A"/>
    <s v="N/A"/>
    <x v="5"/>
    <n v="0"/>
    <n v="0"/>
    <s v="N/A"/>
    <n v="0"/>
    <n v="0"/>
    <s v="N/A"/>
    <s v="N/A"/>
    <s v="N/A"/>
    <s v="N/A"/>
    <s v="F"/>
    <s v="F"/>
    <s v="F"/>
    <s v="T"/>
    <s v="T"/>
    <s v="T"/>
    <s v="F"/>
    <s v="N/A"/>
    <s v="N/A"/>
    <s v="N/A"/>
    <s v="N/A"/>
    <s v="N/A"/>
    <x v="0"/>
    <n v="5"/>
    <n v="2022"/>
  </r>
  <r>
    <x v="131"/>
    <x v="4"/>
    <x v="1"/>
    <x v="7"/>
    <s v="N/A"/>
    <s v="N/A"/>
    <s v="N/A"/>
    <s v="N/A"/>
    <x v="3"/>
    <s v="N/A"/>
    <s v="N/A"/>
    <s v="N/A"/>
    <n v="0"/>
    <n v="0"/>
    <s v="N/A"/>
    <s v="N/A"/>
    <s v="N/A"/>
    <s v="N/A"/>
    <s v="F"/>
    <s v="F"/>
    <s v="F"/>
    <s v="T"/>
    <s v="T"/>
    <s v="T"/>
    <s v="F"/>
    <s v="N/A"/>
    <s v="N/A"/>
    <s v="N/A"/>
    <s v="N/A"/>
    <s v="N/A"/>
    <x v="0"/>
    <n v="0"/>
    <n v="2022"/>
  </r>
  <r>
    <x v="132"/>
    <x v="4"/>
    <x v="0"/>
    <x v="79"/>
    <n v="1"/>
    <n v="78"/>
    <n v="1.2658227848101266E-2"/>
    <n v="0.98734177215189878"/>
    <x v="0"/>
    <n v="65"/>
    <n v="0"/>
    <n v="14"/>
    <n v="0"/>
    <n v="0"/>
    <n v="1"/>
    <n v="0"/>
    <s v="N/A"/>
    <n v="7.1428571428571425E-2"/>
    <s v="T"/>
    <s v="T"/>
    <s v="T"/>
    <s v="T"/>
    <s v="T"/>
    <s v="T"/>
    <s v="T"/>
    <s v="N/A"/>
    <s v="N/A"/>
    <s v="N/A"/>
    <s v="N/A"/>
    <s v="N/A"/>
    <x v="0"/>
    <n v="0"/>
    <n v="2022"/>
  </r>
  <r>
    <x v="133"/>
    <x v="4"/>
    <x v="1"/>
    <x v="80"/>
    <n v="0"/>
    <n v="4"/>
    <n v="0"/>
    <n v="1"/>
    <x v="1"/>
    <n v="0"/>
    <n v="0"/>
    <n v="4"/>
    <n v="0"/>
    <n v="0"/>
    <s v="N/A"/>
    <s v="N/A"/>
    <s v="N/A"/>
    <s v="N/A"/>
    <s v="T"/>
    <s v="F"/>
    <s v="F"/>
    <s v="T"/>
    <s v="F"/>
    <s v="T"/>
    <s v="F"/>
    <n v="0"/>
    <n v="0"/>
    <n v="1"/>
    <n v="3"/>
    <n v="2"/>
    <x v="32"/>
    <n v="3"/>
    <n v="2022"/>
  </r>
  <r>
    <x v="134"/>
    <x v="3"/>
    <x v="1"/>
    <x v="7"/>
    <s v="N/A"/>
    <s v="N/A"/>
    <s v="N/A"/>
    <s v="N/A"/>
    <x v="3"/>
    <s v="N/A"/>
    <s v="N/A"/>
    <s v="N/A"/>
    <n v="0"/>
    <n v="0"/>
    <s v="N/A"/>
    <s v="N/A"/>
    <s v="N/A"/>
    <s v="N/A"/>
    <s v="F"/>
    <s v="F"/>
    <s v="F"/>
    <s v="T"/>
    <s v="T"/>
    <s v="T"/>
    <s v="F"/>
    <s v="N/A"/>
    <s v="N/A"/>
    <s v="N/A"/>
    <s v="N/A"/>
    <s v="N/A"/>
    <x v="0"/>
    <n v="0"/>
    <n v="2022"/>
  </r>
  <r>
    <x v="135"/>
    <x v="5"/>
    <x v="0"/>
    <x v="81"/>
    <n v="15"/>
    <n v="185"/>
    <n v="7.4999999999999997E-2"/>
    <n v="0.92500000000000004"/>
    <x v="2"/>
    <n v="20"/>
    <n v="200"/>
    <s v="N/A"/>
    <n v="20"/>
    <n v="5"/>
    <s v="N/A"/>
    <n v="1.3333333333333333"/>
    <n v="2.5000000000000001E-2"/>
    <s v="N/A"/>
    <s v="F"/>
    <s v="F"/>
    <s v="F"/>
    <s v="T"/>
    <s v="T"/>
    <s v="T"/>
    <s v="F"/>
    <n v="5"/>
    <n v="1"/>
    <n v="2"/>
    <n v="0"/>
    <n v="0"/>
    <x v="42"/>
    <n v="3"/>
    <n v="2022"/>
  </r>
  <r>
    <x v="136"/>
    <x v="1"/>
    <x v="0"/>
    <x v="7"/>
    <s v="N/A"/>
    <s v="N/A"/>
    <s v="N/A"/>
    <s v="N/A"/>
    <x v="3"/>
    <s v="N/A"/>
    <s v="N/A"/>
    <s v="N/A"/>
    <n v="0"/>
    <n v="0"/>
    <s v="N/A"/>
    <s v="N/A"/>
    <s v="N/A"/>
    <s v="N/A"/>
    <s v="F"/>
    <s v="F"/>
    <s v="F"/>
    <s v="T"/>
    <s v="T"/>
    <s v="T"/>
    <s v="F"/>
    <s v="N/A"/>
    <s v="N/A"/>
    <s v="N/A"/>
    <s v="N/A"/>
    <s v="N/A"/>
    <x v="0"/>
    <n v="0"/>
    <n v="2022"/>
  </r>
  <r>
    <x v="137"/>
    <x v="4"/>
    <x v="0"/>
    <x v="32"/>
    <n v="7"/>
    <n v="21"/>
    <n v="0.25"/>
    <n v="0.75"/>
    <x v="1"/>
    <n v="4"/>
    <n v="17"/>
    <n v="7"/>
    <n v="9"/>
    <n v="7"/>
    <s v="N/A"/>
    <n v="1.2857142857142858"/>
    <n v="0.41176470588235292"/>
    <s v="N/A"/>
    <s v="T"/>
    <s v="F"/>
    <s v="F"/>
    <s v="T"/>
    <s v="F"/>
    <s v="F"/>
    <m/>
    <s v="N/A"/>
    <s v="N/A"/>
    <s v="N/A"/>
    <s v="N/A"/>
    <s v="N/A"/>
    <x v="0"/>
    <n v="5"/>
    <n v="2022"/>
  </r>
  <r>
    <x v="138"/>
    <x v="1"/>
    <x v="1"/>
    <x v="7"/>
    <s v="N/A"/>
    <s v="N/A"/>
    <s v="N/A"/>
    <s v="N/A"/>
    <x v="3"/>
    <s v="N/A"/>
    <s v="N/A"/>
    <s v="N/A"/>
    <n v="0"/>
    <n v="0"/>
    <s v="N/A"/>
    <s v="N/A"/>
    <s v="N/A"/>
    <s v="N/A"/>
    <s v="F"/>
    <s v="F"/>
    <s v="F"/>
    <s v="T"/>
    <s v="T"/>
    <s v="T"/>
    <e v="#VALUE!"/>
    <s v="N/A"/>
    <s v="N/A"/>
    <s v="N/A"/>
    <s v="N/A"/>
    <s v="N/A"/>
    <x v="0"/>
    <n v="0"/>
    <n v="2022"/>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6">
  <r>
    <s v="Break-even"/>
    <x v="0"/>
    <x v="0"/>
    <n v="60"/>
    <n v="2"/>
    <n v="58"/>
    <n v="3.3333333333333333E-2"/>
    <n v="0.96666666666666667"/>
    <s v="B. 50 - 100"/>
    <n v="10"/>
    <n v="1"/>
    <n v="49"/>
    <n v="0"/>
    <n v="0"/>
    <n v="2"/>
    <n v="0"/>
    <n v="0"/>
    <n v="4.0816326530612242E-2"/>
    <s v="T"/>
    <s v="T"/>
    <s v="T"/>
    <s v="T"/>
    <s v="T"/>
    <s v="T"/>
    <s v="T"/>
    <n v="0"/>
    <n v="0"/>
    <n v="0"/>
    <n v="0"/>
    <n v="0"/>
    <n v="0"/>
    <n v="9"/>
    <n v="0"/>
    <n v="0"/>
    <n v="0"/>
    <n v="0"/>
    <n v="0"/>
    <x v="0"/>
  </r>
  <r>
    <s v="DAV Kronos"/>
    <x v="1"/>
    <x v="0"/>
    <n v="99"/>
    <n v="10"/>
    <n v="89"/>
    <n v="0.10101010101010101"/>
    <n v="0.89898989898989901"/>
    <s v="B. 50 - 100"/>
    <n v="40"/>
    <n v="1"/>
    <n v="58"/>
    <n v="1"/>
    <n v="0"/>
    <n v="9"/>
    <n v="0.1"/>
    <n v="0"/>
    <n v="0.15517241379310345"/>
    <s v="T"/>
    <s v="T"/>
    <s v="T"/>
    <s v="T"/>
    <s v="T"/>
    <s v="T"/>
    <s v="T"/>
    <n v="14"/>
    <n v="16"/>
    <n v="18"/>
    <n v="7"/>
    <n v="13"/>
    <n v="68"/>
    <n v="14"/>
    <n v="0"/>
    <n v="1"/>
    <n v="6"/>
    <n v="4"/>
    <n v="3"/>
    <x v="0"/>
  </r>
  <r>
    <s v="DBV Arriba"/>
    <x v="1"/>
    <x v="0"/>
    <s v="N/A"/>
    <s v="N/A"/>
    <s v="N/A"/>
    <s v="N/A"/>
    <s v="N/A"/>
    <s v="E. 1000 +"/>
    <s v="N/A"/>
    <s v="N/A"/>
    <s v="N/A"/>
    <n v="0"/>
    <n v="0"/>
    <s v="N/A"/>
    <s v="N/A"/>
    <s v="N/A"/>
    <s v="N/A"/>
    <s v="F"/>
    <s v="F"/>
    <s v="F"/>
    <s v="T"/>
    <s v="T"/>
    <s v="T"/>
    <s v="F"/>
    <s v="N/A"/>
    <s v="N/A"/>
    <s v="N/A"/>
    <s v="N/A"/>
    <s v="N/A"/>
    <n v="0"/>
    <n v="0"/>
    <n v="0"/>
    <n v="0"/>
    <n v="0"/>
    <n v="0"/>
    <n v="0"/>
    <x v="0"/>
  </r>
  <r>
    <s v="DSTV Aloha"/>
    <x v="1"/>
    <x v="0"/>
    <n v="58"/>
    <n v="10"/>
    <n v="48"/>
    <n v="0.17241379310344829"/>
    <n v="0.82758620689655171"/>
    <s v="B. 50 - 100"/>
    <n v="18"/>
    <n v="1"/>
    <n v="39"/>
    <n v="0"/>
    <n v="1"/>
    <n v="9"/>
    <n v="0"/>
    <n v="1"/>
    <n v="0.23076923076923078"/>
    <s v="T"/>
    <s v="T"/>
    <s v="T"/>
    <s v="T"/>
    <s v="T"/>
    <s v="T"/>
    <s v="T"/>
    <n v="1"/>
    <n v="1"/>
    <n v="0"/>
    <n v="9"/>
    <n v="24"/>
    <n v="35"/>
    <n v="15"/>
    <n v="5"/>
    <n v="2"/>
    <n v="4"/>
    <n v="3"/>
    <n v="1"/>
    <x v="0"/>
  </r>
  <r>
    <s v="DSV de Skeuvel"/>
    <x v="1"/>
    <x v="0"/>
    <n v="232"/>
    <n v="40"/>
    <n v="192"/>
    <n v="0.17241379310344829"/>
    <n v="0.82758620689655171"/>
    <s v="C. 100 - 400"/>
    <n v="56"/>
    <n v="0"/>
    <n v="176"/>
    <n v="0"/>
    <n v="0"/>
    <n v="40"/>
    <n v="0"/>
    <s v="N/A"/>
    <n v="0.22727272727272727"/>
    <s v="T"/>
    <s v="T"/>
    <s v="T"/>
    <s v="T"/>
    <s v="T"/>
    <s v="T"/>
    <s v="T"/>
    <n v="0"/>
    <n v="0"/>
    <n v="0"/>
    <n v="0"/>
    <n v="0"/>
    <n v="0"/>
    <n v="27"/>
    <n v="0"/>
    <n v="0"/>
    <n v="0"/>
    <n v="0"/>
    <n v="0"/>
    <x v="0"/>
  </r>
  <r>
    <s v="DTTV Thibats"/>
    <x v="1"/>
    <x v="0"/>
    <n v="32"/>
    <n v="7"/>
    <n v="25"/>
    <n v="0.21875"/>
    <n v="0.78125"/>
    <s v=" A. 1 - 50 "/>
    <n v="7"/>
    <n v="5"/>
    <n v="20"/>
    <n v="0"/>
    <n v="14"/>
    <s v="N/A"/>
    <n v="0"/>
    <n v="2.8"/>
    <s v="N/A"/>
    <s v="T"/>
    <s v="F"/>
    <s v="F"/>
    <s v="F"/>
    <s v="F"/>
    <s v="T"/>
    <s v="F"/>
    <n v="1"/>
    <n v="0"/>
    <n v="1"/>
    <n v="3"/>
    <n v="15"/>
    <n v="20"/>
    <n v="7"/>
    <n v="2"/>
    <n v="2"/>
    <n v="3"/>
    <n v="0"/>
    <n v="0"/>
    <x v="0"/>
  </r>
  <r>
    <s v="DWV Hardboard"/>
    <x v="1"/>
    <x v="0"/>
    <n v="170"/>
    <n v="50"/>
    <n v="120"/>
    <n v="0.29411764705882354"/>
    <n v="0.70588235294117641"/>
    <s v="C. 100 - 400"/>
    <n v="25"/>
    <n v="2"/>
    <n v="143"/>
    <n v="1"/>
    <n v="6"/>
    <n v="43"/>
    <n v="0.02"/>
    <n v="3"/>
    <n v="0.30069930069930068"/>
    <s v="T"/>
    <s v="T"/>
    <s v="T"/>
    <s v="F"/>
    <s v="T"/>
    <s v="T"/>
    <s v="F"/>
    <n v="0"/>
    <n v="0"/>
    <n v="0"/>
    <n v="0"/>
    <n v="0"/>
    <n v="0"/>
    <n v="17"/>
    <n v="0"/>
    <n v="0"/>
    <n v="0"/>
    <n v="0"/>
    <n v="0"/>
    <x v="0"/>
  </r>
  <r>
    <s v="DWV Klein Verzet"/>
    <x v="1"/>
    <x v="0"/>
    <s v="N/A"/>
    <s v="N/A"/>
    <s v="N/A"/>
    <s v="N/A"/>
    <s v="N/A"/>
    <s v="E. 1000 +"/>
    <s v="N/A"/>
    <s v="N/A"/>
    <s v="N/A"/>
    <n v="0"/>
    <n v="0"/>
    <s v="N/A"/>
    <s v="N/A"/>
    <s v="N/A"/>
    <s v="N/A"/>
    <s v="F"/>
    <s v="F"/>
    <s v="F"/>
    <s v="T"/>
    <s v="T"/>
    <s v="T"/>
    <s v="F"/>
    <s v="N/A"/>
    <s v="N/A"/>
    <s v="N/A"/>
    <s v="N/A"/>
    <s v="N/A"/>
    <n v="0"/>
    <n v="0"/>
    <n v="0"/>
    <n v="0"/>
    <n v="0"/>
    <n v="0"/>
    <n v="0"/>
    <x v="0"/>
  </r>
  <r>
    <s v="DBV DIOK"/>
    <x v="1"/>
    <x v="0"/>
    <s v="N/A"/>
    <s v="N/A"/>
    <s v="N/A"/>
    <s v="N/A"/>
    <s v="N/A"/>
    <s v="E. 1000 +"/>
    <s v="N/A"/>
    <s v="N/A"/>
    <s v="N/A"/>
    <n v="0"/>
    <n v="0"/>
    <s v="N/A"/>
    <s v="N/A"/>
    <s v="N/A"/>
    <s v="N/A"/>
    <s v="F"/>
    <s v="F"/>
    <s v="F"/>
    <s v="T"/>
    <s v="T"/>
    <s v="T"/>
    <s v="F"/>
    <s v="N/A"/>
    <s v="N/A"/>
    <s v="N/A"/>
    <s v="N/A"/>
    <s v="N/A"/>
    <n v="0"/>
    <n v="0"/>
    <n v="0"/>
    <n v="0"/>
    <n v="0"/>
    <n v="0"/>
    <n v="0"/>
    <x v="0"/>
  </r>
  <r>
    <s v="DBV de Stretchers"/>
    <x v="1"/>
    <x v="0"/>
    <n v="40"/>
    <n v="6"/>
    <n v="34"/>
    <n v="0.15"/>
    <n v="0.85"/>
    <s v=" A. 1 - 50 "/>
    <n v="14"/>
    <n v="3"/>
    <n v="23"/>
    <n v="0"/>
    <n v="0"/>
    <n v="6"/>
    <n v="0"/>
    <n v="0"/>
    <n v="0.2608695652173913"/>
    <s v="T"/>
    <s v="T"/>
    <s v="T"/>
    <s v="T"/>
    <s v="T"/>
    <s v="T"/>
    <s v="T"/>
    <n v="2"/>
    <n v="2"/>
    <n v="2"/>
    <n v="3"/>
    <n v="16"/>
    <n v="25"/>
    <n v="6"/>
    <n v="0"/>
    <n v="0"/>
    <n v="4"/>
    <n v="2"/>
    <n v="0"/>
    <x v="0"/>
  </r>
  <r>
    <s v="DHC Drienerlo"/>
    <x v="1"/>
    <x v="0"/>
    <n v="245"/>
    <n v="75"/>
    <n v="170"/>
    <n v="0.30612244897959184"/>
    <n v="0.69387755102040816"/>
    <s v="C. 100 - 400"/>
    <n v="1"/>
    <n v="4"/>
    <n v="240"/>
    <n v="1"/>
    <n v="3"/>
    <n v="71"/>
    <n v="1.3333333333333334E-2"/>
    <n v="0.75"/>
    <n v="0.29583333333333334"/>
    <s v="T"/>
    <s v="T"/>
    <s v="T"/>
    <s v="T"/>
    <s v="T"/>
    <s v="T"/>
    <s v="T"/>
    <n v="22"/>
    <n v="25"/>
    <n v="38"/>
    <n v="19"/>
    <n v="42"/>
    <n v="146"/>
    <n v="17"/>
    <n v="4"/>
    <n v="2"/>
    <n v="6"/>
    <n v="5"/>
    <n v="0"/>
    <x v="0"/>
  </r>
  <r>
    <s v="DKV Euros"/>
    <x v="1"/>
    <x v="0"/>
    <s v="N/A"/>
    <s v="N/A"/>
    <s v="N/A"/>
    <s v="N/A"/>
    <s v="N/A"/>
    <s v="E. 1000 +"/>
    <s v="N/A"/>
    <s v="N/A"/>
    <s v="N/A"/>
    <n v="0"/>
    <n v="0"/>
    <s v="N/A"/>
    <s v="N/A"/>
    <s v="N/A"/>
    <s v="N/A"/>
    <s v="F"/>
    <s v="F"/>
    <s v="F"/>
    <s v="T"/>
    <s v="T"/>
    <s v="T"/>
    <s v="F"/>
    <s v="N/A"/>
    <s v="N/A"/>
    <s v="N/A"/>
    <s v="N/A"/>
    <s v="N/A"/>
    <n v="0"/>
    <n v="0"/>
    <n v="0"/>
    <n v="0"/>
    <n v="0"/>
    <n v="0"/>
    <n v="0"/>
    <x v="0"/>
  </r>
  <r>
    <s v="DRV Euros"/>
    <x v="1"/>
    <x v="0"/>
    <n v="337"/>
    <n v="20"/>
    <n v="317"/>
    <n v="5.9347181008902079E-2"/>
    <n v="0.94065281899109787"/>
    <s v="C. 100 - 400"/>
    <n v="120"/>
    <n v="3"/>
    <n v="214"/>
    <n v="0"/>
    <n v="1"/>
    <n v="19"/>
    <n v="0"/>
    <n v="0.33333333333333331"/>
    <n v="8.8785046728971959E-2"/>
    <s v="T"/>
    <s v="T"/>
    <s v="T"/>
    <s v="T"/>
    <s v="T"/>
    <s v="T"/>
    <s v="T"/>
    <n v="0"/>
    <n v="0"/>
    <n v="0"/>
    <n v="0"/>
    <n v="0"/>
    <n v="0"/>
    <n v="37"/>
    <n v="0"/>
    <n v="0"/>
    <n v="0"/>
    <n v="0"/>
    <n v="0"/>
    <x v="0"/>
  </r>
  <r>
    <s v="DRV Hippocampus"/>
    <x v="1"/>
    <x v="0"/>
    <n v="64"/>
    <n v="25"/>
    <n v="39"/>
    <n v="0.390625"/>
    <n v="0.609375"/>
    <s v="B. 50 - 100"/>
    <n v="20"/>
    <n v="11"/>
    <n v="33"/>
    <n v="3"/>
    <n v="5"/>
    <n v="17"/>
    <n v="0.12"/>
    <n v="0.45454545454545453"/>
    <n v="0.51515151515151514"/>
    <s v="T"/>
    <s v="T"/>
    <s v="T"/>
    <s v="T"/>
    <s v="T"/>
    <s v="T"/>
    <s v="T"/>
    <s v="N/A"/>
    <s v="N/A"/>
    <s v="N/A"/>
    <s v="N/A"/>
    <s v="N/A"/>
    <n v="0"/>
    <n v="0"/>
    <n v="0"/>
    <n v="0"/>
    <n v="0"/>
    <n v="0"/>
    <n v="0"/>
    <x v="0"/>
  </r>
  <r>
    <s v="DSSV Tartaros"/>
    <x v="1"/>
    <x v="0"/>
    <s v="N/A"/>
    <s v="N/A"/>
    <s v="N/A"/>
    <s v="N/A"/>
    <s v="N/A"/>
    <s v="E. 1000 +"/>
    <s v="N/A"/>
    <s v="N/A"/>
    <s v="N/A"/>
    <n v="0"/>
    <n v="0"/>
    <s v="N/A"/>
    <s v="N/A"/>
    <s v="N/A"/>
    <s v="N/A"/>
    <s v="F"/>
    <s v="F"/>
    <s v="F"/>
    <s v="T"/>
    <s v="T"/>
    <s v="T"/>
    <s v="F"/>
    <s v="N/A"/>
    <s v="N/A"/>
    <s v="N/A"/>
    <s v="N/A"/>
    <s v="N/A"/>
    <n v="0"/>
    <n v="0"/>
    <n v="0"/>
    <n v="0"/>
    <n v="0"/>
    <n v="0"/>
    <n v="0"/>
    <x v="0"/>
  </r>
  <r>
    <s v="DZV Euros"/>
    <x v="1"/>
    <x v="0"/>
    <n v="62"/>
    <n v="0"/>
    <n v="62"/>
    <n v="0"/>
    <n v="1"/>
    <s v="B. 50 - 100"/>
    <n v="25"/>
    <n v="3"/>
    <n v="34"/>
    <n v="0"/>
    <n v="4"/>
    <s v="N/A"/>
    <s v="N/A"/>
    <n v="1.3333333333333333"/>
    <s v="N/A"/>
    <s v="T"/>
    <s v="F"/>
    <s v="F"/>
    <s v="F"/>
    <s v="F"/>
    <s v="T"/>
    <s v="F"/>
    <n v="7"/>
    <n v="11"/>
    <n v="22"/>
    <n v="9"/>
    <n v="0"/>
    <n v="49"/>
    <n v="13"/>
    <n v="0"/>
    <n v="4"/>
    <n v="9"/>
    <n v="0"/>
    <n v="0"/>
    <x v="0"/>
  </r>
  <r>
    <s v="EEEHV Cabezota"/>
    <x v="1"/>
    <x v="0"/>
    <n v="56"/>
    <n v="2"/>
    <n v="54"/>
    <n v="3.5714285714285712E-2"/>
    <n v="0.9642857142857143"/>
    <s v="B. 50 - 100"/>
    <n v="25"/>
    <n v="0"/>
    <n v="31"/>
    <n v="0"/>
    <n v="0"/>
    <n v="2"/>
    <n v="0"/>
    <s v="N/A"/>
    <n v="6.4516129032258063E-2"/>
    <s v="T"/>
    <s v="T"/>
    <s v="T"/>
    <s v="T"/>
    <s v="T"/>
    <s v="T"/>
    <s v="T"/>
    <n v="3"/>
    <n v="7"/>
    <n v="7"/>
    <n v="6"/>
    <n v="5"/>
    <n v="28"/>
    <n v="10"/>
    <n v="4"/>
    <n v="1"/>
    <n v="3"/>
    <n v="1"/>
    <n v="1"/>
    <x v="0"/>
  </r>
  <r>
    <s v="ESBV Buitenwesten"/>
    <x v="1"/>
    <x v="0"/>
    <n v="70"/>
    <n v="30"/>
    <n v="40"/>
    <n v="0.42857142857142855"/>
    <n v="0.5714285714285714"/>
    <s v="B. 50 - 100"/>
    <n v="20"/>
    <n v="10"/>
    <n v="40"/>
    <n v="5"/>
    <n v="3"/>
    <n v="22"/>
    <n v="0.16666666666666666"/>
    <n v="0.3"/>
    <n v="0.55000000000000004"/>
    <s v="T"/>
    <s v="T"/>
    <s v="T"/>
    <s v="T"/>
    <s v="T"/>
    <s v="T"/>
    <s v="T"/>
    <n v="2"/>
    <n v="2"/>
    <n v="4"/>
    <n v="2"/>
    <n v="5"/>
    <n v="15"/>
    <n v="4"/>
    <n v="3"/>
    <n v="0"/>
    <n v="1"/>
    <n v="0"/>
    <n v="0"/>
    <x v="0"/>
  </r>
  <r>
    <s v="HSV High-Tech-Hitters"/>
    <x v="1"/>
    <x v="0"/>
    <n v="41"/>
    <n v="5"/>
    <n v="36"/>
    <n v="0.12195121951219512"/>
    <n v="0.87804878048780488"/>
    <s v=" A. 1 - 50 "/>
    <n v="11"/>
    <n v="1"/>
    <n v="29"/>
    <n v="0"/>
    <n v="1"/>
    <n v="4"/>
    <n v="0"/>
    <n v="1"/>
    <n v="0.13793103448275862"/>
    <s v="T"/>
    <s v="T"/>
    <s v="T"/>
    <s v="T"/>
    <s v="T"/>
    <s v="T"/>
    <s v="T"/>
    <n v="0"/>
    <n v="0"/>
    <n v="8"/>
    <n v="1"/>
    <n v="2"/>
    <n v="11"/>
    <n v="4"/>
    <n v="2"/>
    <n v="1"/>
    <n v="1"/>
    <n v="0"/>
    <n v="0"/>
    <x v="0"/>
  </r>
  <r>
    <s v="Linea Recta"/>
    <x v="1"/>
    <x v="0"/>
    <n v="65"/>
    <n v="20"/>
    <n v="45"/>
    <n v="0.30769230769230771"/>
    <n v="0.69230769230769229"/>
    <s v="B. 50 - 100"/>
    <n v="18"/>
    <n v="3"/>
    <n v="44"/>
    <n v="1"/>
    <n v="1"/>
    <n v="18"/>
    <n v="0.05"/>
    <n v="0.33333333333333331"/>
    <n v="0.40909090909090912"/>
    <s v="T"/>
    <s v="T"/>
    <s v="T"/>
    <s v="T"/>
    <s v="T"/>
    <s v="T"/>
    <s v="T"/>
    <n v="0"/>
    <n v="6"/>
    <n v="12"/>
    <n v="4"/>
    <n v="9"/>
    <n v="31"/>
    <n v="12"/>
    <n v="4"/>
    <n v="4"/>
    <n v="3"/>
    <n v="1"/>
    <n v="0"/>
    <x v="0"/>
  </r>
  <r>
    <s v="Messed Up"/>
    <x v="1"/>
    <x v="0"/>
    <s v="N/A"/>
    <s v="N/A"/>
    <s v="N/A"/>
    <s v="N/A"/>
    <s v="N/A"/>
    <s v="E. 1000 +"/>
    <s v="N/A"/>
    <s v="N/A"/>
    <s v="N/A"/>
    <n v="0"/>
    <n v="0"/>
    <s v="N/A"/>
    <s v="N/A"/>
    <s v="N/A"/>
    <s v="N/A"/>
    <s v="F"/>
    <s v="F"/>
    <s v="F"/>
    <s v="T"/>
    <s v="T"/>
    <s v="T"/>
    <s v="F"/>
    <s v="N/A"/>
    <s v="N/A"/>
    <s v="N/A"/>
    <s v="N/A"/>
    <s v="N/A"/>
    <n v="0"/>
    <n v="0"/>
    <n v="0"/>
    <n v="0"/>
    <n v="0"/>
    <n v="0"/>
    <n v="0"/>
    <x v="0"/>
  </r>
  <r>
    <s v="Motor Sport Groep"/>
    <x v="1"/>
    <x v="0"/>
    <s v="N/A"/>
    <s v="N/A"/>
    <s v="N/A"/>
    <s v="N/A"/>
    <s v="N/A"/>
    <s v="E. 1000 +"/>
    <s v="N/A"/>
    <s v="N/A"/>
    <s v="N/A"/>
    <n v="0"/>
    <n v="0"/>
    <s v="N/A"/>
    <s v="N/A"/>
    <s v="N/A"/>
    <s v="N/A"/>
    <s v="F"/>
    <s v="F"/>
    <s v="F"/>
    <s v="T"/>
    <s v="T"/>
    <s v="T"/>
    <s v="F"/>
    <s v="N/A"/>
    <s v="N/A"/>
    <s v="N/A"/>
    <s v="N/A"/>
    <s v="N/A"/>
    <n v="0"/>
    <n v="0"/>
    <n v="0"/>
    <n v="0"/>
    <n v="0"/>
    <n v="0"/>
    <n v="0"/>
    <x v="0"/>
  </r>
  <r>
    <s v="SKV Vakgericht"/>
    <x v="1"/>
    <x v="0"/>
    <n v="56"/>
    <n v="4"/>
    <n v="52"/>
    <n v="7.1428571428571425E-2"/>
    <n v="0.9285714285714286"/>
    <s v="B. 50 - 100"/>
    <n v="32"/>
    <n v="0"/>
    <n v="24"/>
    <n v="0"/>
    <n v="0"/>
    <n v="4"/>
    <n v="0"/>
    <s v="N/A"/>
    <n v="0.16666666666666666"/>
    <s v="T"/>
    <s v="T"/>
    <s v="T"/>
    <s v="T"/>
    <s v="T"/>
    <s v="T"/>
    <s v="T"/>
    <n v="4"/>
    <n v="4"/>
    <n v="6"/>
    <n v="5"/>
    <n v="12"/>
    <n v="31"/>
    <n v="12"/>
    <n v="0"/>
    <n v="1"/>
    <n v="6"/>
    <n v="4"/>
    <n v="1"/>
    <x v="0"/>
  </r>
  <r>
    <s v="SHBV Sagittarius"/>
    <x v="1"/>
    <x v="0"/>
    <n v="41"/>
    <n v="5"/>
    <n v="36"/>
    <n v="0.12195121951219512"/>
    <n v="0.87804878048780488"/>
    <s v=" A. 1 - 50 "/>
    <n v="12"/>
    <n v="7"/>
    <n v="22"/>
    <n v="1"/>
    <n v="0"/>
    <n v="4"/>
    <n v="0.2"/>
    <n v="0"/>
    <n v="0.18181818181818182"/>
    <s v="T"/>
    <s v="T"/>
    <s v="T"/>
    <s v="T"/>
    <s v="T"/>
    <s v="T"/>
    <s v="T"/>
    <n v="0"/>
    <n v="0"/>
    <n v="0"/>
    <n v="0"/>
    <n v="0"/>
    <n v="0"/>
    <n v="7"/>
    <n v="0"/>
    <n v="0"/>
    <n v="0"/>
    <n v="0"/>
    <n v="0"/>
    <x v="0"/>
  </r>
  <r>
    <s v="ADSKV Slagvaardig"/>
    <x v="1"/>
    <x v="0"/>
    <s v="N/A"/>
    <s v="N/A"/>
    <s v="N/A"/>
    <s v="N/A"/>
    <s v="N/A"/>
    <s v="E. 1000 +"/>
    <s v="N/A"/>
    <s v="N/A"/>
    <s v="N/A"/>
    <n v="0"/>
    <n v="0"/>
    <s v="N/A"/>
    <s v="N/A"/>
    <s v="N/A"/>
    <s v="N/A"/>
    <s v="F"/>
    <s v="F"/>
    <s v="F"/>
    <s v="T"/>
    <s v="T"/>
    <s v="T"/>
    <s v="F"/>
    <s v="N/A"/>
    <s v="N/A"/>
    <s v="N/A"/>
    <s v="N/A"/>
    <s v="N/A"/>
    <n v="0"/>
    <n v="0"/>
    <n v="0"/>
    <n v="0"/>
    <n v="0"/>
    <n v="0"/>
    <n v="0"/>
    <x v="0"/>
  </r>
  <r>
    <s v="SYHV The Slappng Studs"/>
    <x v="2"/>
    <x v="0"/>
    <s v="N/A"/>
    <s v="N/A"/>
    <s v="N/A"/>
    <s v="N/A"/>
    <s v="N/A"/>
    <s v="E. 1000 +"/>
    <s v="N/A"/>
    <s v="N/A"/>
    <s v="N/A"/>
    <n v="0"/>
    <n v="0"/>
    <s v="N/A"/>
    <s v="N/A"/>
    <s v="N/A"/>
    <s v="N/A"/>
    <s v="F"/>
    <s v="F"/>
    <s v="F"/>
    <s v="T"/>
    <s v="T"/>
    <s v="T"/>
    <s v="F"/>
    <s v="N/A"/>
    <s v="N/A"/>
    <s v="N/A"/>
    <s v="N/A"/>
    <s v="N/A"/>
    <n v="0"/>
    <n v="0"/>
    <n v="0"/>
    <n v="0"/>
    <n v="0"/>
    <n v="0"/>
    <n v="0"/>
    <x v="0"/>
  </r>
  <r>
    <s v="TC Ludica"/>
    <x v="1"/>
    <x v="0"/>
    <s v="N/A"/>
    <s v="N/A"/>
    <s v="N/A"/>
    <s v="N/A"/>
    <s v="N/A"/>
    <s v="E. 1000 +"/>
    <s v="N/A"/>
    <s v="N/A"/>
    <s v="N/A"/>
    <n v="0"/>
    <n v="0"/>
    <s v="N/A"/>
    <s v="N/A"/>
    <s v="N/A"/>
    <s v="N/A"/>
    <s v="F"/>
    <s v="F"/>
    <s v="F"/>
    <s v="T"/>
    <s v="T"/>
    <s v="T"/>
    <s v="F"/>
    <s v="N/A"/>
    <s v="N/A"/>
    <s v="N/A"/>
    <s v="N/A"/>
    <s v="N/A"/>
    <n v="0"/>
    <n v="0"/>
    <n v="0"/>
    <n v="0"/>
    <n v="0"/>
    <n v="0"/>
    <n v="0"/>
    <x v="0"/>
  </r>
  <r>
    <s v="TSAC"/>
    <x v="1"/>
    <x v="0"/>
    <n v="210"/>
    <n v="60"/>
    <n v="150"/>
    <n v="0.2857142857142857"/>
    <n v="0.7142857142857143"/>
    <s v="C. 100 - 400"/>
    <n v="43"/>
    <n v="10"/>
    <n v="157"/>
    <n v="4"/>
    <n v="10"/>
    <n v="46"/>
    <n v="6.6666666666666666E-2"/>
    <n v="1"/>
    <n v="0.2929936305732484"/>
    <s v="T"/>
    <s v="T"/>
    <s v="T"/>
    <s v="T"/>
    <s v="T"/>
    <s v="T"/>
    <s v="T"/>
    <n v="7"/>
    <n v="7"/>
    <n v="19"/>
    <n v="7"/>
    <n v="24"/>
    <n v="64"/>
    <n v="11"/>
    <n v="4"/>
    <n v="5"/>
    <n v="2"/>
    <n v="0"/>
    <n v="0"/>
    <x v="0"/>
  </r>
  <r>
    <s v="VAS Arashi"/>
    <x v="1"/>
    <x v="0"/>
    <n v="109"/>
    <n v="6"/>
    <n v="103"/>
    <n v="5.5045871559633031E-2"/>
    <n v="0.94495412844036697"/>
    <s v="C. 100 - 400"/>
    <n v="22"/>
    <n v="2"/>
    <n v="85"/>
    <n v="0"/>
    <n v="10"/>
    <s v="N/A"/>
    <n v="0"/>
    <n v="5"/>
    <s v="N/A"/>
    <s v="T"/>
    <s v="F"/>
    <s v="F"/>
    <s v="F"/>
    <s v="F"/>
    <s v="T"/>
    <s v="F"/>
    <n v="3"/>
    <n v="2"/>
    <n v="1"/>
    <n v="3"/>
    <n v="10"/>
    <n v="19"/>
    <n v="8"/>
    <n v="2"/>
    <n v="0"/>
    <n v="5"/>
    <n v="0"/>
    <n v="1"/>
    <x v="0"/>
  </r>
  <r>
    <s v="VV Drienerlo"/>
    <x v="1"/>
    <x v="0"/>
    <n v="430"/>
    <n v="100"/>
    <n v="330"/>
    <n v="0.23255813953488372"/>
    <n v="0.76744186046511631"/>
    <s v="D. 400 - 1000"/>
    <n v="30"/>
    <n v="30"/>
    <n v="370"/>
    <n v="0"/>
    <n v="3"/>
    <n v="97"/>
    <n v="0"/>
    <n v="0.1"/>
    <n v="0.26216216216216215"/>
    <s v="T"/>
    <s v="T"/>
    <s v="T"/>
    <s v="T"/>
    <s v="T"/>
    <s v="T"/>
    <s v="T"/>
    <n v="4"/>
    <n v="6"/>
    <n v="12"/>
    <n v="6"/>
    <n v="1"/>
    <n v="29"/>
    <n v="13"/>
    <n v="6"/>
    <n v="6"/>
    <n v="1"/>
    <n v="0"/>
    <n v="0"/>
    <x v="0"/>
  </r>
  <r>
    <s v="VV Harambee"/>
    <x v="1"/>
    <x v="0"/>
    <n v="420"/>
    <n v="100"/>
    <n v="320"/>
    <n v="0.23809523809523808"/>
    <n v="0.76190476190476186"/>
    <s v="D. 400 - 1000"/>
    <n v="100"/>
    <s v="N/A"/>
    <s v="N/A"/>
    <n v="0"/>
    <n v="0"/>
    <n v="100"/>
    <n v="0"/>
    <s v="N/A"/>
    <s v="N/A"/>
    <s v="F"/>
    <s v="T"/>
    <s v="T"/>
    <s v="T"/>
    <s v="T"/>
    <s v="T"/>
    <s v="F"/>
    <n v="12"/>
    <n v="11"/>
    <n v="12"/>
    <n v="13"/>
    <n v="8"/>
    <n v="56"/>
    <n v="19"/>
    <n v="0"/>
    <n v="4"/>
    <n v="14"/>
    <n v="1"/>
    <n v="0"/>
    <x v="0"/>
  </r>
  <r>
    <s v="ZPV Piranha"/>
    <x v="1"/>
    <x v="0"/>
    <n v="278"/>
    <n v="90"/>
    <n v="188"/>
    <n v="0.32374100719424459"/>
    <n v="0.67625899280575541"/>
    <s v="C. 100 - 400"/>
    <n v="81"/>
    <n v="7"/>
    <n v="190"/>
    <n v="2"/>
    <n v="6"/>
    <n v="82"/>
    <n v="2.2222222222222223E-2"/>
    <n v="0.8571428571428571"/>
    <n v="0.43157894736842106"/>
    <s v="T"/>
    <s v="T"/>
    <s v="T"/>
    <s v="T"/>
    <s v="T"/>
    <s v="T"/>
    <s v="T"/>
    <n v="1"/>
    <n v="2"/>
    <n v="1"/>
    <n v="1"/>
    <n v="0"/>
    <n v="5"/>
    <n v="22"/>
    <n v="1"/>
    <n v="7"/>
    <n v="12"/>
    <n v="2"/>
    <n v="0"/>
    <x v="0"/>
  </r>
  <r>
    <s v="Twentse Thestrals"/>
    <x v="1"/>
    <x v="0"/>
    <s v="N/A"/>
    <s v="N/A"/>
    <s v="N/A"/>
    <s v="N/A"/>
    <s v="N/A"/>
    <s v="E. 1000 +"/>
    <s v="N/A"/>
    <s v="N/A"/>
    <s v="N/A"/>
    <n v="0"/>
    <n v="0"/>
    <s v="N/A"/>
    <s v="N/A"/>
    <s v="N/A"/>
    <s v="N/A"/>
    <s v="F"/>
    <s v="F"/>
    <s v="F"/>
    <s v="T"/>
    <s v="T"/>
    <s v="T"/>
    <s v="F"/>
    <s v="N/A"/>
    <s v="N/A"/>
    <s v="N/A"/>
    <s v="N/A"/>
    <s v="N/A"/>
    <n v="0"/>
    <n v="0"/>
    <n v="0"/>
    <n v="0"/>
    <n v="0"/>
    <n v="0"/>
    <n v="0"/>
    <x v="0"/>
  </r>
  <r>
    <s v="Primo Ballerino"/>
    <x v="0"/>
    <x v="0"/>
    <n v="41"/>
    <n v="10"/>
    <n v="31"/>
    <n v="0.24390243902439024"/>
    <n v="0.75609756097560976"/>
    <s v=" A. 1 - 50 "/>
    <n v="20"/>
    <n v="0"/>
    <n v="21"/>
    <n v="0"/>
    <n v="1"/>
    <n v="9"/>
    <n v="0"/>
    <s v="N/A"/>
    <n v="0.42857142857142855"/>
    <s v="T"/>
    <s v="T"/>
    <s v="T"/>
    <s v="F"/>
    <s v="T"/>
    <s v="T"/>
    <s v="F"/>
    <n v="0"/>
    <n v="0"/>
    <n v="1"/>
    <n v="1"/>
    <n v="1"/>
    <n v="3"/>
    <n v="7"/>
    <n v="1"/>
    <n v="0"/>
    <n v="1"/>
    <n v="0"/>
    <n v="0"/>
    <x v="0"/>
  </r>
  <r>
    <s v="Phoenix Lacrosse"/>
    <x v="1"/>
    <x v="0"/>
    <s v="N/A"/>
    <s v="N/A"/>
    <s v="N/A"/>
    <s v="N/A"/>
    <s v="N/A"/>
    <s v="E. 1000 +"/>
    <s v="N/A"/>
    <s v="N/A"/>
    <s v="N/A"/>
    <n v="0"/>
    <n v="0"/>
    <s v="N/A"/>
    <s v="N/A"/>
    <s v="N/A"/>
    <s v="N/A"/>
    <s v="F"/>
    <s v="F"/>
    <s v="F"/>
    <s v="T"/>
    <s v="T"/>
    <s v="T"/>
    <s v="F"/>
    <s v="N/A"/>
    <s v="N/A"/>
    <s v="N/A"/>
    <s v="N/A"/>
    <s v="N/A"/>
    <n v="0"/>
    <n v="0"/>
    <n v="0"/>
    <n v="0"/>
    <n v="0"/>
    <n v="0"/>
    <n v="0"/>
    <x v="0"/>
  </r>
  <r>
    <s v="SKV Hercules"/>
    <x v="1"/>
    <x v="0"/>
    <s v="N/A"/>
    <s v="N/A"/>
    <s v="N/A"/>
    <s v="N/A"/>
    <s v="N/A"/>
    <s v="E. 1000 +"/>
    <s v="N/A"/>
    <s v="N/A"/>
    <s v="N/A"/>
    <n v="0"/>
    <n v="0"/>
    <s v="N/A"/>
    <s v="N/A"/>
    <s v="N/A"/>
    <s v="N/A"/>
    <s v="F"/>
    <s v="F"/>
    <s v="F"/>
    <s v="T"/>
    <s v="T"/>
    <s v="T"/>
    <s v="F"/>
    <s v="N/A"/>
    <s v="N/A"/>
    <s v="N/A"/>
    <s v="N/A"/>
    <s v="N/A"/>
    <n v="0"/>
    <n v="0"/>
    <n v="0"/>
    <n v="0"/>
    <n v="0"/>
    <n v="0"/>
    <n v="0"/>
    <x v="0"/>
  </r>
  <r>
    <s v="A la Kart"/>
    <x v="1"/>
    <x v="0"/>
    <s v="N/A"/>
    <s v="N/A"/>
    <s v="N/A"/>
    <s v="N/A"/>
    <s v="N/A"/>
    <s v="E. 1000 +"/>
    <s v="N/A"/>
    <s v="N/A"/>
    <s v="N/A"/>
    <n v="0"/>
    <n v="0"/>
    <s v="N/A"/>
    <s v="N/A"/>
    <s v="N/A"/>
    <s v="N/A"/>
    <s v="F"/>
    <s v="F"/>
    <s v="F"/>
    <s v="T"/>
    <s v="T"/>
    <s v="T"/>
    <s v="F"/>
    <s v="N/A"/>
    <s v="N/A"/>
    <s v="N/A"/>
    <s v="N/A"/>
    <s v="N/A"/>
    <n v="0"/>
    <n v="0"/>
    <n v="0"/>
    <n v="0"/>
    <n v="0"/>
    <n v="0"/>
    <n v="0"/>
    <x v="0"/>
  </r>
  <r>
    <s v="BSV de Stoottroepen"/>
    <x v="1"/>
    <x v="0"/>
    <s v="N/A"/>
    <s v="N/A"/>
    <s v="N/A"/>
    <s v="N/A"/>
    <s v="N/A"/>
    <s v="E. 1000 +"/>
    <s v="N/A"/>
    <s v="N/A"/>
    <s v="N/A"/>
    <n v="0"/>
    <n v="0"/>
    <s v="N/A"/>
    <s v="N/A"/>
    <s v="N/A"/>
    <s v="N/A"/>
    <s v="F"/>
    <s v="F"/>
    <s v="F"/>
    <s v="T"/>
    <s v="T"/>
    <s v="T"/>
    <s v="F"/>
    <s v="N/A"/>
    <s v="N/A"/>
    <s v="N/A"/>
    <s v="N/A"/>
    <s v="N/A"/>
    <n v="0"/>
    <n v="0"/>
    <n v="0"/>
    <n v="0"/>
    <n v="0"/>
    <n v="0"/>
    <n v="0"/>
    <x v="0"/>
  </r>
  <r>
    <s v="SV Muurvast"/>
    <x v="1"/>
    <x v="0"/>
    <s v="N/A"/>
    <s v="N/A"/>
    <s v="N/A"/>
    <s v="N/A"/>
    <s v="N/A"/>
    <s v="E. 1000 +"/>
    <s v="N/A"/>
    <s v="N/A"/>
    <s v="N/A"/>
    <n v="0"/>
    <n v="0"/>
    <s v="N/A"/>
    <s v="N/A"/>
    <s v="N/A"/>
    <s v="N/A"/>
    <s v="F"/>
    <s v="F"/>
    <s v="F"/>
    <s v="T"/>
    <s v="T"/>
    <s v="T"/>
    <s v="F"/>
    <s v="N/A"/>
    <s v="N/A"/>
    <s v="N/A"/>
    <s v="N/A"/>
    <s v="N/A"/>
    <n v="0"/>
    <n v="0"/>
    <n v="0"/>
    <n v="0"/>
    <n v="0"/>
    <n v="0"/>
    <n v="0"/>
    <x v="0"/>
  </r>
  <r>
    <s v="DKV De Zeeuven Reen"/>
    <x v="1"/>
    <x v="0"/>
    <s v="N/A"/>
    <s v="N/A"/>
    <s v="N/A"/>
    <s v="N/A"/>
    <s v="N/A"/>
    <s v="E. 1000 +"/>
    <s v="N/A"/>
    <s v="N/A"/>
    <s v="N/A"/>
    <n v="0"/>
    <n v="0"/>
    <s v="N/A"/>
    <s v="N/A"/>
    <s v="N/A"/>
    <s v="N/A"/>
    <s v="F"/>
    <s v="F"/>
    <s v="F"/>
    <s v="T"/>
    <s v="T"/>
    <s v="T"/>
    <s v="F"/>
    <s v="N/A"/>
    <s v="N/A"/>
    <s v="N/A"/>
    <s v="N/A"/>
    <s v="N/A"/>
    <n v="0"/>
    <n v="0"/>
    <n v="0"/>
    <n v="0"/>
    <n v="0"/>
    <n v="0"/>
    <n v="0"/>
    <x v="0"/>
  </r>
  <r>
    <s v="BlueShell"/>
    <x v="1"/>
    <x v="0"/>
    <s v="N/A"/>
    <s v="N/A"/>
    <s v="N/A"/>
    <s v="N/A"/>
    <s v="N/A"/>
    <s v="E. 1000 +"/>
    <s v="N/A"/>
    <s v="N/A"/>
    <s v="N/A"/>
    <n v="0"/>
    <n v="0"/>
    <s v="N/A"/>
    <s v="N/A"/>
    <s v="N/A"/>
    <s v="N/A"/>
    <s v="F"/>
    <s v="F"/>
    <s v="F"/>
    <s v="T"/>
    <s v="T"/>
    <s v="T"/>
    <s v="F"/>
    <s v="N/A"/>
    <s v="N/A"/>
    <s v="N/A"/>
    <s v="N/A"/>
    <s v="N/A"/>
    <n v="0"/>
    <n v="0"/>
    <n v="0"/>
    <n v="0"/>
    <n v="0"/>
    <n v="0"/>
    <n v="0"/>
    <x v="0"/>
  </r>
  <r>
    <s v="4 happy feet"/>
    <x v="0"/>
    <x v="0"/>
    <s v="N/A"/>
    <s v="N/A"/>
    <s v="N/A"/>
    <s v="N/A"/>
    <s v="N/A"/>
    <s v="E. 1000 +"/>
    <s v="N/A"/>
    <s v="N/A"/>
    <s v="N/A"/>
    <n v="0"/>
    <n v="0"/>
    <s v="N/A"/>
    <s v="N/A"/>
    <s v="N/A"/>
    <s v="N/A"/>
    <s v="F"/>
    <s v="F"/>
    <s v="F"/>
    <s v="T"/>
    <s v="T"/>
    <s v="T"/>
    <s v="F"/>
    <s v="N/A"/>
    <s v="N/A"/>
    <s v="N/A"/>
    <s v="N/A"/>
    <s v="N/A"/>
    <n v="0"/>
    <n v="0"/>
    <n v="0"/>
    <n v="0"/>
    <n v="0"/>
    <n v="0"/>
    <n v="0"/>
    <x v="0"/>
  </r>
  <r>
    <s v="AFVD Foton"/>
    <x v="0"/>
    <x v="0"/>
    <s v="N/A"/>
    <s v="N/A"/>
    <s v="N/A"/>
    <s v="N/A"/>
    <s v="N/A"/>
    <s v="E. 1000 +"/>
    <s v="N/A"/>
    <s v="N/A"/>
    <s v="N/A"/>
    <n v="0"/>
    <n v="0"/>
    <s v="N/A"/>
    <s v="N/A"/>
    <s v="N/A"/>
    <s v="N/A"/>
    <s v="F"/>
    <s v="F"/>
    <s v="F"/>
    <s v="T"/>
    <s v="T"/>
    <s v="T"/>
    <s v="F"/>
    <s v="N/A"/>
    <s v="N/A"/>
    <s v="N/A"/>
    <s v="N/A"/>
    <s v="N/A"/>
    <n v="0"/>
    <n v="0"/>
    <n v="0"/>
    <n v="0"/>
    <n v="0"/>
    <n v="0"/>
    <n v="0"/>
    <x v="0"/>
  </r>
  <r>
    <s v="Arabesque"/>
    <x v="0"/>
    <x v="0"/>
    <n v="28"/>
    <n v="6"/>
    <n v="22"/>
    <n v="0.21428571428571427"/>
    <n v="0.7857142857142857"/>
    <s v=" A. 1 - 50 "/>
    <n v="6"/>
    <n v="4"/>
    <n v="18"/>
    <n v="1"/>
    <n v="3"/>
    <n v="2"/>
    <n v="0.16666666666666666"/>
    <n v="0.75"/>
    <n v="0.1111111111111111"/>
    <s v="T"/>
    <s v="T"/>
    <s v="T"/>
    <s v="T"/>
    <s v="T"/>
    <s v="T"/>
    <s v="T"/>
    <n v="0"/>
    <n v="0"/>
    <n v="5"/>
    <n v="4"/>
    <n v="2"/>
    <n v="11"/>
    <n v="3"/>
    <n v="0"/>
    <n v="1"/>
    <n v="1"/>
    <n v="1"/>
    <n v="0"/>
    <x v="0"/>
  </r>
  <r>
    <s v="Belletrie Bibliotheek"/>
    <x v="0"/>
    <x v="0"/>
    <s v="N/A"/>
    <s v="N/A"/>
    <s v="N/A"/>
    <s v="N/A"/>
    <s v="N/A"/>
    <s v="E. 1000 +"/>
    <s v="N/A"/>
    <s v="N/A"/>
    <s v="N/A"/>
    <n v="0"/>
    <n v="0"/>
    <s v="N/A"/>
    <s v="N/A"/>
    <s v="N/A"/>
    <s v="N/A"/>
    <s v="F"/>
    <s v="F"/>
    <s v="F"/>
    <s v="T"/>
    <s v="T"/>
    <s v="T"/>
    <s v="F"/>
    <s v="N/A"/>
    <s v="N/A"/>
    <s v="N/A"/>
    <s v="N/A"/>
    <s v="N/A"/>
    <n v="0"/>
    <n v="0"/>
    <n v="0"/>
    <n v="0"/>
    <n v="0"/>
    <n v="0"/>
    <n v="0"/>
    <x v="0"/>
  </r>
  <r>
    <s v="Contramime"/>
    <x v="0"/>
    <x v="0"/>
    <s v="N/A"/>
    <s v="N/A"/>
    <s v="N/A"/>
    <s v="N/A"/>
    <s v="N/A"/>
    <s v="E. 1000 +"/>
    <s v="N/A"/>
    <s v="N/A"/>
    <s v="N/A"/>
    <n v="0"/>
    <n v="0"/>
    <s v="N/A"/>
    <s v="N/A"/>
    <s v="N/A"/>
    <s v="N/A"/>
    <s v="F"/>
    <s v="F"/>
    <s v="F"/>
    <s v="T"/>
    <s v="T"/>
    <s v="T"/>
    <s v="F"/>
    <s v="N/A"/>
    <s v="N/A"/>
    <s v="N/A"/>
    <s v="N/A"/>
    <s v="N/A"/>
    <n v="0"/>
    <n v="0"/>
    <n v="0"/>
    <n v="0"/>
    <n v="0"/>
    <n v="0"/>
    <n v="0"/>
    <x v="0"/>
  </r>
  <r>
    <s v="Fanaat"/>
    <x v="0"/>
    <x v="0"/>
    <n v="32"/>
    <n v="5"/>
    <n v="27"/>
    <n v="0.15625"/>
    <n v="0.84375"/>
    <s v=" A. 1 - 50 "/>
    <n v="10"/>
    <n v="1"/>
    <n v="21"/>
    <n v="1"/>
    <n v="2"/>
    <n v="2"/>
    <n v="0.2"/>
    <n v="2"/>
    <n v="9.5238095238095233E-2"/>
    <s v="T"/>
    <s v="T"/>
    <s v="T"/>
    <s v="F"/>
    <s v="T"/>
    <s v="T"/>
    <s v="F"/>
    <n v="0"/>
    <n v="6"/>
    <n v="14"/>
    <n v="10"/>
    <n v="3"/>
    <n v="33"/>
    <n v="12"/>
    <n v="8"/>
    <n v="0"/>
    <n v="2"/>
    <n v="1"/>
    <n v="1"/>
    <x v="0"/>
  </r>
  <r>
    <s v="Musica Silvestra Orkest"/>
    <x v="0"/>
    <x v="0"/>
    <n v="28"/>
    <n v="4"/>
    <n v="24"/>
    <n v="0.14285714285714285"/>
    <n v="0.85714285714285721"/>
    <s v=" A. 1 - 50 "/>
    <n v="15"/>
    <n v="2"/>
    <n v="11"/>
    <n v="0"/>
    <n v="1"/>
    <n v="3"/>
    <n v="0"/>
    <n v="0.5"/>
    <n v="0.27272727272727271"/>
    <s v="T"/>
    <s v="T"/>
    <s v="T"/>
    <s v="T"/>
    <s v="T"/>
    <s v="T"/>
    <s v="T"/>
    <n v="2"/>
    <n v="7"/>
    <n v="15"/>
    <n v="6"/>
    <n v="14"/>
    <n v="44"/>
    <n v="12"/>
    <n v="0"/>
    <n v="4"/>
    <n v="4"/>
    <n v="2"/>
    <n v="2"/>
    <x v="0"/>
  </r>
  <r>
    <s v="Musilon"/>
    <x v="0"/>
    <x v="0"/>
    <s v="N/A"/>
    <s v="N/A"/>
    <s v="N/A"/>
    <s v="N/A"/>
    <s v="N/A"/>
    <s v="E. 1000 +"/>
    <s v="N/A"/>
    <s v="N/A"/>
    <s v="N/A"/>
    <n v="0"/>
    <n v="0"/>
    <s v="N/A"/>
    <s v="N/A"/>
    <s v="N/A"/>
    <s v="N/A"/>
    <s v="F"/>
    <s v="F"/>
    <s v="F"/>
    <s v="T"/>
    <s v="T"/>
    <s v="T"/>
    <s v="F"/>
    <s v="N/A"/>
    <s v="N/A"/>
    <s v="N/A"/>
    <s v="N/A"/>
    <s v="N/A"/>
    <n v="0"/>
    <n v="0"/>
    <n v="0"/>
    <n v="0"/>
    <n v="0"/>
    <n v="0"/>
    <n v="0"/>
    <x v="0"/>
  </r>
  <r>
    <s v="Nest"/>
    <x v="0"/>
    <x v="0"/>
    <n v="70"/>
    <n v="10"/>
    <n v="60"/>
    <n v="0.14285714285714285"/>
    <n v="0.85714285714285721"/>
    <s v="B. 50 - 100"/>
    <n v="28"/>
    <n v="0"/>
    <n v="42"/>
    <n v="0"/>
    <n v="8"/>
    <n v="2"/>
    <n v="0"/>
    <s v="N/A"/>
    <n v="4.7619047619047616E-2"/>
    <s v="T"/>
    <s v="T"/>
    <s v="T"/>
    <s v="F"/>
    <s v="T"/>
    <s v="T"/>
    <s v="F"/>
    <n v="0"/>
    <n v="0"/>
    <n v="0"/>
    <n v="0"/>
    <n v="0"/>
    <n v="0"/>
    <n v="17"/>
    <n v="3"/>
    <n v="5"/>
    <n v="8"/>
    <n v="1"/>
    <n v="0"/>
    <x v="0"/>
  </r>
  <r>
    <s v="Pro Deo"/>
    <x v="0"/>
    <x v="0"/>
    <n v="39"/>
    <n v="5"/>
    <n v="34"/>
    <n v="0.12820512820512819"/>
    <n v="0.87179487179487181"/>
    <s v=" A. 1 - 50 "/>
    <n v="10"/>
    <n v="4"/>
    <n v="25"/>
    <n v="0"/>
    <n v="2"/>
    <n v="3"/>
    <n v="0"/>
    <n v="0.5"/>
    <n v="0.12"/>
    <s v="T"/>
    <s v="T"/>
    <s v="T"/>
    <s v="T"/>
    <s v="T"/>
    <s v="T"/>
    <s v="T"/>
    <n v="0"/>
    <n v="2"/>
    <n v="1"/>
    <n v="0"/>
    <n v="16"/>
    <n v="19"/>
    <n v="10"/>
    <n v="3"/>
    <n v="1"/>
    <n v="4"/>
    <n v="2"/>
    <n v="0"/>
    <x v="0"/>
  </r>
  <r>
    <s v="SDV Chasse"/>
    <x v="0"/>
    <x v="0"/>
    <n v="48"/>
    <n v="10"/>
    <n v="38"/>
    <n v="0.20833333333333334"/>
    <n v="0.79166666666666663"/>
    <s v=" A. 1 - 50 "/>
    <n v="25"/>
    <n v="6"/>
    <n v="17"/>
    <n v="2"/>
    <n v="4"/>
    <n v="4"/>
    <n v="0.2"/>
    <n v="0.66666666666666663"/>
    <n v="0.23529411764705882"/>
    <s v="T"/>
    <s v="T"/>
    <s v="T"/>
    <s v="T"/>
    <s v="T"/>
    <s v="T"/>
    <s v="T"/>
    <n v="0"/>
    <n v="0"/>
    <n v="0"/>
    <n v="0"/>
    <n v="0"/>
    <n v="0"/>
    <n v="9"/>
    <n v="0"/>
    <n v="0"/>
    <n v="0"/>
    <n v="0"/>
    <n v="0"/>
    <x v="0"/>
  </r>
  <r>
    <s v="SHOT"/>
    <x v="0"/>
    <x v="0"/>
    <s v="N/A"/>
    <s v="N/A"/>
    <s v="N/A"/>
    <s v="N/A"/>
    <s v="N/A"/>
    <s v="E. 1000 +"/>
    <s v="N/A"/>
    <s v="N/A"/>
    <s v="N/A"/>
    <n v="0"/>
    <n v="0"/>
    <s v="N/A"/>
    <s v="N/A"/>
    <s v="N/A"/>
    <s v="N/A"/>
    <s v="F"/>
    <s v="F"/>
    <s v="F"/>
    <s v="T"/>
    <s v="T"/>
    <s v="T"/>
    <s v="F"/>
    <s v="N/A"/>
    <s v="N/A"/>
    <s v="N/A"/>
    <s v="N/A"/>
    <s v="N/A"/>
    <n v="0"/>
    <n v="0"/>
    <n v="0"/>
    <n v="0"/>
    <n v="0"/>
    <n v="0"/>
    <n v="0"/>
    <x v="0"/>
  </r>
  <r>
    <s v="Stubiba"/>
    <x v="0"/>
    <x v="0"/>
    <s v="N/A"/>
    <s v="N/A"/>
    <s v="N/A"/>
    <s v="N/A"/>
    <s v="N/A"/>
    <s v="E. 1000 +"/>
    <s v="N/A"/>
    <s v="N/A"/>
    <s v="N/A"/>
    <n v="0"/>
    <n v="0"/>
    <s v="N/A"/>
    <s v="N/A"/>
    <s v="N/A"/>
    <s v="N/A"/>
    <s v="F"/>
    <s v="F"/>
    <s v="F"/>
    <s v="T"/>
    <s v="T"/>
    <s v="T"/>
    <s v="F"/>
    <s v="N/A"/>
    <s v="N/A"/>
    <s v="N/A"/>
    <s v="N/A"/>
    <s v="N/A"/>
    <n v="0"/>
    <n v="0"/>
    <n v="0"/>
    <n v="0"/>
    <n v="0"/>
    <n v="0"/>
    <n v="0"/>
    <x v="0"/>
  </r>
  <r>
    <s v="Inspe"/>
    <x v="0"/>
    <x v="1"/>
    <n v="50"/>
    <n v="0"/>
    <n v="50"/>
    <n v="0"/>
    <n v="1"/>
    <s v="B. 50 - 100"/>
    <n v="0"/>
    <n v="2"/>
    <n v="48"/>
    <n v="0"/>
    <n v="0"/>
    <s v="N/A"/>
    <s v="N/A"/>
    <n v="0"/>
    <s v="N/A"/>
    <s v="T"/>
    <s v="F"/>
    <s v="F"/>
    <s v="T"/>
    <s v="F"/>
    <s v="T"/>
    <s v="F"/>
    <n v="2"/>
    <n v="0"/>
    <n v="7"/>
    <n v="8"/>
    <n v="13"/>
    <n v="30"/>
    <n v="7"/>
    <n v="0"/>
    <n v="2"/>
    <n v="5"/>
    <n v="0"/>
    <n v="0"/>
    <x v="0"/>
  </r>
  <r>
    <s v="Stukafest"/>
    <x v="0"/>
    <x v="0"/>
    <s v="N/A"/>
    <s v="N/A"/>
    <s v="N/A"/>
    <s v="N/A"/>
    <s v="N/A"/>
    <s v="E. 1000 +"/>
    <s v="N/A"/>
    <s v="N/A"/>
    <s v="N/A"/>
    <n v="0"/>
    <n v="0"/>
    <s v="N/A"/>
    <s v="N/A"/>
    <s v="N/A"/>
    <s v="N/A"/>
    <s v="F"/>
    <s v="F"/>
    <s v="F"/>
    <s v="T"/>
    <s v="T"/>
    <s v="T"/>
    <s v="F"/>
    <s v="N/A"/>
    <s v="N/A"/>
    <s v="N/A"/>
    <s v="N/A"/>
    <s v="N/A"/>
    <n v="0"/>
    <n v="0"/>
    <n v="0"/>
    <n v="0"/>
    <n v="0"/>
    <n v="0"/>
    <n v="0"/>
    <x v="0"/>
  </r>
  <r>
    <s v="Abacus"/>
    <x v="3"/>
    <x v="0"/>
    <n v="441"/>
    <n v="15"/>
    <n v="426"/>
    <n v="3.4013605442176874E-2"/>
    <n v="0.96598639455782309"/>
    <s v="D. 400 - 1000"/>
    <n v="85"/>
    <n v="10"/>
    <n v="346"/>
    <n v="2"/>
    <n v="2"/>
    <n v="11"/>
    <n v="0.13333333333333333"/>
    <n v="0.2"/>
    <n v="3.1791907514450865E-2"/>
    <s v="T"/>
    <s v="T"/>
    <s v="T"/>
    <s v="T"/>
    <s v="T"/>
    <s v="T"/>
    <s v="T"/>
    <n v="11"/>
    <n v="23"/>
    <n v="46"/>
    <n v="24"/>
    <n v="14"/>
    <n v="118"/>
    <n v="20"/>
    <n v="6"/>
    <n v="4"/>
    <n v="9"/>
    <n v="0"/>
    <n v="1"/>
    <x v="0"/>
  </r>
  <r>
    <s v="Alembic"/>
    <x v="3"/>
    <x v="0"/>
    <n v="857"/>
    <n v="50"/>
    <n v="807"/>
    <n v="5.8343057176196034E-2"/>
    <n v="0.94165694282380397"/>
    <s v="D. 400 - 1000"/>
    <n v="218"/>
    <n v="20"/>
    <n v="619"/>
    <n v="5"/>
    <n v="15"/>
    <n v="30"/>
    <n v="0.1"/>
    <n v="0.75"/>
    <n v="4.8465266558966075E-2"/>
    <s v="T"/>
    <s v="T"/>
    <s v="T"/>
    <s v="T"/>
    <s v="T"/>
    <s v="T"/>
    <s v="T"/>
    <n v="24"/>
    <n v="47"/>
    <n v="58"/>
    <n v="31"/>
    <n v="30"/>
    <n v="190"/>
    <n v="28"/>
    <n v="4"/>
    <n v="10"/>
    <n v="13"/>
    <n v="1"/>
    <n v="0"/>
    <x v="0"/>
  </r>
  <r>
    <s v="Arago"/>
    <x v="3"/>
    <x v="0"/>
    <n v="564"/>
    <n v="10"/>
    <n v="554"/>
    <n v="1.7730496453900711E-2"/>
    <n v="0.98226950354609932"/>
    <s v="D. 400 - 1000"/>
    <n v="146"/>
    <n v="1"/>
    <n v="417"/>
    <n v="0"/>
    <n v="0"/>
    <n v="10"/>
    <n v="0"/>
    <n v="0"/>
    <n v="2.3980815347721823E-2"/>
    <s v="T"/>
    <s v="T"/>
    <s v="T"/>
    <s v="T"/>
    <s v="T"/>
    <s v="T"/>
    <s v="T"/>
    <n v="10"/>
    <n v="5"/>
    <n v="0"/>
    <n v="3"/>
    <n v="0"/>
    <n v="18"/>
    <n v="47"/>
    <n v="17"/>
    <n v="0"/>
    <n v="8"/>
    <n v="4"/>
    <n v="17"/>
    <x v="0"/>
  </r>
  <r>
    <s v="Astatine"/>
    <x v="3"/>
    <x v="0"/>
    <n v="442"/>
    <n v="0"/>
    <n v="442"/>
    <n v="0"/>
    <n v="1"/>
    <s v="D. 400 - 1000"/>
    <n v="108"/>
    <n v="36"/>
    <n v="298"/>
    <n v="5"/>
    <n v="10"/>
    <s v="N/A"/>
    <s v="N/A"/>
    <n v="0.27777777777777779"/>
    <s v="N/A"/>
    <s v="T"/>
    <s v="F"/>
    <s v="F"/>
    <s v="T"/>
    <s v="F"/>
    <s v="T"/>
    <s v="F"/>
    <n v="39"/>
    <n v="48"/>
    <n v="72"/>
    <n v="39"/>
    <n v="14"/>
    <n v="212"/>
    <n v="27"/>
    <n v="9"/>
    <n v="8"/>
    <n v="5"/>
    <n v="4"/>
    <n v="1"/>
    <x v="0"/>
  </r>
  <r>
    <s v="Atlantis"/>
    <x v="3"/>
    <x v="0"/>
    <n v="344"/>
    <n v="5"/>
    <n v="339"/>
    <n v="1.4534883720930232E-2"/>
    <n v="0.98546511627906974"/>
    <s v="C. 100 - 400"/>
    <n v="70"/>
    <n v="50"/>
    <n v="224"/>
    <n v="8"/>
    <n v="9"/>
    <s v="N/A"/>
    <n v="1.6"/>
    <n v="0.18"/>
    <s v="N/A"/>
    <s v="T"/>
    <s v="F"/>
    <s v="F"/>
    <s v="T"/>
    <s v="F"/>
    <s v="T"/>
    <s v="F"/>
    <n v="60"/>
    <n v="43"/>
    <n v="21"/>
    <n v="6"/>
    <n v="0"/>
    <n v="130"/>
    <n v="24"/>
    <n v="8"/>
    <n v="6"/>
    <n v="7"/>
    <n v="3"/>
    <n v="0"/>
    <x v="0"/>
  </r>
  <r>
    <s v="Communique"/>
    <x v="3"/>
    <x v="0"/>
    <n v="351"/>
    <n v="50"/>
    <n v="301"/>
    <n v="0.14245014245014245"/>
    <n v="0.85754985754985757"/>
    <s v="C. 100 - 400"/>
    <n v="46"/>
    <n v="30"/>
    <n v="275"/>
    <n v="0"/>
    <n v="23"/>
    <n v="27"/>
    <n v="0"/>
    <n v="0.76666666666666672"/>
    <n v="9.8181818181818176E-2"/>
    <s v="T"/>
    <s v="T"/>
    <s v="T"/>
    <s v="T"/>
    <s v="T"/>
    <s v="T"/>
    <s v="T"/>
    <n v="16"/>
    <n v="19"/>
    <n v="6"/>
    <n v="12"/>
    <n v="1"/>
    <n v="54"/>
    <n v="17"/>
    <n v="7"/>
    <n v="1"/>
    <n v="1"/>
    <n v="5"/>
    <n v="3"/>
    <x v="0"/>
  </r>
  <r>
    <s v="ConcepT"/>
    <x v="3"/>
    <x v="0"/>
    <s v="N/A"/>
    <s v="N/A"/>
    <s v="N/A"/>
    <s v="N/A"/>
    <s v="N/A"/>
    <s v="E. 1000 +"/>
    <s v="N/A"/>
    <s v="N/A"/>
    <s v="N/A"/>
    <n v="0"/>
    <n v="0"/>
    <s v="N/A"/>
    <s v="N/A"/>
    <s v="N/A"/>
    <s v="N/A"/>
    <s v="F"/>
    <s v="F"/>
    <s v="F"/>
    <s v="T"/>
    <s v="T"/>
    <s v="T"/>
    <s v="F"/>
    <s v="N/A"/>
    <s v="N/A"/>
    <s v="N/A"/>
    <s v="N/A"/>
    <s v="N/A"/>
    <n v="0"/>
    <n v="0"/>
    <n v="0"/>
    <n v="0"/>
    <n v="0"/>
    <n v="0"/>
    <n v="0"/>
    <x v="0"/>
  </r>
  <r>
    <s v="Daedalus"/>
    <x v="3"/>
    <x v="0"/>
    <n v="770"/>
    <n v="400"/>
    <n v="370"/>
    <n v="0.51948051948051943"/>
    <n v="0.48051948051948057"/>
    <s v="D. 400 - 1000"/>
    <n v="160"/>
    <n v="45"/>
    <n v="565"/>
    <n v="5"/>
    <n v="10"/>
    <n v="385"/>
    <n v="1.2500000000000001E-2"/>
    <n v="0.22222222222222221"/>
    <n v="0.68141592920353977"/>
    <s v="T"/>
    <s v="T"/>
    <s v="T"/>
    <s v="T"/>
    <s v="T"/>
    <s v="T"/>
    <s v="T"/>
    <n v="0"/>
    <n v="0"/>
    <n v="0"/>
    <n v="0"/>
    <n v="0"/>
    <n v="0"/>
    <n v="24"/>
    <n v="0"/>
    <n v="0"/>
    <n v="0"/>
    <n v="0"/>
    <n v="0"/>
    <x v="0"/>
  </r>
  <r>
    <s v="Dimensie"/>
    <x v="3"/>
    <x v="0"/>
    <n v="999"/>
    <n v="200"/>
    <n v="799"/>
    <n v="0.20020020020020021"/>
    <n v="0.79979979979979976"/>
    <s v="D. 400 - 1000"/>
    <n v="60"/>
    <n v="100"/>
    <n v="839"/>
    <n v="0"/>
    <n v="35"/>
    <n v="165"/>
    <n v="0"/>
    <n v="0.35"/>
    <n v="0.19666269368295591"/>
    <s v="T"/>
    <s v="T"/>
    <s v="T"/>
    <s v="T"/>
    <s v="T"/>
    <s v="T"/>
    <s v="T"/>
    <n v="22"/>
    <n v="33"/>
    <n v="21"/>
    <n v="20"/>
    <n v="9"/>
    <n v="105"/>
    <n v="20"/>
    <n v="3"/>
    <n v="4"/>
    <n v="10"/>
    <n v="3"/>
    <n v="0"/>
    <x v="0"/>
  </r>
  <r>
    <s v="Ideefiks"/>
    <x v="3"/>
    <x v="0"/>
    <s v="N/A"/>
    <s v="N/A"/>
    <s v="N/A"/>
    <s v="N/A"/>
    <s v="N/A"/>
    <s v="E. 1000 +"/>
    <s v="N/A"/>
    <s v="N/A"/>
    <s v="N/A"/>
    <n v="0"/>
    <n v="0"/>
    <s v="N/A"/>
    <s v="N/A"/>
    <s v="N/A"/>
    <s v="N/A"/>
    <s v="F"/>
    <s v="F"/>
    <s v="F"/>
    <s v="T"/>
    <s v="T"/>
    <s v="T"/>
    <s v="F"/>
    <s v="N/A"/>
    <s v="N/A"/>
    <s v="N/A"/>
    <s v="N/A"/>
    <s v="N/A"/>
    <n v="0"/>
    <n v="0"/>
    <n v="0"/>
    <n v="0"/>
    <n v="0"/>
    <n v="0"/>
    <n v="0"/>
    <x v="0"/>
  </r>
  <r>
    <s v="Inter-Actief"/>
    <x v="3"/>
    <x v="0"/>
    <n v="1300"/>
    <n v="300"/>
    <n v="1000"/>
    <n v="0.23076923076923078"/>
    <n v="0.76923076923076916"/>
    <s v="E. 1000 +"/>
    <n v="160"/>
    <n v="120"/>
    <n v="1020"/>
    <n v="7"/>
    <n v="7"/>
    <n v="286"/>
    <n v="2.3333333333333334E-2"/>
    <n v="5.8333333333333334E-2"/>
    <n v="0.2803921568627451"/>
    <s v="T"/>
    <s v="T"/>
    <s v="T"/>
    <s v="T"/>
    <s v="T"/>
    <s v="T"/>
    <s v="T"/>
    <n v="37"/>
    <n v="74"/>
    <n v="113"/>
    <n v="67"/>
    <n v="20"/>
    <n v="311"/>
    <n v="40"/>
    <n v="15"/>
    <n v="3"/>
    <n v="13"/>
    <n v="8"/>
    <n v="1"/>
    <x v="0"/>
  </r>
  <r>
    <s v="Isaac Newton"/>
    <x v="3"/>
    <x v="0"/>
    <n v="1241"/>
    <n v="400"/>
    <n v="841"/>
    <n v="0.32232070910556004"/>
    <n v="0.67767929089444001"/>
    <s v="E. 1000 +"/>
    <n v="120"/>
    <n v="150"/>
    <n v="971"/>
    <n v="7"/>
    <n v="7"/>
    <n v="386"/>
    <n v="1.7500000000000002E-2"/>
    <n v="4.6666666666666669E-2"/>
    <n v="0.39752832131822863"/>
    <s v="T"/>
    <s v="T"/>
    <s v="T"/>
    <s v="T"/>
    <s v="T"/>
    <s v="T"/>
    <s v="T"/>
    <n v="13"/>
    <n v="59"/>
    <n v="47"/>
    <n v="38"/>
    <n v="33"/>
    <n v="190"/>
    <n v="28"/>
    <n v="4"/>
    <n v="11"/>
    <n v="13"/>
    <n v="0"/>
    <n v="0"/>
    <x v="0"/>
  </r>
  <r>
    <s v="Komma"/>
    <x v="3"/>
    <x v="0"/>
    <n v="185"/>
    <n v="40"/>
    <n v="145"/>
    <n v="0.21621621621621623"/>
    <n v="0.78378378378378377"/>
    <s v="C. 100 - 400"/>
    <n v="10"/>
    <n v="85"/>
    <n v="90"/>
    <n v="7"/>
    <n v="3"/>
    <n v="30"/>
    <n v="0.17499999999999999"/>
    <n v="3.5294117647058823E-2"/>
    <n v="0.33333333333333331"/>
    <s v="T"/>
    <s v="T"/>
    <s v="T"/>
    <s v="T"/>
    <s v="T"/>
    <s v="T"/>
    <s v="T"/>
    <n v="0"/>
    <n v="0"/>
    <n v="0"/>
    <n v="4"/>
    <n v="0"/>
    <n v="4"/>
    <n v="4"/>
    <n v="1"/>
    <n v="3"/>
    <n v="0"/>
    <n v="0"/>
    <n v="0"/>
    <x v="0"/>
  </r>
  <r>
    <s v="Paradoks"/>
    <x v="3"/>
    <x v="0"/>
    <s v="N/A"/>
    <s v="N/A"/>
    <s v="N/A"/>
    <s v="N/A"/>
    <s v="N/A"/>
    <s v="E. 1000 +"/>
    <s v="N/A"/>
    <s v="N/A"/>
    <s v="N/A"/>
    <n v="0"/>
    <n v="0"/>
    <s v="N/A"/>
    <s v="N/A"/>
    <s v="N/A"/>
    <s v="N/A"/>
    <s v="F"/>
    <s v="F"/>
    <s v="F"/>
    <s v="T"/>
    <s v="T"/>
    <s v="T"/>
    <s v="F"/>
    <s v="N/A"/>
    <s v="N/A"/>
    <s v="N/A"/>
    <s v="N/A"/>
    <s v="N/A"/>
    <n v="0"/>
    <n v="0"/>
    <n v="0"/>
    <n v="0"/>
    <n v="0"/>
    <n v="0"/>
    <n v="0"/>
    <x v="0"/>
  </r>
  <r>
    <s v="Proto"/>
    <x v="3"/>
    <x v="0"/>
    <n v="450"/>
    <n v="100"/>
    <n v="350"/>
    <n v="0.22222222222222221"/>
    <n v="0.77777777777777779"/>
    <s v="D. 400 - 1000"/>
    <n v="116"/>
    <n v="60"/>
    <n v="274"/>
    <n v="5"/>
    <n v="10"/>
    <n v="85"/>
    <n v="0.05"/>
    <n v="0.16666666666666666"/>
    <n v="0.31021897810218979"/>
    <s v="T"/>
    <s v="T"/>
    <s v="T"/>
    <s v="T"/>
    <s v="T"/>
    <s v="T"/>
    <s v="T"/>
    <n v="16"/>
    <n v="62"/>
    <n v="67"/>
    <n v="47"/>
    <n v="45"/>
    <n v="237"/>
    <n v="36"/>
    <n v="15"/>
    <n v="9"/>
    <n v="5"/>
    <n v="6"/>
    <n v="1"/>
    <x v="0"/>
  </r>
  <r>
    <s v="Scintilla"/>
    <x v="3"/>
    <x v="0"/>
    <n v="665"/>
    <n v="50"/>
    <n v="615"/>
    <n v="7.5187969924812026E-2"/>
    <n v="0.92481203007518797"/>
    <s v="D. 400 - 1000"/>
    <n v="140"/>
    <n v="200"/>
    <n v="325"/>
    <n v="5"/>
    <n v="5"/>
    <n v="40"/>
    <n v="0.1"/>
    <n v="2.5000000000000001E-2"/>
    <n v="0.12307692307692308"/>
    <s v="T"/>
    <s v="T"/>
    <s v="T"/>
    <s v="T"/>
    <s v="T"/>
    <s v="T"/>
    <s v="T"/>
    <n v="14"/>
    <n v="14"/>
    <n v="63"/>
    <n v="63"/>
    <n v="60"/>
    <n v="214"/>
    <n v="27"/>
    <n v="5"/>
    <n v="7"/>
    <n v="10"/>
    <n v="5"/>
    <n v="0"/>
    <x v="0"/>
  </r>
  <r>
    <s v="Sirius"/>
    <x v="3"/>
    <x v="0"/>
    <n v="713"/>
    <n v="0"/>
    <n v="713"/>
    <n v="0"/>
    <n v="1"/>
    <s v="D. 400 - 1000"/>
    <n v="87"/>
    <n v="0"/>
    <n v="626"/>
    <n v="0"/>
    <n v="5"/>
    <s v="N/A"/>
    <s v="N/A"/>
    <s v="N/A"/>
    <s v="N/A"/>
    <s v="T"/>
    <s v="F"/>
    <s v="F"/>
    <s v="F"/>
    <s v="F"/>
    <s v="T"/>
    <s v="F"/>
    <n v="29"/>
    <n v="53"/>
    <n v="12"/>
    <n v="15"/>
    <n v="0"/>
    <n v="109"/>
    <n v="22"/>
    <n v="4"/>
    <n v="3"/>
    <n v="9"/>
    <n v="6"/>
    <n v="0"/>
    <x v="0"/>
  </r>
  <r>
    <s v="Stress"/>
    <x v="3"/>
    <x v="0"/>
    <n v="1900"/>
    <n v="800"/>
    <n v="1100"/>
    <n v="0.42105263157894735"/>
    <n v="0.57894736842105265"/>
    <s v="E. 1000 +"/>
    <n v="130"/>
    <n v="500"/>
    <n v="1270"/>
    <n v="7"/>
    <n v="30"/>
    <n v="763"/>
    <n v="8.7500000000000008E-3"/>
    <n v="0.06"/>
    <n v="0.60078740157480315"/>
    <s v="T"/>
    <s v="T"/>
    <s v="T"/>
    <s v="T"/>
    <s v="T"/>
    <s v="T"/>
    <s v="T"/>
    <s v="N/A"/>
    <s v="N/A"/>
    <s v="N/A"/>
    <s v="N/A"/>
    <s v="N/A"/>
    <n v="0"/>
    <n v="0"/>
    <n v="0"/>
    <n v="0"/>
    <n v="0"/>
    <n v="0"/>
    <n v="0"/>
    <x v="0"/>
  </r>
  <r>
    <s v="SV Onwijs"/>
    <x v="3"/>
    <x v="0"/>
    <n v="200"/>
    <n v="72"/>
    <n v="128"/>
    <n v="0.36"/>
    <n v="0.64"/>
    <s v="C. 100 - 400"/>
    <n v="20"/>
    <n v="0"/>
    <n v="180"/>
    <n v="0"/>
    <n v="0"/>
    <n v="72"/>
    <n v="0"/>
    <s v="N/A"/>
    <n v="0.4"/>
    <s v="T"/>
    <s v="T"/>
    <s v="T"/>
    <s v="T"/>
    <s v="T"/>
    <s v="T"/>
    <s v="T"/>
    <n v="0"/>
    <n v="0"/>
    <n v="0"/>
    <n v="3"/>
    <n v="3"/>
    <n v="6"/>
    <n v="2"/>
    <n v="1"/>
    <n v="0"/>
    <n v="1"/>
    <n v="0"/>
    <n v="0"/>
    <x v="0"/>
  </r>
  <r>
    <s v="ITC-SAB"/>
    <x v="3"/>
    <x v="0"/>
    <s v="N/A"/>
    <s v="N/A"/>
    <s v="N/A"/>
    <s v="N/A"/>
    <s v="N/A"/>
    <s v="E. 1000 +"/>
    <s v="N/A"/>
    <s v="N/A"/>
    <s v="N/A"/>
    <n v="0"/>
    <n v="0"/>
    <s v="N/A"/>
    <s v="N/A"/>
    <s v="N/A"/>
    <s v="N/A"/>
    <s v="F"/>
    <s v="F"/>
    <s v="F"/>
    <s v="T"/>
    <s v="T"/>
    <s v="T"/>
    <s v="F"/>
    <s v="N/A"/>
    <s v="N/A"/>
    <s v="N/A"/>
    <s v="N/A"/>
    <s v="N/A"/>
    <n v="0"/>
    <n v="0"/>
    <n v="0"/>
    <n v="0"/>
    <n v="0"/>
    <n v="0"/>
    <n v="0"/>
    <x v="0"/>
  </r>
  <r>
    <s v="Honoursvereniging Ockham"/>
    <x v="3"/>
    <x v="0"/>
    <s v="N/A"/>
    <s v="N/A"/>
    <s v="N/A"/>
    <s v="N/A"/>
    <s v="N/A"/>
    <s v="E. 1000 +"/>
    <s v="N/A"/>
    <s v="N/A"/>
    <s v="N/A"/>
    <n v="0"/>
    <n v="0"/>
    <s v="N/A"/>
    <s v="N/A"/>
    <s v="N/A"/>
    <s v="N/A"/>
    <s v="F"/>
    <s v="F"/>
    <s v="F"/>
    <s v="T"/>
    <s v="T"/>
    <s v="T"/>
    <s v="F"/>
    <s v="N/A"/>
    <s v="N/A"/>
    <s v="N/A"/>
    <s v="N/A"/>
    <s v="N/A"/>
    <n v="0"/>
    <n v="0"/>
    <n v="0"/>
    <n v="0"/>
    <n v="0"/>
    <n v="0"/>
    <n v="0"/>
    <x v="0"/>
  </r>
  <r>
    <s v="AEGEE Enschede"/>
    <x v="4"/>
    <x v="0"/>
    <n v="280"/>
    <n v="60"/>
    <n v="220"/>
    <n v="0.21428571428571427"/>
    <n v="0.7857142857142857"/>
    <s v="C. 100 - 400"/>
    <n v="95"/>
    <n v="2"/>
    <n v="183"/>
    <n v="0"/>
    <n v="3"/>
    <n v="57"/>
    <n v="0"/>
    <n v="1.5"/>
    <n v="0.31147540983606559"/>
    <s v="T"/>
    <s v="T"/>
    <s v="T"/>
    <s v="F"/>
    <s v="T"/>
    <s v="T"/>
    <s v="F"/>
    <n v="24"/>
    <n v="21"/>
    <n v="50"/>
    <n v="65"/>
    <n v="24"/>
    <n v="184"/>
    <n v="26"/>
    <n v="2"/>
    <n v="6"/>
    <n v="9"/>
    <n v="7"/>
    <n v="2"/>
    <x v="0"/>
  </r>
  <r>
    <s v="ASV Taste"/>
    <x v="4"/>
    <x v="0"/>
    <n v="562"/>
    <n v="163"/>
    <n v="399"/>
    <n v="0.29003558718861211"/>
    <n v="0.70996441281138789"/>
    <s v="D. 400 - 1000"/>
    <n v="4"/>
    <n v="4"/>
    <n v="554"/>
    <n v="4"/>
    <n v="4"/>
    <n v="155"/>
    <n v="2.4539877300613498E-2"/>
    <n v="1"/>
    <n v="0.27978339350180503"/>
    <s v="T"/>
    <s v="T"/>
    <s v="T"/>
    <s v="T"/>
    <s v="T"/>
    <s v="T"/>
    <s v="T"/>
    <n v="42"/>
    <n v="85"/>
    <n v="69"/>
    <n v="31"/>
    <n v="9"/>
    <n v="236"/>
    <n v="29"/>
    <n v="4"/>
    <n v="2"/>
    <n v="18"/>
    <n v="2"/>
    <n v="3"/>
    <x v="0"/>
  </r>
  <r>
    <s v="Audentis et Virtutis"/>
    <x v="4"/>
    <x v="0"/>
    <s v="N/A"/>
    <s v="N/A"/>
    <s v="N/A"/>
    <s v="N/A"/>
    <s v="N/A"/>
    <s v="E. 1000 +"/>
    <s v="N/A"/>
    <s v="N/A"/>
    <s v="N/A"/>
    <n v="0"/>
    <n v="0"/>
    <s v="N/A"/>
    <s v="N/A"/>
    <s v="N/A"/>
    <s v="N/A"/>
    <s v="F"/>
    <s v="F"/>
    <s v="F"/>
    <s v="T"/>
    <s v="T"/>
    <s v="T"/>
    <s v="F"/>
    <s v="N/A"/>
    <s v="N/A"/>
    <s v="N/A"/>
    <s v="N/A"/>
    <s v="N/A"/>
    <n v="0"/>
    <n v="0"/>
    <n v="0"/>
    <n v="0"/>
    <n v="0"/>
    <n v="0"/>
    <n v="0"/>
    <x v="0"/>
  </r>
  <r>
    <s v="CSV Alpha"/>
    <x v="4"/>
    <x v="0"/>
    <n v="104"/>
    <n v="4"/>
    <n v="100"/>
    <n v="3.8461538461538464E-2"/>
    <n v="0.96153846153846156"/>
    <s v="C. 100 - 400"/>
    <n v="87"/>
    <n v="0"/>
    <n v="17"/>
    <n v="0"/>
    <n v="0"/>
    <n v="4"/>
    <n v="0"/>
    <s v="N/A"/>
    <n v="0.23529411764705882"/>
    <s v="T"/>
    <s v="T"/>
    <s v="T"/>
    <s v="T"/>
    <s v="T"/>
    <s v="T"/>
    <s v="T"/>
    <n v="30"/>
    <n v="25"/>
    <n v="35"/>
    <n v="22"/>
    <n v="19"/>
    <n v="131"/>
    <n v="32"/>
    <n v="4"/>
    <n v="4"/>
    <n v="23"/>
    <n v="1"/>
    <n v="0"/>
    <x v="0"/>
  </r>
  <r>
    <s v="Reformatorische Studenten Kring"/>
    <x v="4"/>
    <x v="0"/>
    <s v="N/A"/>
    <s v="N/A"/>
    <s v="N/A"/>
    <s v="N/A"/>
    <s v="N/A"/>
    <s v="E. 1000 +"/>
    <s v="N/A"/>
    <s v="N/A"/>
    <s v="N/A"/>
    <n v="0"/>
    <n v="0"/>
    <s v="N/A"/>
    <s v="N/A"/>
    <s v="N/A"/>
    <s v="N/A"/>
    <s v="F"/>
    <s v="F"/>
    <s v="F"/>
    <s v="T"/>
    <s v="T"/>
    <s v="T"/>
    <s v="F"/>
    <s v="N/A"/>
    <s v="N/A"/>
    <s v="N/A"/>
    <s v="N/A"/>
    <s v="N/A"/>
    <n v="0"/>
    <n v="0"/>
    <n v="0"/>
    <n v="0"/>
    <n v="0"/>
    <n v="0"/>
    <n v="0"/>
    <x v="0"/>
  </r>
  <r>
    <s v="SV De Gevreesde Koe VB"/>
    <x v="4"/>
    <x v="0"/>
    <s v="N/A"/>
    <s v="N/A"/>
    <s v="N/A"/>
    <s v="N/A"/>
    <s v="N/A"/>
    <s v="E. 1000 +"/>
    <s v="N/A"/>
    <s v="N/A"/>
    <s v="N/A"/>
    <n v="0"/>
    <n v="0"/>
    <s v="N/A"/>
    <s v="N/A"/>
    <s v="N/A"/>
    <s v="N/A"/>
    <s v="F"/>
    <s v="F"/>
    <s v="F"/>
    <s v="T"/>
    <s v="T"/>
    <s v="T"/>
    <s v="F"/>
    <s v="N/A"/>
    <s v="N/A"/>
    <s v="N/A"/>
    <s v="N/A"/>
    <s v="N/A"/>
    <n v="0"/>
    <n v="0"/>
    <n v="0"/>
    <n v="0"/>
    <n v="0"/>
    <n v="0"/>
    <n v="0"/>
    <x v="0"/>
  </r>
  <r>
    <s v="Navigators studentenvereniging Enschede"/>
    <x v="4"/>
    <x v="0"/>
    <n v="109"/>
    <n v="7"/>
    <n v="102"/>
    <n v="6.4220183486238536E-2"/>
    <n v="0.93577981651376141"/>
    <s v="C. 100 - 400"/>
    <n v="85"/>
    <n v="0"/>
    <n v="24"/>
    <n v="0"/>
    <n v="0"/>
    <n v="7"/>
    <n v="0"/>
    <s v="N/A"/>
    <n v="0.29166666666666669"/>
    <s v="T"/>
    <s v="T"/>
    <s v="T"/>
    <s v="T"/>
    <s v="T"/>
    <s v="T"/>
    <s v="T"/>
    <n v="0"/>
    <n v="0"/>
    <n v="0"/>
    <n v="0"/>
    <n v="0"/>
    <n v="0"/>
    <n v="4"/>
    <n v="0"/>
    <n v="0"/>
    <n v="0"/>
    <n v="0"/>
    <n v="0"/>
    <x v="0"/>
  </r>
  <r>
    <s v="Jongeren - en Studentenvereniging Exaltio"/>
    <x v="4"/>
    <x v="0"/>
    <s v="N/A"/>
    <s v="N/A"/>
    <s v="N/A"/>
    <s v="N/A"/>
    <s v="N/A"/>
    <s v="E. 1000 +"/>
    <s v="N/A"/>
    <s v="N/A"/>
    <s v="N/A"/>
    <n v="0"/>
    <n v="0"/>
    <s v="N/A"/>
    <s v="N/A"/>
    <s v="N/A"/>
    <s v="N/A"/>
    <s v="F"/>
    <s v="F"/>
    <s v="F"/>
    <s v="T"/>
    <s v="T"/>
    <s v="T"/>
    <s v="F"/>
    <s v="N/A"/>
    <s v="N/A"/>
    <s v="N/A"/>
    <s v="N/A"/>
    <s v="N/A"/>
    <n v="0"/>
    <n v="0"/>
    <n v="0"/>
    <n v="0"/>
    <n v="0"/>
    <n v="0"/>
    <n v="0"/>
    <x v="0"/>
  </r>
  <r>
    <s v="ISA AT UT"/>
    <x v="5"/>
    <x v="0"/>
    <s v="N/A"/>
    <s v="N/A"/>
    <s v="N/A"/>
    <s v="N/A"/>
    <s v="N/A"/>
    <s v="E. 1000 +"/>
    <s v="N/A"/>
    <s v="N/A"/>
    <s v="N/A"/>
    <n v="0"/>
    <n v="0"/>
    <s v="N/A"/>
    <s v="N/A"/>
    <s v="N/A"/>
    <s v="N/A"/>
    <s v="F"/>
    <s v="F"/>
    <s v="F"/>
    <s v="T"/>
    <s v="T"/>
    <s v="T"/>
    <s v="F"/>
    <s v="N/A"/>
    <s v="N/A"/>
    <s v="N/A"/>
    <s v="N/A"/>
    <s v="N/A"/>
    <n v="0"/>
    <n v="0"/>
    <n v="0"/>
    <n v="0"/>
    <n v="0"/>
    <n v="0"/>
    <n v="0"/>
    <x v="0"/>
  </r>
  <r>
    <s v="Student Union"/>
    <x v="6"/>
    <x v="1"/>
    <n v="32"/>
    <n v="0"/>
    <n v="32"/>
    <n v="0"/>
    <n v="1"/>
    <s v=" A. 1 - 50 "/>
    <n v="0"/>
    <n v="6"/>
    <n v="26"/>
    <n v="0"/>
    <n v="0"/>
    <s v="N/A"/>
    <s v="N/A"/>
    <n v="0"/>
    <s v="N/A"/>
    <s v="T"/>
    <s v="F"/>
    <s v="F"/>
    <s v="T"/>
    <s v="F"/>
    <s v="T"/>
    <s v="F"/>
    <n v="0"/>
    <n v="5"/>
    <n v="12"/>
    <n v="8"/>
    <n v="1"/>
    <n v="26"/>
    <n v="5"/>
    <n v="0"/>
    <n v="0"/>
    <n v="2"/>
    <n v="3"/>
    <n v="0"/>
    <x v="0"/>
  </r>
  <r>
    <s v="LA Voz"/>
    <x v="5"/>
    <x v="0"/>
    <s v="N/A"/>
    <s v="N/A"/>
    <s v="N/A"/>
    <s v="N/A"/>
    <s v="N/A"/>
    <s v="E. 1000 +"/>
    <s v="N/A"/>
    <s v="N/A"/>
    <s v="N/A"/>
    <n v="0"/>
    <n v="0"/>
    <s v="N/A"/>
    <s v="N/A"/>
    <s v="N/A"/>
    <s v="N/A"/>
    <s v="F"/>
    <s v="F"/>
    <s v="F"/>
    <s v="T"/>
    <s v="T"/>
    <s v="T"/>
    <s v="F"/>
    <s v="N/A"/>
    <s v="N/A"/>
    <s v="N/A"/>
    <s v="N/A"/>
    <s v="N/A"/>
    <n v="0"/>
    <n v="0"/>
    <n v="0"/>
    <n v="0"/>
    <n v="0"/>
    <n v="0"/>
    <n v="0"/>
    <x v="0"/>
  </r>
  <r>
    <s v="ESN Twente"/>
    <x v="5"/>
    <x v="1"/>
    <n v="30"/>
    <n v="0"/>
    <n v="30"/>
    <n v="0"/>
    <n v="1"/>
    <s v=" A. 1 - 50 "/>
    <n v="0"/>
    <n v="10"/>
    <n v="20"/>
    <n v="0"/>
    <n v="0"/>
    <s v="N/A"/>
    <s v="N/A"/>
    <n v="0"/>
    <s v="N/A"/>
    <s v="T"/>
    <s v="F"/>
    <s v="F"/>
    <s v="T"/>
    <s v="F"/>
    <s v="T"/>
    <s v="F"/>
    <n v="0"/>
    <n v="0"/>
    <n v="2"/>
    <n v="0"/>
    <n v="0"/>
    <n v="2"/>
    <n v="1"/>
    <n v="1"/>
    <n v="0"/>
    <n v="0"/>
    <n v="0"/>
    <n v="0"/>
    <x v="0"/>
  </r>
  <r>
    <s v="ICF-E"/>
    <x v="5"/>
    <x v="1"/>
    <n v="100"/>
    <n v="0"/>
    <n v="100"/>
    <n v="0"/>
    <n v="1"/>
    <s v="C. 100 - 400"/>
    <n v="0"/>
    <n v="30"/>
    <n v="70"/>
    <n v="0"/>
    <n v="0"/>
    <s v="N/A"/>
    <s v="N/A"/>
    <n v="0"/>
    <s v="N/A"/>
    <s v="T"/>
    <s v="F"/>
    <s v="F"/>
    <s v="T"/>
    <s v="F"/>
    <s v="T"/>
    <s v="F"/>
    <n v="5"/>
    <n v="2"/>
    <n v="1"/>
    <n v="0"/>
    <n v="10"/>
    <n v="18"/>
    <n v="11"/>
    <n v="2"/>
    <n v="3"/>
    <n v="2"/>
    <n v="3"/>
    <n v="1"/>
    <x v="0"/>
  </r>
  <r>
    <s v="PSA"/>
    <x v="5"/>
    <x v="0"/>
    <s v="N/A"/>
    <s v="N/A"/>
    <s v="N/A"/>
    <s v="N/A"/>
    <s v="N/A"/>
    <s v="E. 1000 +"/>
    <s v="N/A"/>
    <s v="N/A"/>
    <s v="N/A"/>
    <n v="0"/>
    <n v="0"/>
    <s v="N/A"/>
    <s v="N/A"/>
    <s v="N/A"/>
    <s v="N/A"/>
    <s v="F"/>
    <s v="F"/>
    <s v="F"/>
    <s v="T"/>
    <s v="T"/>
    <s v="T"/>
    <s v="F"/>
    <s v="N/A"/>
    <s v="N/A"/>
    <s v="N/A"/>
    <s v="N/A"/>
    <s v="N/A"/>
    <n v="0"/>
    <n v="0"/>
    <n v="0"/>
    <n v="0"/>
    <n v="0"/>
    <n v="0"/>
    <n v="0"/>
    <x v="0"/>
  </r>
  <r>
    <s v="SUUT"/>
    <x v="5"/>
    <x v="0"/>
    <s v="N/A"/>
    <s v="N/A"/>
    <s v="N/A"/>
    <s v="N/A"/>
    <s v="N/A"/>
    <s v="E. 1000 +"/>
    <s v="N/A"/>
    <s v="N/A"/>
    <s v="N/A"/>
    <n v="0"/>
    <n v="0"/>
    <s v="N/A"/>
    <s v="N/A"/>
    <s v="N/A"/>
    <s v="N/A"/>
    <s v="F"/>
    <s v="F"/>
    <s v="F"/>
    <s v="T"/>
    <s v="T"/>
    <s v="T"/>
    <s v="F"/>
    <s v="N/A"/>
    <s v="N/A"/>
    <s v="N/A"/>
    <s v="N/A"/>
    <s v="N/A"/>
    <n v="0"/>
    <n v="0"/>
    <n v="0"/>
    <n v="0"/>
    <n v="0"/>
    <n v="0"/>
    <n v="0"/>
    <x v="0"/>
  </r>
  <r>
    <s v="RSA"/>
    <x v="5"/>
    <x v="0"/>
    <s v="N/A"/>
    <s v="N/A"/>
    <s v="N/A"/>
    <s v="N/A"/>
    <s v="N/A"/>
    <s v="E. 1000 +"/>
    <s v="N/A"/>
    <s v="N/A"/>
    <s v="N/A"/>
    <n v="0"/>
    <n v="0"/>
    <s v="N/A"/>
    <s v="N/A"/>
    <s v="N/A"/>
    <s v="N/A"/>
    <s v="F"/>
    <s v="F"/>
    <s v="F"/>
    <s v="T"/>
    <s v="T"/>
    <s v="T"/>
    <s v="F"/>
    <s v="N/A"/>
    <s v="N/A"/>
    <s v="N/A"/>
    <s v="N/A"/>
    <s v="N/A"/>
    <n v="0"/>
    <n v="0"/>
    <n v="0"/>
    <n v="0"/>
    <n v="0"/>
    <n v="0"/>
    <n v="0"/>
    <x v="0"/>
  </r>
  <r>
    <s v="UT Muslims"/>
    <x v="5"/>
    <x v="0"/>
    <n v="57"/>
    <n v="5"/>
    <n v="52"/>
    <n v="8.771929824561403E-2"/>
    <n v="0.91228070175438591"/>
    <s v="B. 50 - 100"/>
    <n v="15"/>
    <n v="36"/>
    <n v="6"/>
    <n v="6"/>
    <n v="1"/>
    <s v="N/A"/>
    <n v="1.2"/>
    <n v="2.7777777777777776E-2"/>
    <s v="N/A"/>
    <s v="T"/>
    <s v="F"/>
    <s v="F"/>
    <s v="T"/>
    <s v="F"/>
    <s v="T"/>
    <s v="F"/>
    <n v="8"/>
    <n v="2"/>
    <n v="0"/>
    <n v="0"/>
    <n v="3"/>
    <n v="13"/>
    <n v="4"/>
    <n v="1"/>
    <n v="1"/>
    <n v="0"/>
    <n v="1"/>
    <n v="1"/>
    <x v="0"/>
  </r>
  <r>
    <s v="SUT"/>
    <x v="1"/>
    <x v="1"/>
    <n v="3"/>
    <n v="0"/>
    <n v="3"/>
    <n v="0"/>
    <n v="1"/>
    <s v=" A. 1 - 50 "/>
    <n v="0"/>
    <s v="N/A"/>
    <s v="N/A"/>
    <n v="0"/>
    <n v="0"/>
    <s v="N/A"/>
    <s v="N/A"/>
    <s v="N/A"/>
    <s v="N/A"/>
    <s v="F"/>
    <s v="F"/>
    <s v="F"/>
    <s v="T"/>
    <s v="T"/>
    <s v="T"/>
    <s v="F"/>
    <n v="0"/>
    <n v="1"/>
    <n v="3"/>
    <n v="8"/>
    <n v="2"/>
    <n v="14"/>
    <n v="3"/>
    <n v="0"/>
    <n v="1"/>
    <n v="2"/>
    <n v="0"/>
    <n v="0"/>
    <x v="0"/>
  </r>
  <r>
    <s v="Cultuurkoepel Apollo"/>
    <x v="0"/>
    <x v="1"/>
    <n v="4"/>
    <n v="0"/>
    <n v="4"/>
    <n v="0"/>
    <n v="1"/>
    <s v=" A. 1 - 50 "/>
    <n v="0"/>
    <s v="N/A"/>
    <s v="N/A"/>
    <n v="0"/>
    <n v="0"/>
    <s v="N/A"/>
    <s v="N/A"/>
    <s v="N/A"/>
    <s v="N/A"/>
    <s v="F"/>
    <s v="F"/>
    <s v="F"/>
    <s v="T"/>
    <s v="T"/>
    <s v="T"/>
    <s v="F"/>
    <n v="1"/>
    <n v="5"/>
    <n v="11"/>
    <n v="11"/>
    <n v="6"/>
    <n v="34"/>
    <n v="13"/>
    <n v="1"/>
    <n v="0"/>
    <n v="11"/>
    <n v="0"/>
    <n v="1"/>
    <x v="0"/>
  </r>
  <r>
    <s v="PKVV Fact"/>
    <x v="4"/>
    <x v="1"/>
    <n v="4"/>
    <n v="0"/>
    <n v="4"/>
    <n v="0"/>
    <n v="1"/>
    <s v=" A. 1 - 50 "/>
    <n v="0"/>
    <n v="0"/>
    <n v="4"/>
    <n v="0"/>
    <n v="0"/>
    <s v="N/A"/>
    <s v="N/A"/>
    <s v="N/A"/>
    <s v="N/A"/>
    <s v="T"/>
    <s v="F"/>
    <s v="F"/>
    <s v="T"/>
    <s v="F"/>
    <s v="T"/>
    <s v="F"/>
    <n v="1"/>
    <n v="4"/>
    <n v="4"/>
    <n v="3"/>
    <n v="6"/>
    <n v="18"/>
    <n v="3"/>
    <n v="1"/>
    <n v="0"/>
    <n v="1"/>
    <n v="1"/>
    <n v="0"/>
    <x v="0"/>
  </r>
  <r>
    <s v="UniTe"/>
    <x v="5"/>
    <x v="1"/>
    <n v="7"/>
    <n v="0"/>
    <n v="7"/>
    <n v="0"/>
    <n v="1"/>
    <s v=" A. 1 - 50 "/>
    <n v="0"/>
    <n v="6"/>
    <n v="1"/>
    <n v="0"/>
    <n v="0"/>
    <s v="N/A"/>
    <s v="N/A"/>
    <n v="0"/>
    <s v="N/A"/>
    <s v="T"/>
    <s v="F"/>
    <s v="F"/>
    <s v="T"/>
    <s v="F"/>
    <s v="T"/>
    <s v="F"/>
    <n v="0"/>
    <n v="1"/>
    <n v="0"/>
    <n v="3"/>
    <n v="3"/>
    <n v="7"/>
    <n v="1"/>
    <n v="0"/>
    <n v="0"/>
    <n v="1"/>
    <n v="0"/>
    <n v="0"/>
    <x v="0"/>
  </r>
  <r>
    <s v="AIESEC Twente"/>
    <x v="6"/>
    <x v="1"/>
    <n v="9"/>
    <n v="0"/>
    <n v="9"/>
    <n v="0"/>
    <n v="1"/>
    <s v=" A. 1 - 50 "/>
    <n v="0"/>
    <n v="1"/>
    <n v="8"/>
    <n v="0"/>
    <n v="0"/>
    <s v="N/A"/>
    <s v="N/A"/>
    <n v="0"/>
    <s v="N/A"/>
    <s v="T"/>
    <s v="F"/>
    <s v="F"/>
    <s v="T"/>
    <s v="F"/>
    <s v="T"/>
    <s v="F"/>
    <n v="0"/>
    <n v="1"/>
    <n v="3"/>
    <n v="5"/>
    <n v="0"/>
    <n v="9"/>
    <n v="3"/>
    <n v="0"/>
    <n v="1"/>
    <n v="2"/>
    <n v="0"/>
    <n v="0"/>
    <x v="0"/>
  </r>
  <r>
    <s v="Bedrijvendagen"/>
    <x v="6"/>
    <x v="1"/>
    <s v="N/A"/>
    <s v="N/A"/>
    <s v="N/A"/>
    <s v="N/A"/>
    <s v="N/A"/>
    <s v="E. 1000 +"/>
    <s v="N/A"/>
    <s v="N/A"/>
    <s v="N/A"/>
    <n v="0"/>
    <n v="0"/>
    <s v="N/A"/>
    <s v="N/A"/>
    <s v="N/A"/>
    <s v="N/A"/>
    <s v="F"/>
    <s v="F"/>
    <s v="F"/>
    <s v="T"/>
    <s v="T"/>
    <s v="T"/>
    <s v="F"/>
    <s v="N/A"/>
    <s v="N/A"/>
    <s v="N/A"/>
    <s v="N/A"/>
    <s v="N/A"/>
    <n v="0"/>
    <n v="0"/>
    <n v="0"/>
    <n v="0"/>
    <n v="0"/>
    <n v="0"/>
    <n v="0"/>
    <x v="0"/>
  </r>
  <r>
    <s v="Duitenberg"/>
    <x v="6"/>
    <x v="0"/>
    <s v="N/A"/>
    <s v="N/A"/>
    <s v="N/A"/>
    <s v="N/A"/>
    <s v="N/A"/>
    <s v="E. 1000 +"/>
    <s v="N/A"/>
    <s v="N/A"/>
    <s v="N/A"/>
    <n v="0"/>
    <n v="0"/>
    <s v="N/A"/>
    <s v="N/A"/>
    <s v="N/A"/>
    <s v="N/A"/>
    <s v="F"/>
    <s v="F"/>
    <s v="F"/>
    <s v="T"/>
    <s v="T"/>
    <s v="T"/>
    <s v="F"/>
    <s v="N/A"/>
    <s v="N/A"/>
    <s v="N/A"/>
    <s v="N/A"/>
    <s v="N/A"/>
    <n v="0"/>
    <n v="0"/>
    <n v="0"/>
    <n v="0"/>
    <n v="0"/>
    <n v="0"/>
    <n v="0"/>
    <x v="0"/>
  </r>
  <r>
    <s v="IAESTE Twente"/>
    <x v="1"/>
    <x v="1"/>
    <s v="N/A"/>
    <s v="N/A"/>
    <s v="N/A"/>
    <s v="N/A"/>
    <s v="N/A"/>
    <s v="E. 1000 +"/>
    <s v="N/A"/>
    <s v="N/A"/>
    <s v="N/A"/>
    <n v="0"/>
    <n v="0"/>
    <s v="N/A"/>
    <s v="N/A"/>
    <s v="N/A"/>
    <s v="N/A"/>
    <s v="F"/>
    <s v="F"/>
    <s v="F"/>
    <s v="T"/>
    <s v="T"/>
    <s v="T"/>
    <s v="F"/>
    <s v="N/A"/>
    <s v="N/A"/>
    <s v="N/A"/>
    <s v="N/A"/>
    <s v="N/A"/>
    <n v="0"/>
    <n v="0"/>
    <n v="0"/>
    <n v="0"/>
    <n v="0"/>
    <n v="0"/>
    <n v="0"/>
    <x v="0"/>
  </r>
  <r>
    <s v="Integrand Twente"/>
    <x v="6"/>
    <x v="1"/>
    <n v="8"/>
    <n v="0"/>
    <n v="8"/>
    <n v="0"/>
    <n v="1"/>
    <s v=" A. 1 - 50 "/>
    <n v="0"/>
    <s v="N/A"/>
    <s v="N/A"/>
    <n v="0"/>
    <n v="0"/>
    <s v="N/A"/>
    <s v="N/A"/>
    <s v="N/A"/>
    <s v="N/A"/>
    <s v="F"/>
    <s v="F"/>
    <s v="F"/>
    <s v="T"/>
    <s v="T"/>
    <s v="T"/>
    <s v="F"/>
    <n v="0"/>
    <n v="0"/>
    <n v="6"/>
    <n v="2"/>
    <n v="0"/>
    <n v="8"/>
    <n v="1"/>
    <n v="1"/>
    <n v="0"/>
    <n v="0"/>
    <n v="0"/>
    <n v="0"/>
    <x v="0"/>
  </r>
  <r>
    <s v="KIVI Students Twente"/>
    <x v="6"/>
    <x v="1"/>
    <n v="17500"/>
    <n v="0"/>
    <n v="17500"/>
    <n v="0"/>
    <n v="1"/>
    <s v="E. 1000 +"/>
    <n v="0"/>
    <n v="0"/>
    <n v="17500"/>
    <n v="0"/>
    <n v="0"/>
    <s v="N/A"/>
    <s v="N/A"/>
    <s v="N/A"/>
    <s v="N/A"/>
    <s v="T"/>
    <s v="F"/>
    <s v="F"/>
    <s v="T"/>
    <s v="F"/>
    <s v="T"/>
    <s v="F"/>
    <n v="0"/>
    <n v="0"/>
    <n v="0"/>
    <n v="0"/>
    <n v="0"/>
    <n v="0"/>
    <n v="1"/>
    <n v="0"/>
    <n v="0"/>
    <n v="1"/>
    <n v="0"/>
    <n v="0"/>
    <x v="0"/>
  </r>
  <r>
    <s v="Unipartners"/>
    <x v="6"/>
    <x v="1"/>
    <s v="N/A"/>
    <s v="N/A"/>
    <s v="N/A"/>
    <s v="N/A"/>
    <s v="N/A"/>
    <s v="E. 1000 +"/>
    <s v="N/A"/>
    <s v="N/A"/>
    <s v="N/A"/>
    <n v="0"/>
    <n v="0"/>
    <s v="N/A"/>
    <s v="N/A"/>
    <s v="N/A"/>
    <s v="N/A"/>
    <s v="F"/>
    <s v="F"/>
    <s v="F"/>
    <s v="T"/>
    <s v="T"/>
    <s v="T"/>
    <s v="F"/>
    <s v="N/A"/>
    <s v="N/A"/>
    <s v="N/A"/>
    <s v="N/A"/>
    <s v="N/A"/>
    <n v="0"/>
    <n v="0"/>
    <n v="0"/>
    <n v="0"/>
    <n v="0"/>
    <n v="0"/>
    <n v="0"/>
    <x v="0"/>
  </r>
  <r>
    <s v="DSIF"/>
    <x v="6"/>
    <x v="1"/>
    <s v="N/A"/>
    <s v="N/A"/>
    <s v="N/A"/>
    <s v="N/A"/>
    <s v="N/A"/>
    <s v="E. 1000 +"/>
    <s v="N/A"/>
    <s v="N/A"/>
    <s v="N/A"/>
    <n v="0"/>
    <n v="0"/>
    <s v="N/A"/>
    <s v="N/A"/>
    <s v="N/A"/>
    <s v="N/A"/>
    <s v="F"/>
    <s v="F"/>
    <s v="F"/>
    <s v="T"/>
    <s v="T"/>
    <s v="T"/>
    <s v="F"/>
    <s v="N/A"/>
    <s v="N/A"/>
    <s v="N/A"/>
    <s v="N/A"/>
    <s v="N/A"/>
    <n v="0"/>
    <n v="0"/>
    <n v="0"/>
    <n v="0"/>
    <n v="0"/>
    <n v="0"/>
    <n v="0"/>
    <x v="0"/>
  </r>
  <r>
    <s v="Hive01"/>
    <x v="6"/>
    <x v="1"/>
    <n v="5"/>
    <n v="0"/>
    <n v="5"/>
    <n v="0"/>
    <n v="1"/>
    <s v=" A. 1 - 50 "/>
    <n v="0"/>
    <n v="1"/>
    <n v="4"/>
    <n v="0"/>
    <n v="0"/>
    <s v="N/A"/>
    <s v="N/A"/>
    <n v="0"/>
    <s v="N/A"/>
    <s v="T"/>
    <s v="F"/>
    <s v="F"/>
    <s v="T"/>
    <s v="F"/>
    <s v="T"/>
    <s v="F"/>
    <s v="N/A"/>
    <s v="N/A"/>
    <s v="N/A"/>
    <s v="N/A"/>
    <s v="N/A"/>
    <n v="0"/>
    <n v="0"/>
    <n v="0"/>
    <n v="0"/>
    <n v="0"/>
    <n v="0"/>
    <n v="0"/>
    <x v="0"/>
  </r>
  <r>
    <s v="Green Team Twente"/>
    <x v="6"/>
    <x v="1"/>
    <s v="N/A"/>
    <s v="N/A"/>
    <s v="N/A"/>
    <s v="N/A"/>
    <s v="N/A"/>
    <s v="E. 1000 +"/>
    <s v="N/A"/>
    <s v="N/A"/>
    <s v="N/A"/>
    <n v="0"/>
    <n v="0"/>
    <s v="N/A"/>
    <s v="N/A"/>
    <s v="N/A"/>
    <s v="N/A"/>
    <s v="F"/>
    <s v="F"/>
    <s v="F"/>
    <s v="T"/>
    <s v="T"/>
    <s v="T"/>
    <s v="F"/>
    <s v="N/A"/>
    <s v="N/A"/>
    <s v="N/A"/>
    <s v="N/A"/>
    <s v="N/A"/>
    <n v="0"/>
    <n v="0"/>
    <n v="0"/>
    <n v="0"/>
    <n v="0"/>
    <n v="0"/>
    <n v="0"/>
    <x v="0"/>
  </r>
  <r>
    <s v="IAPC"/>
    <x v="6"/>
    <x v="1"/>
    <n v="92"/>
    <n v="0"/>
    <n v="92"/>
    <n v="0"/>
    <n v="1"/>
    <s v="B. 50 - 100"/>
    <n v="0"/>
    <n v="0"/>
    <n v="92"/>
    <n v="0"/>
    <n v="0"/>
    <s v="N/A"/>
    <s v="N/A"/>
    <s v="N/A"/>
    <s v="N/A"/>
    <s v="T"/>
    <s v="F"/>
    <s v="F"/>
    <s v="T"/>
    <s v="F"/>
    <s v="T"/>
    <s v="F"/>
    <n v="0"/>
    <n v="13"/>
    <n v="5"/>
    <n v="0"/>
    <n v="1"/>
    <n v="19"/>
    <n v="8"/>
    <n v="0"/>
    <n v="1"/>
    <n v="7"/>
    <n v="0"/>
    <n v="0"/>
    <x v="0"/>
  </r>
  <r>
    <s v="Stichting Borrelbeheer Zilvering"/>
    <x v="4"/>
    <x v="1"/>
    <n v="17"/>
    <n v="0"/>
    <n v="17"/>
    <n v="0"/>
    <n v="1"/>
    <s v=" A. 1 - 50 "/>
    <n v="0"/>
    <n v="0"/>
    <n v="17"/>
    <n v="0"/>
    <n v="0"/>
    <s v="N/A"/>
    <s v="N/A"/>
    <s v="N/A"/>
    <s v="N/A"/>
    <s v="T"/>
    <s v="F"/>
    <s v="F"/>
    <s v="T"/>
    <s v="F"/>
    <s v="T"/>
    <s v="F"/>
    <n v="0"/>
    <n v="0"/>
    <n v="6"/>
    <n v="2"/>
    <n v="0"/>
    <n v="8"/>
    <n v="2"/>
    <n v="0"/>
    <n v="0"/>
    <n v="1"/>
    <n v="0"/>
    <n v="1"/>
    <x v="0"/>
  </r>
  <r>
    <s v="Stichting Batavierenrace"/>
    <x v="6"/>
    <x v="1"/>
    <n v="110"/>
    <n v="0"/>
    <n v="110"/>
    <n v="0"/>
    <n v="1"/>
    <s v="C. 100 - 400"/>
    <n v="0"/>
    <n v="0"/>
    <n v="110"/>
    <n v="0"/>
    <n v="0"/>
    <s v="N/A"/>
    <s v="N/A"/>
    <s v="N/A"/>
    <s v="N/A"/>
    <s v="T"/>
    <s v="F"/>
    <s v="F"/>
    <s v="T"/>
    <s v="F"/>
    <s v="T"/>
    <s v="F"/>
    <n v="0"/>
    <n v="2"/>
    <n v="0"/>
    <n v="1"/>
    <n v="1"/>
    <n v="4"/>
    <n v="15"/>
    <n v="6"/>
    <n v="3"/>
    <n v="4"/>
    <n v="2"/>
    <n v="0"/>
    <x v="0"/>
  </r>
  <r>
    <s v="Stichting Solar Team Twente"/>
    <x v="6"/>
    <x v="1"/>
    <n v="19"/>
    <n v="0"/>
    <n v="19"/>
    <n v="0"/>
    <n v="1"/>
    <s v=" A. 1 - 50 "/>
    <n v="0"/>
    <s v="N/A"/>
    <s v="N/A"/>
    <n v="0"/>
    <n v="0"/>
    <s v="N/A"/>
    <s v="N/A"/>
    <s v="N/A"/>
    <s v="N/A"/>
    <s v="F"/>
    <s v="F"/>
    <s v="F"/>
    <s v="T"/>
    <s v="T"/>
    <s v="T"/>
    <s v="F"/>
    <n v="0"/>
    <n v="0"/>
    <n v="0"/>
    <n v="0"/>
    <n v="0"/>
    <n v="0"/>
    <n v="3"/>
    <n v="0"/>
    <n v="0"/>
    <n v="0"/>
    <n v="0"/>
    <n v="0"/>
    <x v="0"/>
  </r>
  <r>
    <s v="Studenten Net Twente"/>
    <x v="6"/>
    <x v="0"/>
    <s v="N/A"/>
    <s v="N/A"/>
    <s v="N/A"/>
    <s v="N/A"/>
    <s v="N/A"/>
    <s v="E. 1000 +"/>
    <s v="N/A"/>
    <s v="N/A"/>
    <s v="N/A"/>
    <n v="0"/>
    <n v="0"/>
    <s v="N/A"/>
    <s v="N/A"/>
    <s v="N/A"/>
    <s v="N/A"/>
    <s v="F"/>
    <s v="F"/>
    <s v="F"/>
    <s v="T"/>
    <s v="T"/>
    <s v="T"/>
    <s v="F"/>
    <s v="N/A"/>
    <s v="N/A"/>
    <s v="N/A"/>
    <s v="N/A"/>
    <s v="N/A"/>
    <n v="0"/>
    <n v="0"/>
    <n v="0"/>
    <n v="0"/>
    <n v="0"/>
    <n v="0"/>
    <n v="0"/>
    <x v="0"/>
  </r>
  <r>
    <s v="Vereniging Campus kabel"/>
    <x v="6"/>
    <x v="0"/>
    <s v="N/A"/>
    <s v="N/A"/>
    <s v="N/A"/>
    <s v="N/A"/>
    <s v="N/A"/>
    <s v="E. 1000 +"/>
    <s v="N/A"/>
    <s v="N/A"/>
    <s v="N/A"/>
    <n v="0"/>
    <n v="0"/>
    <s v="N/A"/>
    <s v="N/A"/>
    <s v="N/A"/>
    <s v="N/A"/>
    <s v="F"/>
    <s v="F"/>
    <s v="F"/>
    <s v="T"/>
    <s v="T"/>
    <s v="T"/>
    <s v="F"/>
    <s v="N/A"/>
    <s v="N/A"/>
    <s v="N/A"/>
    <s v="N/A"/>
    <s v="N/A"/>
    <n v="0"/>
    <n v="0"/>
    <n v="0"/>
    <n v="0"/>
    <n v="0"/>
    <n v="0"/>
    <n v="0"/>
    <x v="0"/>
  </r>
  <r>
    <s v="Werkgroep OntwikkelingsTechnieken"/>
    <x v="6"/>
    <x v="0"/>
    <s v="N/A"/>
    <s v="N/A"/>
    <s v="N/A"/>
    <s v="N/A"/>
    <s v="N/A"/>
    <s v="E. 1000 +"/>
    <s v="N/A"/>
    <s v="N/A"/>
    <s v="N/A"/>
    <n v="0"/>
    <n v="0"/>
    <s v="N/A"/>
    <s v="N/A"/>
    <s v="N/A"/>
    <s v="N/A"/>
    <s v="F"/>
    <s v="F"/>
    <s v="F"/>
    <s v="T"/>
    <s v="T"/>
    <s v="T"/>
    <s v="F"/>
    <s v="N/A"/>
    <s v="N/A"/>
    <s v="N/A"/>
    <s v="N/A"/>
    <s v="N/A"/>
    <n v="0"/>
    <n v="0"/>
    <n v="0"/>
    <n v="0"/>
    <n v="0"/>
    <n v="0"/>
    <n v="0"/>
    <x v="0"/>
  </r>
  <r>
    <s v="Borrelbeheer TAP"/>
    <x v="6"/>
    <x v="1"/>
    <s v="N/A"/>
    <s v="N/A"/>
    <s v="N/A"/>
    <s v="N/A"/>
    <s v="N/A"/>
    <s v="E. 1000 +"/>
    <s v="N/A"/>
    <s v="N/A"/>
    <s v="N/A"/>
    <n v="0"/>
    <n v="0"/>
    <s v="N/A"/>
    <s v="N/A"/>
    <s v="N/A"/>
    <s v="N/A"/>
    <s v="F"/>
    <s v="F"/>
    <s v="F"/>
    <s v="T"/>
    <s v="T"/>
    <s v="T"/>
    <s v="F"/>
    <s v="N/A"/>
    <s v="N/A"/>
    <s v="N/A"/>
    <s v="N/A"/>
    <s v="N/A"/>
    <n v="0"/>
    <n v="0"/>
    <n v="0"/>
    <n v="0"/>
    <n v="0"/>
    <n v="0"/>
    <n v="0"/>
    <x v="0"/>
  </r>
  <r>
    <s v="Studentenstam Radix"/>
    <x v="1"/>
    <x v="0"/>
    <n v="42"/>
    <n v="2"/>
    <n v="40"/>
    <n v="4.7619047619047616E-2"/>
    <n v="0.95238095238095233"/>
    <s v=" A. 1 - 50 "/>
    <n v="15"/>
    <n v="0"/>
    <n v="27"/>
    <n v="0"/>
    <n v="0"/>
    <n v="2"/>
    <n v="0"/>
    <s v="N/A"/>
    <n v="7.407407407407407E-2"/>
    <s v="T"/>
    <s v="T"/>
    <s v="T"/>
    <s v="T"/>
    <s v="T"/>
    <s v="T"/>
    <s v="T"/>
    <n v="0"/>
    <n v="0"/>
    <n v="0"/>
    <n v="0"/>
    <n v="0"/>
    <n v="0"/>
    <n v="5"/>
    <n v="1"/>
    <n v="0"/>
    <n v="3"/>
    <n v="1"/>
    <n v="0"/>
    <x v="0"/>
  </r>
  <r>
    <s v="IEEE Student Branch"/>
    <x v="6"/>
    <x v="1"/>
    <s v="N/A"/>
    <s v="N/A"/>
    <s v="N/A"/>
    <s v="N/A"/>
    <s v="N/A"/>
    <s v="E. 1000 +"/>
    <s v="N/A"/>
    <s v="N/A"/>
    <s v="N/A"/>
    <n v="0"/>
    <n v="0"/>
    <s v="N/A"/>
    <s v="N/A"/>
    <s v="N/A"/>
    <s v="N/A"/>
    <s v="F"/>
    <s v="F"/>
    <s v="F"/>
    <s v="T"/>
    <s v="T"/>
    <s v="T"/>
    <s v="F"/>
    <s v="N/A"/>
    <s v="N/A"/>
    <s v="N/A"/>
    <s v="N/A"/>
    <s v="N/A"/>
    <n v="0"/>
    <n v="0"/>
    <n v="0"/>
    <n v="0"/>
    <n v="0"/>
    <n v="0"/>
    <n v="0"/>
    <x v="0"/>
  </r>
  <r>
    <s v="Stichting Solar Boat Twente"/>
    <x v="1"/>
    <x v="1"/>
    <s v="N/A"/>
    <s v="N/A"/>
    <s v="N/A"/>
    <s v="N/A"/>
    <s v="N/A"/>
    <s v="E. 1000 +"/>
    <s v="N/A"/>
    <s v="N/A"/>
    <s v="N/A"/>
    <n v="0"/>
    <n v="0"/>
    <s v="N/A"/>
    <s v="N/A"/>
    <s v="N/A"/>
    <s v="N/A"/>
    <s v="F"/>
    <s v="F"/>
    <s v="F"/>
    <s v="T"/>
    <s v="T"/>
    <s v="T"/>
    <s v="F"/>
    <s v="N/A"/>
    <s v="N/A"/>
    <s v="N/A"/>
    <s v="N/A"/>
    <s v="N/A"/>
    <n v="0"/>
    <n v="0"/>
    <n v="0"/>
    <n v="0"/>
    <n v="0"/>
    <n v="0"/>
    <n v="0"/>
    <x v="0"/>
  </r>
  <r>
    <s v="Stichting Robo Team Twente"/>
    <x v="6"/>
    <x v="1"/>
    <n v="21"/>
    <n v="0"/>
    <n v="21"/>
    <n v="0"/>
    <n v="1"/>
    <s v=" A. 1 - 50 "/>
    <n v="0"/>
    <n v="2"/>
    <n v="19"/>
    <n v="0"/>
    <n v="0"/>
    <s v="N/A"/>
    <s v="N/A"/>
    <n v="0"/>
    <s v="N/A"/>
    <s v="T"/>
    <s v="F"/>
    <s v="F"/>
    <s v="T"/>
    <s v="F"/>
    <s v="T"/>
    <s v="F"/>
    <n v="0"/>
    <n v="0"/>
    <n v="0"/>
    <n v="0"/>
    <n v="0"/>
    <n v="0"/>
    <n v="1"/>
    <n v="0"/>
    <n v="0"/>
    <n v="1"/>
    <n v="0"/>
    <n v="0"/>
    <x v="0"/>
  </r>
  <r>
    <s v="Stichting Electric Superbike Twente"/>
    <x v="6"/>
    <x v="1"/>
    <s v="N/A"/>
    <s v="N/A"/>
    <s v="N/A"/>
    <s v="N/A"/>
    <s v="N/A"/>
    <s v="E. 1000 +"/>
    <s v="N/A"/>
    <s v="N/A"/>
    <s v="N/A"/>
    <n v="0"/>
    <n v="0"/>
    <s v="N/A"/>
    <s v="N/A"/>
    <s v="N/A"/>
    <s v="N/A"/>
    <s v="F"/>
    <s v="F"/>
    <s v="F"/>
    <s v="T"/>
    <s v="T"/>
    <s v="T"/>
    <s v="F"/>
    <s v="N/A"/>
    <s v="N/A"/>
    <s v="N/A"/>
    <s v="N/A"/>
    <s v="N/A"/>
    <n v="0"/>
    <n v="0"/>
    <n v="0"/>
    <n v="0"/>
    <n v="0"/>
    <n v="0"/>
    <n v="0"/>
    <x v="0"/>
  </r>
  <r>
    <s v="De sevende camer"/>
    <x v="6"/>
    <x v="1"/>
    <s v="N/A"/>
    <s v="N/A"/>
    <s v="N/A"/>
    <s v="N/A"/>
    <s v="N/A"/>
    <s v="E. 1000 +"/>
    <s v="N/A"/>
    <s v="N/A"/>
    <s v="N/A"/>
    <n v="0"/>
    <n v="0"/>
    <s v="N/A"/>
    <s v="N/A"/>
    <s v="N/A"/>
    <s v="N/A"/>
    <s v="F"/>
    <s v="F"/>
    <s v="F"/>
    <s v="T"/>
    <s v="T"/>
    <s v="T"/>
    <s v="F"/>
    <s v="N/A"/>
    <s v="N/A"/>
    <s v="N/A"/>
    <s v="N/A"/>
    <s v="N/A"/>
    <n v="0"/>
    <n v="0"/>
    <n v="0"/>
    <n v="0"/>
    <n v="0"/>
    <n v="0"/>
    <n v="0"/>
    <x v="0"/>
  </r>
  <r>
    <s v="The negotiation project"/>
    <x v="6"/>
    <x v="1"/>
    <n v="25"/>
    <n v="0"/>
    <n v="25"/>
    <n v="0"/>
    <n v="1"/>
    <s v=" A. 1 - 50 "/>
    <n v="0"/>
    <n v="6"/>
    <n v="19"/>
    <n v="0"/>
    <n v="0"/>
    <s v="N/A"/>
    <s v="N/A"/>
    <n v="0"/>
    <s v="N/A"/>
    <s v="T"/>
    <s v="F"/>
    <s v="F"/>
    <s v="T"/>
    <s v="F"/>
    <s v="T"/>
    <s v="F"/>
    <n v="0"/>
    <n v="3"/>
    <n v="2"/>
    <n v="0"/>
    <n v="0"/>
    <n v="5"/>
    <n v="1"/>
    <n v="0"/>
    <n v="0"/>
    <n v="1"/>
    <n v="0"/>
    <n v="0"/>
    <x v="0"/>
  </r>
  <r>
    <s v="Drone Team Twente"/>
    <x v="6"/>
    <x v="1"/>
    <n v="10"/>
    <n v="0"/>
    <n v="10"/>
    <n v="0"/>
    <n v="1"/>
    <s v=" A. 1 - 50 "/>
    <n v="0"/>
    <n v="6"/>
    <n v="4"/>
    <n v="0"/>
    <n v="0"/>
    <s v="N/A"/>
    <s v="N/A"/>
    <n v="0"/>
    <s v="N/A"/>
    <s v="T"/>
    <s v="F"/>
    <s v="F"/>
    <s v="T"/>
    <s v="F"/>
    <s v="T"/>
    <s v="F"/>
    <n v="2"/>
    <n v="3"/>
    <n v="3"/>
    <n v="0"/>
    <n v="2"/>
    <n v="10"/>
    <n v="2"/>
    <n v="0"/>
    <n v="0"/>
    <n v="0"/>
    <n v="2"/>
    <n v="0"/>
    <x v="0"/>
  </r>
  <r>
    <s v="Sustain"/>
    <x v="6"/>
    <x v="0"/>
    <s v="N/A"/>
    <s v="N/A"/>
    <s v="N/A"/>
    <s v="N/A"/>
    <s v="N/A"/>
    <s v="E. 1000 +"/>
    <s v="N/A"/>
    <s v="N/A"/>
    <s v="N/A"/>
    <n v="0"/>
    <n v="0"/>
    <s v="N/A"/>
    <s v="N/A"/>
    <s v="N/A"/>
    <s v="N/A"/>
    <s v="F"/>
    <s v="F"/>
    <s v="F"/>
    <s v="T"/>
    <s v="T"/>
    <s v="T"/>
    <s v="F"/>
    <s v="N/A"/>
    <s v="N/A"/>
    <s v="N/A"/>
    <s v="N/A"/>
    <s v="N/A"/>
    <n v="0"/>
    <n v="0"/>
    <n v="0"/>
    <n v="0"/>
    <n v="0"/>
    <n v="0"/>
    <n v="0"/>
    <x v="0"/>
  </r>
  <r>
    <s v="Space Society"/>
    <x v="6"/>
    <x v="0"/>
    <s v="N/A"/>
    <s v="N/A"/>
    <s v="N/A"/>
    <s v="N/A"/>
    <s v="N/A"/>
    <s v="E. 1000 +"/>
    <s v="N/A"/>
    <s v="N/A"/>
    <s v="N/A"/>
    <n v="0"/>
    <n v="0"/>
    <s v="N/A"/>
    <s v="N/A"/>
    <s v="N/A"/>
    <s v="N/A"/>
    <s v="F"/>
    <s v="F"/>
    <s v="F"/>
    <s v="T"/>
    <s v="T"/>
    <s v="T"/>
    <s v="F"/>
    <s v="N/A"/>
    <s v="N/A"/>
    <s v="N/A"/>
    <s v="N/A"/>
    <s v="N/A"/>
    <n v="0"/>
    <n v="0"/>
    <n v="0"/>
    <n v="0"/>
    <n v="0"/>
    <n v="0"/>
    <n v="0"/>
    <x v="0"/>
  </r>
  <r>
    <s v="Drienerlose Stichting Torenhoog"/>
    <x v="6"/>
    <x v="1"/>
    <s v="N/A"/>
    <s v="N/A"/>
    <s v="N/A"/>
    <s v="N/A"/>
    <s v="N/A"/>
    <s v="E. 1000 +"/>
    <s v="N/A"/>
    <s v="N/A"/>
    <s v="N/A"/>
    <n v="0"/>
    <n v="0"/>
    <s v="N/A"/>
    <s v="N/A"/>
    <s v="N/A"/>
    <s v="N/A"/>
    <s v="F"/>
    <s v="F"/>
    <s v="F"/>
    <s v="T"/>
    <s v="T"/>
    <s v="T"/>
    <s v="F"/>
    <s v="N/A"/>
    <s v="N/A"/>
    <s v="N/A"/>
    <s v="N/A"/>
    <s v="N/A"/>
    <n v="0"/>
    <n v="0"/>
    <n v="0"/>
    <n v="0"/>
    <n v="0"/>
    <n v="0"/>
    <n v="0"/>
    <x v="0"/>
  </r>
  <r>
    <s v="Vereniging Overleg Studieverenigingen"/>
    <x v="3"/>
    <x v="0"/>
    <n v="20"/>
    <n v="0"/>
    <n v="20"/>
    <n v="0"/>
    <n v="1"/>
    <s v=" A. 1 - 50 "/>
    <n v="0"/>
    <n v="0"/>
    <n v="20"/>
    <n v="0"/>
    <n v="0"/>
    <s v="N/A"/>
    <s v="N/A"/>
    <s v="N/A"/>
    <s v="N/A"/>
    <s v="T"/>
    <s v="F"/>
    <s v="F"/>
    <s v="T"/>
    <s v="F"/>
    <s v="T"/>
    <s v="F"/>
    <n v="0"/>
    <n v="0"/>
    <n v="14"/>
    <n v="6"/>
    <n v="0"/>
    <n v="20"/>
    <n v="7"/>
    <n v="2"/>
    <n v="0"/>
    <n v="2"/>
    <n v="2"/>
    <n v="1"/>
    <x v="0"/>
  </r>
  <r>
    <s v="IrNUT"/>
    <x v="6"/>
    <x v="0"/>
    <s v="N/A"/>
    <s v="N/A"/>
    <s v="N/A"/>
    <s v="N/A"/>
    <s v="N/A"/>
    <s v="E. 1000 +"/>
    <s v="N/A"/>
    <s v="N/A"/>
    <s v="N/A"/>
    <n v="0"/>
    <n v="0"/>
    <s v="N/A"/>
    <s v="N/A"/>
    <s v="N/A"/>
    <s v="N/A"/>
    <s v="F"/>
    <s v="F"/>
    <s v="F"/>
    <s v="T"/>
    <s v="T"/>
    <s v="T"/>
    <s v="F"/>
    <s v="N/A"/>
    <s v="N/A"/>
    <s v="N/A"/>
    <s v="N/A"/>
    <s v="N/A"/>
    <n v="0"/>
    <n v="0"/>
    <n v="0"/>
    <n v="0"/>
    <n v="0"/>
    <n v="0"/>
    <n v="0"/>
    <x v="0"/>
  </r>
  <r>
    <s v="Stichting Societeit Antigoon"/>
    <x v="3"/>
    <x v="1"/>
    <s v="N/A"/>
    <s v="N/A"/>
    <s v="N/A"/>
    <s v="N/A"/>
    <s v="N/A"/>
    <s v="E. 1000 +"/>
    <s v="N/A"/>
    <s v="N/A"/>
    <s v="N/A"/>
    <n v="0"/>
    <n v="0"/>
    <s v="N/A"/>
    <s v="N/A"/>
    <s v="N/A"/>
    <s v="N/A"/>
    <s v="F"/>
    <s v="F"/>
    <s v="F"/>
    <s v="T"/>
    <s v="T"/>
    <s v="T"/>
    <s v="F"/>
    <s v="N/A"/>
    <s v="N/A"/>
    <s v="N/A"/>
    <s v="N/A"/>
    <s v="N/A"/>
    <n v="0"/>
    <n v="0"/>
    <n v="0"/>
    <n v="0"/>
    <n v="0"/>
    <n v="0"/>
    <n v="0"/>
    <x v="0"/>
  </r>
  <r>
    <s v="Stichting Societeit TRAM"/>
    <x v="5"/>
    <x v="1"/>
    <s v="N/A"/>
    <s v="N/A"/>
    <s v="N/A"/>
    <s v="N/A"/>
    <s v="N/A"/>
    <s v="E. 1000 +"/>
    <s v="N/A"/>
    <s v="N/A"/>
    <s v="N/A"/>
    <n v="0"/>
    <n v="0"/>
    <s v="N/A"/>
    <s v="N/A"/>
    <s v="N/A"/>
    <s v="N/A"/>
    <s v="F"/>
    <s v="F"/>
    <s v="F"/>
    <s v="T"/>
    <s v="T"/>
    <s v="T"/>
    <s v="F"/>
    <s v="N/A"/>
    <s v="N/A"/>
    <s v="N/A"/>
    <s v="N/A"/>
    <s v="N/A"/>
    <n v="0"/>
    <n v="0"/>
    <n v="0"/>
    <n v="0"/>
    <n v="0"/>
    <n v="0"/>
    <n v="0"/>
    <x v="0"/>
  </r>
  <r>
    <s v="Stichting Societeit Flux"/>
    <x v="6"/>
    <x v="1"/>
    <s v="N/A"/>
    <s v="N/A"/>
    <s v="N/A"/>
    <s v="N/A"/>
    <s v="N/A"/>
    <s v="E. 1000 +"/>
    <s v="N/A"/>
    <s v="N/A"/>
    <s v="N/A"/>
    <n v="0"/>
    <n v="0"/>
    <s v="N/A"/>
    <s v="N/A"/>
    <s v="N/A"/>
    <s v="N/A"/>
    <s v="F"/>
    <s v="F"/>
    <s v="F"/>
    <s v="T"/>
    <s v="T"/>
    <s v="T"/>
    <s v="F"/>
    <s v="N/A"/>
    <s v="N/A"/>
    <s v="N/A"/>
    <s v="N/A"/>
    <s v="N/A"/>
    <n v="0"/>
    <n v="0"/>
    <n v="0"/>
    <n v="0"/>
    <n v="0"/>
    <n v="0"/>
    <n v="0"/>
    <x v="0"/>
  </r>
  <r>
    <s v="Stichting Societeit Asterion"/>
    <x v="6"/>
    <x v="1"/>
    <s v="N/A"/>
    <s v="N/A"/>
    <s v="N/A"/>
    <s v="N/A"/>
    <s v="N/A"/>
    <s v="E. 1000 +"/>
    <s v="N/A"/>
    <s v="N/A"/>
    <s v="N/A"/>
    <n v="0"/>
    <n v="0"/>
    <s v="N/A"/>
    <s v="N/A"/>
    <s v="N/A"/>
    <s v="N/A"/>
    <s v="F"/>
    <s v="F"/>
    <s v="F"/>
    <s v="T"/>
    <s v="T"/>
    <s v="T"/>
    <s v="F"/>
    <s v="N/A"/>
    <s v="N/A"/>
    <s v="N/A"/>
    <s v="N/A"/>
    <s v="N/A"/>
    <n v="0"/>
    <n v="0"/>
    <n v="0"/>
    <n v="0"/>
    <n v="0"/>
    <n v="0"/>
    <n v="0"/>
    <x v="0"/>
  </r>
  <r>
    <s v="Stichting Kantine Sportcentrum"/>
    <x v="6"/>
    <x v="1"/>
    <s v="N/A"/>
    <s v="N/A"/>
    <s v="N/A"/>
    <s v="N/A"/>
    <s v="N/A"/>
    <s v="E. 1000 +"/>
    <s v="N/A"/>
    <s v="N/A"/>
    <s v="N/A"/>
    <n v="0"/>
    <n v="0"/>
    <s v="N/A"/>
    <s v="N/A"/>
    <s v="N/A"/>
    <s v="N/A"/>
    <s v="F"/>
    <s v="F"/>
    <s v="F"/>
    <s v="T"/>
    <s v="T"/>
    <s v="T"/>
    <s v="F"/>
    <s v="N/A"/>
    <s v="N/A"/>
    <s v="N/A"/>
    <s v="N/A"/>
    <s v="N/A"/>
    <n v="0"/>
    <n v="0"/>
    <n v="0"/>
    <n v="0"/>
    <n v="0"/>
    <n v="0"/>
    <n v="0"/>
    <x v="0"/>
  </r>
  <r>
    <s v="VGST"/>
    <x v="6"/>
    <x v="0"/>
    <s v="N/A"/>
    <s v="N/A"/>
    <s v="N/A"/>
    <s v="N/A"/>
    <s v="N/A"/>
    <s v="E. 1000 +"/>
    <s v="N/A"/>
    <s v="N/A"/>
    <s v="N/A"/>
    <n v="0"/>
    <n v="0"/>
    <s v="N/A"/>
    <s v="N/A"/>
    <s v="N/A"/>
    <s v="N/A"/>
    <s v="F"/>
    <s v="F"/>
    <s v="F"/>
    <s v="T"/>
    <s v="T"/>
    <s v="T"/>
    <s v="F"/>
    <s v="N/A"/>
    <s v="N/A"/>
    <s v="N/A"/>
    <s v="N/A"/>
    <s v="N/A"/>
    <n v="0"/>
    <n v="0"/>
    <n v="0"/>
    <n v="0"/>
    <n v="0"/>
    <n v="0"/>
    <n v="0"/>
    <x v="0"/>
  </r>
  <r>
    <s v="Stichting t Fluitje"/>
    <x v="6"/>
    <x v="1"/>
    <n v="10"/>
    <n v="0"/>
    <n v="10"/>
    <n v="0"/>
    <n v="1"/>
    <s v=" A. 1 - 50 "/>
    <n v="0"/>
    <n v="0"/>
    <n v="10"/>
    <n v="0"/>
    <n v="0"/>
    <s v="N/A"/>
    <s v="N/A"/>
    <s v="N/A"/>
    <s v="N/A"/>
    <s v="T"/>
    <s v="F"/>
    <s v="F"/>
    <s v="T"/>
    <s v="F"/>
    <s v="T"/>
    <s v="F"/>
    <n v="0"/>
    <n v="0"/>
    <n v="1"/>
    <n v="3"/>
    <n v="2"/>
    <n v="6"/>
    <n v="3"/>
    <n v="1"/>
    <n v="0"/>
    <n v="1"/>
    <n v="1"/>
    <n v="0"/>
    <x v="0"/>
  </r>
  <r>
    <s v="Enactus Twente"/>
    <x v="4"/>
    <x v="1"/>
    <s v="N/A"/>
    <s v="N/A"/>
    <s v="N/A"/>
    <s v="N/A"/>
    <s v="N/A"/>
    <s v="E. 1000 +"/>
    <s v="N/A"/>
    <s v="N/A"/>
    <s v="N/A"/>
    <n v="0"/>
    <n v="0"/>
    <s v="N/A"/>
    <s v="N/A"/>
    <s v="N/A"/>
    <s v="N/A"/>
    <s v="F"/>
    <s v="F"/>
    <s v="F"/>
    <s v="T"/>
    <s v="T"/>
    <s v="T"/>
    <s v="F"/>
    <s v="N/A"/>
    <s v="N/A"/>
    <s v="N/A"/>
    <s v="N/A"/>
    <s v="N/A"/>
    <n v="0"/>
    <n v="0"/>
    <n v="0"/>
    <n v="0"/>
    <n v="0"/>
    <n v="0"/>
    <n v="0"/>
    <x v="0"/>
  </r>
  <r>
    <s v="Eurasian Student Organisation"/>
    <x v="5"/>
    <x v="0"/>
    <n v="200"/>
    <n v="15"/>
    <n v="185"/>
    <n v="7.4999999999999997E-2"/>
    <n v="0.92500000000000004"/>
    <s v="C. 100 - 400"/>
    <n v="20"/>
    <n v="200"/>
    <s v="N/A"/>
    <n v="20"/>
    <n v="5"/>
    <s v="N/A"/>
    <n v="1.3333333333333333"/>
    <n v="2.5000000000000001E-2"/>
    <s v="N/A"/>
    <s v="F"/>
    <s v="F"/>
    <s v="F"/>
    <s v="T"/>
    <s v="T"/>
    <s v="T"/>
    <m/>
    <n v="5"/>
    <n v="1"/>
    <n v="2"/>
    <n v="0"/>
    <n v="0"/>
    <n v="8"/>
    <n v="3"/>
    <n v="0"/>
    <n v="0"/>
    <n v="3"/>
    <n v="0"/>
    <n v="0"/>
    <x v="0"/>
  </r>
  <r>
    <s v="Ultimate Frisbee Twente"/>
    <x v="6"/>
    <x v="0"/>
    <s v="N/A"/>
    <s v="N/A"/>
    <s v="N/A"/>
    <s v="N/A"/>
    <s v="N/A"/>
    <s v="E. 1000 +"/>
    <s v="N/A"/>
    <s v="N/A"/>
    <s v="N/A"/>
    <n v="0"/>
    <n v="0"/>
    <s v="N/A"/>
    <s v="N/A"/>
    <s v="N/A"/>
    <s v="N/A"/>
    <s v="F"/>
    <s v="F"/>
    <s v="F"/>
    <s v="T"/>
    <s v="T"/>
    <s v="T"/>
    <m/>
    <s v="N/A"/>
    <s v="N/A"/>
    <s v="N/A"/>
    <s v="N/A"/>
    <s v="N/A"/>
    <n v="0"/>
    <n v="0"/>
    <n v="0"/>
    <n v="0"/>
    <n v="0"/>
    <n v="0"/>
    <n v="0"/>
    <x v="0"/>
  </r>
  <r>
    <s v="Break-even"/>
    <x v="0"/>
    <x v="0"/>
    <n v="85"/>
    <n v="10"/>
    <n v="75"/>
    <n v="0.11764705882352941"/>
    <n v="0.88235294117647056"/>
    <s v="B. 50 - 100"/>
    <n v="20"/>
    <n v="10"/>
    <n v="55"/>
    <n v="8"/>
    <n v="12"/>
    <s v="N/A"/>
    <n v="0.8"/>
    <n v="1.2"/>
    <s v="N/A"/>
    <s v="T"/>
    <s v="F"/>
    <s v="F"/>
    <s v="F"/>
    <s v="F"/>
    <s v="T"/>
    <s v="F"/>
    <n v="0"/>
    <n v="0"/>
    <n v="0"/>
    <n v="0"/>
    <n v="0"/>
    <n v="0"/>
    <n v="7"/>
    <m/>
    <m/>
    <m/>
    <m/>
    <m/>
    <x v="1"/>
  </r>
  <r>
    <s v="DAV Kronos"/>
    <x v="1"/>
    <x v="0"/>
    <n v="99"/>
    <n v="10"/>
    <n v="89"/>
    <n v="0.10101010101010101"/>
    <n v="0.89898989898989901"/>
    <s v="B. 50 - 100"/>
    <n v="40"/>
    <n v="1"/>
    <n v="58"/>
    <n v="1"/>
    <n v="0"/>
    <n v="9"/>
    <n v="0.1"/>
    <n v="0"/>
    <n v="0.15517241379310345"/>
    <s v="T"/>
    <s v="T"/>
    <s v="T"/>
    <s v="T"/>
    <s v="T"/>
    <s v="T"/>
    <s v="T"/>
    <n v="14"/>
    <n v="16"/>
    <n v="18"/>
    <n v="7"/>
    <n v="13"/>
    <n v="68"/>
    <n v="0"/>
    <m/>
    <m/>
    <m/>
    <m/>
    <m/>
    <x v="1"/>
  </r>
  <r>
    <s v="DBV Arriba"/>
    <x v="1"/>
    <x v="0"/>
    <n v="5"/>
    <n v="5"/>
    <n v="0"/>
    <n v="1"/>
    <n v="0"/>
    <s v=" A. 1 - 50 "/>
    <n v="5"/>
    <n v="5"/>
    <s v="N/A"/>
    <n v="5"/>
    <n v="5"/>
    <s v="N/A"/>
    <n v="1"/>
    <n v="1"/>
    <s v="N/A"/>
    <s v="F"/>
    <s v="F"/>
    <s v="F"/>
    <s v="T"/>
    <s v="T"/>
    <s v="T"/>
    <s v="F"/>
    <s v="N/A"/>
    <s v="N/A"/>
    <s v="N/A"/>
    <s v="N/A"/>
    <s v="N/A"/>
    <n v="0"/>
    <n v="0"/>
    <m/>
    <m/>
    <m/>
    <m/>
    <m/>
    <x v="1"/>
  </r>
  <r>
    <s v="DSTV Aloha"/>
    <x v="1"/>
    <x v="0"/>
    <n v="72"/>
    <n v="10"/>
    <n v="62"/>
    <n v="0.1388888888888889"/>
    <n v="0.86111111111111116"/>
    <s v="B. 50 - 100"/>
    <n v="29"/>
    <n v="2"/>
    <n v="41"/>
    <n v="0"/>
    <n v="2"/>
    <n v="8"/>
    <n v="0"/>
    <n v="1"/>
    <n v="0.1951219512195122"/>
    <s v="T"/>
    <s v="T"/>
    <s v="T"/>
    <s v="T"/>
    <s v="T"/>
    <s v="T"/>
    <s v="T"/>
    <n v="1"/>
    <n v="1"/>
    <n v="0"/>
    <n v="9"/>
    <n v="24"/>
    <n v="35"/>
    <n v="14"/>
    <m/>
    <m/>
    <m/>
    <m/>
    <m/>
    <x v="1"/>
  </r>
  <r>
    <s v="DSV de Skeuvel"/>
    <x v="1"/>
    <x v="0"/>
    <n v="240"/>
    <n v="75"/>
    <n v="165"/>
    <n v="0.3125"/>
    <n v="0.6875"/>
    <s v="C. 100 - 400"/>
    <n v="75"/>
    <n v="5"/>
    <n v="160"/>
    <n v="0"/>
    <n v="1"/>
    <n v="74"/>
    <n v="0"/>
    <n v="0.2"/>
    <n v="0.46250000000000002"/>
    <s v="T"/>
    <s v="T"/>
    <s v="T"/>
    <s v="T"/>
    <s v="T"/>
    <s v="T"/>
    <s v="T"/>
    <n v="0"/>
    <n v="0"/>
    <n v="0"/>
    <n v="0"/>
    <n v="0"/>
    <n v="0"/>
    <n v="28"/>
    <m/>
    <m/>
    <m/>
    <m/>
    <m/>
    <x v="1"/>
  </r>
  <r>
    <s v="DTTV Thibats"/>
    <x v="1"/>
    <x v="0"/>
    <n v="29"/>
    <n v="5"/>
    <n v="24"/>
    <n v="0.17241379310344829"/>
    <n v="0.82758620689655171"/>
    <s v=" A. 1 - 50 "/>
    <n v="10"/>
    <n v="6"/>
    <n v="13"/>
    <n v="0"/>
    <n v="12"/>
    <s v="N/A"/>
    <n v="0"/>
    <n v="2"/>
    <s v="N/A"/>
    <s v="T"/>
    <s v="F"/>
    <s v="F"/>
    <s v="F"/>
    <s v="F"/>
    <s v="T"/>
    <s v="F"/>
    <n v="1"/>
    <n v="0"/>
    <n v="1"/>
    <n v="3"/>
    <n v="15"/>
    <n v="20"/>
    <n v="6"/>
    <m/>
    <m/>
    <m/>
    <m/>
    <m/>
    <x v="1"/>
  </r>
  <r>
    <s v="DWV Hardboard"/>
    <x v="1"/>
    <x v="0"/>
    <n v="170"/>
    <n v="50"/>
    <n v="120"/>
    <n v="0.29411764705882354"/>
    <n v="0.70588235294117641"/>
    <s v="C. 100 - 400"/>
    <n v="35"/>
    <n v="4"/>
    <n v="131"/>
    <n v="3"/>
    <n v="7"/>
    <n v="40"/>
    <n v="0.06"/>
    <n v="1.75"/>
    <n v="0.30534351145038169"/>
    <s v="T"/>
    <s v="T"/>
    <s v="T"/>
    <s v="F"/>
    <s v="T"/>
    <s v="T"/>
    <s v="F"/>
    <n v="0"/>
    <n v="0"/>
    <n v="0"/>
    <n v="0"/>
    <n v="0"/>
    <n v="0"/>
    <n v="18"/>
    <m/>
    <m/>
    <m/>
    <m/>
    <m/>
    <x v="1"/>
  </r>
  <r>
    <s v="DWV Klein Verzet"/>
    <x v="1"/>
    <x v="0"/>
    <n v="85"/>
    <n v="10"/>
    <n v="75"/>
    <n v="0.11764705882352941"/>
    <n v="0.88235294117647056"/>
    <s v="B. 50 - 100"/>
    <n v="32"/>
    <n v="0"/>
    <n v="53"/>
    <n v="0"/>
    <n v="1"/>
    <n v="9"/>
    <n v="0"/>
    <s v="N/A"/>
    <n v="0.16981132075471697"/>
    <s v="T"/>
    <s v="T"/>
    <s v="T"/>
    <s v="F"/>
    <s v="T"/>
    <s v="T"/>
    <s v="F"/>
    <s v="N/A"/>
    <s v="N/A"/>
    <s v="N/A"/>
    <s v="N/A"/>
    <s v="N/A"/>
    <n v="0"/>
    <n v="14"/>
    <m/>
    <m/>
    <m/>
    <m/>
    <m/>
    <x v="1"/>
  </r>
  <r>
    <s v="DBV DIOK"/>
    <x v="1"/>
    <x v="0"/>
    <s v="N/A"/>
    <s v="N/A"/>
    <s v="N/A"/>
    <s v="N/A"/>
    <s v="N/A"/>
    <s v="E. 1000 +"/>
    <s v="N/A"/>
    <s v="N/A"/>
    <s v="N/A"/>
    <n v="0"/>
    <n v="0"/>
    <s v="N/A"/>
    <s v="N/A"/>
    <s v="N/A"/>
    <s v="N/A"/>
    <s v="F"/>
    <s v="F"/>
    <s v="F"/>
    <s v="T"/>
    <s v="T"/>
    <s v="T"/>
    <s v="F"/>
    <s v="N/A"/>
    <s v="N/A"/>
    <s v="N/A"/>
    <s v="N/A"/>
    <s v="N/A"/>
    <n v="0"/>
    <n v="0"/>
    <m/>
    <m/>
    <m/>
    <m/>
    <m/>
    <x v="1"/>
  </r>
  <r>
    <s v="DBV de Stretchers"/>
    <x v="1"/>
    <x v="0"/>
    <n v="42"/>
    <n v="8"/>
    <n v="34"/>
    <n v="0.19047619047619047"/>
    <n v="0.80952380952380953"/>
    <s v=" A. 1 - 50 "/>
    <n v="14"/>
    <n v="0"/>
    <n v="28"/>
    <n v="0"/>
    <n v="1"/>
    <n v="7"/>
    <n v="0"/>
    <s v="N/A"/>
    <n v="0.25"/>
    <s v="T"/>
    <s v="T"/>
    <s v="T"/>
    <s v="F"/>
    <s v="T"/>
    <s v="T"/>
    <s v="F"/>
    <n v="2"/>
    <n v="2"/>
    <n v="2"/>
    <n v="3"/>
    <n v="16"/>
    <n v="25"/>
    <n v="6"/>
    <m/>
    <m/>
    <m/>
    <m/>
    <m/>
    <x v="1"/>
  </r>
  <r>
    <s v="DHC Drienerlo"/>
    <x v="1"/>
    <x v="0"/>
    <n v="290"/>
    <n v="175"/>
    <n v="115"/>
    <n v="0.60344827586206895"/>
    <n v="0.39655172413793105"/>
    <s v="C. 100 - 400"/>
    <n v="0"/>
    <n v="1"/>
    <n v="289"/>
    <n v="0"/>
    <n v="0"/>
    <n v="175"/>
    <n v="0"/>
    <n v="0"/>
    <n v="0.60553633217993075"/>
    <s v="T"/>
    <s v="T"/>
    <s v="T"/>
    <s v="T"/>
    <s v="T"/>
    <s v="T"/>
    <s v="T"/>
    <n v="22"/>
    <n v="25"/>
    <n v="38"/>
    <n v="19"/>
    <n v="42"/>
    <n v="146"/>
    <n v="18"/>
    <m/>
    <m/>
    <m/>
    <m/>
    <m/>
    <x v="1"/>
  </r>
  <r>
    <s v="DKV Euros"/>
    <x v="1"/>
    <x v="0"/>
    <s v="N/A"/>
    <s v="N/A"/>
    <s v="N/A"/>
    <s v="N/A"/>
    <s v="N/A"/>
    <s v="E. 1000 +"/>
    <s v="N/A"/>
    <s v="N/A"/>
    <s v="N/A"/>
    <n v="0"/>
    <n v="0"/>
    <s v="N/A"/>
    <s v="N/A"/>
    <s v="N/A"/>
    <s v="N/A"/>
    <s v="F"/>
    <s v="F"/>
    <s v="F"/>
    <s v="T"/>
    <s v="T"/>
    <s v="T"/>
    <s v="F"/>
    <s v="N/A"/>
    <s v="N/A"/>
    <s v="N/A"/>
    <s v="N/A"/>
    <s v="N/A"/>
    <n v="0"/>
    <n v="0"/>
    <m/>
    <m/>
    <m/>
    <m/>
    <m/>
    <x v="1"/>
  </r>
  <r>
    <s v="DRV Euros"/>
    <x v="1"/>
    <x v="0"/>
    <n v="390"/>
    <n v="10"/>
    <n v="380"/>
    <n v="2.564102564102564E-2"/>
    <n v="0.97435897435897434"/>
    <s v="C. 100 - 400"/>
    <n v="170"/>
    <n v="0"/>
    <n v="220"/>
    <n v="0"/>
    <n v="3"/>
    <n v="7"/>
    <n v="0"/>
    <s v="N/A"/>
    <n v="3.1818181818181815E-2"/>
    <s v="T"/>
    <s v="T"/>
    <s v="T"/>
    <s v="F"/>
    <s v="T"/>
    <s v="T"/>
    <s v="F"/>
    <n v="0"/>
    <n v="0"/>
    <n v="0"/>
    <n v="0"/>
    <n v="0"/>
    <n v="0"/>
    <n v="39"/>
    <m/>
    <m/>
    <m/>
    <m/>
    <m/>
    <x v="1"/>
  </r>
  <r>
    <s v="DRV Hippocampus"/>
    <x v="1"/>
    <x v="0"/>
    <n v="65"/>
    <n v="13"/>
    <n v="52"/>
    <n v="0.2"/>
    <n v="0.8"/>
    <s v="B. 50 - 100"/>
    <n v="25"/>
    <n v="7"/>
    <n v="33"/>
    <n v="5"/>
    <n v="20"/>
    <s v="N/A"/>
    <n v="0.38461538461538464"/>
    <n v="2.8571428571428572"/>
    <s v="N/A"/>
    <s v="T"/>
    <s v="F"/>
    <s v="F"/>
    <s v="F"/>
    <s v="F"/>
    <s v="T"/>
    <s v="F"/>
    <s v="N/A"/>
    <s v="N/A"/>
    <s v="N/A"/>
    <s v="N/A"/>
    <s v="N/A"/>
    <n v="0"/>
    <n v="8"/>
    <m/>
    <m/>
    <m/>
    <m/>
    <m/>
    <x v="1"/>
  </r>
  <r>
    <s v="DSSV Tartaros"/>
    <x v="1"/>
    <x v="0"/>
    <n v="77"/>
    <n v="20"/>
    <n v="57"/>
    <n v="0.25974025974025972"/>
    <n v="0.74025974025974028"/>
    <s v="B. 50 - 100"/>
    <n v="40"/>
    <n v="0"/>
    <n v="37"/>
    <n v="0"/>
    <n v="0"/>
    <n v="20"/>
    <n v="0"/>
    <s v="N/A"/>
    <n v="0.54054054054054057"/>
    <s v="T"/>
    <s v="T"/>
    <s v="T"/>
    <s v="T"/>
    <s v="T"/>
    <s v="T"/>
    <s v="T"/>
    <s v="N/A"/>
    <s v="N/A"/>
    <s v="N/A"/>
    <s v="N/A"/>
    <s v="N/A"/>
    <n v="0"/>
    <n v="16"/>
    <m/>
    <m/>
    <m/>
    <m/>
    <m/>
    <x v="1"/>
  </r>
  <r>
    <s v="DZV Euros"/>
    <x v="1"/>
    <x v="0"/>
    <n v="70"/>
    <n v="0"/>
    <n v="70"/>
    <n v="0"/>
    <n v="1"/>
    <s v="B. 50 - 100"/>
    <n v="25"/>
    <n v="3"/>
    <n v="42"/>
    <n v="0"/>
    <n v="4"/>
    <s v="N/A"/>
    <s v="N/A"/>
    <n v="1.3333333333333333"/>
    <s v="N/A"/>
    <s v="T"/>
    <s v="F"/>
    <s v="F"/>
    <s v="F"/>
    <s v="F"/>
    <s v="T"/>
    <s v="F"/>
    <n v="7"/>
    <n v="11"/>
    <n v="22"/>
    <n v="9"/>
    <n v="0"/>
    <n v="49"/>
    <n v="15"/>
    <m/>
    <m/>
    <m/>
    <m/>
    <m/>
    <x v="1"/>
  </r>
  <r>
    <s v="EEEHV Cabezota"/>
    <x v="1"/>
    <x v="0"/>
    <n v="50"/>
    <n v="10"/>
    <n v="40"/>
    <n v="0.2"/>
    <n v="0.8"/>
    <s v="B. 50 - 100"/>
    <n v="25"/>
    <n v="0"/>
    <n v="25"/>
    <n v="0"/>
    <n v="4"/>
    <n v="6"/>
    <n v="0"/>
    <s v="N/A"/>
    <n v="0.24"/>
    <s v="T"/>
    <s v="T"/>
    <s v="T"/>
    <s v="F"/>
    <s v="T"/>
    <s v="T"/>
    <s v="F"/>
    <n v="3"/>
    <n v="7"/>
    <n v="7"/>
    <n v="6"/>
    <n v="5"/>
    <n v="28"/>
    <n v="13"/>
    <m/>
    <m/>
    <m/>
    <m/>
    <m/>
    <x v="1"/>
  </r>
  <r>
    <s v="ESBV Buitenwesten"/>
    <x v="1"/>
    <x v="0"/>
    <n v="100"/>
    <n v="30"/>
    <n v="70"/>
    <n v="0.3"/>
    <n v="0.7"/>
    <s v="C. 100 - 400"/>
    <n v="15"/>
    <n v="10"/>
    <n v="75"/>
    <n v="2"/>
    <n v="8"/>
    <n v="20"/>
    <n v="6.6666666666666666E-2"/>
    <n v="0.8"/>
    <n v="0.26666666666666666"/>
    <s v="T"/>
    <s v="T"/>
    <s v="T"/>
    <s v="T"/>
    <s v="T"/>
    <s v="T"/>
    <s v="T"/>
    <n v="2"/>
    <n v="2"/>
    <n v="4"/>
    <n v="2"/>
    <n v="5"/>
    <n v="15"/>
    <n v="8"/>
    <m/>
    <m/>
    <m/>
    <m/>
    <m/>
    <x v="1"/>
  </r>
  <r>
    <s v="HSV High-Tech-Hitters"/>
    <x v="1"/>
    <x v="0"/>
    <n v="43"/>
    <n v="3"/>
    <n v="40"/>
    <n v="6.9767441860465115E-2"/>
    <n v="0.93023255813953487"/>
    <s v=" A. 1 - 50 "/>
    <n v="10"/>
    <n v="2"/>
    <n v="31"/>
    <n v="0"/>
    <n v="1"/>
    <n v="2"/>
    <n v="0"/>
    <n v="0.5"/>
    <n v="6.4516129032258063E-2"/>
    <s v="T"/>
    <s v="T"/>
    <s v="T"/>
    <s v="T"/>
    <s v="T"/>
    <s v="T"/>
    <s v="T"/>
    <n v="0"/>
    <n v="0"/>
    <n v="8"/>
    <n v="1"/>
    <n v="2"/>
    <n v="11"/>
    <n v="12"/>
    <m/>
    <m/>
    <m/>
    <m/>
    <m/>
    <x v="1"/>
  </r>
  <r>
    <s v="Linea Recta"/>
    <x v="1"/>
    <x v="0"/>
    <n v="68"/>
    <n v="5"/>
    <n v="63"/>
    <n v="7.3529411764705885E-2"/>
    <n v="0.92647058823529416"/>
    <s v="B. 50 - 100"/>
    <n v="40"/>
    <n v="1"/>
    <n v="27"/>
    <n v="1"/>
    <n v="7"/>
    <s v="N/A"/>
    <n v="0.2"/>
    <n v="7"/>
    <s v="N/A"/>
    <s v="T"/>
    <s v="F"/>
    <s v="F"/>
    <s v="F"/>
    <s v="F"/>
    <s v="T"/>
    <s v="F"/>
    <n v="0"/>
    <n v="6"/>
    <n v="12"/>
    <n v="4"/>
    <n v="9"/>
    <n v="31"/>
    <n v="15"/>
    <m/>
    <m/>
    <m/>
    <m/>
    <m/>
    <x v="1"/>
  </r>
  <r>
    <s v="Messed Up"/>
    <x v="1"/>
    <x v="0"/>
    <n v="35"/>
    <n v="5"/>
    <n v="30"/>
    <n v="0.14285714285714285"/>
    <n v="0.85714285714285721"/>
    <s v=" A. 1 - 50 "/>
    <n v="17"/>
    <n v="3"/>
    <n v="15"/>
    <n v="1"/>
    <n v="4"/>
    <s v="N/A"/>
    <n v="0.2"/>
    <n v="1.3333333333333333"/>
    <s v="N/A"/>
    <s v="T"/>
    <s v="F"/>
    <s v="F"/>
    <s v="F"/>
    <s v="F"/>
    <s v="T"/>
    <s v="F"/>
    <s v="N/A"/>
    <s v="N/A"/>
    <s v="N/A"/>
    <s v="N/A"/>
    <s v="N/A"/>
    <n v="0"/>
    <n v="6"/>
    <m/>
    <m/>
    <m/>
    <m/>
    <m/>
    <x v="1"/>
  </r>
  <r>
    <s v="Motor Sport Groep"/>
    <x v="1"/>
    <x v="0"/>
    <n v="74"/>
    <n v="20"/>
    <n v="54"/>
    <n v="0.27027027027027029"/>
    <n v="0.72972972972972971"/>
    <s v="B. 50 - 100"/>
    <n v="15"/>
    <n v="1"/>
    <n v="58"/>
    <n v="0"/>
    <n v="2"/>
    <n v="18"/>
    <n v="0"/>
    <n v="2"/>
    <n v="0.31034482758620691"/>
    <s v="T"/>
    <s v="T"/>
    <s v="T"/>
    <s v="F"/>
    <s v="T"/>
    <s v="T"/>
    <s v="F"/>
    <s v="N/A"/>
    <s v="N/A"/>
    <s v="N/A"/>
    <s v="N/A"/>
    <s v="N/A"/>
    <n v="0"/>
    <n v="6"/>
    <m/>
    <m/>
    <m/>
    <m/>
    <m/>
    <x v="1"/>
  </r>
  <r>
    <s v="SKV Vakgericht"/>
    <x v="1"/>
    <x v="0"/>
    <n v="57"/>
    <n v="5"/>
    <n v="52"/>
    <n v="8.771929824561403E-2"/>
    <n v="0.91228070175438591"/>
    <s v="B. 50 - 100"/>
    <n v="40"/>
    <n v="0"/>
    <n v="17"/>
    <n v="0"/>
    <n v="0"/>
    <n v="5"/>
    <n v="0"/>
    <s v="N/A"/>
    <n v="0.29411764705882354"/>
    <s v="T"/>
    <s v="T"/>
    <s v="T"/>
    <s v="T"/>
    <s v="T"/>
    <s v="T"/>
    <s v="T"/>
    <n v="4"/>
    <n v="4"/>
    <n v="6"/>
    <n v="5"/>
    <n v="12"/>
    <n v="31"/>
    <n v="16"/>
    <m/>
    <m/>
    <m/>
    <m/>
    <m/>
    <x v="1"/>
  </r>
  <r>
    <s v="SHBV Sagittarius"/>
    <x v="1"/>
    <x v="0"/>
    <n v="51"/>
    <n v="25"/>
    <n v="26"/>
    <n v="0.49019607843137253"/>
    <n v="0.50980392156862742"/>
    <s v="B. 50 - 100"/>
    <n v="16"/>
    <n v="16"/>
    <n v="19"/>
    <n v="1"/>
    <n v="0"/>
    <n v="24"/>
    <n v="0.04"/>
    <n v="0"/>
    <n v="1.263157894736842"/>
    <s v="T"/>
    <s v="T"/>
    <s v="T"/>
    <s v="T"/>
    <s v="F"/>
    <s v="T"/>
    <s v="F"/>
    <n v="0"/>
    <n v="0"/>
    <n v="0"/>
    <n v="0"/>
    <n v="0"/>
    <n v="0"/>
    <n v="8"/>
    <m/>
    <m/>
    <m/>
    <m/>
    <m/>
    <x v="1"/>
  </r>
  <r>
    <s v="ADSKV Slagvaardig"/>
    <x v="1"/>
    <x v="0"/>
    <s v="N/A"/>
    <s v="N/A"/>
    <s v="N/A"/>
    <s v="N/A"/>
    <s v="N/A"/>
    <s v="E. 1000 +"/>
    <s v="N/A"/>
    <s v="N/A"/>
    <s v="N/A"/>
    <n v="0"/>
    <n v="0"/>
    <s v="N/A"/>
    <s v="N/A"/>
    <s v="N/A"/>
    <s v="N/A"/>
    <s v="F"/>
    <s v="F"/>
    <s v="F"/>
    <s v="T"/>
    <s v="T"/>
    <s v="T"/>
    <s v="F"/>
    <s v="N/A"/>
    <s v="N/A"/>
    <s v="N/A"/>
    <s v="N/A"/>
    <s v="N/A"/>
    <n v="0"/>
    <n v="0"/>
    <m/>
    <m/>
    <m/>
    <m/>
    <m/>
    <x v="1"/>
  </r>
  <r>
    <s v="SYHV The Slapping Studs"/>
    <x v="1"/>
    <x v="0"/>
    <n v="55"/>
    <n v="5"/>
    <n v="50"/>
    <n v="9.0909090909090912E-2"/>
    <n v="0.90909090909090906"/>
    <s v="B. 50 - 100"/>
    <n v="10"/>
    <n v="5"/>
    <n v="40"/>
    <n v="2"/>
    <n v="2"/>
    <n v="1"/>
    <n v="0.4"/>
    <n v="0.4"/>
    <n v="2.5000000000000001E-2"/>
    <s v="T"/>
    <s v="T"/>
    <s v="T"/>
    <s v="T"/>
    <s v="T"/>
    <s v="T"/>
    <s v="T"/>
    <s v="N/A"/>
    <s v="N/A"/>
    <s v="N/A"/>
    <s v="N/A"/>
    <s v="N/A"/>
    <n v="0"/>
    <n v="6"/>
    <m/>
    <m/>
    <m/>
    <m/>
    <m/>
    <x v="1"/>
  </r>
  <r>
    <s v="TC Ludica"/>
    <x v="1"/>
    <x v="0"/>
    <n v="610"/>
    <n v="250"/>
    <n v="360"/>
    <n v="0.4098360655737705"/>
    <n v="0.5901639344262295"/>
    <s v="D. 400 - 1000"/>
    <n v="120"/>
    <n v="30"/>
    <n v="460"/>
    <n v="3"/>
    <n v="10"/>
    <n v="237"/>
    <n v="1.2E-2"/>
    <n v="0.33333333333333331"/>
    <n v="0.51521739130434785"/>
    <s v="T"/>
    <s v="T"/>
    <s v="T"/>
    <s v="T"/>
    <s v="T"/>
    <s v="T"/>
    <s v="T"/>
    <s v="N/A"/>
    <s v="N/A"/>
    <s v="N/A"/>
    <s v="N/A"/>
    <s v="N/A"/>
    <n v="0"/>
    <n v="22"/>
    <m/>
    <m/>
    <m/>
    <m/>
    <m/>
    <x v="1"/>
  </r>
  <r>
    <s v="TSAC"/>
    <x v="1"/>
    <x v="0"/>
    <n v="175"/>
    <n v="11"/>
    <n v="164"/>
    <n v="6.2857142857142861E-2"/>
    <n v="0.93714285714285717"/>
    <s v="C. 100 - 400"/>
    <n v="40"/>
    <n v="0"/>
    <n v="135"/>
    <n v="0"/>
    <n v="0"/>
    <n v="11"/>
    <n v="0"/>
    <s v="N/A"/>
    <n v="8.1481481481481488E-2"/>
    <s v="T"/>
    <s v="T"/>
    <s v="T"/>
    <s v="T"/>
    <s v="T"/>
    <s v="T"/>
    <s v="T"/>
    <n v="7"/>
    <n v="7"/>
    <n v="19"/>
    <n v="7"/>
    <n v="24"/>
    <n v="64"/>
    <n v="11"/>
    <m/>
    <m/>
    <m/>
    <m/>
    <m/>
    <x v="1"/>
  </r>
  <r>
    <s v="VAS Arashi"/>
    <x v="1"/>
    <x v="0"/>
    <n v="122"/>
    <n v="20"/>
    <n v="102"/>
    <n v="0.16393442622950818"/>
    <n v="0.83606557377049184"/>
    <s v="C. 100 - 400"/>
    <n v="30"/>
    <n v="2"/>
    <n v="90"/>
    <n v="0"/>
    <n v="10"/>
    <n v="10"/>
    <n v="0"/>
    <n v="5"/>
    <n v="0.1111111111111111"/>
    <s v="T"/>
    <s v="T"/>
    <s v="T"/>
    <s v="F"/>
    <s v="T"/>
    <s v="T"/>
    <s v="F"/>
    <n v="3"/>
    <n v="2"/>
    <n v="1"/>
    <n v="3"/>
    <n v="10"/>
    <n v="19"/>
    <n v="10"/>
    <m/>
    <m/>
    <m/>
    <m/>
    <m/>
    <x v="1"/>
  </r>
  <r>
    <s v="VV Drienerlo"/>
    <x v="1"/>
    <x v="0"/>
    <n v="380"/>
    <n v="100"/>
    <n v="280"/>
    <n v="0.26315789473684209"/>
    <n v="0.73684210526315796"/>
    <s v="C. 100 - 400"/>
    <n v="50"/>
    <n v="30"/>
    <n v="300"/>
    <n v="0"/>
    <n v="10"/>
    <n v="90"/>
    <n v="0"/>
    <n v="0.33333333333333331"/>
    <n v="0.3"/>
    <s v="T"/>
    <s v="T"/>
    <s v="T"/>
    <s v="T"/>
    <s v="T"/>
    <s v="T"/>
    <s v="T"/>
    <n v="4"/>
    <n v="6"/>
    <n v="12"/>
    <n v="6"/>
    <n v="1"/>
    <n v="29"/>
    <n v="14"/>
    <m/>
    <m/>
    <m/>
    <m/>
    <m/>
    <x v="1"/>
  </r>
  <r>
    <s v="VV Harambee"/>
    <x v="1"/>
    <x v="0"/>
    <n v="420"/>
    <n v="100"/>
    <n v="320"/>
    <n v="0.23809523809523808"/>
    <n v="0.76190476190476186"/>
    <s v="D. 400 - 1000"/>
    <n v="100"/>
    <s v="N/A"/>
    <s v="N/A"/>
    <n v="0"/>
    <n v="0"/>
    <n v="100"/>
    <n v="0"/>
    <s v="N/A"/>
    <s v="N/A"/>
    <s v="F"/>
    <s v="T"/>
    <s v="T"/>
    <s v="T"/>
    <s v="T"/>
    <s v="T"/>
    <s v="F"/>
    <n v="12"/>
    <n v="11"/>
    <n v="12"/>
    <n v="13"/>
    <n v="8"/>
    <n v="56"/>
    <n v="0"/>
    <m/>
    <m/>
    <m/>
    <m/>
    <m/>
    <x v="1"/>
  </r>
  <r>
    <s v="ZPV Piranha"/>
    <x v="1"/>
    <x v="0"/>
    <n v="250"/>
    <n v="40"/>
    <n v="210"/>
    <n v="0.16"/>
    <n v="0.84"/>
    <s v="C. 100 - 400"/>
    <n v="80"/>
    <n v="0"/>
    <n v="170"/>
    <n v="0"/>
    <n v="5"/>
    <n v="35"/>
    <n v="0"/>
    <s v="N/A"/>
    <n v="0.20588235294117646"/>
    <s v="T"/>
    <s v="T"/>
    <s v="T"/>
    <s v="F"/>
    <s v="T"/>
    <s v="T"/>
    <s v="F"/>
    <n v="1"/>
    <n v="2"/>
    <n v="1"/>
    <n v="1"/>
    <n v="0"/>
    <n v="5"/>
    <n v="22"/>
    <m/>
    <m/>
    <m/>
    <m/>
    <m/>
    <x v="1"/>
  </r>
  <r>
    <s v="Twentse Thestrals"/>
    <x v="1"/>
    <x v="0"/>
    <s v="N/A"/>
    <s v="N/A"/>
    <s v="N/A"/>
    <s v="N/A"/>
    <s v="N/A"/>
    <s v="E. 1000 +"/>
    <s v="N/A"/>
    <s v="N/A"/>
    <s v="N/A"/>
    <n v="0"/>
    <n v="0"/>
    <s v="N/A"/>
    <s v="N/A"/>
    <s v="N/A"/>
    <s v="N/A"/>
    <s v="F"/>
    <s v="F"/>
    <s v="F"/>
    <s v="T"/>
    <s v="T"/>
    <s v="T"/>
    <s v="F"/>
    <s v="N/A"/>
    <s v="N/A"/>
    <s v="N/A"/>
    <s v="N/A"/>
    <s v="N/A"/>
    <n v="0"/>
    <n v="0"/>
    <m/>
    <m/>
    <m/>
    <m/>
    <m/>
    <x v="1"/>
  </r>
  <r>
    <s v="Primo Ballerino"/>
    <x v="0"/>
    <x v="0"/>
    <n v="44"/>
    <n v="20"/>
    <n v="24"/>
    <n v="0.45454545454545453"/>
    <n v="0.54545454545454541"/>
    <s v=" A. 1 - 50 "/>
    <n v="15"/>
    <n v="5"/>
    <n v="24"/>
    <n v="2"/>
    <n v="13"/>
    <n v="5"/>
    <n v="0.1"/>
    <n v="2.6"/>
    <n v="0.20833333333333334"/>
    <s v="T"/>
    <s v="T"/>
    <s v="T"/>
    <s v="F"/>
    <s v="T"/>
    <s v="T"/>
    <s v="F"/>
    <n v="0"/>
    <n v="0"/>
    <n v="1"/>
    <n v="1"/>
    <n v="1"/>
    <n v="3"/>
    <n v="8"/>
    <m/>
    <m/>
    <m/>
    <m/>
    <m/>
    <x v="1"/>
  </r>
  <r>
    <s v="Phoenix Lacrosse"/>
    <x v="1"/>
    <x v="0"/>
    <s v="N/A"/>
    <s v="N/A"/>
    <s v="N/A"/>
    <s v="N/A"/>
    <s v="N/A"/>
    <s v="E. 1000 +"/>
    <s v="N/A"/>
    <s v="N/A"/>
    <s v="N/A"/>
    <n v="0"/>
    <n v="0"/>
    <s v="N/A"/>
    <s v="N/A"/>
    <s v="N/A"/>
    <s v="N/A"/>
    <s v="F"/>
    <s v="F"/>
    <s v="F"/>
    <s v="T"/>
    <s v="T"/>
    <s v="T"/>
    <s v="F"/>
    <s v="N/A"/>
    <s v="N/A"/>
    <s v="N/A"/>
    <s v="N/A"/>
    <s v="N/A"/>
    <n v="0"/>
    <n v="0"/>
    <m/>
    <m/>
    <m/>
    <m/>
    <m/>
    <x v="1"/>
  </r>
  <r>
    <s v="SKV Hercules"/>
    <x v="1"/>
    <x v="0"/>
    <n v="65"/>
    <n v="0"/>
    <n v="65"/>
    <n v="0"/>
    <n v="1"/>
    <s v="B. 50 - 100"/>
    <n v="10"/>
    <n v="3"/>
    <n v="52"/>
    <n v="1"/>
    <n v="9"/>
    <s v="N/A"/>
    <s v="N/A"/>
    <n v="3"/>
    <s v="N/A"/>
    <s v="T"/>
    <s v="F"/>
    <s v="F"/>
    <s v="F"/>
    <s v="F"/>
    <s v="T"/>
    <s v="F"/>
    <s v="N/A"/>
    <s v="N/A"/>
    <s v="N/A"/>
    <s v="N/A"/>
    <s v="N/A"/>
    <n v="0"/>
    <n v="3"/>
    <m/>
    <m/>
    <m/>
    <m/>
    <m/>
    <x v="1"/>
  </r>
  <r>
    <s v="A la Kart"/>
    <x v="1"/>
    <x v="0"/>
    <s v="N/A"/>
    <s v="N/A"/>
    <s v="N/A"/>
    <s v="N/A"/>
    <s v="N/A"/>
    <s v="E. 1000 +"/>
    <s v="N/A"/>
    <s v="N/A"/>
    <s v="N/A"/>
    <n v="0"/>
    <n v="0"/>
    <s v="N/A"/>
    <s v="N/A"/>
    <s v="N/A"/>
    <s v="N/A"/>
    <s v="F"/>
    <s v="F"/>
    <s v="F"/>
    <s v="T"/>
    <s v="T"/>
    <s v="T"/>
    <s v="F"/>
    <s v="N/A"/>
    <s v="N/A"/>
    <s v="N/A"/>
    <s v="N/A"/>
    <s v="N/A"/>
    <n v="0"/>
    <n v="0"/>
    <m/>
    <m/>
    <m/>
    <m/>
    <m/>
    <x v="1"/>
  </r>
  <r>
    <s v="BSV de Stoottroepen"/>
    <x v="1"/>
    <x v="0"/>
    <s v="N/A"/>
    <s v="N/A"/>
    <s v="N/A"/>
    <s v="N/A"/>
    <s v="N/A"/>
    <s v="E. 1000 +"/>
    <s v="N/A"/>
    <s v="N/A"/>
    <s v="N/A"/>
    <n v="0"/>
    <n v="0"/>
    <s v="N/A"/>
    <s v="N/A"/>
    <s v="N/A"/>
    <s v="N/A"/>
    <s v="F"/>
    <s v="F"/>
    <s v="F"/>
    <s v="T"/>
    <s v="T"/>
    <s v="T"/>
    <s v="F"/>
    <s v="N/A"/>
    <s v="N/A"/>
    <s v="N/A"/>
    <s v="N/A"/>
    <s v="N/A"/>
    <n v="0"/>
    <n v="0"/>
    <m/>
    <m/>
    <m/>
    <m/>
    <m/>
    <x v="1"/>
  </r>
  <r>
    <s v="SV Muurvast"/>
    <x v="1"/>
    <x v="0"/>
    <s v="N/A"/>
    <s v="N/A"/>
    <s v="N/A"/>
    <s v="N/A"/>
    <s v="N/A"/>
    <s v="E. 1000 +"/>
    <s v="N/A"/>
    <s v="N/A"/>
    <s v="N/A"/>
    <n v="0"/>
    <n v="0"/>
    <s v="N/A"/>
    <s v="N/A"/>
    <s v="N/A"/>
    <s v="N/A"/>
    <s v="F"/>
    <s v="F"/>
    <s v="F"/>
    <s v="T"/>
    <s v="T"/>
    <s v="T"/>
    <s v="F"/>
    <s v="N/A"/>
    <s v="N/A"/>
    <s v="N/A"/>
    <s v="N/A"/>
    <s v="N/A"/>
    <n v="0"/>
    <n v="0"/>
    <m/>
    <m/>
    <m/>
    <m/>
    <m/>
    <x v="1"/>
  </r>
  <r>
    <s v="DKV De Zeeuven Reen"/>
    <x v="1"/>
    <x v="0"/>
    <s v="N/A"/>
    <s v="N/A"/>
    <s v="N/A"/>
    <s v="N/A"/>
    <s v="N/A"/>
    <s v="E. 1000 +"/>
    <s v="N/A"/>
    <s v="N/A"/>
    <s v="N/A"/>
    <n v="0"/>
    <n v="0"/>
    <s v="N/A"/>
    <s v="N/A"/>
    <s v="N/A"/>
    <s v="N/A"/>
    <s v="F"/>
    <s v="F"/>
    <s v="F"/>
    <s v="T"/>
    <s v="T"/>
    <s v="T"/>
    <s v="F"/>
    <s v="N/A"/>
    <s v="N/A"/>
    <s v="N/A"/>
    <s v="N/A"/>
    <s v="N/A"/>
    <n v="0"/>
    <n v="0"/>
    <m/>
    <m/>
    <m/>
    <m/>
    <m/>
    <x v="1"/>
  </r>
  <r>
    <s v="BlueShell"/>
    <x v="1"/>
    <x v="0"/>
    <n v="180"/>
    <n v="30"/>
    <n v="150"/>
    <n v="0.16666666666666666"/>
    <n v="0.83333333333333337"/>
    <s v="C. 100 - 400"/>
    <n v="60"/>
    <n v="30"/>
    <n v="90"/>
    <n v="25"/>
    <n v="25"/>
    <s v="N/A"/>
    <n v="0.83333333333333337"/>
    <n v="0.83333333333333337"/>
    <s v="N/A"/>
    <s v="T"/>
    <s v="F"/>
    <s v="F"/>
    <s v="T"/>
    <s v="F"/>
    <s v="T"/>
    <s v="F"/>
    <s v="N/A"/>
    <s v="N/A"/>
    <s v="N/A"/>
    <s v="N/A"/>
    <s v="N/A"/>
    <n v="0"/>
    <n v="16"/>
    <m/>
    <m/>
    <m/>
    <m/>
    <m/>
    <x v="1"/>
  </r>
  <r>
    <s v="4 happy feet"/>
    <x v="0"/>
    <x v="0"/>
    <n v="190"/>
    <n v="0"/>
    <n v="190"/>
    <n v="0"/>
    <n v="1"/>
    <s v="C. 100 - 400"/>
    <n v="40"/>
    <n v="50"/>
    <n v="100"/>
    <n v="0"/>
    <n v="0"/>
    <s v="N/A"/>
    <s v="N/A"/>
    <n v="0"/>
    <s v="N/A"/>
    <s v="T"/>
    <s v="F"/>
    <s v="F"/>
    <s v="T"/>
    <s v="F"/>
    <s v="T"/>
    <s v="F"/>
    <s v="N/A"/>
    <s v="N/A"/>
    <s v="N/A"/>
    <s v="N/A"/>
    <s v="N/A"/>
    <n v="0"/>
    <n v="17"/>
    <m/>
    <m/>
    <m/>
    <m/>
    <m/>
    <x v="1"/>
  </r>
  <r>
    <s v="AFVD Foton"/>
    <x v="0"/>
    <x v="0"/>
    <s v="N/A"/>
    <s v="N/A"/>
    <s v="N/A"/>
    <s v="N/A"/>
    <s v="N/A"/>
    <s v="E. 1000 +"/>
    <s v="N/A"/>
    <s v="N/A"/>
    <s v="N/A"/>
    <n v="0"/>
    <n v="0"/>
    <s v="N/A"/>
    <s v="N/A"/>
    <s v="N/A"/>
    <s v="N/A"/>
    <s v="F"/>
    <s v="F"/>
    <s v="F"/>
    <s v="T"/>
    <s v="T"/>
    <s v="T"/>
    <s v="F"/>
    <s v="N/A"/>
    <s v="N/A"/>
    <s v="N/A"/>
    <s v="N/A"/>
    <s v="N/A"/>
    <n v="0"/>
    <n v="0"/>
    <m/>
    <m/>
    <m/>
    <m/>
    <m/>
    <x v="1"/>
  </r>
  <r>
    <s v="Arabesque"/>
    <x v="0"/>
    <x v="0"/>
    <n v="28"/>
    <n v="6"/>
    <n v="22"/>
    <n v="0.21428571428571427"/>
    <n v="0.7857142857142857"/>
    <s v=" A. 1 - 50 "/>
    <n v="6"/>
    <n v="4"/>
    <n v="18"/>
    <n v="1"/>
    <n v="3"/>
    <n v="2"/>
    <n v="0.16666666666666666"/>
    <n v="0.75"/>
    <n v="0.1111111111111111"/>
    <s v="T"/>
    <s v="T"/>
    <s v="T"/>
    <s v="T"/>
    <s v="T"/>
    <s v="T"/>
    <s v="T"/>
    <n v="0"/>
    <n v="0"/>
    <n v="5"/>
    <n v="4"/>
    <n v="2"/>
    <n v="11"/>
    <n v="0"/>
    <m/>
    <m/>
    <m/>
    <m/>
    <m/>
    <x v="1"/>
  </r>
  <r>
    <s v="Belletrie Bibliotheek"/>
    <x v="0"/>
    <x v="0"/>
    <n v="155"/>
    <n v="35"/>
    <n v="120"/>
    <n v="0.22580645161290322"/>
    <n v="0.77419354838709675"/>
    <s v="C. 100 - 400"/>
    <n v="24"/>
    <n v="60"/>
    <n v="71"/>
    <n v="0"/>
    <n v="24"/>
    <n v="11"/>
    <n v="0"/>
    <n v="0.4"/>
    <n v="0.15492957746478872"/>
    <s v="T"/>
    <s v="T"/>
    <s v="T"/>
    <s v="T"/>
    <s v="T"/>
    <s v="T"/>
    <s v="T"/>
    <s v="N/A"/>
    <s v="N/A"/>
    <s v="N/A"/>
    <s v="N/A"/>
    <s v="N/A"/>
    <n v="0"/>
    <n v="12"/>
    <m/>
    <m/>
    <m/>
    <m/>
    <m/>
    <x v="1"/>
  </r>
  <r>
    <s v="Contramime"/>
    <x v="0"/>
    <x v="0"/>
    <s v="N/A"/>
    <s v="N/A"/>
    <s v="N/A"/>
    <s v="N/A"/>
    <s v="N/A"/>
    <s v="E. 1000 +"/>
    <s v="N/A"/>
    <s v="N/A"/>
    <s v="N/A"/>
    <n v="0"/>
    <n v="0"/>
    <s v="N/A"/>
    <s v="N/A"/>
    <s v="N/A"/>
    <s v="N/A"/>
    <s v="F"/>
    <s v="F"/>
    <s v="F"/>
    <s v="T"/>
    <s v="T"/>
    <s v="T"/>
    <s v="F"/>
    <s v="N/A"/>
    <s v="N/A"/>
    <s v="N/A"/>
    <s v="N/A"/>
    <s v="N/A"/>
    <n v="0"/>
    <n v="0"/>
    <m/>
    <m/>
    <m/>
    <m/>
    <m/>
    <x v="1"/>
  </r>
  <r>
    <s v="Fanaat"/>
    <x v="0"/>
    <x v="0"/>
    <n v="88"/>
    <n v="15"/>
    <n v="73"/>
    <n v="0.17045454545454544"/>
    <n v="0.82954545454545459"/>
    <s v="B. 50 - 100"/>
    <n v="12"/>
    <n v="1"/>
    <n v="75"/>
    <n v="0"/>
    <n v="0"/>
    <n v="15"/>
    <n v="0"/>
    <n v="0"/>
    <n v="0.2"/>
    <s v="T"/>
    <s v="T"/>
    <s v="T"/>
    <s v="T"/>
    <s v="T"/>
    <s v="T"/>
    <s v="T"/>
    <n v="0"/>
    <n v="6"/>
    <n v="14"/>
    <n v="10"/>
    <n v="3"/>
    <n v="33"/>
    <n v="13"/>
    <m/>
    <m/>
    <m/>
    <m/>
    <m/>
    <x v="1"/>
  </r>
  <r>
    <s v="Musica Silvestra Orkest"/>
    <x v="0"/>
    <x v="0"/>
    <n v="18"/>
    <n v="4"/>
    <n v="14"/>
    <n v="0.22222222222222221"/>
    <n v="0.77777777777777779"/>
    <s v=" A. 1 - 50 "/>
    <n v="11"/>
    <n v="2"/>
    <n v="5"/>
    <n v="0"/>
    <n v="0"/>
    <n v="4"/>
    <n v="0"/>
    <n v="0"/>
    <n v="0.8"/>
    <s v="T"/>
    <s v="T"/>
    <s v="T"/>
    <s v="T"/>
    <s v="T"/>
    <s v="T"/>
    <s v="T"/>
    <n v="2"/>
    <n v="7"/>
    <n v="15"/>
    <n v="6"/>
    <n v="14"/>
    <n v="44"/>
    <n v="10"/>
    <m/>
    <m/>
    <m/>
    <m/>
    <m/>
    <x v="1"/>
  </r>
  <r>
    <s v="Musilon"/>
    <x v="0"/>
    <x v="0"/>
    <n v="43"/>
    <n v="15"/>
    <n v="28"/>
    <n v="0.34883720930232559"/>
    <n v="0.65116279069767447"/>
    <s v=" A. 1 - 50 "/>
    <n v="25"/>
    <n v="5"/>
    <n v="13"/>
    <n v="4"/>
    <n v="8"/>
    <n v="3"/>
    <n v="0.26666666666666666"/>
    <n v="1.6"/>
    <n v="0.23076923076923078"/>
    <s v="T"/>
    <s v="T"/>
    <s v="T"/>
    <s v="F"/>
    <s v="T"/>
    <s v="T"/>
    <s v="F"/>
    <s v="N/A"/>
    <s v="N/A"/>
    <s v="N/A"/>
    <s v="N/A"/>
    <s v="N/A"/>
    <n v="0"/>
    <n v="11"/>
    <m/>
    <m/>
    <m/>
    <m/>
    <m/>
    <x v="1"/>
  </r>
  <r>
    <s v="Nest"/>
    <x v="0"/>
    <x v="0"/>
    <n v="70"/>
    <n v="10"/>
    <n v="60"/>
    <n v="0.14285714285714285"/>
    <n v="0.85714285714285721"/>
    <s v="B. 50 - 100"/>
    <n v="28"/>
    <n v="0"/>
    <n v="42"/>
    <n v="0"/>
    <n v="8"/>
    <n v="2"/>
    <n v="0"/>
    <s v="N/A"/>
    <n v="4.7619047619047616E-2"/>
    <s v="T"/>
    <s v="T"/>
    <s v="T"/>
    <s v="F"/>
    <s v="T"/>
    <s v="T"/>
    <s v="F"/>
    <n v="0"/>
    <n v="0"/>
    <n v="0"/>
    <n v="0"/>
    <n v="0"/>
    <n v="0"/>
    <n v="0"/>
    <m/>
    <m/>
    <m/>
    <m/>
    <m/>
    <x v="1"/>
  </r>
  <r>
    <s v="Pro Deo"/>
    <x v="0"/>
    <x v="0"/>
    <n v="48"/>
    <n v="6"/>
    <n v="42"/>
    <n v="0.125"/>
    <n v="0.875"/>
    <s v=" A. 1 - 50 "/>
    <n v="15"/>
    <n v="2"/>
    <n v="31"/>
    <n v="0"/>
    <n v="2"/>
    <n v="4"/>
    <n v="0"/>
    <n v="1"/>
    <n v="0.12903225806451613"/>
    <s v="T"/>
    <s v="T"/>
    <s v="T"/>
    <s v="T"/>
    <s v="T"/>
    <s v="T"/>
    <s v="T"/>
    <n v="0"/>
    <n v="2"/>
    <n v="1"/>
    <n v="0"/>
    <n v="16"/>
    <n v="19"/>
    <n v="10"/>
    <m/>
    <m/>
    <m/>
    <m/>
    <m/>
    <x v="1"/>
  </r>
  <r>
    <s v="SDV Chasse"/>
    <x v="0"/>
    <x v="0"/>
    <n v="48"/>
    <n v="8"/>
    <n v="40"/>
    <n v="0.16666666666666666"/>
    <n v="0.83333333333333337"/>
    <s v=" A. 1 - 50 "/>
    <n v="26"/>
    <n v="3"/>
    <n v="19"/>
    <n v="3"/>
    <n v="3"/>
    <n v="2"/>
    <n v="0.375"/>
    <n v="1"/>
    <n v="0.10526315789473684"/>
    <s v="T"/>
    <s v="T"/>
    <s v="T"/>
    <s v="T"/>
    <s v="T"/>
    <s v="T"/>
    <s v="T"/>
    <n v="0"/>
    <n v="0"/>
    <n v="0"/>
    <n v="0"/>
    <n v="0"/>
    <n v="0"/>
    <n v="8"/>
    <m/>
    <m/>
    <m/>
    <m/>
    <m/>
    <x v="1"/>
  </r>
  <r>
    <s v="SHOT"/>
    <x v="0"/>
    <x v="0"/>
    <n v="60"/>
    <n v="10"/>
    <n v="50"/>
    <n v="0.16666666666666666"/>
    <n v="0.83333333333333337"/>
    <s v="B. 50 - 100"/>
    <n v="20"/>
    <n v="0"/>
    <n v="40"/>
    <n v="0"/>
    <n v="0"/>
    <n v="10"/>
    <n v="0"/>
    <s v="N/A"/>
    <n v="0.25"/>
    <s v="T"/>
    <s v="T"/>
    <s v="T"/>
    <s v="T"/>
    <s v="T"/>
    <s v="T"/>
    <s v="T"/>
    <s v="N/A"/>
    <s v="N/A"/>
    <s v="N/A"/>
    <s v="N/A"/>
    <s v="N/A"/>
    <n v="0"/>
    <n v="14"/>
    <m/>
    <m/>
    <m/>
    <m/>
    <m/>
    <x v="1"/>
  </r>
  <r>
    <s v="Stubiba"/>
    <x v="0"/>
    <x v="0"/>
    <n v="20"/>
    <n v="6"/>
    <n v="14"/>
    <n v="0.3"/>
    <n v="0.7"/>
    <s v=" A. 1 - 50 "/>
    <n v="3"/>
    <n v="1"/>
    <n v="16"/>
    <n v="0"/>
    <n v="1"/>
    <n v="5"/>
    <n v="0"/>
    <n v="1"/>
    <n v="0.3125"/>
    <s v="T"/>
    <s v="T"/>
    <s v="T"/>
    <s v="T"/>
    <s v="T"/>
    <s v="T"/>
    <s v="T"/>
    <s v="N/A"/>
    <s v="N/A"/>
    <s v="N/A"/>
    <s v="N/A"/>
    <s v="N/A"/>
    <n v="0"/>
    <n v="0"/>
    <m/>
    <m/>
    <m/>
    <m/>
    <m/>
    <x v="1"/>
  </r>
  <r>
    <s v="Inspe"/>
    <x v="0"/>
    <x v="1"/>
    <n v="50"/>
    <n v="0"/>
    <n v="50"/>
    <n v="0"/>
    <n v="1"/>
    <s v="B. 50 - 100"/>
    <n v="0"/>
    <n v="2"/>
    <n v="48"/>
    <n v="0"/>
    <n v="0"/>
    <s v="N/A"/>
    <s v="N/A"/>
    <n v="0"/>
    <s v="N/A"/>
    <s v="T"/>
    <s v="F"/>
    <s v="F"/>
    <s v="T"/>
    <s v="F"/>
    <s v="T"/>
    <s v="F"/>
    <n v="2"/>
    <n v="0"/>
    <n v="7"/>
    <n v="8"/>
    <n v="13"/>
    <n v="30"/>
    <n v="11"/>
    <m/>
    <m/>
    <m/>
    <m/>
    <m/>
    <x v="1"/>
  </r>
  <r>
    <s v="Stukafest"/>
    <x v="0"/>
    <x v="0"/>
    <s v="N/A"/>
    <s v="N/A"/>
    <s v="N/A"/>
    <s v="N/A"/>
    <s v="N/A"/>
    <s v="E. 1000 +"/>
    <s v="N/A"/>
    <s v="N/A"/>
    <s v="N/A"/>
    <n v="0"/>
    <n v="0"/>
    <s v="N/A"/>
    <s v="N/A"/>
    <s v="N/A"/>
    <s v="N/A"/>
    <s v="F"/>
    <s v="F"/>
    <s v="F"/>
    <s v="T"/>
    <s v="T"/>
    <s v="T"/>
    <s v="F"/>
    <s v="N/A"/>
    <s v="N/A"/>
    <s v="N/A"/>
    <s v="N/A"/>
    <s v="N/A"/>
    <n v="0"/>
    <n v="0"/>
    <m/>
    <m/>
    <m/>
    <m/>
    <m/>
    <x v="1"/>
  </r>
  <r>
    <s v="Abacus"/>
    <x v="3"/>
    <x v="0"/>
    <n v="458"/>
    <n v="40"/>
    <n v="418"/>
    <n v="8.7336244541484712E-2"/>
    <n v="0.9126637554585153"/>
    <s v="D. 400 - 1000"/>
    <n v="110"/>
    <n v="15"/>
    <n v="333"/>
    <n v="5"/>
    <n v="15"/>
    <n v="20"/>
    <n v="0.125"/>
    <n v="1"/>
    <n v="6.006006006006006E-2"/>
    <s v="T"/>
    <s v="T"/>
    <s v="T"/>
    <s v="T"/>
    <s v="T"/>
    <s v="T"/>
    <s v="T"/>
    <n v="11"/>
    <n v="23"/>
    <n v="46"/>
    <n v="24"/>
    <n v="14"/>
    <n v="118"/>
    <n v="27"/>
    <m/>
    <m/>
    <m/>
    <m/>
    <m/>
    <x v="1"/>
  </r>
  <r>
    <s v="Alembic"/>
    <x v="3"/>
    <x v="0"/>
    <n v="346"/>
    <n v="30"/>
    <n v="316"/>
    <n v="8.6705202312138727E-2"/>
    <n v="0.91329479768786126"/>
    <s v="C. 100 - 400"/>
    <n v="100"/>
    <n v="36"/>
    <n v="210"/>
    <n v="10"/>
    <n v="25"/>
    <s v="N/A"/>
    <n v="0.33333333333333331"/>
    <n v="0.69444444444444442"/>
    <s v="N/A"/>
    <s v="T"/>
    <s v="F"/>
    <s v="F"/>
    <s v="T"/>
    <s v="F"/>
    <s v="T"/>
    <s v="F"/>
    <n v="24"/>
    <n v="47"/>
    <n v="58"/>
    <n v="31"/>
    <n v="30"/>
    <n v="190"/>
    <n v="29"/>
    <m/>
    <m/>
    <m/>
    <m/>
    <m/>
    <x v="1"/>
  </r>
  <r>
    <s v="Arago"/>
    <x v="3"/>
    <x v="0"/>
    <n v="593"/>
    <n v="50"/>
    <n v="543"/>
    <n v="8.4317032040472181E-2"/>
    <n v="0.91568296795952786"/>
    <s v="D. 400 - 1000"/>
    <n v="217"/>
    <n v="1"/>
    <n v="375"/>
    <n v="0"/>
    <n v="0"/>
    <n v="50"/>
    <n v="0"/>
    <n v="0"/>
    <n v="0.13333333333333333"/>
    <s v="T"/>
    <s v="T"/>
    <s v="T"/>
    <s v="T"/>
    <s v="T"/>
    <s v="T"/>
    <s v="T"/>
    <n v="10"/>
    <n v="5"/>
    <n v="0"/>
    <n v="3"/>
    <n v="0"/>
    <n v="18"/>
    <n v="59"/>
    <m/>
    <m/>
    <m/>
    <m/>
    <m/>
    <x v="1"/>
  </r>
  <r>
    <s v="Astatine"/>
    <x v="3"/>
    <x v="0"/>
    <n v="442"/>
    <n v="0"/>
    <n v="442"/>
    <n v="0"/>
    <n v="1"/>
    <s v="D. 400 - 1000"/>
    <n v="108"/>
    <n v="36"/>
    <n v="298"/>
    <n v="5"/>
    <n v="10"/>
    <s v="N/A"/>
    <s v="N/A"/>
    <n v="0.27777777777777779"/>
    <s v="N/A"/>
    <s v="T"/>
    <s v="F"/>
    <s v="F"/>
    <s v="T"/>
    <s v="F"/>
    <s v="T"/>
    <s v="F"/>
    <n v="39"/>
    <n v="48"/>
    <n v="72"/>
    <n v="39"/>
    <n v="14"/>
    <n v="212"/>
    <n v="0"/>
    <m/>
    <m/>
    <m/>
    <m/>
    <m/>
    <x v="1"/>
  </r>
  <r>
    <s v="Atlantis"/>
    <x v="3"/>
    <x v="0"/>
    <n v="189"/>
    <n v="30"/>
    <n v="159"/>
    <n v="0.15873015873015872"/>
    <n v="0.84126984126984128"/>
    <s v="C. 100 - 400"/>
    <n v="75"/>
    <n v="29"/>
    <n v="85"/>
    <n v="10"/>
    <n v="20"/>
    <s v="N/A"/>
    <n v="0.33333333333333331"/>
    <n v="0.68965517241379315"/>
    <s v="N/A"/>
    <s v="T"/>
    <s v="F"/>
    <s v="F"/>
    <s v="T"/>
    <s v="F"/>
    <s v="T"/>
    <s v="F"/>
    <n v="60"/>
    <n v="43"/>
    <n v="21"/>
    <n v="6"/>
    <n v="0"/>
    <n v="130"/>
    <n v="21"/>
    <m/>
    <m/>
    <m/>
    <m/>
    <m/>
    <x v="1"/>
  </r>
  <r>
    <s v="Communique"/>
    <x v="3"/>
    <x v="0"/>
    <n v="311"/>
    <n v="50"/>
    <n v="261"/>
    <n v="0.16077170418006431"/>
    <n v="0.83922829581993574"/>
    <s v="C. 100 - 400"/>
    <n v="55"/>
    <n v="30"/>
    <n v="226"/>
    <n v="4"/>
    <n v="23"/>
    <n v="23"/>
    <n v="0.08"/>
    <n v="0.76666666666666672"/>
    <n v="0.10176991150442478"/>
    <s v="T"/>
    <s v="T"/>
    <s v="T"/>
    <s v="T"/>
    <s v="T"/>
    <s v="T"/>
    <s v="T"/>
    <n v="16"/>
    <n v="19"/>
    <n v="6"/>
    <n v="12"/>
    <n v="1"/>
    <n v="54"/>
    <n v="22"/>
    <m/>
    <m/>
    <m/>
    <m/>
    <m/>
    <x v="1"/>
  </r>
  <r>
    <s v="ConcepT"/>
    <x v="3"/>
    <x v="0"/>
    <n v="670"/>
    <n v="100"/>
    <n v="570"/>
    <n v="0.14925373134328357"/>
    <n v="0.85074626865671643"/>
    <s v="D. 400 - 1000"/>
    <n v="146"/>
    <n v="40"/>
    <n v="484"/>
    <n v="4"/>
    <n v="7"/>
    <n v="89"/>
    <n v="0.04"/>
    <n v="0.17499999999999999"/>
    <n v="0.18388429752066116"/>
    <s v="T"/>
    <s v="T"/>
    <s v="T"/>
    <s v="T"/>
    <s v="T"/>
    <s v="T"/>
    <s v="T"/>
    <s v="N/A"/>
    <s v="N/A"/>
    <s v="N/A"/>
    <s v="N/A"/>
    <s v="N/A"/>
    <n v="0"/>
    <n v="19"/>
    <m/>
    <m/>
    <m/>
    <m/>
    <m/>
    <x v="1"/>
  </r>
  <r>
    <s v="Daedalus"/>
    <x v="3"/>
    <x v="0"/>
    <n v="785"/>
    <n v="100"/>
    <n v="685"/>
    <n v="0.12738853503184713"/>
    <n v="0.87261146496815289"/>
    <s v="D. 400 - 1000"/>
    <n v="150"/>
    <n v="80"/>
    <n v="555"/>
    <n v="5"/>
    <n v="15"/>
    <n v="80"/>
    <n v="0.05"/>
    <n v="0.1875"/>
    <n v="0.14414414414414414"/>
    <s v="T"/>
    <s v="T"/>
    <s v="T"/>
    <s v="T"/>
    <s v="T"/>
    <s v="T"/>
    <s v="T"/>
    <n v="0"/>
    <n v="0"/>
    <n v="0"/>
    <n v="0"/>
    <n v="0"/>
    <n v="0"/>
    <n v="34"/>
    <m/>
    <m/>
    <m/>
    <m/>
    <m/>
    <x v="1"/>
  </r>
  <r>
    <s v="Dimensie"/>
    <x v="3"/>
    <x v="0"/>
    <n v="780"/>
    <n v="150"/>
    <n v="630"/>
    <n v="0.19230769230769232"/>
    <n v="0.80769230769230771"/>
    <s v="D. 400 - 1000"/>
    <n v="74"/>
    <n v="50"/>
    <n v="656"/>
    <n v="1"/>
    <n v="73"/>
    <n v="76"/>
    <n v="6.6666666666666671E-3"/>
    <n v="1.46"/>
    <n v="0.11585365853658537"/>
    <s v="T"/>
    <s v="T"/>
    <s v="T"/>
    <s v="F"/>
    <s v="T"/>
    <s v="T"/>
    <s v="F"/>
    <n v="22"/>
    <n v="33"/>
    <n v="21"/>
    <n v="20"/>
    <n v="9"/>
    <n v="105"/>
    <n v="20"/>
    <m/>
    <m/>
    <m/>
    <m/>
    <m/>
    <x v="1"/>
  </r>
  <r>
    <s v="Ideefiks"/>
    <x v="3"/>
    <x v="0"/>
    <n v="66"/>
    <n v="12"/>
    <n v="54"/>
    <n v="0.18181818181818182"/>
    <n v="0.81818181818181812"/>
    <s v="B. 50 - 100"/>
    <n v="10"/>
    <n v="11"/>
    <n v="45"/>
    <n v="11"/>
    <n v="45"/>
    <s v="N/A"/>
    <n v="0.91666666666666663"/>
    <n v="4.0909090909090908"/>
    <s v="N/A"/>
    <s v="T"/>
    <s v="F"/>
    <s v="F"/>
    <s v="F"/>
    <s v="F"/>
    <s v="F"/>
    <s v="F"/>
    <s v="N/A"/>
    <s v="N/A"/>
    <s v="N/A"/>
    <s v="N/A"/>
    <s v="N/A"/>
    <n v="0"/>
    <n v="6"/>
    <m/>
    <m/>
    <m/>
    <m/>
    <m/>
    <x v="1"/>
  </r>
  <r>
    <s v="Inter-Actief"/>
    <x v="3"/>
    <x v="0"/>
    <n v="1300"/>
    <n v="100"/>
    <n v="1200"/>
    <n v="7.6923076923076927E-2"/>
    <n v="0.92307692307692313"/>
    <s v="E. 1000 +"/>
    <n v="190"/>
    <n v="220"/>
    <n v="890"/>
    <n v="6"/>
    <n v="10"/>
    <n v="84"/>
    <n v="0.06"/>
    <n v="4.5454545454545456E-2"/>
    <n v="9.4382022471910118E-2"/>
    <s v="T"/>
    <s v="T"/>
    <s v="T"/>
    <s v="T"/>
    <s v="T"/>
    <s v="T"/>
    <s v="T"/>
    <n v="37"/>
    <n v="74"/>
    <n v="113"/>
    <n v="67"/>
    <n v="20"/>
    <n v="311"/>
    <n v="38"/>
    <m/>
    <m/>
    <m/>
    <m/>
    <m/>
    <x v="1"/>
  </r>
  <r>
    <s v="Isaac Newton"/>
    <x v="3"/>
    <x v="0"/>
    <n v="1309"/>
    <n v="400"/>
    <n v="909"/>
    <n v="0.30557677616501144"/>
    <n v="0.69442322383498856"/>
    <s v="E. 1000 +"/>
    <n v="120"/>
    <n v="150"/>
    <n v="1039"/>
    <n v="7"/>
    <n v="15"/>
    <n v="378"/>
    <n v="1.7500000000000002E-2"/>
    <n v="0.1"/>
    <n v="0.36381135707410972"/>
    <s v="T"/>
    <s v="T"/>
    <s v="T"/>
    <s v="T"/>
    <s v="T"/>
    <s v="T"/>
    <s v="T"/>
    <n v="13"/>
    <n v="59"/>
    <n v="47"/>
    <n v="38"/>
    <n v="33"/>
    <n v="190"/>
    <n v="28"/>
    <m/>
    <m/>
    <m/>
    <m/>
    <m/>
    <x v="1"/>
  </r>
  <r>
    <s v="Komma"/>
    <x v="3"/>
    <x v="0"/>
    <n v="185"/>
    <n v="40"/>
    <n v="145"/>
    <n v="0.21621621621621623"/>
    <n v="0.78378378378378377"/>
    <s v="C. 100 - 400"/>
    <n v="10"/>
    <n v="85"/>
    <n v="90"/>
    <n v="7"/>
    <n v="3"/>
    <n v="30"/>
    <n v="0.17499999999999999"/>
    <n v="3.5294117647058823E-2"/>
    <n v="0.33333333333333331"/>
    <s v="T"/>
    <s v="T"/>
    <s v="T"/>
    <s v="T"/>
    <s v="T"/>
    <s v="T"/>
    <s v="T"/>
    <n v="0"/>
    <n v="0"/>
    <n v="0"/>
    <n v="4"/>
    <n v="0"/>
    <n v="4"/>
    <n v="0"/>
    <m/>
    <m/>
    <m/>
    <m/>
    <m/>
    <x v="1"/>
  </r>
  <r>
    <s v="Paradoks"/>
    <x v="3"/>
    <x v="0"/>
    <s v="N/A"/>
    <s v="N/A"/>
    <s v="N/A"/>
    <s v="N/A"/>
    <s v="N/A"/>
    <s v="E. 1000 +"/>
    <s v="N/A"/>
    <s v="N/A"/>
    <s v="N/A"/>
    <n v="0"/>
    <n v="0"/>
    <s v="N/A"/>
    <s v="N/A"/>
    <s v="N/A"/>
    <s v="N/A"/>
    <s v="F"/>
    <s v="F"/>
    <s v="F"/>
    <s v="T"/>
    <s v="T"/>
    <s v="T"/>
    <s v="F"/>
    <s v="N/A"/>
    <s v="N/A"/>
    <s v="N/A"/>
    <s v="N/A"/>
    <s v="N/A"/>
    <n v="0"/>
    <n v="0"/>
    <m/>
    <m/>
    <m/>
    <m/>
    <m/>
    <x v="1"/>
  </r>
  <r>
    <s v="Proto"/>
    <x v="3"/>
    <x v="0"/>
    <n v="932"/>
    <n v="0"/>
    <n v="932"/>
    <n v="0"/>
    <n v="1"/>
    <s v="D. 400 - 1000"/>
    <n v="122"/>
    <s v="N/A"/>
    <s v="N/A"/>
    <n v="0"/>
    <n v="0"/>
    <s v="N/A"/>
    <s v="N/A"/>
    <s v="N/A"/>
    <s v="N/A"/>
    <s v="F"/>
    <s v="F"/>
    <s v="F"/>
    <s v="T"/>
    <s v="T"/>
    <s v="T"/>
    <s v="F"/>
    <n v="16"/>
    <n v="62"/>
    <n v="67"/>
    <n v="47"/>
    <n v="45"/>
    <n v="237"/>
    <n v="36"/>
    <m/>
    <m/>
    <m/>
    <m/>
    <m/>
    <x v="1"/>
  </r>
  <r>
    <s v="Scintilla"/>
    <x v="3"/>
    <x v="0"/>
    <n v="675"/>
    <n v="50"/>
    <n v="625"/>
    <n v="7.407407407407407E-2"/>
    <n v="0.92592592592592593"/>
    <s v="D. 400 - 1000"/>
    <n v="145"/>
    <n v="150"/>
    <n v="380"/>
    <n v="5"/>
    <n v="5"/>
    <n v="40"/>
    <n v="0.1"/>
    <n v="3.3333333333333333E-2"/>
    <n v="0.10526315789473684"/>
    <s v="T"/>
    <s v="T"/>
    <s v="T"/>
    <s v="T"/>
    <s v="T"/>
    <s v="T"/>
    <s v="T"/>
    <n v="14"/>
    <n v="14"/>
    <n v="63"/>
    <n v="63"/>
    <n v="60"/>
    <n v="214"/>
    <n v="27"/>
    <m/>
    <m/>
    <m/>
    <m/>
    <m/>
    <x v="1"/>
  </r>
  <r>
    <s v="Sirius"/>
    <x v="3"/>
    <x v="0"/>
    <n v="770"/>
    <n v="200"/>
    <n v="570"/>
    <n v="0.25974025974025972"/>
    <n v="0.74025974025974028"/>
    <s v="D. 400 - 1000"/>
    <n v="94"/>
    <n v="10"/>
    <n v="666"/>
    <n v="0"/>
    <n v="10"/>
    <n v="190"/>
    <n v="0"/>
    <n v="1"/>
    <n v="0.28528528528528529"/>
    <s v="T"/>
    <s v="T"/>
    <s v="T"/>
    <s v="T"/>
    <s v="T"/>
    <s v="T"/>
    <s v="T"/>
    <n v="29"/>
    <n v="53"/>
    <n v="12"/>
    <n v="15"/>
    <n v="0"/>
    <n v="109"/>
    <n v="0"/>
    <m/>
    <m/>
    <m/>
    <m/>
    <m/>
    <x v="1"/>
  </r>
  <r>
    <s v="Stress"/>
    <x v="3"/>
    <x v="0"/>
    <n v="1923"/>
    <n v="200"/>
    <n v="1723"/>
    <n v="0.10400416016640665"/>
    <n v="0.89599583983359332"/>
    <s v="E. 1000 +"/>
    <n v="155"/>
    <n v="100"/>
    <n v="1668"/>
    <n v="12"/>
    <n v="30"/>
    <n v="158"/>
    <n v="0.06"/>
    <n v="0.3"/>
    <n v="9.4724220623501193E-2"/>
    <s v="T"/>
    <s v="T"/>
    <s v="T"/>
    <s v="T"/>
    <s v="T"/>
    <s v="T"/>
    <s v="T"/>
    <s v="N/A"/>
    <s v="N/A"/>
    <s v="N/A"/>
    <s v="N/A"/>
    <s v="N/A"/>
    <n v="0"/>
    <n v="26"/>
    <m/>
    <m/>
    <m/>
    <m/>
    <m/>
    <x v="1"/>
  </r>
  <r>
    <s v="SV Onwijs"/>
    <x v="3"/>
    <x v="0"/>
    <n v="80"/>
    <n v="40"/>
    <n v="40"/>
    <n v="0.5"/>
    <n v="0.5"/>
    <s v="B. 50 - 100"/>
    <n v="8"/>
    <s v="N/A"/>
    <s v="N/A"/>
    <n v="0"/>
    <n v="0"/>
    <n v="40"/>
    <n v="0"/>
    <s v="N/A"/>
    <s v="N/A"/>
    <s v="F"/>
    <s v="T"/>
    <s v="T"/>
    <s v="T"/>
    <s v="T"/>
    <s v="T"/>
    <s v="F"/>
    <n v="0"/>
    <n v="0"/>
    <n v="0"/>
    <n v="3"/>
    <n v="3"/>
    <n v="6"/>
    <n v="3"/>
    <m/>
    <m/>
    <m/>
    <m/>
    <m/>
    <x v="1"/>
  </r>
  <r>
    <s v="ITC-SAB"/>
    <x v="3"/>
    <x v="0"/>
    <s v="N/A"/>
    <s v="N/A"/>
    <s v="N/A"/>
    <s v="N/A"/>
    <s v="N/A"/>
    <s v="E. 1000 +"/>
    <s v="N/A"/>
    <s v="N/A"/>
    <s v="N/A"/>
    <n v="0"/>
    <n v="0"/>
    <s v="N/A"/>
    <s v="N/A"/>
    <s v="N/A"/>
    <s v="N/A"/>
    <s v="F"/>
    <s v="F"/>
    <s v="F"/>
    <s v="T"/>
    <s v="T"/>
    <s v="T"/>
    <s v="F"/>
    <s v="N/A"/>
    <s v="N/A"/>
    <s v="N/A"/>
    <s v="N/A"/>
    <s v="N/A"/>
    <n v="0"/>
    <n v="0"/>
    <m/>
    <m/>
    <m/>
    <m/>
    <m/>
    <x v="1"/>
  </r>
  <r>
    <s v="Honoursvereniging Ockham"/>
    <x v="3"/>
    <x v="0"/>
    <n v="150"/>
    <n v="60"/>
    <n v="90"/>
    <n v="0.4"/>
    <n v="0.6"/>
    <s v="C. 100 - 400"/>
    <n v="40"/>
    <n v="100"/>
    <n v="10"/>
    <n v="4"/>
    <n v="10"/>
    <n v="46"/>
    <n v="6.6666666666666666E-2"/>
    <n v="0.1"/>
    <n v="4.5999999999999996"/>
    <s v="T"/>
    <s v="T"/>
    <s v="T"/>
    <s v="T"/>
    <s v="F"/>
    <s v="T"/>
    <s v="F"/>
    <s v="N/A"/>
    <s v="N/A"/>
    <s v="N/A"/>
    <s v="N/A"/>
    <s v="N/A"/>
    <n v="0"/>
    <n v="11"/>
    <m/>
    <m/>
    <m/>
    <m/>
    <m/>
    <x v="1"/>
  </r>
  <r>
    <s v="AEGEE Enschede"/>
    <x v="4"/>
    <x v="0"/>
    <n v="285"/>
    <n v="95"/>
    <n v="190"/>
    <n v="0.33333333333333331"/>
    <n v="0.66666666666666674"/>
    <s v="C. 100 - 400"/>
    <n v="100"/>
    <n v="5"/>
    <n v="180"/>
    <n v="0"/>
    <n v="5"/>
    <n v="90"/>
    <n v="0"/>
    <n v="1"/>
    <n v="0.5"/>
    <s v="T"/>
    <s v="T"/>
    <s v="T"/>
    <s v="T"/>
    <s v="T"/>
    <s v="T"/>
    <s v="T"/>
    <n v="24"/>
    <n v="21"/>
    <n v="50"/>
    <n v="65"/>
    <n v="24"/>
    <n v="184"/>
    <n v="26"/>
    <m/>
    <m/>
    <m/>
    <m/>
    <m/>
    <x v="1"/>
  </r>
  <r>
    <s v="ASV Taste"/>
    <x v="4"/>
    <x v="0"/>
    <n v="525"/>
    <n v="70"/>
    <n v="455"/>
    <n v="0.13333333333333333"/>
    <n v="0.8666666666666667"/>
    <s v="D. 400 - 1000"/>
    <n v="100"/>
    <n v="0"/>
    <n v="425"/>
    <n v="0"/>
    <n v="1"/>
    <n v="69"/>
    <n v="0"/>
    <s v="N/A"/>
    <n v="0.16235294117647059"/>
    <s v="T"/>
    <s v="T"/>
    <s v="T"/>
    <s v="F"/>
    <s v="T"/>
    <s v="T"/>
    <s v="F"/>
    <n v="42"/>
    <n v="85"/>
    <n v="69"/>
    <n v="31"/>
    <n v="9"/>
    <n v="236"/>
    <n v="29"/>
    <m/>
    <m/>
    <m/>
    <m/>
    <m/>
    <x v="1"/>
  </r>
  <r>
    <s v="Audentis et Virtutis"/>
    <x v="4"/>
    <x v="0"/>
    <n v="530"/>
    <n v="15"/>
    <n v="515"/>
    <n v="2.8301886792452831E-2"/>
    <n v="0.97169811320754718"/>
    <s v="D. 400 - 1000"/>
    <n v="200"/>
    <n v="0"/>
    <n v="330"/>
    <n v="0"/>
    <n v="0"/>
    <n v="15"/>
    <n v="0"/>
    <s v="N/A"/>
    <n v="4.5454545454545456E-2"/>
    <s v="T"/>
    <s v="T"/>
    <s v="T"/>
    <s v="T"/>
    <s v="T"/>
    <s v="T"/>
    <s v="T"/>
    <s v="N/A"/>
    <s v="N/A"/>
    <s v="N/A"/>
    <s v="N/A"/>
    <s v="N/A"/>
    <n v="0"/>
    <n v="24"/>
    <m/>
    <m/>
    <m/>
    <m/>
    <m/>
    <x v="1"/>
  </r>
  <r>
    <s v="CSV Alpha"/>
    <x v="4"/>
    <x v="0"/>
    <n v="108"/>
    <n v="15"/>
    <n v="93"/>
    <n v="0.1388888888888889"/>
    <n v="0.86111111111111116"/>
    <s v="C. 100 - 400"/>
    <n v="80"/>
    <n v="0"/>
    <n v="28"/>
    <n v="0"/>
    <n v="0"/>
    <n v="15"/>
    <n v="0"/>
    <s v="N/A"/>
    <n v="0.5357142857142857"/>
    <s v="T"/>
    <s v="T"/>
    <s v="T"/>
    <s v="T"/>
    <s v="T"/>
    <s v="T"/>
    <s v="T"/>
    <n v="30"/>
    <n v="25"/>
    <n v="35"/>
    <n v="22"/>
    <n v="19"/>
    <n v="131"/>
    <n v="36"/>
    <m/>
    <m/>
    <m/>
    <m/>
    <m/>
    <x v="1"/>
  </r>
  <r>
    <s v="Reformatorische Studenten Kring"/>
    <x v="6"/>
    <x v="0"/>
    <n v="53"/>
    <n v="1"/>
    <n v="52"/>
    <n v="1.8867924528301886E-2"/>
    <n v="0.98113207547169812"/>
    <s v="B. 50 - 100"/>
    <n v="40"/>
    <n v="0"/>
    <n v="13"/>
    <n v="0"/>
    <n v="1"/>
    <s v="N/A"/>
    <n v="0"/>
    <s v="N/A"/>
    <s v="N/A"/>
    <s v="T"/>
    <s v="F"/>
    <s v="F"/>
    <s v="F"/>
    <s v="F"/>
    <s v="T"/>
    <s v="F"/>
    <s v="N/A"/>
    <s v="N/A"/>
    <s v="N/A"/>
    <s v="N/A"/>
    <s v="N/A"/>
    <n v="0"/>
    <n v="28"/>
    <m/>
    <m/>
    <m/>
    <m/>
    <m/>
    <x v="1"/>
  </r>
  <r>
    <s v="SV De Gevreesde Koe VB"/>
    <x v="4"/>
    <x v="0"/>
    <s v="N/A"/>
    <s v="N/A"/>
    <s v="N/A"/>
    <s v="N/A"/>
    <s v="N/A"/>
    <s v="E. 1000 +"/>
    <s v="N/A"/>
    <s v="N/A"/>
    <s v="N/A"/>
    <n v="0"/>
    <n v="0"/>
    <s v="N/A"/>
    <s v="N/A"/>
    <s v="N/A"/>
    <s v="N/A"/>
    <s v="F"/>
    <s v="F"/>
    <s v="F"/>
    <s v="T"/>
    <s v="T"/>
    <s v="T"/>
    <s v="F"/>
    <s v="N/A"/>
    <s v="N/A"/>
    <s v="N/A"/>
    <s v="N/A"/>
    <s v="N/A"/>
    <n v="0"/>
    <n v="0"/>
    <m/>
    <m/>
    <m/>
    <m/>
    <m/>
    <x v="1"/>
  </r>
  <r>
    <s v="Navigators studentenvereniging Enschede"/>
    <x v="4"/>
    <x v="0"/>
    <n v="96"/>
    <n v="5"/>
    <n v="91"/>
    <n v="5.2083333333333336E-2"/>
    <n v="0.94791666666666663"/>
    <s v="B. 50 - 100"/>
    <n v="80"/>
    <n v="0"/>
    <n v="16"/>
    <n v="0"/>
    <n v="0"/>
    <n v="5"/>
    <n v="0"/>
    <s v="N/A"/>
    <n v="0.3125"/>
    <s v="T"/>
    <s v="T"/>
    <s v="T"/>
    <s v="T"/>
    <s v="T"/>
    <s v="T"/>
    <s v="T"/>
    <n v="0"/>
    <n v="0"/>
    <n v="0"/>
    <n v="0"/>
    <n v="0"/>
    <n v="0"/>
    <n v="26"/>
    <m/>
    <m/>
    <m/>
    <m/>
    <m/>
    <x v="1"/>
  </r>
  <r>
    <s v="Jongeren - en Studentenvereniging Exaltio"/>
    <x v="4"/>
    <x v="0"/>
    <s v="N/A"/>
    <s v="N/A"/>
    <s v="N/A"/>
    <s v="N/A"/>
    <s v="N/A"/>
    <s v="E. 1000 +"/>
    <s v="N/A"/>
    <s v="N/A"/>
    <s v="N/A"/>
    <n v="0"/>
    <n v="0"/>
    <s v="N/A"/>
    <s v="N/A"/>
    <s v="N/A"/>
    <s v="N/A"/>
    <s v="F"/>
    <s v="F"/>
    <s v="F"/>
    <s v="T"/>
    <s v="T"/>
    <s v="T"/>
    <s v="F"/>
    <s v="N/A"/>
    <s v="N/A"/>
    <s v="N/A"/>
    <s v="N/A"/>
    <s v="N/A"/>
    <n v="0"/>
    <n v="0"/>
    <m/>
    <m/>
    <m/>
    <m/>
    <m/>
    <x v="1"/>
  </r>
  <r>
    <s v="ISA AT UT"/>
    <x v="5"/>
    <x v="0"/>
    <s v="N/A"/>
    <s v="N/A"/>
    <s v="N/A"/>
    <s v="N/A"/>
    <s v="N/A"/>
    <s v="E. 1000 +"/>
    <s v="N/A"/>
    <s v="N/A"/>
    <s v="N/A"/>
    <n v="0"/>
    <n v="0"/>
    <s v="N/A"/>
    <s v="N/A"/>
    <s v="N/A"/>
    <s v="N/A"/>
    <s v="F"/>
    <s v="F"/>
    <s v="F"/>
    <s v="T"/>
    <s v="T"/>
    <s v="T"/>
    <s v="F"/>
    <s v="N/A"/>
    <s v="N/A"/>
    <s v="N/A"/>
    <s v="N/A"/>
    <s v="N/A"/>
    <n v="0"/>
    <n v="0"/>
    <m/>
    <m/>
    <m/>
    <m/>
    <m/>
    <x v="1"/>
  </r>
  <r>
    <s v="Student Union"/>
    <x v="6"/>
    <x v="1"/>
    <n v="6"/>
    <n v="0"/>
    <n v="6"/>
    <n v="0"/>
    <n v="1"/>
    <s v=" A. 1 - 50 "/>
    <n v="0"/>
    <n v="0"/>
    <n v="6"/>
    <n v="0"/>
    <n v="0"/>
    <s v="N/A"/>
    <s v="N/A"/>
    <s v="N/A"/>
    <s v="N/A"/>
    <s v="T"/>
    <s v="F"/>
    <s v="F"/>
    <s v="T"/>
    <s v="F"/>
    <s v="T"/>
    <s v="F"/>
    <n v="0"/>
    <n v="5"/>
    <n v="12"/>
    <n v="8"/>
    <n v="1"/>
    <n v="26"/>
    <n v="5"/>
    <m/>
    <m/>
    <m/>
    <m/>
    <m/>
    <x v="1"/>
  </r>
  <r>
    <s v="LA Voz"/>
    <x v="0"/>
    <x v="0"/>
    <n v="5"/>
    <n v="2"/>
    <n v="3"/>
    <n v="0.4"/>
    <n v="0.6"/>
    <s v=" A. 1 - 50 "/>
    <n v="5"/>
    <n v="4"/>
    <s v="N/A"/>
    <n v="4"/>
    <n v="1"/>
    <s v="N/A"/>
    <n v="2"/>
    <n v="0.25"/>
    <s v="N/A"/>
    <s v="F"/>
    <s v="F"/>
    <s v="F"/>
    <s v="T"/>
    <s v="T"/>
    <s v="T"/>
    <s v="F"/>
    <s v="N/A"/>
    <s v="N/A"/>
    <s v="N/A"/>
    <s v="N/A"/>
    <s v="N/A"/>
    <n v="0"/>
    <n v="1"/>
    <m/>
    <m/>
    <m/>
    <m/>
    <m/>
    <x v="1"/>
  </r>
  <r>
    <s v="ESN Twente"/>
    <x v="5"/>
    <x v="1"/>
    <n v="800"/>
    <n v="0"/>
    <n v="800"/>
    <n v="0"/>
    <n v="1"/>
    <s v="D. 400 - 1000"/>
    <n v="0"/>
    <n v="350"/>
    <n v="450"/>
    <n v="0"/>
    <n v="0"/>
    <s v="N/A"/>
    <s v="N/A"/>
    <n v="0"/>
    <s v="N/A"/>
    <s v="T"/>
    <s v="F"/>
    <s v="F"/>
    <s v="T"/>
    <s v="F"/>
    <s v="T"/>
    <s v="F"/>
    <n v="0"/>
    <n v="0"/>
    <n v="2"/>
    <n v="0"/>
    <n v="0"/>
    <n v="2"/>
    <n v="1"/>
    <m/>
    <m/>
    <m/>
    <m/>
    <m/>
    <x v="1"/>
  </r>
  <r>
    <s v="ICF-E"/>
    <x v="5"/>
    <x v="1"/>
    <n v="100"/>
    <n v="0"/>
    <n v="100"/>
    <n v="0"/>
    <n v="1"/>
    <s v="C. 100 - 400"/>
    <n v="0"/>
    <n v="40"/>
    <n v="60"/>
    <n v="0"/>
    <n v="0"/>
    <s v="N/A"/>
    <s v="N/A"/>
    <n v="0"/>
    <s v="N/A"/>
    <s v="T"/>
    <s v="F"/>
    <s v="F"/>
    <s v="T"/>
    <s v="F"/>
    <s v="T"/>
    <s v="F"/>
    <n v="5"/>
    <n v="2"/>
    <n v="1"/>
    <n v="0"/>
    <n v="10"/>
    <n v="18"/>
    <n v="11"/>
    <m/>
    <m/>
    <m/>
    <m/>
    <m/>
    <x v="1"/>
  </r>
  <r>
    <s v="PSA"/>
    <x v="5"/>
    <x v="0"/>
    <s v="N/A"/>
    <s v="N/A"/>
    <s v="N/A"/>
    <s v="N/A"/>
    <s v="N/A"/>
    <s v="E. 1000 +"/>
    <s v="N/A"/>
    <s v="N/A"/>
    <s v="N/A"/>
    <n v="0"/>
    <n v="0"/>
    <s v="N/A"/>
    <s v="N/A"/>
    <s v="N/A"/>
    <s v="N/A"/>
    <s v="F"/>
    <s v="F"/>
    <s v="F"/>
    <s v="T"/>
    <s v="T"/>
    <s v="T"/>
    <s v="F"/>
    <s v="N/A"/>
    <s v="N/A"/>
    <s v="N/A"/>
    <s v="N/A"/>
    <s v="N/A"/>
    <n v="0"/>
    <n v="0"/>
    <m/>
    <m/>
    <m/>
    <m/>
    <m/>
    <x v="1"/>
  </r>
  <r>
    <s v="SUUT"/>
    <x v="5"/>
    <x v="0"/>
    <s v="N/A"/>
    <s v="N/A"/>
    <s v="N/A"/>
    <s v="N/A"/>
    <s v="N/A"/>
    <s v="E. 1000 +"/>
    <s v="N/A"/>
    <s v="N/A"/>
    <s v="N/A"/>
    <n v="0"/>
    <n v="0"/>
    <s v="N/A"/>
    <s v="N/A"/>
    <s v="N/A"/>
    <s v="N/A"/>
    <s v="F"/>
    <s v="F"/>
    <s v="F"/>
    <s v="T"/>
    <s v="T"/>
    <s v="T"/>
    <s v="F"/>
    <s v="N/A"/>
    <s v="N/A"/>
    <s v="N/A"/>
    <s v="N/A"/>
    <s v="N/A"/>
    <n v="0"/>
    <n v="0"/>
    <m/>
    <m/>
    <m/>
    <m/>
    <m/>
    <x v="1"/>
  </r>
  <r>
    <s v="RSA"/>
    <x v="5"/>
    <x v="0"/>
    <s v="N/A"/>
    <s v="N/A"/>
    <s v="N/A"/>
    <s v="N/A"/>
    <s v="N/A"/>
    <s v="E. 1000 +"/>
    <s v="N/A"/>
    <s v="N/A"/>
    <s v="N/A"/>
    <n v="0"/>
    <n v="0"/>
    <s v="N/A"/>
    <s v="N/A"/>
    <s v="N/A"/>
    <s v="N/A"/>
    <s v="F"/>
    <s v="F"/>
    <s v="F"/>
    <s v="T"/>
    <s v="T"/>
    <s v="T"/>
    <s v="F"/>
    <s v="N/A"/>
    <s v="N/A"/>
    <s v="N/A"/>
    <s v="N/A"/>
    <s v="N/A"/>
    <n v="0"/>
    <n v="0"/>
    <m/>
    <m/>
    <m/>
    <m/>
    <m/>
    <x v="1"/>
  </r>
  <r>
    <s v="UT Muslims"/>
    <x v="5"/>
    <x v="0"/>
    <n v="57"/>
    <n v="5"/>
    <n v="52"/>
    <n v="8.771929824561403E-2"/>
    <n v="0.91228070175438591"/>
    <s v="B. 50 - 100"/>
    <n v="15"/>
    <n v="36"/>
    <n v="6"/>
    <n v="6"/>
    <n v="1"/>
    <s v="N/A"/>
    <n v="1.2"/>
    <n v="2.7777777777777776E-2"/>
    <s v="N/A"/>
    <s v="T"/>
    <s v="F"/>
    <s v="F"/>
    <s v="T"/>
    <s v="F"/>
    <s v="T"/>
    <s v="F"/>
    <n v="8"/>
    <n v="2"/>
    <n v="0"/>
    <n v="0"/>
    <n v="3"/>
    <n v="13"/>
    <n v="0"/>
    <m/>
    <m/>
    <m/>
    <m/>
    <m/>
    <x v="1"/>
  </r>
  <r>
    <s v="SUT"/>
    <x v="1"/>
    <x v="1"/>
    <n v="3"/>
    <n v="0"/>
    <n v="3"/>
    <n v="0"/>
    <n v="1"/>
    <s v=" A. 1 - 50 "/>
    <n v="0"/>
    <s v="N/A"/>
    <s v="N/A"/>
    <n v="0"/>
    <n v="0"/>
    <s v="N/A"/>
    <s v="N/A"/>
    <s v="N/A"/>
    <s v="N/A"/>
    <s v="F"/>
    <s v="F"/>
    <s v="F"/>
    <s v="T"/>
    <s v="T"/>
    <s v="T"/>
    <s v="F"/>
    <n v="0"/>
    <n v="1"/>
    <n v="3"/>
    <n v="8"/>
    <n v="2"/>
    <n v="14"/>
    <n v="5"/>
    <m/>
    <m/>
    <m/>
    <m/>
    <m/>
    <x v="1"/>
  </r>
  <r>
    <s v="Cultuurkoepel Apollo"/>
    <x v="0"/>
    <x v="1"/>
    <n v="3"/>
    <n v="0"/>
    <n v="3"/>
    <n v="0"/>
    <n v="1"/>
    <s v=" A. 1 - 50 "/>
    <n v="0"/>
    <n v="0"/>
    <n v="3"/>
    <n v="0"/>
    <n v="0"/>
    <s v="N/A"/>
    <s v="N/A"/>
    <s v="N/A"/>
    <s v="N/A"/>
    <s v="T"/>
    <s v="F"/>
    <s v="F"/>
    <s v="T"/>
    <s v="F"/>
    <s v="T"/>
    <s v="F"/>
    <n v="1"/>
    <n v="5"/>
    <n v="11"/>
    <n v="11"/>
    <n v="6"/>
    <n v="34"/>
    <n v="15"/>
    <m/>
    <m/>
    <m/>
    <m/>
    <m/>
    <x v="1"/>
  </r>
  <r>
    <s v="PKVV Fact"/>
    <x v="4"/>
    <x v="1"/>
    <n v="5"/>
    <n v="0"/>
    <n v="5"/>
    <n v="0"/>
    <n v="1"/>
    <s v=" A. 1 - 50 "/>
    <n v="0"/>
    <n v="0"/>
    <n v="5"/>
    <n v="0"/>
    <n v="0"/>
    <s v="N/A"/>
    <s v="N/A"/>
    <s v="N/A"/>
    <s v="N/A"/>
    <s v="T"/>
    <s v="F"/>
    <s v="F"/>
    <s v="T"/>
    <s v="F"/>
    <s v="T"/>
    <s v="F"/>
    <n v="1"/>
    <n v="4"/>
    <n v="4"/>
    <n v="3"/>
    <n v="6"/>
    <n v="18"/>
    <n v="2"/>
    <m/>
    <m/>
    <m/>
    <m/>
    <m/>
    <x v="1"/>
  </r>
  <r>
    <s v="UniTe"/>
    <x v="5"/>
    <x v="1"/>
    <n v="7"/>
    <n v="0"/>
    <n v="7"/>
    <n v="0"/>
    <n v="1"/>
    <s v=" A. 1 - 50 "/>
    <n v="0"/>
    <n v="6"/>
    <n v="1"/>
    <n v="0"/>
    <n v="0"/>
    <s v="N/A"/>
    <s v="N/A"/>
    <n v="0"/>
    <s v="N/A"/>
    <s v="T"/>
    <s v="F"/>
    <s v="F"/>
    <s v="T"/>
    <s v="F"/>
    <s v="T"/>
    <s v="F"/>
    <n v="0"/>
    <n v="1"/>
    <n v="0"/>
    <n v="3"/>
    <n v="3"/>
    <n v="7"/>
    <n v="0"/>
    <m/>
    <m/>
    <m/>
    <m/>
    <m/>
    <x v="1"/>
  </r>
  <r>
    <s v="Bedrijvendagen"/>
    <x v="6"/>
    <x v="1"/>
    <n v="0"/>
    <n v="0"/>
    <n v="0"/>
    <s v="N/A"/>
    <s v="N/A"/>
    <s v="N/A"/>
    <n v="0"/>
    <s v="N/A"/>
    <s v="N/A"/>
    <n v="0"/>
    <n v="0"/>
    <s v="N/A"/>
    <s v="N/A"/>
    <s v="N/A"/>
    <s v="N/A"/>
    <s v="F"/>
    <s v="F"/>
    <s v="F"/>
    <s v="T"/>
    <s v="T"/>
    <s v="T"/>
    <s v="F"/>
    <s v="N/A"/>
    <s v="N/A"/>
    <s v="N/A"/>
    <s v="N/A"/>
    <s v="N/A"/>
    <n v="0"/>
    <n v="1"/>
    <m/>
    <m/>
    <m/>
    <m/>
    <m/>
    <x v="1"/>
  </r>
  <r>
    <s v="Duitenberg"/>
    <x v="6"/>
    <x v="0"/>
    <s v="N/A"/>
    <s v="N/A"/>
    <s v="N/A"/>
    <s v="N/A"/>
    <s v="N/A"/>
    <s v="E. 1000 +"/>
    <s v="N/A"/>
    <s v="N/A"/>
    <s v="N/A"/>
    <n v="0"/>
    <n v="0"/>
    <s v="N/A"/>
    <s v="N/A"/>
    <s v="N/A"/>
    <s v="N/A"/>
    <s v="F"/>
    <s v="F"/>
    <s v="F"/>
    <s v="T"/>
    <s v="T"/>
    <s v="T"/>
    <s v="F"/>
    <s v="N/A"/>
    <s v="N/A"/>
    <s v="N/A"/>
    <s v="N/A"/>
    <s v="N/A"/>
    <n v="0"/>
    <n v="0"/>
    <m/>
    <m/>
    <m/>
    <m/>
    <m/>
    <x v="1"/>
  </r>
  <r>
    <s v="Integrand Twente"/>
    <x v="6"/>
    <x v="1"/>
    <n v="9"/>
    <n v="0"/>
    <n v="9"/>
    <n v="0"/>
    <n v="1"/>
    <s v=" A. 1 - 50 "/>
    <n v="0"/>
    <n v="0"/>
    <n v="9"/>
    <n v="0"/>
    <n v="0"/>
    <s v="N/A"/>
    <s v="N/A"/>
    <s v="N/A"/>
    <s v="N/A"/>
    <s v="T"/>
    <s v="F"/>
    <s v="F"/>
    <s v="T"/>
    <s v="F"/>
    <s v="T"/>
    <s v="F"/>
    <n v="0"/>
    <n v="0"/>
    <n v="6"/>
    <n v="2"/>
    <n v="0"/>
    <n v="8"/>
    <n v="1"/>
    <m/>
    <m/>
    <m/>
    <m/>
    <m/>
    <x v="1"/>
  </r>
  <r>
    <s v="KIVI Students Twente"/>
    <x v="3"/>
    <x v="1"/>
    <n v="7"/>
    <n v="0"/>
    <n v="7"/>
    <n v="0"/>
    <n v="1"/>
    <s v=" A. 1 - 50 "/>
    <n v="0"/>
    <n v="0"/>
    <n v="7"/>
    <n v="0"/>
    <n v="0"/>
    <s v="N/A"/>
    <s v="N/A"/>
    <s v="N/A"/>
    <s v="N/A"/>
    <s v="T"/>
    <s v="F"/>
    <s v="F"/>
    <s v="T"/>
    <s v="F"/>
    <s v="T"/>
    <s v="F"/>
    <n v="0"/>
    <n v="0"/>
    <n v="0"/>
    <n v="0"/>
    <n v="0"/>
    <n v="0"/>
    <n v="4"/>
    <m/>
    <m/>
    <m/>
    <m/>
    <m/>
    <x v="1"/>
  </r>
  <r>
    <s v="Unipartners"/>
    <x v="6"/>
    <x v="1"/>
    <s v="N/A"/>
    <s v="N/A"/>
    <s v="N/A"/>
    <s v="N/A"/>
    <s v="N/A"/>
    <s v="E. 1000 +"/>
    <s v="N/A"/>
    <s v="N/A"/>
    <s v="N/A"/>
    <n v="0"/>
    <n v="0"/>
    <s v="N/A"/>
    <s v="N/A"/>
    <s v="N/A"/>
    <s v="N/A"/>
    <s v="F"/>
    <s v="F"/>
    <s v="F"/>
    <s v="T"/>
    <s v="T"/>
    <s v="T"/>
    <s v="F"/>
    <s v="N/A"/>
    <s v="N/A"/>
    <s v="N/A"/>
    <s v="N/A"/>
    <s v="N/A"/>
    <n v="0"/>
    <n v="0"/>
    <m/>
    <m/>
    <m/>
    <m/>
    <m/>
    <x v="1"/>
  </r>
  <r>
    <s v="DSIF"/>
    <x v="6"/>
    <x v="1"/>
    <s v="N/A"/>
    <s v="N/A"/>
    <s v="N/A"/>
    <s v="N/A"/>
    <s v="N/A"/>
    <s v="E. 1000 +"/>
    <s v="N/A"/>
    <s v="N/A"/>
    <s v="N/A"/>
    <n v="0"/>
    <n v="0"/>
    <s v="N/A"/>
    <s v="N/A"/>
    <s v="N/A"/>
    <s v="N/A"/>
    <s v="F"/>
    <s v="F"/>
    <s v="F"/>
    <s v="T"/>
    <s v="T"/>
    <s v="T"/>
    <s v="F"/>
    <s v="N/A"/>
    <s v="N/A"/>
    <s v="N/A"/>
    <s v="N/A"/>
    <s v="N/A"/>
    <n v="0"/>
    <n v="0"/>
    <m/>
    <m/>
    <m/>
    <m/>
    <m/>
    <x v="1"/>
  </r>
  <r>
    <s v="Hive01"/>
    <x v="6"/>
    <x v="1"/>
    <n v="5"/>
    <n v="0"/>
    <n v="5"/>
    <n v="0"/>
    <n v="1"/>
    <s v=" A. 1 - 50 "/>
    <n v="0"/>
    <n v="1"/>
    <n v="4"/>
    <n v="0"/>
    <n v="0"/>
    <s v="N/A"/>
    <s v="N/A"/>
    <n v="0"/>
    <s v="N/A"/>
    <s v="T"/>
    <s v="F"/>
    <s v="F"/>
    <s v="T"/>
    <s v="F"/>
    <s v="T"/>
    <s v="F"/>
    <s v="N/A"/>
    <s v="N/A"/>
    <s v="N/A"/>
    <s v="N/A"/>
    <s v="N/A"/>
    <n v="0"/>
    <n v="0"/>
    <m/>
    <m/>
    <m/>
    <m/>
    <m/>
    <x v="1"/>
  </r>
  <r>
    <s v="Green Team Twente"/>
    <x v="6"/>
    <x v="1"/>
    <n v="28"/>
    <n v="0"/>
    <n v="28"/>
    <n v="0"/>
    <n v="1"/>
    <s v=" A. 1 - 50 "/>
    <n v="0"/>
    <n v="1"/>
    <n v="27"/>
    <n v="0"/>
    <n v="0"/>
    <s v="N/A"/>
    <s v="N/A"/>
    <n v="0"/>
    <s v="N/A"/>
    <s v="T"/>
    <s v="F"/>
    <s v="F"/>
    <s v="T"/>
    <s v="F"/>
    <s v="T"/>
    <s v="F"/>
    <s v="N/A"/>
    <s v="N/A"/>
    <s v="N/A"/>
    <s v="N/A"/>
    <s v="N/A"/>
    <n v="0"/>
    <n v="1"/>
    <m/>
    <m/>
    <m/>
    <m/>
    <m/>
    <x v="1"/>
  </r>
  <r>
    <s v="IAPC"/>
    <x v="6"/>
    <x v="1"/>
    <n v="92"/>
    <n v="0"/>
    <n v="92"/>
    <n v="0"/>
    <n v="1"/>
    <s v="B. 50 - 100"/>
    <n v="0"/>
    <n v="0"/>
    <n v="92"/>
    <n v="0"/>
    <n v="0"/>
    <s v="N/A"/>
    <s v="N/A"/>
    <s v="N/A"/>
    <s v="N/A"/>
    <s v="T"/>
    <s v="F"/>
    <s v="F"/>
    <s v="T"/>
    <s v="F"/>
    <s v="T"/>
    <s v="F"/>
    <n v="0"/>
    <n v="13"/>
    <n v="5"/>
    <n v="0"/>
    <n v="1"/>
    <n v="19"/>
    <n v="0"/>
    <m/>
    <m/>
    <m/>
    <m/>
    <m/>
    <x v="1"/>
  </r>
  <r>
    <s v="Stichting Borrelbeheer Zilvering"/>
    <x v="4"/>
    <x v="1"/>
    <n v="17"/>
    <n v="0"/>
    <n v="17"/>
    <n v="0"/>
    <n v="1"/>
    <s v=" A. 1 - 50 "/>
    <n v="0"/>
    <n v="0"/>
    <n v="17"/>
    <n v="0"/>
    <n v="0"/>
    <s v="N/A"/>
    <s v="N/A"/>
    <s v="N/A"/>
    <s v="N/A"/>
    <s v="T"/>
    <s v="F"/>
    <s v="F"/>
    <s v="T"/>
    <s v="F"/>
    <s v="T"/>
    <s v="F"/>
    <n v="0"/>
    <n v="0"/>
    <n v="6"/>
    <n v="2"/>
    <n v="0"/>
    <n v="8"/>
    <n v="0"/>
    <m/>
    <m/>
    <m/>
    <m/>
    <m/>
    <x v="1"/>
  </r>
  <r>
    <s v="Stichting Batavierenrace"/>
    <x v="1"/>
    <x v="1"/>
    <n v="120"/>
    <n v="0"/>
    <n v="120"/>
    <n v="0"/>
    <n v="1"/>
    <s v="C. 100 - 400"/>
    <n v="0"/>
    <n v="0"/>
    <n v="120"/>
    <n v="0"/>
    <n v="0"/>
    <s v="N/A"/>
    <s v="N/A"/>
    <s v="N/A"/>
    <s v="N/A"/>
    <s v="T"/>
    <s v="F"/>
    <s v="F"/>
    <s v="T"/>
    <s v="F"/>
    <s v="T"/>
    <s v="F"/>
    <n v="0"/>
    <n v="2"/>
    <n v="0"/>
    <n v="1"/>
    <n v="1"/>
    <n v="4"/>
    <n v="16"/>
    <m/>
    <m/>
    <m/>
    <m/>
    <m/>
    <x v="1"/>
  </r>
  <r>
    <s v="Stichting Solar Team Twente"/>
    <x v="6"/>
    <x v="1"/>
    <n v="21"/>
    <n v="0"/>
    <n v="21"/>
    <n v="0"/>
    <n v="1"/>
    <s v=" A. 1 - 50 "/>
    <n v="0"/>
    <n v="0"/>
    <n v="21"/>
    <n v="0"/>
    <n v="0"/>
    <s v="N/A"/>
    <s v="N/A"/>
    <s v="N/A"/>
    <s v="N/A"/>
    <s v="T"/>
    <s v="F"/>
    <s v="F"/>
    <s v="T"/>
    <s v="F"/>
    <s v="T"/>
    <s v="F"/>
    <n v="0"/>
    <n v="0"/>
    <n v="0"/>
    <n v="0"/>
    <n v="0"/>
    <n v="0"/>
    <n v="3"/>
    <m/>
    <m/>
    <m/>
    <m/>
    <m/>
    <x v="1"/>
  </r>
  <r>
    <s v="Studenten Net Twente"/>
    <x v="6"/>
    <x v="0"/>
    <s v="N/A"/>
    <s v="N/A"/>
    <s v="N/A"/>
    <s v="N/A"/>
    <s v="N/A"/>
    <s v="E. 1000 +"/>
    <s v="N/A"/>
    <s v="N/A"/>
    <s v="N/A"/>
    <n v="0"/>
    <n v="0"/>
    <s v="N/A"/>
    <s v="N/A"/>
    <s v="N/A"/>
    <s v="N/A"/>
    <s v="F"/>
    <s v="F"/>
    <s v="F"/>
    <s v="T"/>
    <s v="T"/>
    <s v="T"/>
    <s v="F"/>
    <s v="N/A"/>
    <s v="N/A"/>
    <s v="N/A"/>
    <s v="N/A"/>
    <s v="N/A"/>
    <n v="0"/>
    <n v="0"/>
    <m/>
    <m/>
    <m/>
    <m/>
    <m/>
    <x v="1"/>
  </r>
  <r>
    <s v="Vereniging Campus kabel"/>
    <x v="6"/>
    <x v="0"/>
    <s v="N/A"/>
    <s v="N/A"/>
    <s v="N/A"/>
    <s v="N/A"/>
    <s v="N/A"/>
    <s v="E. 1000 +"/>
    <s v="N/A"/>
    <s v="N/A"/>
    <s v="N/A"/>
    <n v="0"/>
    <n v="0"/>
    <s v="N/A"/>
    <s v="N/A"/>
    <s v="N/A"/>
    <s v="N/A"/>
    <s v="F"/>
    <s v="F"/>
    <s v="F"/>
    <s v="T"/>
    <s v="T"/>
    <s v="T"/>
    <s v="F"/>
    <s v="N/A"/>
    <s v="N/A"/>
    <s v="N/A"/>
    <s v="N/A"/>
    <s v="N/A"/>
    <n v="0"/>
    <n v="0"/>
    <m/>
    <m/>
    <m/>
    <m/>
    <m/>
    <x v="1"/>
  </r>
  <r>
    <s v="Werkgroep OntwikkelingsTechnieken"/>
    <x v="6"/>
    <x v="0"/>
    <s v="N/A"/>
    <s v="N/A"/>
    <s v="N/A"/>
    <s v="N/A"/>
    <s v="N/A"/>
    <s v="E. 1000 +"/>
    <s v="N/A"/>
    <s v="N/A"/>
    <s v="N/A"/>
    <n v="0"/>
    <n v="0"/>
    <s v="N/A"/>
    <s v="N/A"/>
    <s v="N/A"/>
    <s v="N/A"/>
    <s v="F"/>
    <s v="F"/>
    <s v="F"/>
    <s v="T"/>
    <s v="T"/>
    <s v="T"/>
    <s v="F"/>
    <s v="N/A"/>
    <s v="N/A"/>
    <s v="N/A"/>
    <s v="N/A"/>
    <s v="N/A"/>
    <n v="0"/>
    <n v="0"/>
    <m/>
    <m/>
    <m/>
    <m/>
    <m/>
    <x v="1"/>
  </r>
  <r>
    <s v="Borrelbeheer TAP"/>
    <x v="4"/>
    <x v="1"/>
    <n v="300"/>
    <n v="0"/>
    <n v="300"/>
    <n v="0"/>
    <n v="1"/>
    <s v="C. 100 - 400"/>
    <n v="0"/>
    <n v="50"/>
    <n v="250"/>
    <n v="0"/>
    <n v="0"/>
    <s v="N/A"/>
    <s v="N/A"/>
    <n v="0"/>
    <s v="N/A"/>
    <s v="T"/>
    <s v="F"/>
    <s v="F"/>
    <s v="T"/>
    <s v="F"/>
    <s v="T"/>
    <s v="F"/>
    <s v="N/A"/>
    <s v="N/A"/>
    <s v="N/A"/>
    <s v="N/A"/>
    <s v="N/A"/>
    <n v="0"/>
    <n v="1"/>
    <m/>
    <m/>
    <m/>
    <m/>
    <m/>
    <x v="1"/>
  </r>
  <r>
    <s v="Studentenstam Radix"/>
    <x v="1"/>
    <x v="0"/>
    <n v="38"/>
    <n v="3"/>
    <n v="35"/>
    <n v="7.8947368421052627E-2"/>
    <n v="0.92105263157894735"/>
    <s v=" A. 1 - 50 "/>
    <n v="20"/>
    <n v="0"/>
    <n v="18"/>
    <n v="0"/>
    <n v="0"/>
    <n v="3"/>
    <n v="0"/>
    <s v="N/A"/>
    <n v="0.16666666666666666"/>
    <s v="T"/>
    <s v="T"/>
    <s v="T"/>
    <s v="T"/>
    <s v="T"/>
    <s v="T"/>
    <s v="T"/>
    <n v="0"/>
    <n v="0"/>
    <n v="0"/>
    <n v="0"/>
    <n v="0"/>
    <n v="0"/>
    <n v="5"/>
    <m/>
    <m/>
    <m/>
    <m/>
    <m/>
    <x v="1"/>
  </r>
  <r>
    <s v="IEEE Student Branch"/>
    <x v="6"/>
    <x v="1"/>
    <s v="N/A"/>
    <s v="N/A"/>
    <s v="N/A"/>
    <s v="N/A"/>
    <s v="N/A"/>
    <s v="E. 1000 +"/>
    <s v="N/A"/>
    <s v="N/A"/>
    <s v="N/A"/>
    <n v="0"/>
    <n v="0"/>
    <s v="N/A"/>
    <s v="N/A"/>
    <s v="N/A"/>
    <s v="N/A"/>
    <s v="F"/>
    <s v="F"/>
    <s v="F"/>
    <s v="T"/>
    <s v="T"/>
    <s v="T"/>
    <s v="F"/>
    <s v="N/A"/>
    <s v="N/A"/>
    <s v="N/A"/>
    <s v="N/A"/>
    <s v="N/A"/>
    <n v="0"/>
    <n v="0"/>
    <m/>
    <m/>
    <m/>
    <m/>
    <m/>
    <x v="1"/>
  </r>
  <r>
    <s v="Stichting Solar Boat Twente"/>
    <x v="6"/>
    <x v="1"/>
    <n v="21"/>
    <n v="0"/>
    <n v="21"/>
    <n v="0"/>
    <n v="1"/>
    <s v=" A. 1 - 50 "/>
    <n v="0"/>
    <n v="0"/>
    <n v="21"/>
    <n v="0"/>
    <n v="0"/>
    <s v="N/A"/>
    <s v="N/A"/>
    <s v="N/A"/>
    <s v="N/A"/>
    <s v="T"/>
    <s v="F"/>
    <s v="F"/>
    <s v="T"/>
    <s v="F"/>
    <s v="T"/>
    <s v="F"/>
    <s v="N/A"/>
    <s v="N/A"/>
    <s v="N/A"/>
    <s v="N/A"/>
    <s v="N/A"/>
    <n v="0"/>
    <n v="1"/>
    <m/>
    <m/>
    <m/>
    <m/>
    <m/>
    <x v="1"/>
  </r>
  <r>
    <s v="Stichting Robo Team Twente"/>
    <x v="6"/>
    <x v="1"/>
    <n v="11"/>
    <n v="0"/>
    <n v="11"/>
    <n v="0"/>
    <n v="1"/>
    <s v=" A. 1 - 50 "/>
    <n v="0"/>
    <n v="2"/>
    <n v="9"/>
    <n v="0"/>
    <n v="0"/>
    <s v="N/A"/>
    <s v="N/A"/>
    <n v="0"/>
    <s v="N/A"/>
    <s v="T"/>
    <s v="F"/>
    <s v="F"/>
    <s v="T"/>
    <s v="F"/>
    <s v="T"/>
    <s v="F"/>
    <n v="0"/>
    <n v="0"/>
    <n v="0"/>
    <n v="0"/>
    <n v="0"/>
    <n v="0"/>
    <n v="1"/>
    <m/>
    <m/>
    <m/>
    <m/>
    <m/>
    <x v="1"/>
  </r>
  <r>
    <s v="Stichting Electric Superbike Twente"/>
    <x v="6"/>
    <x v="1"/>
    <s v="N/A"/>
    <s v="N/A"/>
    <s v="N/A"/>
    <s v="N/A"/>
    <s v="N/A"/>
    <s v="E. 1000 +"/>
    <s v="N/A"/>
    <s v="N/A"/>
    <s v="N/A"/>
    <n v="0"/>
    <n v="0"/>
    <s v="N/A"/>
    <s v="N/A"/>
    <s v="N/A"/>
    <s v="N/A"/>
    <s v="F"/>
    <s v="F"/>
    <s v="F"/>
    <s v="T"/>
    <s v="T"/>
    <s v="T"/>
    <s v="F"/>
    <s v="N/A"/>
    <s v="N/A"/>
    <s v="N/A"/>
    <s v="N/A"/>
    <s v="N/A"/>
    <n v="0"/>
    <n v="0"/>
    <m/>
    <m/>
    <m/>
    <m/>
    <m/>
    <x v="1"/>
  </r>
  <r>
    <s v="De sevende camer"/>
    <x v="1"/>
    <x v="1"/>
    <n v="0"/>
    <n v="0"/>
    <n v="0"/>
    <s v="N/A"/>
    <s v="N/A"/>
    <s v="N/A"/>
    <n v="0"/>
    <n v="0"/>
    <s v="N/A"/>
    <n v="0"/>
    <n v="0"/>
    <s v="N/A"/>
    <s v="N/A"/>
    <s v="N/A"/>
    <s v="N/A"/>
    <s v="F"/>
    <s v="F"/>
    <s v="F"/>
    <s v="T"/>
    <s v="T"/>
    <s v="T"/>
    <s v="F"/>
    <s v="N/A"/>
    <s v="N/A"/>
    <s v="N/A"/>
    <s v="N/A"/>
    <s v="N/A"/>
    <n v="0"/>
    <n v="0"/>
    <m/>
    <m/>
    <m/>
    <m/>
    <m/>
    <x v="1"/>
  </r>
  <r>
    <s v="The negotiation project"/>
    <x v="4"/>
    <x v="1"/>
    <n v="25"/>
    <n v="0"/>
    <n v="25"/>
    <n v="0"/>
    <n v="1"/>
    <s v=" A. 1 - 50 "/>
    <n v="0"/>
    <n v="6"/>
    <n v="19"/>
    <n v="0"/>
    <n v="0"/>
    <s v="N/A"/>
    <s v="N/A"/>
    <n v="0"/>
    <s v="N/A"/>
    <s v="T"/>
    <s v="F"/>
    <s v="F"/>
    <s v="T"/>
    <s v="F"/>
    <s v="T"/>
    <s v="F"/>
    <n v="0"/>
    <n v="3"/>
    <n v="2"/>
    <n v="0"/>
    <n v="0"/>
    <n v="5"/>
    <n v="2"/>
    <m/>
    <m/>
    <m/>
    <m/>
    <m/>
    <x v="1"/>
  </r>
  <r>
    <s v="Drone Team Twente"/>
    <x v="6"/>
    <x v="1"/>
    <n v="26"/>
    <n v="0"/>
    <n v="26"/>
    <n v="0"/>
    <n v="1"/>
    <s v=" A. 1 - 50 "/>
    <n v="0"/>
    <n v="8"/>
    <n v="18"/>
    <n v="0"/>
    <n v="0"/>
    <s v="N/A"/>
    <s v="N/A"/>
    <n v="0"/>
    <s v="N/A"/>
    <s v="T"/>
    <s v="F"/>
    <s v="F"/>
    <s v="T"/>
    <s v="F"/>
    <s v="T"/>
    <s v="F"/>
    <n v="2"/>
    <n v="3"/>
    <n v="3"/>
    <n v="0"/>
    <n v="2"/>
    <n v="10"/>
    <n v="2"/>
    <m/>
    <m/>
    <m/>
    <m/>
    <m/>
    <x v="1"/>
  </r>
  <r>
    <s v="Sustain"/>
    <x v="6"/>
    <x v="0"/>
    <s v="N/A"/>
    <s v="N/A"/>
    <s v="N/A"/>
    <s v="N/A"/>
    <s v="N/A"/>
    <s v="E. 1000 +"/>
    <s v="N/A"/>
    <s v="N/A"/>
    <s v="N/A"/>
    <n v="0"/>
    <n v="0"/>
    <s v="N/A"/>
    <s v="N/A"/>
    <s v="N/A"/>
    <s v="N/A"/>
    <s v="F"/>
    <s v="F"/>
    <s v="F"/>
    <s v="T"/>
    <s v="T"/>
    <s v="T"/>
    <s v="F"/>
    <s v="N/A"/>
    <s v="N/A"/>
    <s v="N/A"/>
    <s v="N/A"/>
    <s v="N/A"/>
    <n v="0"/>
    <n v="0"/>
    <m/>
    <m/>
    <m/>
    <m/>
    <m/>
    <x v="1"/>
  </r>
  <r>
    <s v="Space Society"/>
    <x v="6"/>
    <x v="0"/>
    <n v="43"/>
    <n v="5"/>
    <n v="38"/>
    <n v="0.11627906976744186"/>
    <n v="0.88372093023255816"/>
    <s v=" A. 1 - 50 "/>
    <n v="16"/>
    <n v="15"/>
    <n v="12"/>
    <n v="6"/>
    <n v="4"/>
    <s v="N/A"/>
    <n v="1.2"/>
    <n v="0.26666666666666666"/>
    <s v="N/A"/>
    <s v="T"/>
    <s v="F"/>
    <s v="F"/>
    <s v="T"/>
    <s v="F"/>
    <s v="T"/>
    <s v="F"/>
    <s v="N/A"/>
    <s v="N/A"/>
    <s v="N/A"/>
    <s v="N/A"/>
    <s v="N/A"/>
    <n v="0"/>
    <n v="4"/>
    <m/>
    <m/>
    <m/>
    <m/>
    <m/>
    <x v="1"/>
  </r>
  <r>
    <s v="Drienerlose Stichting Torenhoog"/>
    <x v="6"/>
    <x v="1"/>
    <s v="N/A"/>
    <s v="N/A"/>
    <s v="N/A"/>
    <s v="N/A"/>
    <s v="N/A"/>
    <s v="E. 1000 +"/>
    <s v="N/A"/>
    <s v="N/A"/>
    <s v="N/A"/>
    <n v="0"/>
    <n v="0"/>
    <s v="N/A"/>
    <s v="N/A"/>
    <s v="N/A"/>
    <s v="N/A"/>
    <s v="F"/>
    <s v="F"/>
    <s v="F"/>
    <s v="T"/>
    <s v="T"/>
    <s v="T"/>
    <s v="F"/>
    <s v="N/A"/>
    <s v="N/A"/>
    <s v="N/A"/>
    <s v="N/A"/>
    <s v="N/A"/>
    <n v="0"/>
    <n v="0"/>
    <m/>
    <m/>
    <m/>
    <m/>
    <m/>
    <x v="1"/>
  </r>
  <r>
    <s v="Vereniging Overleg Studieverenigingen"/>
    <x v="3"/>
    <x v="0"/>
    <n v="20"/>
    <n v="0"/>
    <n v="20"/>
    <n v="0"/>
    <n v="1"/>
    <s v=" A. 1 - 50 "/>
    <n v="20"/>
    <n v="0"/>
    <s v="N/A"/>
    <n v="0"/>
    <n v="0"/>
    <s v="N/A"/>
    <s v="N/A"/>
    <s v="N/A"/>
    <s v="N/A"/>
    <s v="F"/>
    <s v="F"/>
    <s v="F"/>
    <s v="T"/>
    <s v="T"/>
    <s v="T"/>
    <s v="F"/>
    <n v="0"/>
    <n v="0"/>
    <n v="14"/>
    <n v="6"/>
    <n v="0"/>
    <n v="20"/>
    <n v="7"/>
    <m/>
    <m/>
    <m/>
    <m/>
    <m/>
    <x v="1"/>
  </r>
  <r>
    <s v="IrNUT"/>
    <x v="6"/>
    <x v="0"/>
    <s v="N/A"/>
    <s v="N/A"/>
    <s v="N/A"/>
    <s v="N/A"/>
    <s v="N/A"/>
    <s v="E. 1000 +"/>
    <s v="N/A"/>
    <s v="N/A"/>
    <s v="N/A"/>
    <n v="0"/>
    <n v="0"/>
    <s v="N/A"/>
    <s v="N/A"/>
    <s v="N/A"/>
    <s v="N/A"/>
    <s v="F"/>
    <s v="F"/>
    <s v="F"/>
    <s v="T"/>
    <s v="T"/>
    <s v="T"/>
    <s v="F"/>
    <s v="N/A"/>
    <s v="N/A"/>
    <s v="N/A"/>
    <s v="N/A"/>
    <s v="N/A"/>
    <n v="0"/>
    <n v="0"/>
    <m/>
    <m/>
    <m/>
    <m/>
    <m/>
    <x v="1"/>
  </r>
  <r>
    <s v="Stichting Societeit Antigoon"/>
    <x v="6"/>
    <x v="1"/>
    <n v="0"/>
    <n v="0"/>
    <n v="0"/>
    <s v="N/A"/>
    <s v="N/A"/>
    <s v="N/A"/>
    <n v="0"/>
    <n v="0"/>
    <s v="N/A"/>
    <n v="0"/>
    <n v="0"/>
    <s v="N/A"/>
    <s v="N/A"/>
    <s v="N/A"/>
    <s v="N/A"/>
    <s v="F"/>
    <s v="F"/>
    <s v="F"/>
    <s v="T"/>
    <s v="T"/>
    <s v="T"/>
    <s v="F"/>
    <s v="N/A"/>
    <s v="N/A"/>
    <s v="N/A"/>
    <s v="N/A"/>
    <s v="N/A"/>
    <n v="0"/>
    <n v="0"/>
    <m/>
    <m/>
    <m/>
    <m/>
    <m/>
    <x v="1"/>
  </r>
  <r>
    <s v="Stichting Societeit TRAM"/>
    <x v="5"/>
    <x v="1"/>
    <s v="N/A"/>
    <s v="N/A"/>
    <s v="N/A"/>
    <s v="N/A"/>
    <s v="N/A"/>
    <s v="E. 1000 +"/>
    <s v="N/A"/>
    <s v="N/A"/>
    <s v="N/A"/>
    <n v="0"/>
    <n v="0"/>
    <s v="N/A"/>
    <s v="N/A"/>
    <s v="N/A"/>
    <s v="N/A"/>
    <s v="F"/>
    <s v="F"/>
    <s v="F"/>
    <s v="T"/>
    <s v="T"/>
    <s v="T"/>
    <s v="F"/>
    <s v="N/A"/>
    <s v="N/A"/>
    <s v="N/A"/>
    <s v="N/A"/>
    <s v="N/A"/>
    <n v="0"/>
    <n v="0"/>
    <m/>
    <m/>
    <m/>
    <m/>
    <m/>
    <x v="1"/>
  </r>
  <r>
    <s v="Stichting Societeit Flux"/>
    <x v="4"/>
    <x v="1"/>
    <n v="0"/>
    <n v="0"/>
    <n v="0"/>
    <s v="N/A"/>
    <s v="N/A"/>
    <s v="N/A"/>
    <n v="0"/>
    <n v="0"/>
    <s v="N/A"/>
    <n v="0"/>
    <n v="0"/>
    <s v="N/A"/>
    <s v="N/A"/>
    <s v="N/A"/>
    <s v="N/A"/>
    <s v="F"/>
    <s v="F"/>
    <s v="F"/>
    <s v="T"/>
    <s v="T"/>
    <s v="T"/>
    <s v="F"/>
    <s v="N/A"/>
    <s v="N/A"/>
    <s v="N/A"/>
    <s v="N/A"/>
    <s v="N/A"/>
    <n v="0"/>
    <n v="3"/>
    <m/>
    <m/>
    <m/>
    <m/>
    <m/>
    <x v="1"/>
  </r>
  <r>
    <s v="Stichting Societeit Asterion"/>
    <x v="4"/>
    <x v="1"/>
    <n v="0"/>
    <n v="0"/>
    <n v="0"/>
    <s v="N/A"/>
    <s v="N/A"/>
    <s v="N/A"/>
    <n v="0"/>
    <n v="0"/>
    <s v="N/A"/>
    <n v="0"/>
    <n v="0"/>
    <s v="N/A"/>
    <s v="N/A"/>
    <s v="N/A"/>
    <s v="N/A"/>
    <s v="F"/>
    <s v="F"/>
    <s v="F"/>
    <s v="T"/>
    <s v="T"/>
    <s v="T"/>
    <s v="F"/>
    <s v="N/A"/>
    <s v="N/A"/>
    <s v="N/A"/>
    <s v="N/A"/>
    <s v="N/A"/>
    <n v="0"/>
    <n v="5"/>
    <m/>
    <m/>
    <m/>
    <m/>
    <m/>
    <x v="1"/>
  </r>
  <r>
    <s v="Stichting Kantine Sportcentrum"/>
    <x v="6"/>
    <x v="1"/>
    <s v="N/A"/>
    <s v="N/A"/>
    <s v="N/A"/>
    <s v="N/A"/>
    <s v="N/A"/>
    <s v="E. 1000 +"/>
    <s v="N/A"/>
    <s v="N/A"/>
    <s v="N/A"/>
    <n v="0"/>
    <n v="0"/>
    <s v="N/A"/>
    <s v="N/A"/>
    <s v="N/A"/>
    <s v="N/A"/>
    <s v="F"/>
    <s v="F"/>
    <s v="F"/>
    <s v="T"/>
    <s v="T"/>
    <s v="T"/>
    <s v="F"/>
    <s v="N/A"/>
    <s v="N/A"/>
    <s v="N/A"/>
    <s v="N/A"/>
    <s v="N/A"/>
    <n v="0"/>
    <n v="0"/>
    <m/>
    <m/>
    <m/>
    <m/>
    <m/>
    <x v="1"/>
  </r>
  <r>
    <s v="VGST"/>
    <x v="6"/>
    <x v="0"/>
    <n v="79"/>
    <n v="1"/>
    <n v="78"/>
    <n v="1.2658227848101266E-2"/>
    <n v="0.98734177215189878"/>
    <s v="B. 50 - 100"/>
    <n v="65"/>
    <n v="0"/>
    <n v="14"/>
    <n v="0"/>
    <n v="0"/>
    <n v="1"/>
    <n v="0"/>
    <s v="N/A"/>
    <n v="7.1428571428571425E-2"/>
    <s v="T"/>
    <s v="T"/>
    <s v="T"/>
    <s v="T"/>
    <s v="T"/>
    <s v="T"/>
    <s v="T"/>
    <s v="N/A"/>
    <s v="N/A"/>
    <s v="N/A"/>
    <s v="N/A"/>
    <s v="N/A"/>
    <n v="0"/>
    <n v="0"/>
    <m/>
    <m/>
    <m/>
    <m/>
    <m/>
    <x v="1"/>
  </r>
  <r>
    <s v="Stichting t Fluitje"/>
    <x v="6"/>
    <x v="1"/>
    <n v="4"/>
    <n v="0"/>
    <n v="4"/>
    <n v="0"/>
    <n v="1"/>
    <s v=" A. 1 - 50 "/>
    <n v="0"/>
    <n v="0"/>
    <n v="4"/>
    <n v="0"/>
    <n v="0"/>
    <s v="N/A"/>
    <s v="N/A"/>
    <s v="N/A"/>
    <s v="N/A"/>
    <s v="T"/>
    <s v="F"/>
    <s v="F"/>
    <s v="T"/>
    <s v="F"/>
    <s v="T"/>
    <s v="F"/>
    <n v="0"/>
    <n v="0"/>
    <n v="1"/>
    <n v="3"/>
    <n v="2"/>
    <n v="6"/>
    <n v="3"/>
    <m/>
    <m/>
    <m/>
    <m/>
    <m/>
    <x v="1"/>
  </r>
  <r>
    <s v="Enactus Twente"/>
    <x v="4"/>
    <x v="1"/>
    <s v="N/A"/>
    <s v="N/A"/>
    <s v="N/A"/>
    <s v="N/A"/>
    <s v="N/A"/>
    <s v="E. 1000 +"/>
    <s v="N/A"/>
    <s v="N/A"/>
    <s v="N/A"/>
    <n v="0"/>
    <n v="0"/>
    <s v="N/A"/>
    <s v="N/A"/>
    <s v="N/A"/>
    <s v="N/A"/>
    <s v="F"/>
    <s v="F"/>
    <s v="F"/>
    <s v="T"/>
    <s v="T"/>
    <s v="T"/>
    <s v="F"/>
    <s v="N/A"/>
    <s v="N/A"/>
    <s v="N/A"/>
    <s v="N/A"/>
    <s v="N/A"/>
    <n v="0"/>
    <n v="0"/>
    <m/>
    <m/>
    <m/>
    <m/>
    <m/>
    <x v="1"/>
  </r>
  <r>
    <s v="Eurasian Student Organisation"/>
    <x v="5"/>
    <x v="0"/>
    <n v="200"/>
    <n v="15"/>
    <n v="185"/>
    <n v="7.4999999999999997E-2"/>
    <n v="0.92500000000000004"/>
    <s v="C. 100 - 400"/>
    <n v="20"/>
    <n v="200"/>
    <s v="N/A"/>
    <n v="20"/>
    <n v="5"/>
    <s v="N/A"/>
    <n v="1.3333333333333333"/>
    <n v="2.5000000000000001E-2"/>
    <s v="N/A"/>
    <s v="F"/>
    <s v="F"/>
    <s v="F"/>
    <s v="T"/>
    <s v="T"/>
    <s v="T"/>
    <s v="F"/>
    <n v="5"/>
    <n v="1"/>
    <n v="2"/>
    <n v="0"/>
    <n v="0"/>
    <n v="8"/>
    <n v="3"/>
    <m/>
    <m/>
    <m/>
    <m/>
    <m/>
    <x v="1"/>
  </r>
  <r>
    <s v="Ultimate Frisbee Twente"/>
    <x v="6"/>
    <x v="0"/>
    <s v="N/A"/>
    <s v="N/A"/>
    <s v="N/A"/>
    <s v="N/A"/>
    <s v="N/A"/>
    <s v="E. 1000 +"/>
    <s v="N/A"/>
    <s v="N/A"/>
    <s v="N/A"/>
    <n v="0"/>
    <n v="0"/>
    <s v="N/A"/>
    <s v="N/A"/>
    <s v="N/A"/>
    <s v="N/A"/>
    <s v="F"/>
    <s v="F"/>
    <s v="F"/>
    <s v="T"/>
    <s v="T"/>
    <s v="T"/>
    <s v="F"/>
    <s v="N/A"/>
    <s v="N/A"/>
    <s v="N/A"/>
    <s v="N/A"/>
    <s v="N/A"/>
    <n v="0"/>
    <n v="0"/>
    <m/>
    <m/>
    <m/>
    <m/>
    <m/>
    <x v="1"/>
  </r>
  <r>
    <s v="Ambitious Women UT"/>
    <x v="6"/>
    <x v="0"/>
    <n v="28"/>
    <n v="7"/>
    <n v="21"/>
    <n v="0.25"/>
    <n v="0.75"/>
    <s v=" A. 1 - 50 "/>
    <n v="4"/>
    <n v="17"/>
    <n v="7"/>
    <n v="9"/>
    <n v="7"/>
    <s v="N/A"/>
    <n v="1.2857142857142858"/>
    <n v="0.41176470588235292"/>
    <s v="N/A"/>
    <s v="T"/>
    <s v="F"/>
    <s v="F"/>
    <s v="T"/>
    <s v="F"/>
    <s v="F"/>
    <m/>
    <s v="N/A"/>
    <s v="N/A"/>
    <s v="N/A"/>
    <s v="N/A"/>
    <s v="N/A"/>
    <n v="0"/>
    <n v="5"/>
    <m/>
    <m/>
    <m/>
    <m/>
    <m/>
    <x v="1"/>
  </r>
  <r>
    <s v="IAESTE Twente"/>
    <x v="1"/>
    <x v="1"/>
    <s v="N/A"/>
    <s v="N/A"/>
    <s v="N/A"/>
    <s v="N/A"/>
    <s v="N/A"/>
    <s v="E. 1000 +"/>
    <s v="N/A"/>
    <s v="N/A"/>
    <s v="N/A"/>
    <n v="0"/>
    <n v="0"/>
    <s v="N/A"/>
    <s v="N/A"/>
    <s v="N/A"/>
    <s v="N/A"/>
    <s v="F"/>
    <s v="F"/>
    <s v="F"/>
    <s v="T"/>
    <s v="T"/>
    <s v="T"/>
    <m/>
    <s v="N/A"/>
    <s v="N/A"/>
    <s v="N/A"/>
    <s v="N/A"/>
    <s v="N/A"/>
    <n v="0"/>
    <n v="0"/>
    <m/>
    <m/>
    <m/>
    <m/>
    <m/>
    <x v="1"/>
  </r>
  <r>
    <s v="Break-even"/>
    <x v="0"/>
    <x v="0"/>
    <n v="85"/>
    <n v="10"/>
    <n v="75"/>
    <n v="0.11764705882352941"/>
    <n v="0.88235294117647056"/>
    <s v="B. 50 - 100"/>
    <n v="20"/>
    <n v="10"/>
    <n v="55"/>
    <n v="8"/>
    <n v="12"/>
    <s v="N/A"/>
    <n v="0.8"/>
    <n v="1.2"/>
    <s v="N/A"/>
    <s v="T"/>
    <s v="F"/>
    <s v="F"/>
    <s v="F"/>
    <s v="F"/>
    <s v="T"/>
    <s v="F"/>
    <n v="0"/>
    <n v="0"/>
    <n v="0"/>
    <n v="0"/>
    <n v="0"/>
    <n v="0"/>
    <n v="7"/>
    <m/>
    <m/>
    <m/>
    <m/>
    <m/>
    <x v="1"/>
  </r>
  <r>
    <s v="DAV Kronos"/>
    <x v="1"/>
    <x v="0"/>
    <n v="99"/>
    <n v="10"/>
    <n v="89"/>
    <n v="0.10101010101010101"/>
    <n v="0.89898989898989901"/>
    <s v="B. 50 - 100"/>
    <n v="40"/>
    <n v="1"/>
    <n v="58"/>
    <n v="1"/>
    <n v="0"/>
    <n v="9"/>
    <n v="0.1"/>
    <n v="0"/>
    <n v="0.15517241379310345"/>
    <s v="T"/>
    <s v="T"/>
    <s v="T"/>
    <s v="T"/>
    <s v="T"/>
    <s v="T"/>
    <s v="T"/>
    <n v="14"/>
    <n v="16"/>
    <n v="18"/>
    <n v="7"/>
    <n v="13"/>
    <n v="68"/>
    <n v="0"/>
    <m/>
    <m/>
    <m/>
    <m/>
    <m/>
    <x v="1"/>
  </r>
  <r>
    <s v="DBV Arriba"/>
    <x v="1"/>
    <x v="0"/>
    <n v="5"/>
    <n v="5"/>
    <n v="0"/>
    <n v="1"/>
    <n v="0"/>
    <s v=" A. 1 - 50 "/>
    <n v="5"/>
    <n v="5"/>
    <s v="N/A"/>
    <n v="5"/>
    <n v="5"/>
    <s v="N/A"/>
    <n v="1"/>
    <n v="1"/>
    <s v="N/A"/>
    <s v="F"/>
    <s v="F"/>
    <s v="F"/>
    <s v="T"/>
    <s v="T"/>
    <s v="T"/>
    <s v="F"/>
    <s v="N/A"/>
    <s v="N/A"/>
    <s v="N/A"/>
    <s v="N/A"/>
    <s v="N/A"/>
    <n v="0"/>
    <n v="0"/>
    <m/>
    <m/>
    <m/>
    <m/>
    <m/>
    <x v="1"/>
  </r>
  <r>
    <s v="DSTV Aloha"/>
    <x v="1"/>
    <x v="0"/>
    <n v="72"/>
    <n v="10"/>
    <n v="62"/>
    <n v="0.1388888888888889"/>
    <n v="0.86111111111111116"/>
    <s v="B. 50 - 100"/>
    <n v="29"/>
    <n v="2"/>
    <n v="41"/>
    <n v="0"/>
    <n v="2"/>
    <n v="8"/>
    <n v="0"/>
    <n v="1"/>
    <n v="0.1951219512195122"/>
    <s v="T"/>
    <s v="T"/>
    <s v="T"/>
    <s v="T"/>
    <s v="T"/>
    <s v="T"/>
    <s v="T"/>
    <n v="1"/>
    <n v="1"/>
    <n v="0"/>
    <n v="9"/>
    <n v="24"/>
    <n v="35"/>
    <n v="14"/>
    <m/>
    <m/>
    <m/>
    <m/>
    <m/>
    <x v="1"/>
  </r>
  <r>
    <s v="DSV de Skeuvel"/>
    <x v="1"/>
    <x v="0"/>
    <n v="240"/>
    <n v="75"/>
    <n v="165"/>
    <n v="0.3125"/>
    <n v="0.6875"/>
    <s v="C. 100 - 400"/>
    <n v="75"/>
    <n v="5"/>
    <n v="160"/>
    <n v="0"/>
    <n v="1"/>
    <n v="74"/>
    <n v="0"/>
    <n v="0.2"/>
    <n v="0.46250000000000002"/>
    <s v="T"/>
    <s v="T"/>
    <s v="T"/>
    <s v="T"/>
    <s v="T"/>
    <s v="T"/>
    <s v="T"/>
    <n v="0"/>
    <n v="0"/>
    <n v="0"/>
    <n v="0"/>
    <n v="0"/>
    <n v="0"/>
    <n v="28"/>
    <m/>
    <m/>
    <m/>
    <m/>
    <m/>
    <x v="1"/>
  </r>
  <r>
    <s v="DTTV Thibats"/>
    <x v="1"/>
    <x v="0"/>
    <n v="29"/>
    <n v="5"/>
    <n v="24"/>
    <n v="0.17241379310344829"/>
    <n v="0.82758620689655171"/>
    <s v=" A. 1 - 50 "/>
    <n v="10"/>
    <n v="6"/>
    <n v="13"/>
    <n v="0"/>
    <n v="12"/>
    <s v="N/A"/>
    <n v="0"/>
    <n v="2"/>
    <s v="N/A"/>
    <s v="T"/>
    <s v="F"/>
    <s v="F"/>
    <s v="F"/>
    <s v="F"/>
    <s v="T"/>
    <s v="F"/>
    <n v="1"/>
    <n v="0"/>
    <n v="1"/>
    <n v="3"/>
    <n v="15"/>
    <n v="20"/>
    <n v="6"/>
    <m/>
    <m/>
    <m/>
    <m/>
    <m/>
    <x v="1"/>
  </r>
  <r>
    <s v="DWV Hardboard"/>
    <x v="1"/>
    <x v="0"/>
    <n v="170"/>
    <n v="50"/>
    <n v="120"/>
    <n v="0.29411764705882354"/>
    <n v="0.70588235294117641"/>
    <s v="C. 100 - 400"/>
    <n v="35"/>
    <n v="4"/>
    <n v="131"/>
    <n v="3"/>
    <n v="7"/>
    <n v="40"/>
    <n v="0.06"/>
    <n v="1.75"/>
    <n v="0.30534351145038169"/>
    <s v="T"/>
    <s v="T"/>
    <s v="T"/>
    <s v="F"/>
    <s v="T"/>
    <s v="T"/>
    <s v="F"/>
    <n v="0"/>
    <n v="0"/>
    <n v="0"/>
    <n v="0"/>
    <n v="0"/>
    <n v="0"/>
    <n v="18"/>
    <m/>
    <m/>
    <m/>
    <m/>
    <m/>
    <x v="1"/>
  </r>
  <r>
    <s v="DWV Klein Verzet"/>
    <x v="1"/>
    <x v="0"/>
    <n v="85"/>
    <n v="10"/>
    <n v="75"/>
    <n v="0.11764705882352941"/>
    <n v="0.88235294117647056"/>
    <s v="B. 50 - 100"/>
    <n v="32"/>
    <n v="0"/>
    <n v="53"/>
    <n v="0"/>
    <n v="1"/>
    <n v="9"/>
    <n v="0"/>
    <s v="N/A"/>
    <n v="0.16981132075471697"/>
    <s v="T"/>
    <s v="T"/>
    <s v="T"/>
    <s v="F"/>
    <s v="T"/>
    <s v="T"/>
    <s v="F"/>
    <s v="N/A"/>
    <s v="N/A"/>
    <s v="N/A"/>
    <s v="N/A"/>
    <s v="N/A"/>
    <n v="0"/>
    <n v="14"/>
    <m/>
    <m/>
    <m/>
    <m/>
    <m/>
    <x v="1"/>
  </r>
  <r>
    <s v="DBV DIOK"/>
    <x v="1"/>
    <x v="0"/>
    <s v="N/A"/>
    <s v="N/A"/>
    <s v="N/A"/>
    <s v="N/A"/>
    <s v="N/A"/>
    <s v="E. 1000 +"/>
    <s v="N/A"/>
    <s v="N/A"/>
    <s v="N/A"/>
    <n v="0"/>
    <n v="0"/>
    <s v="N/A"/>
    <s v="N/A"/>
    <s v="N/A"/>
    <s v="N/A"/>
    <s v="F"/>
    <s v="F"/>
    <s v="F"/>
    <s v="T"/>
    <s v="T"/>
    <s v="T"/>
    <s v="F"/>
    <s v="N/A"/>
    <s v="N/A"/>
    <s v="N/A"/>
    <s v="N/A"/>
    <s v="N/A"/>
    <n v="0"/>
    <n v="0"/>
    <m/>
    <m/>
    <m/>
    <m/>
    <m/>
    <x v="1"/>
  </r>
  <r>
    <s v="DBV de Stretchers"/>
    <x v="1"/>
    <x v="0"/>
    <n v="42"/>
    <n v="8"/>
    <n v="34"/>
    <n v="0.19047619047619047"/>
    <n v="0.80952380952380953"/>
    <s v=" A. 1 - 50 "/>
    <n v="14"/>
    <n v="0"/>
    <n v="28"/>
    <n v="0"/>
    <n v="1"/>
    <n v="7"/>
    <n v="0"/>
    <s v="N/A"/>
    <n v="0.25"/>
    <s v="T"/>
    <s v="T"/>
    <s v="T"/>
    <s v="F"/>
    <s v="T"/>
    <s v="T"/>
    <s v="F"/>
    <n v="2"/>
    <n v="2"/>
    <n v="2"/>
    <n v="3"/>
    <n v="16"/>
    <n v="25"/>
    <n v="6"/>
    <m/>
    <m/>
    <m/>
    <m/>
    <m/>
    <x v="1"/>
  </r>
  <r>
    <s v="DHC Drienerlo"/>
    <x v="1"/>
    <x v="0"/>
    <n v="290"/>
    <n v="175"/>
    <n v="115"/>
    <n v="0.60344827586206895"/>
    <n v="0.39655172413793105"/>
    <s v="C. 100 - 400"/>
    <n v="0"/>
    <n v="1"/>
    <n v="289"/>
    <n v="0"/>
    <n v="0"/>
    <n v="175"/>
    <n v="0"/>
    <n v="0"/>
    <n v="0.60553633217993075"/>
    <s v="T"/>
    <s v="T"/>
    <s v="T"/>
    <s v="T"/>
    <s v="T"/>
    <s v="T"/>
    <s v="T"/>
    <n v="22"/>
    <n v="25"/>
    <n v="38"/>
    <n v="19"/>
    <n v="42"/>
    <n v="146"/>
    <n v="18"/>
    <m/>
    <m/>
    <m/>
    <m/>
    <m/>
    <x v="1"/>
  </r>
  <r>
    <s v="DKV Euros"/>
    <x v="1"/>
    <x v="0"/>
    <s v="N/A"/>
    <s v="N/A"/>
    <s v="N/A"/>
    <s v="N/A"/>
    <s v="N/A"/>
    <s v="E. 1000 +"/>
    <s v="N/A"/>
    <s v="N/A"/>
    <s v="N/A"/>
    <n v="0"/>
    <n v="0"/>
    <s v="N/A"/>
    <s v="N/A"/>
    <s v="N/A"/>
    <s v="N/A"/>
    <s v="F"/>
    <s v="F"/>
    <s v="F"/>
    <s v="T"/>
    <s v="T"/>
    <s v="T"/>
    <s v="F"/>
    <s v="N/A"/>
    <s v="N/A"/>
    <s v="N/A"/>
    <s v="N/A"/>
    <s v="N/A"/>
    <n v="0"/>
    <n v="0"/>
    <m/>
    <m/>
    <m/>
    <m/>
    <m/>
    <x v="1"/>
  </r>
  <r>
    <s v="DRV Euros"/>
    <x v="1"/>
    <x v="0"/>
    <n v="390"/>
    <n v="10"/>
    <n v="380"/>
    <n v="2.564102564102564E-2"/>
    <n v="0.97435897435897434"/>
    <s v="C. 100 - 400"/>
    <n v="170"/>
    <n v="0"/>
    <n v="220"/>
    <n v="0"/>
    <n v="3"/>
    <n v="7"/>
    <n v="0"/>
    <s v="N/A"/>
    <n v="3.1818181818181815E-2"/>
    <s v="T"/>
    <s v="T"/>
    <s v="T"/>
    <s v="F"/>
    <s v="T"/>
    <s v="T"/>
    <s v="F"/>
    <n v="0"/>
    <n v="0"/>
    <n v="0"/>
    <n v="0"/>
    <n v="0"/>
    <n v="0"/>
    <n v="39"/>
    <m/>
    <m/>
    <m/>
    <m/>
    <m/>
    <x v="1"/>
  </r>
  <r>
    <s v="DRV Hippocampus"/>
    <x v="1"/>
    <x v="0"/>
    <n v="65"/>
    <n v="13"/>
    <n v="52"/>
    <n v="0.2"/>
    <n v="0.8"/>
    <s v="B. 50 - 100"/>
    <n v="25"/>
    <n v="7"/>
    <n v="33"/>
    <n v="5"/>
    <n v="20"/>
    <s v="N/A"/>
    <n v="0.38461538461538464"/>
    <n v="2.8571428571428572"/>
    <s v="N/A"/>
    <s v="T"/>
    <s v="F"/>
    <s v="F"/>
    <s v="F"/>
    <s v="F"/>
    <s v="T"/>
    <s v="F"/>
    <s v="N/A"/>
    <s v="N/A"/>
    <s v="N/A"/>
    <s v="N/A"/>
    <s v="N/A"/>
    <n v="0"/>
    <n v="8"/>
    <m/>
    <m/>
    <m/>
    <m/>
    <m/>
    <x v="1"/>
  </r>
  <r>
    <s v="DSSV Tartaros"/>
    <x v="1"/>
    <x v="0"/>
    <n v="77"/>
    <n v="20"/>
    <n v="57"/>
    <n v="0.25974025974025972"/>
    <n v="0.74025974025974028"/>
    <s v="B. 50 - 100"/>
    <n v="40"/>
    <n v="0"/>
    <n v="37"/>
    <n v="0"/>
    <n v="0"/>
    <n v="20"/>
    <n v="0"/>
    <s v="N/A"/>
    <n v="0.54054054054054057"/>
    <s v="T"/>
    <s v="T"/>
    <s v="T"/>
    <s v="T"/>
    <s v="T"/>
    <s v="T"/>
    <s v="T"/>
    <s v="N/A"/>
    <s v="N/A"/>
    <s v="N/A"/>
    <s v="N/A"/>
    <s v="N/A"/>
    <n v="0"/>
    <n v="16"/>
    <m/>
    <m/>
    <m/>
    <m/>
    <m/>
    <x v="1"/>
  </r>
  <r>
    <s v="DZV Euros"/>
    <x v="1"/>
    <x v="0"/>
    <n v="70"/>
    <n v="0"/>
    <n v="70"/>
    <n v="0"/>
    <n v="1"/>
    <s v="B. 50 - 100"/>
    <n v="25"/>
    <n v="3"/>
    <n v="42"/>
    <n v="0"/>
    <n v="4"/>
    <s v="N/A"/>
    <s v="N/A"/>
    <n v="1.3333333333333333"/>
    <s v="N/A"/>
    <s v="T"/>
    <s v="F"/>
    <s v="F"/>
    <s v="F"/>
    <s v="F"/>
    <s v="T"/>
    <s v="F"/>
    <n v="7"/>
    <n v="11"/>
    <n v="22"/>
    <n v="9"/>
    <n v="0"/>
    <n v="49"/>
    <n v="15"/>
    <m/>
    <m/>
    <m/>
    <m/>
    <m/>
    <x v="1"/>
  </r>
  <r>
    <s v="EEEHV Cabezota"/>
    <x v="1"/>
    <x v="0"/>
    <n v="50"/>
    <n v="10"/>
    <n v="40"/>
    <n v="0.2"/>
    <n v="0.8"/>
    <s v="B. 50 - 100"/>
    <n v="25"/>
    <n v="0"/>
    <n v="25"/>
    <n v="0"/>
    <n v="4"/>
    <n v="6"/>
    <n v="0"/>
    <s v="N/A"/>
    <n v="0.24"/>
    <s v="T"/>
    <s v="T"/>
    <s v="T"/>
    <s v="F"/>
    <s v="T"/>
    <s v="T"/>
    <s v="F"/>
    <n v="3"/>
    <n v="7"/>
    <n v="7"/>
    <n v="6"/>
    <n v="5"/>
    <n v="28"/>
    <n v="13"/>
    <m/>
    <m/>
    <m/>
    <m/>
    <m/>
    <x v="1"/>
  </r>
  <r>
    <s v="ESBV Buitenwesten"/>
    <x v="1"/>
    <x v="0"/>
    <n v="100"/>
    <n v="30"/>
    <n v="70"/>
    <n v="0.3"/>
    <n v="0.7"/>
    <s v="C. 100 - 400"/>
    <n v="15"/>
    <n v="10"/>
    <n v="75"/>
    <n v="2"/>
    <n v="8"/>
    <n v="20"/>
    <n v="6.6666666666666666E-2"/>
    <n v="0.8"/>
    <n v="0.26666666666666666"/>
    <s v="T"/>
    <s v="T"/>
    <s v="T"/>
    <s v="T"/>
    <s v="T"/>
    <s v="T"/>
    <s v="T"/>
    <n v="2"/>
    <n v="2"/>
    <n v="4"/>
    <n v="2"/>
    <n v="5"/>
    <n v="15"/>
    <n v="8"/>
    <m/>
    <m/>
    <m/>
    <m/>
    <m/>
    <x v="1"/>
  </r>
  <r>
    <s v="HSV High-Tech-Hitters"/>
    <x v="1"/>
    <x v="0"/>
    <n v="43"/>
    <n v="3"/>
    <n v="40"/>
    <n v="6.9767441860465115E-2"/>
    <n v="0.93023255813953487"/>
    <s v=" A. 1 - 50 "/>
    <n v="10"/>
    <n v="2"/>
    <n v="31"/>
    <n v="0"/>
    <n v="1"/>
    <n v="2"/>
    <n v="0"/>
    <n v="0.5"/>
    <n v="6.4516129032258063E-2"/>
    <s v="T"/>
    <s v="T"/>
    <s v="T"/>
    <s v="T"/>
    <s v="T"/>
    <s v="T"/>
    <s v="T"/>
    <n v="0"/>
    <n v="0"/>
    <n v="8"/>
    <n v="1"/>
    <n v="2"/>
    <n v="11"/>
    <n v="12"/>
    <m/>
    <m/>
    <m/>
    <m/>
    <m/>
    <x v="1"/>
  </r>
  <r>
    <s v="Linea Recta"/>
    <x v="1"/>
    <x v="0"/>
    <n v="68"/>
    <n v="5"/>
    <n v="63"/>
    <n v="7.3529411764705885E-2"/>
    <n v="0.92647058823529416"/>
    <s v="B. 50 - 100"/>
    <n v="40"/>
    <n v="1"/>
    <n v="27"/>
    <n v="1"/>
    <n v="7"/>
    <s v="N/A"/>
    <n v="0.2"/>
    <n v="7"/>
    <s v="N/A"/>
    <s v="T"/>
    <s v="F"/>
    <s v="F"/>
    <s v="F"/>
    <s v="F"/>
    <s v="T"/>
    <s v="F"/>
    <n v="0"/>
    <n v="6"/>
    <n v="12"/>
    <n v="4"/>
    <n v="9"/>
    <n v="31"/>
    <n v="15"/>
    <m/>
    <m/>
    <m/>
    <m/>
    <m/>
    <x v="1"/>
  </r>
  <r>
    <s v="Messed Up"/>
    <x v="1"/>
    <x v="0"/>
    <n v="35"/>
    <n v="5"/>
    <n v="30"/>
    <n v="0.14285714285714285"/>
    <n v="0.85714285714285721"/>
    <s v=" A. 1 - 50 "/>
    <n v="17"/>
    <n v="3"/>
    <n v="15"/>
    <n v="1"/>
    <n v="4"/>
    <s v="N/A"/>
    <n v="0.2"/>
    <n v="1.3333333333333333"/>
    <s v="N/A"/>
    <s v="T"/>
    <s v="F"/>
    <s v="F"/>
    <s v="F"/>
    <s v="F"/>
    <s v="T"/>
    <s v="F"/>
    <s v="N/A"/>
    <s v="N/A"/>
    <s v="N/A"/>
    <s v="N/A"/>
    <s v="N/A"/>
    <n v="0"/>
    <n v="6"/>
    <m/>
    <m/>
    <m/>
    <m/>
    <m/>
    <x v="1"/>
  </r>
  <r>
    <s v="Motor Sport Groep"/>
    <x v="1"/>
    <x v="0"/>
    <n v="74"/>
    <n v="20"/>
    <n v="54"/>
    <n v="0.27027027027027029"/>
    <n v="0.72972972972972971"/>
    <s v="B. 50 - 100"/>
    <n v="15"/>
    <n v="1"/>
    <n v="58"/>
    <n v="0"/>
    <n v="2"/>
    <n v="18"/>
    <n v="0"/>
    <n v="2"/>
    <n v="0.31034482758620691"/>
    <s v="T"/>
    <s v="T"/>
    <s v="T"/>
    <s v="F"/>
    <s v="T"/>
    <s v="T"/>
    <s v="F"/>
    <s v="N/A"/>
    <s v="N/A"/>
    <s v="N/A"/>
    <s v="N/A"/>
    <s v="N/A"/>
    <n v="0"/>
    <n v="6"/>
    <m/>
    <m/>
    <m/>
    <m/>
    <m/>
    <x v="1"/>
  </r>
  <r>
    <s v="SKV Vakgericht"/>
    <x v="1"/>
    <x v="0"/>
    <n v="57"/>
    <n v="5"/>
    <n v="52"/>
    <n v="8.771929824561403E-2"/>
    <n v="0.91228070175438591"/>
    <s v="B. 50 - 100"/>
    <n v="40"/>
    <n v="0"/>
    <n v="17"/>
    <n v="0"/>
    <n v="0"/>
    <n v="5"/>
    <n v="0"/>
    <s v="N/A"/>
    <n v="0.29411764705882354"/>
    <s v="T"/>
    <s v="T"/>
    <s v="T"/>
    <s v="T"/>
    <s v="T"/>
    <s v="T"/>
    <s v="T"/>
    <n v="4"/>
    <n v="4"/>
    <n v="6"/>
    <n v="5"/>
    <n v="12"/>
    <n v="31"/>
    <n v="16"/>
    <m/>
    <m/>
    <m/>
    <m/>
    <m/>
    <x v="1"/>
  </r>
  <r>
    <s v="SHBV Sagittarius"/>
    <x v="1"/>
    <x v="0"/>
    <n v="51"/>
    <n v="25"/>
    <n v="26"/>
    <n v="0.49019607843137253"/>
    <n v="0.50980392156862742"/>
    <s v="B. 50 - 100"/>
    <n v="16"/>
    <n v="16"/>
    <n v="19"/>
    <n v="1"/>
    <n v="0"/>
    <n v="24"/>
    <n v="0.04"/>
    <n v="0"/>
    <n v="1.263157894736842"/>
    <s v="T"/>
    <s v="T"/>
    <s v="T"/>
    <s v="T"/>
    <s v="F"/>
    <s v="T"/>
    <s v="F"/>
    <n v="0"/>
    <n v="0"/>
    <n v="0"/>
    <n v="0"/>
    <n v="0"/>
    <n v="0"/>
    <n v="8"/>
    <m/>
    <m/>
    <m/>
    <m/>
    <m/>
    <x v="1"/>
  </r>
  <r>
    <s v="ADSKV Slagvaardig"/>
    <x v="1"/>
    <x v="0"/>
    <s v="N/A"/>
    <s v="N/A"/>
    <s v="N/A"/>
    <s v="N/A"/>
    <s v="N/A"/>
    <s v="E. 1000 +"/>
    <s v="N/A"/>
    <s v="N/A"/>
    <s v="N/A"/>
    <n v="0"/>
    <n v="0"/>
    <s v="N/A"/>
    <s v="N/A"/>
    <s v="N/A"/>
    <s v="N/A"/>
    <s v="F"/>
    <s v="F"/>
    <s v="F"/>
    <s v="T"/>
    <s v="T"/>
    <s v="T"/>
    <s v="F"/>
    <s v="N/A"/>
    <s v="N/A"/>
    <s v="N/A"/>
    <s v="N/A"/>
    <s v="N/A"/>
    <n v="0"/>
    <n v="0"/>
    <m/>
    <m/>
    <m/>
    <m/>
    <m/>
    <x v="1"/>
  </r>
  <r>
    <s v="SYHV The Slapping Studs"/>
    <x v="1"/>
    <x v="0"/>
    <n v="55"/>
    <n v="5"/>
    <n v="50"/>
    <n v="9.0909090909090912E-2"/>
    <n v="0.90909090909090906"/>
    <s v="B. 50 - 100"/>
    <n v="10"/>
    <n v="5"/>
    <n v="40"/>
    <n v="2"/>
    <n v="2"/>
    <n v="1"/>
    <n v="0.4"/>
    <n v="0.4"/>
    <n v="2.5000000000000001E-2"/>
    <s v="T"/>
    <s v="T"/>
    <s v="T"/>
    <s v="T"/>
    <s v="T"/>
    <s v="T"/>
    <s v="T"/>
    <s v="N/A"/>
    <s v="N/A"/>
    <s v="N/A"/>
    <s v="N/A"/>
    <s v="N/A"/>
    <n v="0"/>
    <n v="6"/>
    <m/>
    <m/>
    <m/>
    <m/>
    <m/>
    <x v="1"/>
  </r>
  <r>
    <s v="TC Ludica"/>
    <x v="1"/>
    <x v="0"/>
    <n v="610"/>
    <n v="250"/>
    <n v="360"/>
    <n v="0.4098360655737705"/>
    <n v="0.5901639344262295"/>
    <s v="D. 400 - 1000"/>
    <n v="120"/>
    <n v="30"/>
    <n v="460"/>
    <n v="3"/>
    <n v="10"/>
    <n v="237"/>
    <n v="1.2E-2"/>
    <n v="0.33333333333333331"/>
    <n v="0.51521739130434785"/>
    <s v="T"/>
    <s v="T"/>
    <s v="T"/>
    <s v="T"/>
    <s v="T"/>
    <s v="T"/>
    <s v="T"/>
    <s v="N/A"/>
    <s v="N/A"/>
    <s v="N/A"/>
    <s v="N/A"/>
    <s v="N/A"/>
    <n v="0"/>
    <n v="22"/>
    <m/>
    <m/>
    <m/>
    <m/>
    <m/>
    <x v="1"/>
  </r>
  <r>
    <s v="TSAC"/>
    <x v="1"/>
    <x v="0"/>
    <n v="175"/>
    <n v="11"/>
    <n v="164"/>
    <n v="6.2857142857142861E-2"/>
    <n v="0.93714285714285717"/>
    <s v="C. 100 - 400"/>
    <n v="40"/>
    <n v="0"/>
    <n v="135"/>
    <n v="0"/>
    <n v="0"/>
    <n v="11"/>
    <n v="0"/>
    <s v="N/A"/>
    <n v="8.1481481481481488E-2"/>
    <s v="T"/>
    <s v="T"/>
    <s v="T"/>
    <s v="T"/>
    <s v="T"/>
    <s v="T"/>
    <s v="T"/>
    <n v="7"/>
    <n v="7"/>
    <n v="19"/>
    <n v="7"/>
    <n v="24"/>
    <n v="64"/>
    <n v="11"/>
    <m/>
    <m/>
    <m/>
    <m/>
    <m/>
    <x v="1"/>
  </r>
  <r>
    <s v="VAS Arashi"/>
    <x v="1"/>
    <x v="0"/>
    <n v="122"/>
    <n v="20"/>
    <n v="102"/>
    <n v="0.16393442622950818"/>
    <n v="0.83606557377049184"/>
    <s v="C. 100 - 400"/>
    <n v="30"/>
    <n v="2"/>
    <n v="90"/>
    <n v="0"/>
    <n v="10"/>
    <n v="10"/>
    <n v="0"/>
    <n v="5"/>
    <n v="0.1111111111111111"/>
    <s v="T"/>
    <s v="T"/>
    <s v="T"/>
    <s v="F"/>
    <s v="T"/>
    <s v="T"/>
    <s v="F"/>
    <n v="3"/>
    <n v="2"/>
    <n v="1"/>
    <n v="3"/>
    <n v="10"/>
    <n v="19"/>
    <n v="10"/>
    <m/>
    <m/>
    <m/>
    <m/>
    <m/>
    <x v="1"/>
  </r>
  <r>
    <s v="VV Drienerlo"/>
    <x v="1"/>
    <x v="0"/>
    <n v="380"/>
    <n v="100"/>
    <n v="280"/>
    <n v="0.26315789473684209"/>
    <n v="0.73684210526315796"/>
    <s v="C. 100 - 400"/>
    <n v="50"/>
    <n v="30"/>
    <n v="300"/>
    <n v="0"/>
    <n v="10"/>
    <n v="90"/>
    <n v="0"/>
    <n v="0.33333333333333331"/>
    <n v="0.3"/>
    <s v="T"/>
    <s v="T"/>
    <s v="T"/>
    <s v="T"/>
    <s v="T"/>
    <s v="T"/>
    <s v="T"/>
    <n v="4"/>
    <n v="6"/>
    <n v="12"/>
    <n v="6"/>
    <n v="1"/>
    <n v="29"/>
    <n v="14"/>
    <m/>
    <m/>
    <m/>
    <m/>
    <m/>
    <x v="1"/>
  </r>
  <r>
    <s v="VV Harambee"/>
    <x v="1"/>
    <x v="0"/>
    <n v="420"/>
    <n v="100"/>
    <n v="320"/>
    <n v="0.23809523809523808"/>
    <n v="0.76190476190476186"/>
    <s v="D. 400 - 1000"/>
    <n v="100"/>
    <s v="N/A"/>
    <s v="N/A"/>
    <n v="0"/>
    <n v="0"/>
    <n v="100"/>
    <n v="0"/>
    <s v="N/A"/>
    <s v="N/A"/>
    <s v="F"/>
    <s v="T"/>
    <s v="T"/>
    <s v="T"/>
    <s v="T"/>
    <s v="T"/>
    <s v="F"/>
    <n v="12"/>
    <n v="11"/>
    <n v="12"/>
    <n v="13"/>
    <n v="8"/>
    <n v="56"/>
    <n v="0"/>
    <m/>
    <m/>
    <m/>
    <m/>
    <m/>
    <x v="1"/>
  </r>
  <r>
    <s v="ZPV Piranha"/>
    <x v="1"/>
    <x v="0"/>
    <n v="250"/>
    <n v="40"/>
    <n v="210"/>
    <n v="0.16"/>
    <n v="0.84"/>
    <s v="C. 100 - 400"/>
    <n v="80"/>
    <n v="0"/>
    <n v="170"/>
    <n v="0"/>
    <n v="5"/>
    <n v="35"/>
    <n v="0"/>
    <s v="N/A"/>
    <n v="0.20588235294117646"/>
    <s v="T"/>
    <s v="T"/>
    <s v="T"/>
    <s v="F"/>
    <s v="T"/>
    <s v="T"/>
    <s v="F"/>
    <n v="1"/>
    <n v="2"/>
    <n v="1"/>
    <n v="1"/>
    <n v="0"/>
    <n v="5"/>
    <n v="22"/>
    <m/>
    <m/>
    <m/>
    <m/>
    <m/>
    <x v="1"/>
  </r>
  <r>
    <s v="Twentse Thestrals"/>
    <x v="1"/>
    <x v="0"/>
    <s v="N/A"/>
    <s v="N/A"/>
    <s v="N/A"/>
    <s v="N/A"/>
    <s v="N/A"/>
    <s v="E. 1000 +"/>
    <s v="N/A"/>
    <s v="N/A"/>
    <s v="N/A"/>
    <n v="0"/>
    <n v="0"/>
    <s v="N/A"/>
    <s v="N/A"/>
    <s v="N/A"/>
    <s v="N/A"/>
    <s v="F"/>
    <s v="F"/>
    <s v="F"/>
    <s v="T"/>
    <s v="T"/>
    <s v="T"/>
    <s v="F"/>
    <s v="N/A"/>
    <s v="N/A"/>
    <s v="N/A"/>
    <s v="N/A"/>
    <s v="N/A"/>
    <n v="0"/>
    <n v="0"/>
    <m/>
    <m/>
    <m/>
    <m/>
    <m/>
    <x v="1"/>
  </r>
  <r>
    <s v="Primo Ballerino"/>
    <x v="0"/>
    <x v="0"/>
    <n v="44"/>
    <n v="20"/>
    <n v="24"/>
    <n v="0.45454545454545453"/>
    <n v="0.54545454545454541"/>
    <s v=" A. 1 - 50 "/>
    <n v="15"/>
    <n v="5"/>
    <n v="24"/>
    <n v="2"/>
    <n v="13"/>
    <n v="5"/>
    <n v="0.1"/>
    <n v="2.6"/>
    <n v="0.20833333333333334"/>
    <s v="T"/>
    <s v="T"/>
    <s v="T"/>
    <s v="F"/>
    <s v="T"/>
    <s v="T"/>
    <s v="F"/>
    <n v="0"/>
    <n v="0"/>
    <n v="1"/>
    <n v="1"/>
    <n v="1"/>
    <n v="3"/>
    <n v="8"/>
    <m/>
    <m/>
    <m/>
    <m/>
    <m/>
    <x v="1"/>
  </r>
  <r>
    <s v="Phoenix Lacrosse"/>
    <x v="1"/>
    <x v="0"/>
    <s v="N/A"/>
    <s v="N/A"/>
    <s v="N/A"/>
    <s v="N/A"/>
    <s v="N/A"/>
    <s v="E. 1000 +"/>
    <s v="N/A"/>
    <s v="N/A"/>
    <s v="N/A"/>
    <n v="0"/>
    <n v="0"/>
    <s v="N/A"/>
    <s v="N/A"/>
    <s v="N/A"/>
    <s v="N/A"/>
    <s v="F"/>
    <s v="F"/>
    <s v="F"/>
    <s v="T"/>
    <s v="T"/>
    <s v="T"/>
    <s v="F"/>
    <s v="N/A"/>
    <s v="N/A"/>
    <s v="N/A"/>
    <s v="N/A"/>
    <s v="N/A"/>
    <n v="0"/>
    <n v="0"/>
    <m/>
    <m/>
    <m/>
    <m/>
    <m/>
    <x v="1"/>
  </r>
  <r>
    <s v="SKV Hercules"/>
    <x v="1"/>
    <x v="0"/>
    <n v="65"/>
    <n v="0"/>
    <n v="65"/>
    <n v="0"/>
    <n v="1"/>
    <s v="B. 50 - 100"/>
    <n v="10"/>
    <n v="3"/>
    <n v="52"/>
    <n v="1"/>
    <n v="9"/>
    <s v="N/A"/>
    <s v="N/A"/>
    <n v="3"/>
    <s v="N/A"/>
    <s v="T"/>
    <s v="F"/>
    <s v="F"/>
    <s v="F"/>
    <s v="F"/>
    <s v="T"/>
    <s v="F"/>
    <s v="N/A"/>
    <s v="N/A"/>
    <s v="N/A"/>
    <s v="N/A"/>
    <s v="N/A"/>
    <n v="0"/>
    <n v="3"/>
    <m/>
    <m/>
    <m/>
    <m/>
    <m/>
    <x v="1"/>
  </r>
  <r>
    <s v="A la Kart"/>
    <x v="1"/>
    <x v="0"/>
    <s v="N/A"/>
    <s v="N/A"/>
    <s v="N/A"/>
    <s v="N/A"/>
    <s v="N/A"/>
    <s v="E. 1000 +"/>
    <s v="N/A"/>
    <s v="N/A"/>
    <s v="N/A"/>
    <n v="0"/>
    <n v="0"/>
    <s v="N/A"/>
    <s v="N/A"/>
    <s v="N/A"/>
    <s v="N/A"/>
    <s v="F"/>
    <s v="F"/>
    <s v="F"/>
    <s v="T"/>
    <s v="T"/>
    <s v="T"/>
    <s v="F"/>
    <s v="N/A"/>
    <s v="N/A"/>
    <s v="N/A"/>
    <s v="N/A"/>
    <s v="N/A"/>
    <n v="0"/>
    <n v="0"/>
    <m/>
    <m/>
    <m/>
    <m/>
    <m/>
    <x v="1"/>
  </r>
  <r>
    <s v="BSV de Stoottroepen"/>
    <x v="1"/>
    <x v="0"/>
    <s v="N/A"/>
    <s v="N/A"/>
    <s v="N/A"/>
    <s v="N/A"/>
    <s v="N/A"/>
    <s v="E. 1000 +"/>
    <s v="N/A"/>
    <s v="N/A"/>
    <s v="N/A"/>
    <n v="0"/>
    <n v="0"/>
    <s v="N/A"/>
    <s v="N/A"/>
    <s v="N/A"/>
    <s v="N/A"/>
    <s v="F"/>
    <s v="F"/>
    <s v="F"/>
    <s v="T"/>
    <s v="T"/>
    <s v="T"/>
    <s v="F"/>
    <s v="N/A"/>
    <s v="N/A"/>
    <s v="N/A"/>
    <s v="N/A"/>
    <s v="N/A"/>
    <n v="0"/>
    <n v="0"/>
    <m/>
    <m/>
    <m/>
    <m/>
    <m/>
    <x v="1"/>
  </r>
  <r>
    <s v="SV Muurvast"/>
    <x v="1"/>
    <x v="0"/>
    <s v="N/A"/>
    <s v="N/A"/>
    <s v="N/A"/>
    <s v="N/A"/>
    <s v="N/A"/>
    <s v="E. 1000 +"/>
    <s v="N/A"/>
    <s v="N/A"/>
    <s v="N/A"/>
    <n v="0"/>
    <n v="0"/>
    <s v="N/A"/>
    <s v="N/A"/>
    <s v="N/A"/>
    <s v="N/A"/>
    <s v="F"/>
    <s v="F"/>
    <s v="F"/>
    <s v="T"/>
    <s v="T"/>
    <s v="T"/>
    <s v="F"/>
    <s v="N/A"/>
    <s v="N/A"/>
    <s v="N/A"/>
    <s v="N/A"/>
    <s v="N/A"/>
    <n v="0"/>
    <n v="0"/>
    <m/>
    <m/>
    <m/>
    <m/>
    <m/>
    <x v="1"/>
  </r>
  <r>
    <s v="DKV De Zeeuven Reen"/>
    <x v="1"/>
    <x v="0"/>
    <s v="N/A"/>
    <s v="N/A"/>
    <s v="N/A"/>
    <s v="N/A"/>
    <s v="N/A"/>
    <s v="E. 1000 +"/>
    <s v="N/A"/>
    <s v="N/A"/>
    <s v="N/A"/>
    <n v="0"/>
    <n v="0"/>
    <s v="N/A"/>
    <s v="N/A"/>
    <s v="N/A"/>
    <s v="N/A"/>
    <s v="F"/>
    <s v="F"/>
    <s v="F"/>
    <s v="T"/>
    <s v="T"/>
    <s v="T"/>
    <s v="F"/>
    <s v="N/A"/>
    <s v="N/A"/>
    <s v="N/A"/>
    <s v="N/A"/>
    <s v="N/A"/>
    <n v="0"/>
    <n v="0"/>
    <m/>
    <m/>
    <m/>
    <m/>
    <m/>
    <x v="1"/>
  </r>
  <r>
    <s v="BlueShell"/>
    <x v="1"/>
    <x v="0"/>
    <n v="180"/>
    <n v="30"/>
    <n v="150"/>
    <n v="0.16666666666666666"/>
    <n v="0.83333333333333337"/>
    <s v="C. 100 - 400"/>
    <n v="60"/>
    <n v="30"/>
    <n v="90"/>
    <n v="25"/>
    <n v="25"/>
    <s v="N/A"/>
    <n v="0.83333333333333337"/>
    <n v="0.83333333333333337"/>
    <s v="N/A"/>
    <s v="T"/>
    <s v="F"/>
    <s v="F"/>
    <s v="T"/>
    <s v="F"/>
    <s v="T"/>
    <s v="F"/>
    <s v="N/A"/>
    <s v="N/A"/>
    <s v="N/A"/>
    <s v="N/A"/>
    <s v="N/A"/>
    <n v="0"/>
    <n v="16"/>
    <m/>
    <m/>
    <m/>
    <m/>
    <m/>
    <x v="1"/>
  </r>
  <r>
    <s v="4 happy feet"/>
    <x v="0"/>
    <x v="0"/>
    <n v="190"/>
    <n v="0"/>
    <n v="190"/>
    <n v="0"/>
    <n v="1"/>
    <s v="C. 100 - 400"/>
    <n v="40"/>
    <n v="50"/>
    <n v="100"/>
    <n v="0"/>
    <n v="0"/>
    <s v="N/A"/>
    <s v="N/A"/>
    <n v="0"/>
    <s v="N/A"/>
    <s v="T"/>
    <s v="F"/>
    <s v="F"/>
    <s v="T"/>
    <s v="F"/>
    <s v="T"/>
    <s v="F"/>
    <s v="N/A"/>
    <s v="N/A"/>
    <s v="N/A"/>
    <s v="N/A"/>
    <s v="N/A"/>
    <n v="0"/>
    <n v="17"/>
    <m/>
    <m/>
    <m/>
    <m/>
    <m/>
    <x v="1"/>
  </r>
  <r>
    <s v="AFVD Foton"/>
    <x v="0"/>
    <x v="0"/>
    <s v="N/A"/>
    <s v="N/A"/>
    <s v="N/A"/>
    <s v="N/A"/>
    <s v="N/A"/>
    <s v="E. 1000 +"/>
    <s v="N/A"/>
    <s v="N/A"/>
    <s v="N/A"/>
    <n v="0"/>
    <n v="0"/>
    <s v="N/A"/>
    <s v="N/A"/>
    <s v="N/A"/>
    <s v="N/A"/>
    <s v="F"/>
    <s v="F"/>
    <s v="F"/>
    <s v="T"/>
    <s v="T"/>
    <s v="T"/>
    <s v="F"/>
    <s v="N/A"/>
    <s v="N/A"/>
    <s v="N/A"/>
    <s v="N/A"/>
    <s v="N/A"/>
    <n v="0"/>
    <n v="0"/>
    <m/>
    <m/>
    <m/>
    <m/>
    <m/>
    <x v="1"/>
  </r>
  <r>
    <s v="Arabesque"/>
    <x v="0"/>
    <x v="0"/>
    <n v="28"/>
    <n v="6"/>
    <n v="22"/>
    <n v="0.21428571428571427"/>
    <n v="0.7857142857142857"/>
    <s v=" A. 1 - 50 "/>
    <n v="6"/>
    <n v="4"/>
    <n v="18"/>
    <n v="1"/>
    <n v="3"/>
    <n v="2"/>
    <n v="0.16666666666666666"/>
    <n v="0.75"/>
    <n v="0.1111111111111111"/>
    <s v="T"/>
    <s v="T"/>
    <s v="T"/>
    <s v="T"/>
    <s v="T"/>
    <s v="T"/>
    <s v="T"/>
    <n v="0"/>
    <n v="0"/>
    <n v="5"/>
    <n v="4"/>
    <n v="2"/>
    <n v="11"/>
    <n v="0"/>
    <m/>
    <m/>
    <m/>
    <m/>
    <m/>
    <x v="1"/>
  </r>
  <r>
    <s v="Belletrie Bibliotheek"/>
    <x v="0"/>
    <x v="0"/>
    <n v="155"/>
    <n v="35"/>
    <n v="120"/>
    <n v="0.22580645161290322"/>
    <n v="0.77419354838709675"/>
    <s v="C. 100 - 400"/>
    <n v="24"/>
    <n v="60"/>
    <n v="71"/>
    <n v="0"/>
    <n v="24"/>
    <n v="11"/>
    <n v="0"/>
    <n v="0.4"/>
    <n v="0.15492957746478872"/>
    <s v="T"/>
    <s v="T"/>
    <s v="T"/>
    <s v="T"/>
    <s v="T"/>
    <s v="T"/>
    <s v="T"/>
    <s v="N/A"/>
    <s v="N/A"/>
    <s v="N/A"/>
    <s v="N/A"/>
    <s v="N/A"/>
    <n v="0"/>
    <n v="12"/>
    <m/>
    <m/>
    <m/>
    <m/>
    <m/>
    <x v="1"/>
  </r>
  <r>
    <s v="Contramime"/>
    <x v="0"/>
    <x v="0"/>
    <s v="N/A"/>
    <s v="N/A"/>
    <s v="N/A"/>
    <s v="N/A"/>
    <s v="N/A"/>
    <s v="E. 1000 +"/>
    <s v="N/A"/>
    <s v="N/A"/>
    <s v="N/A"/>
    <n v="0"/>
    <n v="0"/>
    <s v="N/A"/>
    <s v="N/A"/>
    <s v="N/A"/>
    <s v="N/A"/>
    <s v="F"/>
    <s v="F"/>
    <s v="F"/>
    <s v="T"/>
    <s v="T"/>
    <s v="T"/>
    <s v="F"/>
    <s v="N/A"/>
    <s v="N/A"/>
    <s v="N/A"/>
    <s v="N/A"/>
    <s v="N/A"/>
    <n v="0"/>
    <n v="0"/>
    <m/>
    <m/>
    <m/>
    <m/>
    <m/>
    <x v="1"/>
  </r>
  <r>
    <s v="Fanaat"/>
    <x v="0"/>
    <x v="0"/>
    <n v="88"/>
    <n v="15"/>
    <n v="73"/>
    <n v="0.17045454545454544"/>
    <n v="0.82954545454545459"/>
    <s v="B. 50 - 100"/>
    <n v="12"/>
    <n v="1"/>
    <n v="75"/>
    <n v="0"/>
    <n v="0"/>
    <n v="15"/>
    <n v="0"/>
    <n v="0"/>
    <n v="0.2"/>
    <s v="T"/>
    <s v="T"/>
    <s v="T"/>
    <s v="T"/>
    <s v="T"/>
    <s v="T"/>
    <s v="T"/>
    <n v="0"/>
    <n v="6"/>
    <n v="14"/>
    <n v="10"/>
    <n v="3"/>
    <n v="33"/>
    <n v="13"/>
    <m/>
    <m/>
    <m/>
    <m/>
    <m/>
    <x v="1"/>
  </r>
  <r>
    <s v="Musica Silvestra Orkest"/>
    <x v="0"/>
    <x v="0"/>
    <n v="18"/>
    <n v="4"/>
    <n v="14"/>
    <n v="0.22222222222222221"/>
    <n v="0.77777777777777779"/>
    <s v=" A. 1 - 50 "/>
    <n v="11"/>
    <n v="2"/>
    <n v="5"/>
    <n v="0"/>
    <n v="0"/>
    <n v="4"/>
    <n v="0"/>
    <n v="0"/>
    <n v="0.8"/>
    <s v="T"/>
    <s v="T"/>
    <s v="T"/>
    <s v="T"/>
    <s v="T"/>
    <s v="T"/>
    <s v="T"/>
    <n v="2"/>
    <n v="7"/>
    <n v="15"/>
    <n v="6"/>
    <n v="14"/>
    <n v="44"/>
    <n v="10"/>
    <m/>
    <m/>
    <m/>
    <m/>
    <m/>
    <x v="1"/>
  </r>
  <r>
    <s v="Musilon"/>
    <x v="0"/>
    <x v="0"/>
    <n v="43"/>
    <n v="15"/>
    <n v="28"/>
    <n v="0.34883720930232559"/>
    <n v="0.65116279069767447"/>
    <s v=" A. 1 - 50 "/>
    <n v="25"/>
    <n v="5"/>
    <n v="13"/>
    <n v="4"/>
    <n v="8"/>
    <n v="3"/>
    <n v="0.26666666666666666"/>
    <n v="1.6"/>
    <n v="0.23076923076923078"/>
    <s v="T"/>
    <s v="T"/>
    <s v="T"/>
    <s v="F"/>
    <s v="T"/>
    <s v="T"/>
    <s v="F"/>
    <s v="N/A"/>
    <s v="N/A"/>
    <s v="N/A"/>
    <s v="N/A"/>
    <s v="N/A"/>
    <n v="0"/>
    <n v="11"/>
    <m/>
    <m/>
    <m/>
    <m/>
    <m/>
    <x v="1"/>
  </r>
  <r>
    <s v="Nest"/>
    <x v="0"/>
    <x v="0"/>
    <n v="70"/>
    <n v="10"/>
    <n v="60"/>
    <n v="0.14285714285714285"/>
    <n v="0.85714285714285721"/>
    <s v="B. 50 - 100"/>
    <n v="28"/>
    <n v="0"/>
    <n v="42"/>
    <n v="0"/>
    <n v="8"/>
    <n v="2"/>
    <n v="0"/>
    <s v="N/A"/>
    <n v="4.7619047619047616E-2"/>
    <s v="T"/>
    <s v="T"/>
    <s v="T"/>
    <s v="F"/>
    <s v="T"/>
    <s v="T"/>
    <s v="F"/>
    <n v="0"/>
    <n v="0"/>
    <n v="0"/>
    <n v="0"/>
    <n v="0"/>
    <n v="0"/>
    <n v="0"/>
    <m/>
    <m/>
    <m/>
    <m/>
    <m/>
    <x v="1"/>
  </r>
  <r>
    <s v="Pro Deo"/>
    <x v="0"/>
    <x v="0"/>
    <n v="48"/>
    <n v="6"/>
    <n v="42"/>
    <n v="0.125"/>
    <n v="0.875"/>
    <s v=" A. 1 - 50 "/>
    <n v="15"/>
    <n v="2"/>
    <n v="31"/>
    <n v="0"/>
    <n v="2"/>
    <n v="4"/>
    <n v="0"/>
    <n v="1"/>
    <n v="0.12903225806451613"/>
    <s v="T"/>
    <s v="T"/>
    <s v="T"/>
    <s v="T"/>
    <s v="T"/>
    <s v="T"/>
    <s v="T"/>
    <n v="0"/>
    <n v="2"/>
    <n v="1"/>
    <n v="0"/>
    <n v="16"/>
    <n v="19"/>
    <n v="10"/>
    <m/>
    <m/>
    <m/>
    <m/>
    <m/>
    <x v="1"/>
  </r>
  <r>
    <s v="SDV Chasse"/>
    <x v="0"/>
    <x v="0"/>
    <n v="48"/>
    <n v="8"/>
    <n v="40"/>
    <n v="0.16666666666666666"/>
    <n v="0.83333333333333337"/>
    <s v=" A. 1 - 50 "/>
    <n v="26"/>
    <n v="3"/>
    <n v="19"/>
    <n v="3"/>
    <n v="3"/>
    <n v="2"/>
    <n v="0.375"/>
    <n v="1"/>
    <n v="0.10526315789473684"/>
    <s v="T"/>
    <s v="T"/>
    <s v="T"/>
    <s v="T"/>
    <s v="T"/>
    <s v="T"/>
    <s v="T"/>
    <n v="0"/>
    <n v="0"/>
    <n v="0"/>
    <n v="0"/>
    <n v="0"/>
    <n v="0"/>
    <n v="8"/>
    <m/>
    <m/>
    <m/>
    <m/>
    <m/>
    <x v="1"/>
  </r>
  <r>
    <s v="SHOT"/>
    <x v="0"/>
    <x v="0"/>
    <n v="60"/>
    <n v="10"/>
    <n v="50"/>
    <n v="0.16666666666666666"/>
    <n v="0.83333333333333337"/>
    <s v="B. 50 - 100"/>
    <n v="20"/>
    <n v="0"/>
    <n v="40"/>
    <n v="0"/>
    <n v="0"/>
    <n v="10"/>
    <n v="0"/>
    <s v="N/A"/>
    <n v="0.25"/>
    <s v="T"/>
    <s v="T"/>
    <s v="T"/>
    <s v="T"/>
    <s v="T"/>
    <s v="T"/>
    <s v="T"/>
    <s v="N/A"/>
    <s v="N/A"/>
    <s v="N/A"/>
    <s v="N/A"/>
    <s v="N/A"/>
    <n v="0"/>
    <n v="14"/>
    <m/>
    <m/>
    <m/>
    <m/>
    <m/>
    <x v="1"/>
  </r>
  <r>
    <s v="Stubiba"/>
    <x v="0"/>
    <x v="0"/>
    <n v="20"/>
    <n v="6"/>
    <n v="14"/>
    <n v="0.3"/>
    <n v="0.7"/>
    <s v=" A. 1 - 50 "/>
    <n v="3"/>
    <n v="1"/>
    <n v="16"/>
    <n v="0"/>
    <n v="1"/>
    <n v="5"/>
    <n v="0"/>
    <n v="1"/>
    <n v="0.3125"/>
    <s v="T"/>
    <s v="T"/>
    <s v="T"/>
    <s v="T"/>
    <s v="T"/>
    <s v="T"/>
    <s v="T"/>
    <s v="N/A"/>
    <s v="N/A"/>
    <s v="N/A"/>
    <s v="N/A"/>
    <s v="N/A"/>
    <n v="0"/>
    <n v="0"/>
    <m/>
    <m/>
    <m/>
    <m/>
    <m/>
    <x v="1"/>
  </r>
  <r>
    <s v="Inspe"/>
    <x v="0"/>
    <x v="1"/>
    <n v="50"/>
    <n v="0"/>
    <n v="50"/>
    <n v="0"/>
    <n v="1"/>
    <s v="B. 50 - 100"/>
    <n v="0"/>
    <n v="2"/>
    <n v="48"/>
    <n v="0"/>
    <n v="0"/>
    <s v="N/A"/>
    <s v="N/A"/>
    <n v="0"/>
    <s v="N/A"/>
    <s v="T"/>
    <s v="F"/>
    <s v="F"/>
    <s v="T"/>
    <s v="F"/>
    <s v="T"/>
    <s v="F"/>
    <n v="2"/>
    <n v="0"/>
    <n v="7"/>
    <n v="8"/>
    <n v="13"/>
    <n v="30"/>
    <n v="11"/>
    <m/>
    <m/>
    <m/>
    <m/>
    <m/>
    <x v="1"/>
  </r>
  <r>
    <s v="Stukafest"/>
    <x v="0"/>
    <x v="0"/>
    <s v="N/A"/>
    <s v="N/A"/>
    <s v="N/A"/>
    <s v="N/A"/>
    <s v="N/A"/>
    <s v="E. 1000 +"/>
    <s v="N/A"/>
    <s v="N/A"/>
    <s v="N/A"/>
    <n v="0"/>
    <n v="0"/>
    <s v="N/A"/>
    <s v="N/A"/>
    <s v="N/A"/>
    <s v="N/A"/>
    <s v="F"/>
    <s v="F"/>
    <s v="F"/>
    <s v="T"/>
    <s v="T"/>
    <s v="T"/>
    <s v="F"/>
    <s v="N/A"/>
    <s v="N/A"/>
    <s v="N/A"/>
    <s v="N/A"/>
    <s v="N/A"/>
    <n v="0"/>
    <n v="0"/>
    <m/>
    <m/>
    <m/>
    <m/>
    <m/>
    <x v="1"/>
  </r>
  <r>
    <s v="Abacus"/>
    <x v="3"/>
    <x v="0"/>
    <n v="458"/>
    <n v="40"/>
    <n v="418"/>
    <n v="8.7336244541484712E-2"/>
    <n v="0.9126637554585153"/>
    <s v="D. 400 - 1000"/>
    <n v="110"/>
    <n v="15"/>
    <n v="333"/>
    <n v="5"/>
    <n v="15"/>
    <n v="20"/>
    <n v="0.125"/>
    <n v="1"/>
    <n v="6.006006006006006E-2"/>
    <s v="T"/>
    <s v="T"/>
    <s v="T"/>
    <s v="T"/>
    <s v="T"/>
    <s v="T"/>
    <s v="T"/>
    <n v="11"/>
    <n v="23"/>
    <n v="46"/>
    <n v="24"/>
    <n v="14"/>
    <n v="118"/>
    <n v="27"/>
    <m/>
    <m/>
    <m/>
    <m/>
    <m/>
    <x v="1"/>
  </r>
  <r>
    <s v="Alembic"/>
    <x v="3"/>
    <x v="0"/>
    <n v="346"/>
    <n v="30"/>
    <n v="316"/>
    <n v="8.6705202312138727E-2"/>
    <n v="0.91329479768786126"/>
    <s v="C. 100 - 400"/>
    <n v="100"/>
    <n v="36"/>
    <n v="210"/>
    <n v="10"/>
    <n v="25"/>
    <s v="N/A"/>
    <n v="0.33333333333333331"/>
    <n v="0.69444444444444442"/>
    <s v="N/A"/>
    <s v="T"/>
    <s v="F"/>
    <s v="F"/>
    <s v="T"/>
    <s v="F"/>
    <s v="T"/>
    <s v="F"/>
    <n v="24"/>
    <n v="47"/>
    <n v="58"/>
    <n v="31"/>
    <n v="30"/>
    <n v="190"/>
    <n v="29"/>
    <m/>
    <m/>
    <m/>
    <m/>
    <m/>
    <x v="1"/>
  </r>
  <r>
    <s v="Arago"/>
    <x v="3"/>
    <x v="0"/>
    <n v="593"/>
    <n v="50"/>
    <n v="543"/>
    <n v="8.4317032040472181E-2"/>
    <n v="0.91568296795952786"/>
    <s v="D. 400 - 1000"/>
    <n v="217"/>
    <n v="1"/>
    <n v="375"/>
    <n v="0"/>
    <n v="0"/>
    <n v="50"/>
    <n v="0"/>
    <n v="0"/>
    <n v="0.13333333333333333"/>
    <s v="T"/>
    <s v="T"/>
    <s v="T"/>
    <s v="T"/>
    <s v="T"/>
    <s v="T"/>
    <s v="T"/>
    <n v="10"/>
    <n v="5"/>
    <n v="0"/>
    <n v="3"/>
    <n v="0"/>
    <n v="18"/>
    <n v="59"/>
    <m/>
    <m/>
    <m/>
    <m/>
    <m/>
    <x v="1"/>
  </r>
  <r>
    <s v="Astatine"/>
    <x v="3"/>
    <x v="0"/>
    <n v="442"/>
    <n v="0"/>
    <n v="442"/>
    <n v="0"/>
    <n v="1"/>
    <s v="D. 400 - 1000"/>
    <n v="108"/>
    <n v="36"/>
    <n v="298"/>
    <n v="5"/>
    <n v="10"/>
    <s v="N/A"/>
    <s v="N/A"/>
    <n v="0.27777777777777779"/>
    <s v="N/A"/>
    <s v="T"/>
    <s v="F"/>
    <s v="F"/>
    <s v="T"/>
    <s v="F"/>
    <s v="T"/>
    <s v="F"/>
    <n v="39"/>
    <n v="48"/>
    <n v="72"/>
    <n v="39"/>
    <n v="14"/>
    <n v="212"/>
    <n v="0"/>
    <m/>
    <m/>
    <m/>
    <m/>
    <m/>
    <x v="1"/>
  </r>
  <r>
    <s v="Atlantis"/>
    <x v="3"/>
    <x v="0"/>
    <n v="189"/>
    <n v="30"/>
    <n v="159"/>
    <n v="0.15873015873015872"/>
    <n v="0.84126984126984128"/>
    <s v="C. 100 - 400"/>
    <n v="75"/>
    <n v="29"/>
    <n v="85"/>
    <n v="10"/>
    <n v="20"/>
    <s v="N/A"/>
    <n v="0.33333333333333331"/>
    <n v="0.68965517241379315"/>
    <s v="N/A"/>
    <s v="T"/>
    <s v="F"/>
    <s v="F"/>
    <s v="T"/>
    <s v="F"/>
    <s v="T"/>
    <s v="F"/>
    <n v="60"/>
    <n v="43"/>
    <n v="21"/>
    <n v="6"/>
    <n v="0"/>
    <n v="130"/>
    <n v="21"/>
    <m/>
    <m/>
    <m/>
    <m/>
    <m/>
    <x v="1"/>
  </r>
  <r>
    <s v="Communique"/>
    <x v="3"/>
    <x v="0"/>
    <n v="311"/>
    <n v="50"/>
    <n v="261"/>
    <n v="0.16077170418006431"/>
    <n v="0.83922829581993574"/>
    <s v="C. 100 - 400"/>
    <n v="55"/>
    <n v="30"/>
    <n v="226"/>
    <n v="4"/>
    <n v="23"/>
    <n v="23"/>
    <n v="0.08"/>
    <n v="0.76666666666666672"/>
    <n v="0.10176991150442478"/>
    <s v="T"/>
    <s v="T"/>
    <s v="T"/>
    <s v="T"/>
    <s v="T"/>
    <s v="T"/>
    <s v="T"/>
    <n v="16"/>
    <n v="19"/>
    <n v="6"/>
    <n v="12"/>
    <n v="1"/>
    <n v="54"/>
    <n v="22"/>
    <m/>
    <m/>
    <m/>
    <m/>
    <m/>
    <x v="1"/>
  </r>
  <r>
    <s v="ConcepT"/>
    <x v="3"/>
    <x v="0"/>
    <n v="670"/>
    <n v="100"/>
    <n v="570"/>
    <n v="0.14925373134328357"/>
    <n v="0.85074626865671643"/>
    <s v="D. 400 - 1000"/>
    <n v="146"/>
    <n v="40"/>
    <n v="484"/>
    <n v="4"/>
    <n v="7"/>
    <n v="89"/>
    <n v="0.04"/>
    <n v="0.17499999999999999"/>
    <n v="0.18388429752066116"/>
    <s v="T"/>
    <s v="T"/>
    <s v="T"/>
    <s v="T"/>
    <s v="T"/>
    <s v="T"/>
    <s v="T"/>
    <s v="N/A"/>
    <s v="N/A"/>
    <s v="N/A"/>
    <s v="N/A"/>
    <s v="N/A"/>
    <n v="0"/>
    <n v="19"/>
    <m/>
    <m/>
    <m/>
    <m/>
    <m/>
    <x v="1"/>
  </r>
  <r>
    <s v="Daedalus"/>
    <x v="3"/>
    <x v="0"/>
    <n v="785"/>
    <n v="100"/>
    <n v="685"/>
    <n v="0.12738853503184713"/>
    <n v="0.87261146496815289"/>
    <s v="D. 400 - 1000"/>
    <n v="150"/>
    <n v="80"/>
    <n v="555"/>
    <n v="5"/>
    <n v="15"/>
    <n v="80"/>
    <n v="0.05"/>
    <n v="0.1875"/>
    <n v="0.14414414414414414"/>
    <s v="T"/>
    <s v="T"/>
    <s v="T"/>
    <s v="T"/>
    <s v="T"/>
    <s v="T"/>
    <s v="T"/>
    <n v="0"/>
    <n v="0"/>
    <n v="0"/>
    <n v="0"/>
    <n v="0"/>
    <n v="0"/>
    <n v="34"/>
    <m/>
    <m/>
    <m/>
    <m/>
    <m/>
    <x v="1"/>
  </r>
  <r>
    <s v="Dimensie"/>
    <x v="3"/>
    <x v="0"/>
    <n v="780"/>
    <n v="150"/>
    <n v="630"/>
    <n v="0.19230769230769232"/>
    <n v="0.80769230769230771"/>
    <s v="D. 400 - 1000"/>
    <n v="74"/>
    <n v="50"/>
    <n v="656"/>
    <n v="1"/>
    <n v="73"/>
    <n v="76"/>
    <n v="6.6666666666666671E-3"/>
    <n v="1.46"/>
    <n v="0.11585365853658537"/>
    <s v="T"/>
    <s v="T"/>
    <s v="T"/>
    <s v="F"/>
    <s v="T"/>
    <s v="T"/>
    <s v="F"/>
    <n v="22"/>
    <n v="33"/>
    <n v="21"/>
    <n v="20"/>
    <n v="9"/>
    <n v="105"/>
    <n v="20"/>
    <m/>
    <m/>
    <m/>
    <m/>
    <m/>
    <x v="1"/>
  </r>
  <r>
    <s v="Ideefiks"/>
    <x v="3"/>
    <x v="0"/>
    <n v="66"/>
    <n v="12"/>
    <n v="54"/>
    <n v="0.18181818181818182"/>
    <n v="0.81818181818181812"/>
    <s v="B. 50 - 100"/>
    <n v="10"/>
    <n v="11"/>
    <n v="45"/>
    <n v="11"/>
    <n v="45"/>
    <s v="N/A"/>
    <n v="0.91666666666666663"/>
    <n v="4.0909090909090908"/>
    <s v="N/A"/>
    <s v="T"/>
    <s v="F"/>
    <s v="F"/>
    <s v="F"/>
    <s v="F"/>
    <s v="F"/>
    <s v="F"/>
    <s v="N/A"/>
    <s v="N/A"/>
    <s v="N/A"/>
    <s v="N/A"/>
    <s v="N/A"/>
    <n v="0"/>
    <n v="6"/>
    <m/>
    <m/>
    <m/>
    <m/>
    <m/>
    <x v="1"/>
  </r>
  <r>
    <s v="Inter-Actief"/>
    <x v="3"/>
    <x v="0"/>
    <n v="1300"/>
    <n v="100"/>
    <n v="1200"/>
    <n v="7.6923076923076927E-2"/>
    <n v="0.92307692307692313"/>
    <s v="E. 1000 +"/>
    <n v="190"/>
    <n v="220"/>
    <n v="890"/>
    <n v="6"/>
    <n v="10"/>
    <n v="84"/>
    <n v="0.06"/>
    <n v="4.5454545454545456E-2"/>
    <n v="9.4382022471910118E-2"/>
    <s v="T"/>
    <s v="T"/>
    <s v="T"/>
    <s v="T"/>
    <s v="T"/>
    <s v="T"/>
    <s v="T"/>
    <n v="37"/>
    <n v="74"/>
    <n v="113"/>
    <n v="67"/>
    <n v="20"/>
    <n v="311"/>
    <n v="38"/>
    <m/>
    <m/>
    <m/>
    <m/>
    <m/>
    <x v="1"/>
  </r>
  <r>
    <s v="Isaac Newton"/>
    <x v="3"/>
    <x v="0"/>
    <n v="1309"/>
    <n v="400"/>
    <n v="909"/>
    <n v="0.30557677616501144"/>
    <n v="0.69442322383498856"/>
    <s v="E. 1000 +"/>
    <n v="120"/>
    <n v="150"/>
    <n v="1039"/>
    <n v="7"/>
    <n v="15"/>
    <n v="378"/>
    <n v="1.7500000000000002E-2"/>
    <n v="0.1"/>
    <n v="0.36381135707410972"/>
    <s v="T"/>
    <s v="T"/>
    <s v="T"/>
    <s v="T"/>
    <s v="T"/>
    <s v="T"/>
    <s v="T"/>
    <n v="13"/>
    <n v="59"/>
    <n v="47"/>
    <n v="38"/>
    <n v="33"/>
    <n v="190"/>
    <n v="28"/>
    <m/>
    <m/>
    <m/>
    <m/>
    <m/>
    <x v="1"/>
  </r>
  <r>
    <s v="Komma"/>
    <x v="3"/>
    <x v="0"/>
    <n v="185"/>
    <n v="40"/>
    <n v="145"/>
    <n v="0.21621621621621623"/>
    <n v="0.78378378378378377"/>
    <s v="C. 100 - 400"/>
    <n v="10"/>
    <n v="85"/>
    <n v="90"/>
    <n v="7"/>
    <n v="3"/>
    <n v="30"/>
    <n v="0.17499999999999999"/>
    <n v="3.5294117647058823E-2"/>
    <n v="0.33333333333333331"/>
    <s v="T"/>
    <s v="T"/>
    <s v="T"/>
    <s v="T"/>
    <s v="T"/>
    <s v="T"/>
    <s v="T"/>
    <n v="0"/>
    <n v="0"/>
    <n v="0"/>
    <n v="4"/>
    <n v="0"/>
    <n v="4"/>
    <n v="0"/>
    <m/>
    <m/>
    <m/>
    <m/>
    <m/>
    <x v="1"/>
  </r>
  <r>
    <s v="Paradoks"/>
    <x v="3"/>
    <x v="0"/>
    <s v="N/A"/>
    <s v="N/A"/>
    <s v="N/A"/>
    <s v="N/A"/>
    <s v="N/A"/>
    <s v="E. 1000 +"/>
    <s v="N/A"/>
    <s v="N/A"/>
    <s v="N/A"/>
    <n v="0"/>
    <n v="0"/>
    <s v="N/A"/>
    <s v="N/A"/>
    <s v="N/A"/>
    <s v="N/A"/>
    <s v="F"/>
    <s v="F"/>
    <s v="F"/>
    <s v="T"/>
    <s v="T"/>
    <s v="T"/>
    <s v="F"/>
    <s v="N/A"/>
    <s v="N/A"/>
    <s v="N/A"/>
    <s v="N/A"/>
    <s v="N/A"/>
    <n v="0"/>
    <n v="0"/>
    <m/>
    <m/>
    <m/>
    <m/>
    <m/>
    <x v="1"/>
  </r>
  <r>
    <s v="Proto"/>
    <x v="3"/>
    <x v="0"/>
    <n v="932"/>
    <n v="0"/>
    <n v="932"/>
    <n v="0"/>
    <n v="1"/>
    <s v="D. 400 - 1000"/>
    <n v="122"/>
    <s v="N/A"/>
    <s v="N/A"/>
    <n v="0"/>
    <n v="0"/>
    <s v="N/A"/>
    <s v="N/A"/>
    <s v="N/A"/>
    <s v="N/A"/>
    <s v="F"/>
    <s v="F"/>
    <s v="F"/>
    <s v="T"/>
    <s v="T"/>
    <s v="T"/>
    <s v="F"/>
    <n v="16"/>
    <n v="62"/>
    <n v="67"/>
    <n v="47"/>
    <n v="45"/>
    <n v="237"/>
    <n v="36"/>
    <m/>
    <m/>
    <m/>
    <m/>
    <m/>
    <x v="1"/>
  </r>
  <r>
    <s v="Scintilla"/>
    <x v="3"/>
    <x v="0"/>
    <n v="675"/>
    <n v="50"/>
    <n v="625"/>
    <n v="7.407407407407407E-2"/>
    <n v="0.92592592592592593"/>
    <s v="D. 400 - 1000"/>
    <n v="145"/>
    <n v="150"/>
    <n v="380"/>
    <n v="5"/>
    <n v="5"/>
    <n v="40"/>
    <n v="0.1"/>
    <n v="3.3333333333333333E-2"/>
    <n v="0.10526315789473684"/>
    <s v="T"/>
    <s v="T"/>
    <s v="T"/>
    <s v="T"/>
    <s v="T"/>
    <s v="T"/>
    <s v="T"/>
    <n v="14"/>
    <n v="14"/>
    <n v="63"/>
    <n v="63"/>
    <n v="60"/>
    <n v="214"/>
    <n v="27"/>
    <m/>
    <m/>
    <m/>
    <m/>
    <m/>
    <x v="1"/>
  </r>
  <r>
    <s v="Sirius"/>
    <x v="3"/>
    <x v="0"/>
    <n v="770"/>
    <n v="200"/>
    <n v="570"/>
    <n v="0.25974025974025972"/>
    <n v="0.74025974025974028"/>
    <s v="D. 400 - 1000"/>
    <n v="94"/>
    <n v="10"/>
    <n v="666"/>
    <n v="0"/>
    <n v="10"/>
    <n v="190"/>
    <n v="0"/>
    <n v="1"/>
    <n v="0.28528528528528529"/>
    <s v="T"/>
    <s v="T"/>
    <s v="T"/>
    <s v="T"/>
    <s v="T"/>
    <s v="T"/>
    <s v="T"/>
    <n v="29"/>
    <n v="53"/>
    <n v="12"/>
    <n v="15"/>
    <n v="0"/>
    <n v="109"/>
    <n v="0"/>
    <m/>
    <m/>
    <m/>
    <m/>
    <m/>
    <x v="1"/>
  </r>
  <r>
    <s v="Stress"/>
    <x v="3"/>
    <x v="0"/>
    <n v="1923"/>
    <n v="200"/>
    <n v="1723"/>
    <n v="0.10400416016640665"/>
    <n v="0.89599583983359332"/>
    <s v="E. 1000 +"/>
    <n v="155"/>
    <n v="100"/>
    <n v="1668"/>
    <n v="12"/>
    <n v="30"/>
    <n v="158"/>
    <n v="0.06"/>
    <n v="0.3"/>
    <n v="9.4724220623501193E-2"/>
    <s v="T"/>
    <s v="T"/>
    <s v="T"/>
    <s v="T"/>
    <s v="T"/>
    <s v="T"/>
    <s v="T"/>
    <s v="N/A"/>
    <s v="N/A"/>
    <s v="N/A"/>
    <s v="N/A"/>
    <s v="N/A"/>
    <n v="0"/>
    <n v="26"/>
    <m/>
    <m/>
    <m/>
    <m/>
    <m/>
    <x v="1"/>
  </r>
  <r>
    <s v="SV Onwijs"/>
    <x v="3"/>
    <x v="0"/>
    <n v="80"/>
    <n v="40"/>
    <n v="40"/>
    <n v="0.5"/>
    <n v="0.5"/>
    <s v="B. 50 - 100"/>
    <n v="8"/>
    <s v="N/A"/>
    <s v="N/A"/>
    <n v="0"/>
    <n v="0"/>
    <n v="40"/>
    <n v="0"/>
    <s v="N/A"/>
    <s v="N/A"/>
    <s v="F"/>
    <s v="T"/>
    <s v="T"/>
    <s v="T"/>
    <s v="T"/>
    <s v="T"/>
    <s v="F"/>
    <n v="0"/>
    <n v="0"/>
    <n v="0"/>
    <n v="3"/>
    <n v="3"/>
    <n v="6"/>
    <n v="3"/>
    <m/>
    <m/>
    <m/>
    <m/>
    <m/>
    <x v="1"/>
  </r>
  <r>
    <s v="ITC-SAB"/>
    <x v="3"/>
    <x v="0"/>
    <s v="N/A"/>
    <s v="N/A"/>
    <s v="N/A"/>
    <s v="N/A"/>
    <s v="N/A"/>
    <s v="E. 1000 +"/>
    <s v="N/A"/>
    <s v="N/A"/>
    <s v="N/A"/>
    <n v="0"/>
    <n v="0"/>
    <s v="N/A"/>
    <s v="N/A"/>
    <s v="N/A"/>
    <s v="N/A"/>
    <s v="F"/>
    <s v="F"/>
    <s v="F"/>
    <s v="T"/>
    <s v="T"/>
    <s v="T"/>
    <s v="F"/>
    <s v="N/A"/>
    <s v="N/A"/>
    <s v="N/A"/>
    <s v="N/A"/>
    <s v="N/A"/>
    <n v="0"/>
    <n v="0"/>
    <m/>
    <m/>
    <m/>
    <m/>
    <m/>
    <x v="1"/>
  </r>
  <r>
    <s v="Honoursvereniging Ockham"/>
    <x v="3"/>
    <x v="0"/>
    <n v="150"/>
    <n v="60"/>
    <n v="90"/>
    <n v="0.4"/>
    <n v="0.6"/>
    <s v="C. 100 - 400"/>
    <n v="40"/>
    <n v="100"/>
    <n v="10"/>
    <n v="4"/>
    <n v="10"/>
    <n v="46"/>
    <n v="6.6666666666666666E-2"/>
    <n v="0.1"/>
    <n v="4.5999999999999996"/>
    <s v="T"/>
    <s v="T"/>
    <s v="T"/>
    <s v="T"/>
    <s v="F"/>
    <s v="T"/>
    <s v="F"/>
    <s v="N/A"/>
    <s v="N/A"/>
    <s v="N/A"/>
    <s v="N/A"/>
    <s v="N/A"/>
    <n v="0"/>
    <n v="11"/>
    <m/>
    <m/>
    <m/>
    <m/>
    <m/>
    <x v="1"/>
  </r>
  <r>
    <s v="AEGEE Enschede"/>
    <x v="4"/>
    <x v="0"/>
    <n v="285"/>
    <n v="95"/>
    <n v="190"/>
    <n v="0.33333333333333331"/>
    <n v="0.66666666666666674"/>
    <s v="C. 100 - 400"/>
    <n v="100"/>
    <n v="5"/>
    <n v="180"/>
    <n v="0"/>
    <n v="5"/>
    <n v="90"/>
    <n v="0"/>
    <n v="1"/>
    <n v="0.5"/>
    <s v="T"/>
    <s v="T"/>
    <s v="T"/>
    <s v="T"/>
    <s v="T"/>
    <s v="T"/>
    <s v="T"/>
    <n v="24"/>
    <n v="21"/>
    <n v="50"/>
    <n v="65"/>
    <n v="24"/>
    <n v="184"/>
    <n v="26"/>
    <m/>
    <m/>
    <m/>
    <m/>
    <m/>
    <x v="1"/>
  </r>
  <r>
    <s v="ASV Taste"/>
    <x v="4"/>
    <x v="0"/>
    <n v="525"/>
    <n v="70"/>
    <n v="455"/>
    <n v="0.13333333333333333"/>
    <n v="0.8666666666666667"/>
    <s v="D. 400 - 1000"/>
    <n v="100"/>
    <n v="0"/>
    <n v="425"/>
    <n v="0"/>
    <n v="1"/>
    <n v="69"/>
    <n v="0"/>
    <s v="N/A"/>
    <n v="0.16235294117647059"/>
    <s v="T"/>
    <s v="T"/>
    <s v="T"/>
    <s v="F"/>
    <s v="T"/>
    <s v="T"/>
    <s v="F"/>
    <n v="42"/>
    <n v="85"/>
    <n v="69"/>
    <n v="31"/>
    <n v="9"/>
    <n v="236"/>
    <n v="29"/>
    <m/>
    <m/>
    <m/>
    <m/>
    <m/>
    <x v="1"/>
  </r>
  <r>
    <s v="Audentis et Virtutis"/>
    <x v="4"/>
    <x v="0"/>
    <n v="530"/>
    <n v="15"/>
    <n v="515"/>
    <n v="2.8301886792452831E-2"/>
    <n v="0.97169811320754718"/>
    <s v="D. 400 - 1000"/>
    <n v="200"/>
    <n v="0"/>
    <n v="330"/>
    <n v="0"/>
    <n v="0"/>
    <n v="15"/>
    <n v="0"/>
    <s v="N/A"/>
    <n v="4.5454545454545456E-2"/>
    <s v="T"/>
    <s v="T"/>
    <s v="T"/>
    <s v="T"/>
    <s v="T"/>
    <s v="T"/>
    <s v="T"/>
    <s v="N/A"/>
    <s v="N/A"/>
    <s v="N/A"/>
    <s v="N/A"/>
    <s v="N/A"/>
    <n v="0"/>
    <n v="24"/>
    <m/>
    <m/>
    <m/>
    <m/>
    <m/>
    <x v="1"/>
  </r>
  <r>
    <s v="CSV Alpha"/>
    <x v="4"/>
    <x v="0"/>
    <n v="108"/>
    <n v="15"/>
    <n v="93"/>
    <n v="0.1388888888888889"/>
    <n v="0.86111111111111116"/>
    <s v="C. 100 - 400"/>
    <n v="80"/>
    <n v="0"/>
    <n v="28"/>
    <n v="0"/>
    <n v="0"/>
    <n v="15"/>
    <n v="0"/>
    <s v="N/A"/>
    <n v="0.5357142857142857"/>
    <s v="T"/>
    <s v="T"/>
    <s v="T"/>
    <s v="T"/>
    <s v="T"/>
    <s v="T"/>
    <s v="T"/>
    <n v="30"/>
    <n v="25"/>
    <n v="35"/>
    <n v="22"/>
    <n v="19"/>
    <n v="131"/>
    <n v="36"/>
    <m/>
    <m/>
    <m/>
    <m/>
    <m/>
    <x v="1"/>
  </r>
  <r>
    <s v="Reformatorische Studenten Kring"/>
    <x v="6"/>
    <x v="0"/>
    <n v="53"/>
    <n v="1"/>
    <n v="52"/>
    <n v="1.8867924528301886E-2"/>
    <n v="0.98113207547169812"/>
    <s v="B. 50 - 100"/>
    <n v="40"/>
    <n v="0"/>
    <n v="13"/>
    <n v="0"/>
    <n v="1"/>
    <s v="N/A"/>
    <n v="0"/>
    <s v="N/A"/>
    <s v="N/A"/>
    <s v="T"/>
    <s v="F"/>
    <s v="F"/>
    <s v="F"/>
    <s v="F"/>
    <s v="T"/>
    <s v="F"/>
    <s v="N/A"/>
    <s v="N/A"/>
    <s v="N/A"/>
    <s v="N/A"/>
    <s v="N/A"/>
    <n v="0"/>
    <n v="28"/>
    <m/>
    <m/>
    <m/>
    <m/>
    <m/>
    <x v="1"/>
  </r>
  <r>
    <s v="SV De Gevreesde Koe VB"/>
    <x v="4"/>
    <x v="0"/>
    <s v="N/A"/>
    <s v="N/A"/>
    <s v="N/A"/>
    <s v="N/A"/>
    <s v="N/A"/>
    <s v="E. 1000 +"/>
    <s v="N/A"/>
    <s v="N/A"/>
    <s v="N/A"/>
    <n v="0"/>
    <n v="0"/>
    <s v="N/A"/>
    <s v="N/A"/>
    <s v="N/A"/>
    <s v="N/A"/>
    <s v="F"/>
    <s v="F"/>
    <s v="F"/>
    <s v="T"/>
    <s v="T"/>
    <s v="T"/>
    <s v="F"/>
    <s v="N/A"/>
    <s v="N/A"/>
    <s v="N/A"/>
    <s v="N/A"/>
    <s v="N/A"/>
    <n v="0"/>
    <n v="0"/>
    <m/>
    <m/>
    <m/>
    <m/>
    <m/>
    <x v="1"/>
  </r>
  <r>
    <s v="Navigators studentenvereniging Enschede"/>
    <x v="4"/>
    <x v="0"/>
    <n v="96"/>
    <n v="5"/>
    <n v="91"/>
    <n v="5.2083333333333336E-2"/>
    <n v="0.94791666666666663"/>
    <s v="B. 50 - 100"/>
    <n v="80"/>
    <n v="0"/>
    <n v="16"/>
    <n v="0"/>
    <n v="0"/>
    <n v="5"/>
    <n v="0"/>
    <s v="N/A"/>
    <n v="0.3125"/>
    <s v="T"/>
    <s v="T"/>
    <s v="T"/>
    <s v="T"/>
    <s v="T"/>
    <s v="T"/>
    <s v="T"/>
    <n v="0"/>
    <n v="0"/>
    <n v="0"/>
    <n v="0"/>
    <n v="0"/>
    <n v="0"/>
    <n v="26"/>
    <m/>
    <m/>
    <m/>
    <m/>
    <m/>
    <x v="1"/>
  </r>
  <r>
    <s v="Jongeren - en Studentenvereniging Exaltio"/>
    <x v="4"/>
    <x v="0"/>
    <s v="N/A"/>
    <s v="N/A"/>
    <s v="N/A"/>
    <s v="N/A"/>
    <s v="N/A"/>
    <s v="E. 1000 +"/>
    <s v="N/A"/>
    <s v="N/A"/>
    <s v="N/A"/>
    <n v="0"/>
    <n v="0"/>
    <s v="N/A"/>
    <s v="N/A"/>
    <s v="N/A"/>
    <s v="N/A"/>
    <s v="F"/>
    <s v="F"/>
    <s v="F"/>
    <s v="T"/>
    <s v="T"/>
    <s v="T"/>
    <s v="F"/>
    <s v="N/A"/>
    <s v="N/A"/>
    <s v="N/A"/>
    <s v="N/A"/>
    <s v="N/A"/>
    <n v="0"/>
    <n v="0"/>
    <m/>
    <m/>
    <m/>
    <m/>
    <m/>
    <x v="1"/>
  </r>
  <r>
    <s v="ISA AT UT"/>
    <x v="5"/>
    <x v="0"/>
    <s v="N/A"/>
    <s v="N/A"/>
    <s v="N/A"/>
    <s v="N/A"/>
    <s v="N/A"/>
    <s v="E. 1000 +"/>
    <s v="N/A"/>
    <s v="N/A"/>
    <s v="N/A"/>
    <n v="0"/>
    <n v="0"/>
    <s v="N/A"/>
    <s v="N/A"/>
    <s v="N/A"/>
    <s v="N/A"/>
    <s v="F"/>
    <s v="F"/>
    <s v="F"/>
    <s v="T"/>
    <s v="T"/>
    <s v="T"/>
    <s v="F"/>
    <s v="N/A"/>
    <s v="N/A"/>
    <s v="N/A"/>
    <s v="N/A"/>
    <s v="N/A"/>
    <n v="0"/>
    <n v="0"/>
    <m/>
    <m/>
    <m/>
    <m/>
    <m/>
    <x v="1"/>
  </r>
  <r>
    <s v="Student Union"/>
    <x v="6"/>
    <x v="1"/>
    <n v="6"/>
    <n v="0"/>
    <n v="6"/>
    <n v="0"/>
    <n v="1"/>
    <s v=" A. 1 - 50 "/>
    <n v="0"/>
    <n v="0"/>
    <n v="6"/>
    <n v="0"/>
    <n v="0"/>
    <s v="N/A"/>
    <s v="N/A"/>
    <s v="N/A"/>
    <s v="N/A"/>
    <s v="T"/>
    <s v="F"/>
    <s v="F"/>
    <s v="T"/>
    <s v="F"/>
    <s v="T"/>
    <s v="F"/>
    <n v="0"/>
    <n v="5"/>
    <n v="12"/>
    <n v="8"/>
    <n v="1"/>
    <n v="26"/>
    <n v="5"/>
    <m/>
    <m/>
    <m/>
    <m/>
    <m/>
    <x v="1"/>
  </r>
  <r>
    <s v="LA Voz"/>
    <x v="0"/>
    <x v="0"/>
    <n v="5"/>
    <n v="2"/>
    <n v="3"/>
    <n v="0.4"/>
    <n v="0.6"/>
    <s v=" A. 1 - 50 "/>
    <n v="5"/>
    <n v="4"/>
    <s v="N/A"/>
    <n v="4"/>
    <n v="1"/>
    <s v="N/A"/>
    <n v="2"/>
    <n v="0.25"/>
    <s v="N/A"/>
    <s v="F"/>
    <s v="F"/>
    <s v="F"/>
    <s v="T"/>
    <s v="T"/>
    <s v="T"/>
    <s v="F"/>
    <s v="N/A"/>
    <s v="N/A"/>
    <s v="N/A"/>
    <s v="N/A"/>
    <s v="N/A"/>
    <n v="0"/>
    <n v="1"/>
    <m/>
    <m/>
    <m/>
    <m/>
    <m/>
    <x v="1"/>
  </r>
  <r>
    <s v="ESN Twente"/>
    <x v="5"/>
    <x v="1"/>
    <n v="800"/>
    <n v="0"/>
    <n v="800"/>
    <n v="0"/>
    <n v="1"/>
    <s v="D. 400 - 1000"/>
    <n v="0"/>
    <n v="350"/>
    <n v="450"/>
    <n v="0"/>
    <n v="0"/>
    <s v="N/A"/>
    <s v="N/A"/>
    <n v="0"/>
    <s v="N/A"/>
    <s v="T"/>
    <s v="F"/>
    <s v="F"/>
    <s v="T"/>
    <s v="F"/>
    <s v="T"/>
    <s v="F"/>
    <n v="0"/>
    <n v="0"/>
    <n v="2"/>
    <n v="0"/>
    <n v="0"/>
    <n v="2"/>
    <n v="1"/>
    <m/>
    <m/>
    <m/>
    <m/>
    <m/>
    <x v="1"/>
  </r>
  <r>
    <s v="ICF-E"/>
    <x v="5"/>
    <x v="1"/>
    <n v="100"/>
    <n v="0"/>
    <n v="100"/>
    <n v="0"/>
    <n v="1"/>
    <s v="C. 100 - 400"/>
    <n v="0"/>
    <n v="40"/>
    <n v="60"/>
    <n v="0"/>
    <n v="0"/>
    <s v="N/A"/>
    <s v="N/A"/>
    <n v="0"/>
    <s v="N/A"/>
    <s v="T"/>
    <s v="F"/>
    <s v="F"/>
    <s v="T"/>
    <s v="F"/>
    <s v="T"/>
    <s v="F"/>
    <n v="5"/>
    <n v="2"/>
    <n v="1"/>
    <n v="0"/>
    <n v="10"/>
    <n v="18"/>
    <n v="11"/>
    <m/>
    <m/>
    <m/>
    <m/>
    <m/>
    <x v="1"/>
  </r>
  <r>
    <s v="PSA"/>
    <x v="5"/>
    <x v="0"/>
    <s v="N/A"/>
    <s v="N/A"/>
    <s v="N/A"/>
    <s v="N/A"/>
    <s v="N/A"/>
    <s v="E. 1000 +"/>
    <s v="N/A"/>
    <s v="N/A"/>
    <s v="N/A"/>
    <n v="0"/>
    <n v="0"/>
    <s v="N/A"/>
    <s v="N/A"/>
    <s v="N/A"/>
    <s v="N/A"/>
    <s v="F"/>
    <s v="F"/>
    <s v="F"/>
    <s v="T"/>
    <s v="T"/>
    <s v="T"/>
    <s v="F"/>
    <s v="N/A"/>
    <s v="N/A"/>
    <s v="N/A"/>
    <s v="N/A"/>
    <s v="N/A"/>
    <n v="0"/>
    <n v="0"/>
    <m/>
    <m/>
    <m/>
    <m/>
    <m/>
    <x v="1"/>
  </r>
  <r>
    <s v="SUUT"/>
    <x v="5"/>
    <x v="0"/>
    <s v="N/A"/>
    <s v="N/A"/>
    <s v="N/A"/>
    <s v="N/A"/>
    <s v="N/A"/>
    <s v="E. 1000 +"/>
    <s v="N/A"/>
    <s v="N/A"/>
    <s v="N/A"/>
    <n v="0"/>
    <n v="0"/>
    <s v="N/A"/>
    <s v="N/A"/>
    <s v="N/A"/>
    <s v="N/A"/>
    <s v="F"/>
    <s v="F"/>
    <s v="F"/>
    <s v="T"/>
    <s v="T"/>
    <s v="T"/>
    <s v="F"/>
    <s v="N/A"/>
    <s v="N/A"/>
    <s v="N/A"/>
    <s v="N/A"/>
    <s v="N/A"/>
    <n v="0"/>
    <n v="0"/>
    <m/>
    <m/>
    <m/>
    <m/>
    <m/>
    <x v="1"/>
  </r>
  <r>
    <s v="RSA"/>
    <x v="5"/>
    <x v="0"/>
    <s v="N/A"/>
    <s v="N/A"/>
    <s v="N/A"/>
    <s v="N/A"/>
    <s v="N/A"/>
    <s v="E. 1000 +"/>
    <s v="N/A"/>
    <s v="N/A"/>
    <s v="N/A"/>
    <n v="0"/>
    <n v="0"/>
    <s v="N/A"/>
    <s v="N/A"/>
    <s v="N/A"/>
    <s v="N/A"/>
    <s v="F"/>
    <s v="F"/>
    <s v="F"/>
    <s v="T"/>
    <s v="T"/>
    <s v="T"/>
    <s v="F"/>
    <s v="N/A"/>
    <s v="N/A"/>
    <s v="N/A"/>
    <s v="N/A"/>
    <s v="N/A"/>
    <n v="0"/>
    <n v="0"/>
    <m/>
    <m/>
    <m/>
    <m/>
    <m/>
    <x v="1"/>
  </r>
  <r>
    <s v="UT Muslims"/>
    <x v="5"/>
    <x v="0"/>
    <n v="57"/>
    <n v="5"/>
    <n v="52"/>
    <n v="8.771929824561403E-2"/>
    <n v="0.91228070175438591"/>
    <s v="B. 50 - 100"/>
    <n v="15"/>
    <n v="36"/>
    <n v="6"/>
    <n v="6"/>
    <n v="1"/>
    <s v="N/A"/>
    <n v="1.2"/>
    <n v="2.7777777777777776E-2"/>
    <s v="N/A"/>
    <s v="T"/>
    <s v="F"/>
    <s v="F"/>
    <s v="T"/>
    <s v="F"/>
    <s v="T"/>
    <s v="F"/>
    <n v="8"/>
    <n v="2"/>
    <n v="0"/>
    <n v="0"/>
    <n v="3"/>
    <n v="13"/>
    <n v="0"/>
    <m/>
    <m/>
    <m/>
    <m/>
    <m/>
    <x v="1"/>
  </r>
  <r>
    <s v="SUT"/>
    <x v="1"/>
    <x v="1"/>
    <n v="3"/>
    <n v="0"/>
    <n v="3"/>
    <n v="0"/>
    <n v="1"/>
    <s v=" A. 1 - 50 "/>
    <n v="0"/>
    <s v="N/A"/>
    <s v="N/A"/>
    <n v="0"/>
    <n v="0"/>
    <s v="N/A"/>
    <s v="N/A"/>
    <s v="N/A"/>
    <s v="N/A"/>
    <s v="F"/>
    <s v="F"/>
    <s v="F"/>
    <s v="T"/>
    <s v="T"/>
    <s v="T"/>
    <s v="F"/>
    <n v="0"/>
    <n v="1"/>
    <n v="3"/>
    <n v="8"/>
    <n v="2"/>
    <n v="14"/>
    <n v="5"/>
    <m/>
    <m/>
    <m/>
    <m/>
    <m/>
    <x v="1"/>
  </r>
  <r>
    <s v="Cultuurkoepel Apollo"/>
    <x v="0"/>
    <x v="1"/>
    <n v="3"/>
    <n v="0"/>
    <n v="3"/>
    <n v="0"/>
    <n v="1"/>
    <s v=" A. 1 - 50 "/>
    <n v="0"/>
    <n v="0"/>
    <n v="3"/>
    <n v="0"/>
    <n v="0"/>
    <s v="N/A"/>
    <s v="N/A"/>
    <s v="N/A"/>
    <s v="N/A"/>
    <s v="T"/>
    <s v="F"/>
    <s v="F"/>
    <s v="T"/>
    <s v="F"/>
    <s v="T"/>
    <s v="F"/>
    <n v="1"/>
    <n v="5"/>
    <n v="11"/>
    <n v="11"/>
    <n v="6"/>
    <n v="34"/>
    <n v="15"/>
    <m/>
    <m/>
    <m/>
    <m/>
    <m/>
    <x v="1"/>
  </r>
  <r>
    <s v="PKVV Fact"/>
    <x v="4"/>
    <x v="1"/>
    <n v="5"/>
    <n v="0"/>
    <n v="5"/>
    <n v="0"/>
    <n v="1"/>
    <s v=" A. 1 - 50 "/>
    <n v="0"/>
    <n v="0"/>
    <n v="5"/>
    <n v="0"/>
    <n v="0"/>
    <s v="N/A"/>
    <s v="N/A"/>
    <s v="N/A"/>
    <s v="N/A"/>
    <s v="T"/>
    <s v="F"/>
    <s v="F"/>
    <s v="T"/>
    <s v="F"/>
    <s v="T"/>
    <s v="F"/>
    <n v="1"/>
    <n v="4"/>
    <n v="4"/>
    <n v="3"/>
    <n v="6"/>
    <n v="18"/>
    <n v="2"/>
    <m/>
    <m/>
    <m/>
    <m/>
    <m/>
    <x v="1"/>
  </r>
  <r>
    <s v="UniTe"/>
    <x v="5"/>
    <x v="1"/>
    <n v="7"/>
    <n v="0"/>
    <n v="7"/>
    <n v="0"/>
    <n v="1"/>
    <s v=" A. 1 - 50 "/>
    <n v="0"/>
    <n v="6"/>
    <n v="1"/>
    <n v="0"/>
    <n v="0"/>
    <s v="N/A"/>
    <s v="N/A"/>
    <n v="0"/>
    <s v="N/A"/>
    <s v="T"/>
    <s v="F"/>
    <s v="F"/>
    <s v="T"/>
    <s v="F"/>
    <s v="T"/>
    <s v="F"/>
    <n v="0"/>
    <n v="1"/>
    <n v="0"/>
    <n v="3"/>
    <n v="3"/>
    <n v="7"/>
    <n v="0"/>
    <m/>
    <m/>
    <m/>
    <m/>
    <m/>
    <x v="1"/>
  </r>
  <r>
    <s v="Bedrijvendagen"/>
    <x v="6"/>
    <x v="1"/>
    <n v="0"/>
    <n v="0"/>
    <n v="0"/>
    <s v="N/A"/>
    <s v="N/A"/>
    <s v="N/A"/>
    <n v="0"/>
    <s v="N/A"/>
    <s v="N/A"/>
    <n v="0"/>
    <n v="0"/>
    <s v="N/A"/>
    <s v="N/A"/>
    <s v="N/A"/>
    <s v="N/A"/>
    <s v="F"/>
    <s v="F"/>
    <s v="F"/>
    <s v="T"/>
    <s v="T"/>
    <s v="T"/>
    <s v="F"/>
    <s v="N/A"/>
    <s v="N/A"/>
    <s v="N/A"/>
    <s v="N/A"/>
    <s v="N/A"/>
    <n v="0"/>
    <n v="1"/>
    <m/>
    <m/>
    <m/>
    <m/>
    <m/>
    <x v="1"/>
  </r>
  <r>
    <s v="Duitenberg"/>
    <x v="6"/>
    <x v="0"/>
    <s v="N/A"/>
    <s v="N/A"/>
    <s v="N/A"/>
    <s v="N/A"/>
    <s v="N/A"/>
    <s v="E. 1000 +"/>
    <s v="N/A"/>
    <s v="N/A"/>
    <s v="N/A"/>
    <n v="0"/>
    <n v="0"/>
    <s v="N/A"/>
    <s v="N/A"/>
    <s v="N/A"/>
    <s v="N/A"/>
    <s v="F"/>
    <s v="F"/>
    <s v="F"/>
    <s v="T"/>
    <s v="T"/>
    <s v="T"/>
    <s v="F"/>
    <s v="N/A"/>
    <s v="N/A"/>
    <s v="N/A"/>
    <s v="N/A"/>
    <s v="N/A"/>
    <n v="0"/>
    <n v="0"/>
    <m/>
    <m/>
    <m/>
    <m/>
    <m/>
    <x v="1"/>
  </r>
  <r>
    <s v="Integrand Twente"/>
    <x v="6"/>
    <x v="1"/>
    <n v="9"/>
    <n v="0"/>
    <n v="9"/>
    <n v="0"/>
    <n v="1"/>
    <s v=" A. 1 - 50 "/>
    <n v="0"/>
    <n v="0"/>
    <n v="9"/>
    <n v="0"/>
    <n v="0"/>
    <s v="N/A"/>
    <s v="N/A"/>
    <s v="N/A"/>
    <s v="N/A"/>
    <s v="T"/>
    <s v="F"/>
    <s v="F"/>
    <s v="T"/>
    <s v="F"/>
    <s v="T"/>
    <s v="F"/>
    <n v="0"/>
    <n v="0"/>
    <n v="6"/>
    <n v="2"/>
    <n v="0"/>
    <n v="8"/>
    <n v="1"/>
    <m/>
    <m/>
    <m/>
    <m/>
    <m/>
    <x v="1"/>
  </r>
  <r>
    <s v="KIVI Students Twente"/>
    <x v="3"/>
    <x v="1"/>
    <n v="7"/>
    <n v="0"/>
    <n v="7"/>
    <n v="0"/>
    <n v="1"/>
    <s v=" A. 1 - 50 "/>
    <n v="0"/>
    <n v="0"/>
    <n v="7"/>
    <n v="0"/>
    <n v="0"/>
    <s v="N/A"/>
    <s v="N/A"/>
    <s v="N/A"/>
    <s v="N/A"/>
    <s v="T"/>
    <s v="F"/>
    <s v="F"/>
    <s v="T"/>
    <s v="F"/>
    <s v="T"/>
    <s v="F"/>
    <n v="0"/>
    <n v="0"/>
    <n v="0"/>
    <n v="0"/>
    <n v="0"/>
    <n v="0"/>
    <n v="4"/>
    <m/>
    <m/>
    <m/>
    <m/>
    <m/>
    <x v="1"/>
  </r>
  <r>
    <s v="Unipartners"/>
    <x v="6"/>
    <x v="1"/>
    <s v="N/A"/>
    <s v="N/A"/>
    <s v="N/A"/>
    <s v="N/A"/>
    <s v="N/A"/>
    <s v="E. 1000 +"/>
    <s v="N/A"/>
    <s v="N/A"/>
    <s v="N/A"/>
    <n v="0"/>
    <n v="0"/>
    <s v="N/A"/>
    <s v="N/A"/>
    <s v="N/A"/>
    <s v="N/A"/>
    <s v="F"/>
    <s v="F"/>
    <s v="F"/>
    <s v="T"/>
    <s v="T"/>
    <s v="T"/>
    <s v="F"/>
    <s v="N/A"/>
    <s v="N/A"/>
    <s v="N/A"/>
    <s v="N/A"/>
    <s v="N/A"/>
    <n v="0"/>
    <n v="0"/>
    <m/>
    <m/>
    <m/>
    <m/>
    <m/>
    <x v="1"/>
  </r>
  <r>
    <s v="DSIF"/>
    <x v="6"/>
    <x v="1"/>
    <s v="N/A"/>
    <s v="N/A"/>
    <s v="N/A"/>
    <s v="N/A"/>
    <s v="N/A"/>
    <s v="E. 1000 +"/>
    <s v="N/A"/>
    <s v="N/A"/>
    <s v="N/A"/>
    <n v="0"/>
    <n v="0"/>
    <s v="N/A"/>
    <s v="N/A"/>
    <s v="N/A"/>
    <s v="N/A"/>
    <s v="F"/>
    <s v="F"/>
    <s v="F"/>
    <s v="T"/>
    <s v="T"/>
    <s v="T"/>
    <s v="F"/>
    <s v="N/A"/>
    <s v="N/A"/>
    <s v="N/A"/>
    <s v="N/A"/>
    <s v="N/A"/>
    <n v="0"/>
    <n v="0"/>
    <m/>
    <m/>
    <m/>
    <m/>
    <m/>
    <x v="1"/>
  </r>
  <r>
    <s v="Hive01"/>
    <x v="6"/>
    <x v="1"/>
    <n v="5"/>
    <n v="0"/>
    <n v="5"/>
    <n v="0"/>
    <n v="1"/>
    <s v=" A. 1 - 50 "/>
    <n v="0"/>
    <n v="1"/>
    <n v="4"/>
    <n v="0"/>
    <n v="0"/>
    <s v="N/A"/>
    <s v="N/A"/>
    <n v="0"/>
    <s v="N/A"/>
    <s v="T"/>
    <s v="F"/>
    <s v="F"/>
    <s v="T"/>
    <s v="F"/>
    <s v="T"/>
    <s v="F"/>
    <s v="N/A"/>
    <s v="N/A"/>
    <s v="N/A"/>
    <s v="N/A"/>
    <s v="N/A"/>
    <n v="0"/>
    <n v="0"/>
    <m/>
    <m/>
    <m/>
    <m/>
    <m/>
    <x v="1"/>
  </r>
  <r>
    <s v="Green Team Twente"/>
    <x v="6"/>
    <x v="1"/>
    <n v="28"/>
    <n v="0"/>
    <n v="28"/>
    <n v="0"/>
    <n v="1"/>
    <s v=" A. 1 - 50 "/>
    <n v="0"/>
    <n v="1"/>
    <n v="27"/>
    <n v="0"/>
    <n v="0"/>
    <s v="N/A"/>
    <s v="N/A"/>
    <n v="0"/>
    <s v="N/A"/>
    <s v="T"/>
    <s v="F"/>
    <s v="F"/>
    <s v="T"/>
    <s v="F"/>
    <s v="T"/>
    <s v="F"/>
    <s v="N/A"/>
    <s v="N/A"/>
    <s v="N/A"/>
    <s v="N/A"/>
    <s v="N/A"/>
    <n v="0"/>
    <n v="1"/>
    <m/>
    <m/>
    <m/>
    <m/>
    <m/>
    <x v="1"/>
  </r>
  <r>
    <s v="IAPC"/>
    <x v="6"/>
    <x v="1"/>
    <n v="92"/>
    <n v="0"/>
    <n v="92"/>
    <n v="0"/>
    <n v="1"/>
    <s v="B. 50 - 100"/>
    <n v="0"/>
    <n v="0"/>
    <n v="92"/>
    <n v="0"/>
    <n v="0"/>
    <s v="N/A"/>
    <s v="N/A"/>
    <s v="N/A"/>
    <s v="N/A"/>
    <s v="T"/>
    <s v="F"/>
    <s v="F"/>
    <s v="T"/>
    <s v="F"/>
    <s v="T"/>
    <s v="F"/>
    <n v="0"/>
    <n v="13"/>
    <n v="5"/>
    <n v="0"/>
    <n v="1"/>
    <n v="19"/>
    <n v="0"/>
    <m/>
    <m/>
    <m/>
    <m/>
    <m/>
    <x v="1"/>
  </r>
  <r>
    <s v="Stichting Borrelbeheer Zilvering"/>
    <x v="4"/>
    <x v="1"/>
    <n v="17"/>
    <n v="0"/>
    <n v="17"/>
    <n v="0"/>
    <n v="1"/>
    <s v=" A. 1 - 50 "/>
    <n v="0"/>
    <n v="0"/>
    <n v="17"/>
    <n v="0"/>
    <n v="0"/>
    <s v="N/A"/>
    <s v="N/A"/>
    <s v="N/A"/>
    <s v="N/A"/>
    <s v="T"/>
    <s v="F"/>
    <s v="F"/>
    <s v="T"/>
    <s v="F"/>
    <s v="T"/>
    <s v="F"/>
    <n v="0"/>
    <n v="0"/>
    <n v="6"/>
    <n v="2"/>
    <n v="0"/>
    <n v="8"/>
    <n v="0"/>
    <m/>
    <m/>
    <m/>
    <m/>
    <m/>
    <x v="1"/>
  </r>
  <r>
    <s v="Stichting Batavierenrace"/>
    <x v="1"/>
    <x v="1"/>
    <n v="120"/>
    <n v="0"/>
    <n v="120"/>
    <n v="0"/>
    <n v="1"/>
    <s v="C. 100 - 400"/>
    <n v="0"/>
    <n v="0"/>
    <n v="120"/>
    <n v="0"/>
    <n v="0"/>
    <s v="N/A"/>
    <s v="N/A"/>
    <s v="N/A"/>
    <s v="N/A"/>
    <s v="T"/>
    <s v="F"/>
    <s v="F"/>
    <s v="T"/>
    <s v="F"/>
    <s v="T"/>
    <s v="F"/>
    <n v="0"/>
    <n v="2"/>
    <n v="0"/>
    <n v="1"/>
    <n v="1"/>
    <n v="4"/>
    <n v="16"/>
    <m/>
    <m/>
    <m/>
    <m/>
    <m/>
    <x v="1"/>
  </r>
  <r>
    <s v="Stichting Solar Team Twente"/>
    <x v="6"/>
    <x v="1"/>
    <n v="21"/>
    <n v="0"/>
    <n v="21"/>
    <n v="0"/>
    <n v="1"/>
    <s v=" A. 1 - 50 "/>
    <n v="0"/>
    <n v="0"/>
    <n v="21"/>
    <n v="0"/>
    <n v="0"/>
    <s v="N/A"/>
    <s v="N/A"/>
    <s v="N/A"/>
    <s v="N/A"/>
    <s v="T"/>
    <s v="F"/>
    <s v="F"/>
    <s v="T"/>
    <s v="F"/>
    <s v="T"/>
    <s v="F"/>
    <n v="0"/>
    <n v="0"/>
    <n v="0"/>
    <n v="0"/>
    <n v="0"/>
    <n v="0"/>
    <n v="3"/>
    <m/>
    <m/>
    <m/>
    <m/>
    <m/>
    <x v="1"/>
  </r>
  <r>
    <s v="Studenten Net Twente"/>
    <x v="6"/>
    <x v="0"/>
    <s v="N/A"/>
    <s v="N/A"/>
    <s v="N/A"/>
    <s v="N/A"/>
    <s v="N/A"/>
    <s v="E. 1000 +"/>
    <s v="N/A"/>
    <s v="N/A"/>
    <s v="N/A"/>
    <n v="0"/>
    <n v="0"/>
    <s v="N/A"/>
    <s v="N/A"/>
    <s v="N/A"/>
    <s v="N/A"/>
    <s v="F"/>
    <s v="F"/>
    <s v="F"/>
    <s v="T"/>
    <s v="T"/>
    <s v="T"/>
    <s v="F"/>
    <s v="N/A"/>
    <s v="N/A"/>
    <s v="N/A"/>
    <s v="N/A"/>
    <s v="N/A"/>
    <n v="0"/>
    <n v="0"/>
    <m/>
    <m/>
    <m/>
    <m/>
    <m/>
    <x v="1"/>
  </r>
  <r>
    <s v="Vereniging Campus kabel"/>
    <x v="6"/>
    <x v="0"/>
    <s v="N/A"/>
    <s v="N/A"/>
    <s v="N/A"/>
    <s v="N/A"/>
    <s v="N/A"/>
    <s v="E. 1000 +"/>
    <s v="N/A"/>
    <s v="N/A"/>
    <s v="N/A"/>
    <n v="0"/>
    <n v="0"/>
    <s v="N/A"/>
    <s v="N/A"/>
    <s v="N/A"/>
    <s v="N/A"/>
    <s v="F"/>
    <s v="F"/>
    <s v="F"/>
    <s v="T"/>
    <s v="T"/>
    <s v="T"/>
    <s v="F"/>
    <s v="N/A"/>
    <s v="N/A"/>
    <s v="N/A"/>
    <s v="N/A"/>
    <s v="N/A"/>
    <n v="0"/>
    <n v="0"/>
    <m/>
    <m/>
    <m/>
    <m/>
    <m/>
    <x v="1"/>
  </r>
  <r>
    <s v="Werkgroep OntwikkelingsTechnieken"/>
    <x v="6"/>
    <x v="0"/>
    <s v="N/A"/>
    <s v="N/A"/>
    <s v="N/A"/>
    <s v="N/A"/>
    <s v="N/A"/>
    <s v="E. 1000 +"/>
    <s v="N/A"/>
    <s v="N/A"/>
    <s v="N/A"/>
    <n v="0"/>
    <n v="0"/>
    <s v="N/A"/>
    <s v="N/A"/>
    <s v="N/A"/>
    <s v="N/A"/>
    <s v="F"/>
    <s v="F"/>
    <s v="F"/>
    <s v="T"/>
    <s v="T"/>
    <s v="T"/>
    <s v="F"/>
    <s v="N/A"/>
    <s v="N/A"/>
    <s v="N/A"/>
    <s v="N/A"/>
    <s v="N/A"/>
    <n v="0"/>
    <n v="0"/>
    <m/>
    <m/>
    <m/>
    <m/>
    <m/>
    <x v="1"/>
  </r>
  <r>
    <s v="Borrelbeheer TAP"/>
    <x v="4"/>
    <x v="1"/>
    <n v="300"/>
    <n v="0"/>
    <n v="300"/>
    <n v="0"/>
    <n v="1"/>
    <s v="C. 100 - 400"/>
    <n v="0"/>
    <n v="50"/>
    <n v="250"/>
    <n v="0"/>
    <n v="0"/>
    <s v="N/A"/>
    <s v="N/A"/>
    <n v="0"/>
    <s v="N/A"/>
    <s v="T"/>
    <s v="F"/>
    <s v="F"/>
    <s v="T"/>
    <s v="F"/>
    <s v="T"/>
    <s v="F"/>
    <s v="N/A"/>
    <s v="N/A"/>
    <s v="N/A"/>
    <s v="N/A"/>
    <s v="N/A"/>
    <n v="0"/>
    <n v="1"/>
    <m/>
    <m/>
    <m/>
    <m/>
    <m/>
    <x v="1"/>
  </r>
  <r>
    <s v="Studentenstam Radix"/>
    <x v="1"/>
    <x v="0"/>
    <n v="38"/>
    <n v="3"/>
    <n v="35"/>
    <n v="7.8947368421052627E-2"/>
    <n v="0.92105263157894735"/>
    <s v=" A. 1 - 50 "/>
    <n v="20"/>
    <n v="0"/>
    <n v="18"/>
    <n v="0"/>
    <n v="0"/>
    <n v="3"/>
    <n v="0"/>
    <s v="N/A"/>
    <n v="0.16666666666666666"/>
    <s v="T"/>
    <s v="T"/>
    <s v="T"/>
    <s v="T"/>
    <s v="T"/>
    <s v="T"/>
    <s v="T"/>
    <n v="0"/>
    <n v="0"/>
    <n v="0"/>
    <n v="0"/>
    <n v="0"/>
    <n v="0"/>
    <n v="5"/>
    <m/>
    <m/>
    <m/>
    <m/>
    <m/>
    <x v="1"/>
  </r>
  <r>
    <s v="IEEE Student Branch"/>
    <x v="6"/>
    <x v="1"/>
    <s v="N/A"/>
    <s v="N/A"/>
    <s v="N/A"/>
    <s v="N/A"/>
    <s v="N/A"/>
    <s v="E. 1000 +"/>
    <s v="N/A"/>
    <s v="N/A"/>
    <s v="N/A"/>
    <n v="0"/>
    <n v="0"/>
    <s v="N/A"/>
    <s v="N/A"/>
    <s v="N/A"/>
    <s v="N/A"/>
    <s v="F"/>
    <s v="F"/>
    <s v="F"/>
    <s v="T"/>
    <s v="T"/>
    <s v="T"/>
    <s v="F"/>
    <s v="N/A"/>
    <s v="N/A"/>
    <s v="N/A"/>
    <s v="N/A"/>
    <s v="N/A"/>
    <n v="0"/>
    <n v="0"/>
    <m/>
    <m/>
    <m/>
    <m/>
    <m/>
    <x v="1"/>
  </r>
  <r>
    <s v="Stichting Solar Boat Twente"/>
    <x v="6"/>
    <x v="1"/>
    <n v="21"/>
    <n v="0"/>
    <n v="21"/>
    <n v="0"/>
    <n v="1"/>
    <s v=" A. 1 - 50 "/>
    <n v="0"/>
    <n v="0"/>
    <n v="21"/>
    <n v="0"/>
    <n v="0"/>
    <s v="N/A"/>
    <s v="N/A"/>
    <s v="N/A"/>
    <s v="N/A"/>
    <s v="T"/>
    <s v="F"/>
    <s v="F"/>
    <s v="T"/>
    <s v="F"/>
    <s v="T"/>
    <s v="F"/>
    <s v="N/A"/>
    <s v="N/A"/>
    <s v="N/A"/>
    <s v="N/A"/>
    <s v="N/A"/>
    <n v="0"/>
    <n v="1"/>
    <m/>
    <m/>
    <m/>
    <m/>
    <m/>
    <x v="1"/>
  </r>
  <r>
    <s v="Stichting Robo Team Twente"/>
    <x v="6"/>
    <x v="1"/>
    <n v="11"/>
    <n v="0"/>
    <n v="11"/>
    <n v="0"/>
    <n v="1"/>
    <s v=" A. 1 - 50 "/>
    <n v="0"/>
    <n v="2"/>
    <n v="9"/>
    <n v="0"/>
    <n v="0"/>
    <s v="N/A"/>
    <s v="N/A"/>
    <n v="0"/>
    <s v="N/A"/>
    <s v="T"/>
    <s v="F"/>
    <s v="F"/>
    <s v="T"/>
    <s v="F"/>
    <s v="T"/>
    <s v="F"/>
    <n v="0"/>
    <n v="0"/>
    <n v="0"/>
    <n v="0"/>
    <n v="0"/>
    <n v="0"/>
    <n v="1"/>
    <m/>
    <m/>
    <m/>
    <m/>
    <m/>
    <x v="1"/>
  </r>
  <r>
    <s v="Stichting Electric Superbike Twente"/>
    <x v="6"/>
    <x v="1"/>
    <s v="N/A"/>
    <s v="N/A"/>
    <s v="N/A"/>
    <s v="N/A"/>
    <s v="N/A"/>
    <s v="E. 1000 +"/>
    <s v="N/A"/>
    <s v="N/A"/>
    <s v="N/A"/>
    <n v="0"/>
    <n v="0"/>
    <s v="N/A"/>
    <s v="N/A"/>
    <s v="N/A"/>
    <s v="N/A"/>
    <s v="F"/>
    <s v="F"/>
    <s v="F"/>
    <s v="T"/>
    <s v="T"/>
    <s v="T"/>
    <s v="F"/>
    <s v="N/A"/>
    <s v="N/A"/>
    <s v="N/A"/>
    <s v="N/A"/>
    <s v="N/A"/>
    <n v="0"/>
    <n v="0"/>
    <m/>
    <m/>
    <m/>
    <m/>
    <m/>
    <x v="1"/>
  </r>
  <r>
    <s v="De sevende camer"/>
    <x v="1"/>
    <x v="1"/>
    <n v="0"/>
    <n v="0"/>
    <n v="0"/>
    <s v="N/A"/>
    <s v="N/A"/>
    <s v="N/A"/>
    <n v="0"/>
    <n v="0"/>
    <s v="N/A"/>
    <n v="0"/>
    <n v="0"/>
    <s v="N/A"/>
    <s v="N/A"/>
    <s v="N/A"/>
    <s v="N/A"/>
    <s v="F"/>
    <s v="F"/>
    <s v="F"/>
    <s v="T"/>
    <s v="T"/>
    <s v="T"/>
    <s v="F"/>
    <s v="N/A"/>
    <s v="N/A"/>
    <s v="N/A"/>
    <s v="N/A"/>
    <s v="N/A"/>
    <n v="0"/>
    <n v="0"/>
    <m/>
    <m/>
    <m/>
    <m/>
    <m/>
    <x v="1"/>
  </r>
  <r>
    <s v="The negotiation project"/>
    <x v="4"/>
    <x v="1"/>
    <n v="25"/>
    <n v="0"/>
    <n v="25"/>
    <n v="0"/>
    <n v="1"/>
    <s v=" A. 1 - 50 "/>
    <n v="0"/>
    <n v="6"/>
    <n v="19"/>
    <n v="0"/>
    <n v="0"/>
    <s v="N/A"/>
    <s v="N/A"/>
    <n v="0"/>
    <s v="N/A"/>
    <s v="T"/>
    <s v="F"/>
    <s v="F"/>
    <s v="T"/>
    <s v="F"/>
    <s v="T"/>
    <s v="F"/>
    <n v="0"/>
    <n v="3"/>
    <n v="2"/>
    <n v="0"/>
    <n v="0"/>
    <n v="5"/>
    <n v="2"/>
    <m/>
    <m/>
    <m/>
    <m/>
    <m/>
    <x v="1"/>
  </r>
  <r>
    <s v="Drone Team Twente"/>
    <x v="6"/>
    <x v="1"/>
    <n v="26"/>
    <n v="0"/>
    <n v="26"/>
    <n v="0"/>
    <n v="1"/>
    <s v=" A. 1 - 50 "/>
    <n v="0"/>
    <n v="8"/>
    <n v="18"/>
    <n v="0"/>
    <n v="0"/>
    <s v="N/A"/>
    <s v="N/A"/>
    <n v="0"/>
    <s v="N/A"/>
    <s v="T"/>
    <s v="F"/>
    <s v="F"/>
    <s v="T"/>
    <s v="F"/>
    <s v="T"/>
    <s v="F"/>
    <n v="2"/>
    <n v="3"/>
    <n v="3"/>
    <n v="0"/>
    <n v="2"/>
    <n v="10"/>
    <n v="2"/>
    <m/>
    <m/>
    <m/>
    <m/>
    <m/>
    <x v="1"/>
  </r>
  <r>
    <s v="Sustain"/>
    <x v="6"/>
    <x v="0"/>
    <s v="N/A"/>
    <s v="N/A"/>
    <s v="N/A"/>
    <s v="N/A"/>
    <s v="N/A"/>
    <s v="E. 1000 +"/>
    <s v="N/A"/>
    <s v="N/A"/>
    <s v="N/A"/>
    <n v="0"/>
    <n v="0"/>
    <s v="N/A"/>
    <s v="N/A"/>
    <s v="N/A"/>
    <s v="N/A"/>
    <s v="F"/>
    <s v="F"/>
    <s v="F"/>
    <s v="T"/>
    <s v="T"/>
    <s v="T"/>
    <s v="F"/>
    <s v="N/A"/>
    <s v="N/A"/>
    <s v="N/A"/>
    <s v="N/A"/>
    <s v="N/A"/>
    <n v="0"/>
    <n v="0"/>
    <m/>
    <m/>
    <m/>
    <m/>
    <m/>
    <x v="1"/>
  </r>
  <r>
    <s v="Space Society"/>
    <x v="6"/>
    <x v="0"/>
    <n v="43"/>
    <n v="5"/>
    <n v="38"/>
    <n v="0.11627906976744186"/>
    <n v="0.88372093023255816"/>
    <s v=" A. 1 - 50 "/>
    <n v="16"/>
    <n v="15"/>
    <n v="12"/>
    <n v="6"/>
    <n v="4"/>
    <s v="N/A"/>
    <n v="1.2"/>
    <n v="0.26666666666666666"/>
    <s v="N/A"/>
    <s v="T"/>
    <s v="F"/>
    <s v="F"/>
    <s v="T"/>
    <s v="F"/>
    <s v="T"/>
    <s v="F"/>
    <s v="N/A"/>
    <s v="N/A"/>
    <s v="N/A"/>
    <s v="N/A"/>
    <s v="N/A"/>
    <n v="0"/>
    <n v="4"/>
    <m/>
    <m/>
    <m/>
    <m/>
    <m/>
    <x v="1"/>
  </r>
  <r>
    <s v="Drienerlose Stichting Torenhoog"/>
    <x v="6"/>
    <x v="1"/>
    <s v="N/A"/>
    <s v="N/A"/>
    <s v="N/A"/>
    <s v="N/A"/>
    <s v="N/A"/>
    <s v="E. 1000 +"/>
    <s v="N/A"/>
    <s v="N/A"/>
    <s v="N/A"/>
    <n v="0"/>
    <n v="0"/>
    <s v="N/A"/>
    <s v="N/A"/>
    <s v="N/A"/>
    <s v="N/A"/>
    <s v="F"/>
    <s v="F"/>
    <s v="F"/>
    <s v="T"/>
    <s v="T"/>
    <s v="T"/>
    <s v="F"/>
    <s v="N/A"/>
    <s v="N/A"/>
    <s v="N/A"/>
    <s v="N/A"/>
    <s v="N/A"/>
    <n v="0"/>
    <n v="0"/>
    <m/>
    <m/>
    <m/>
    <m/>
    <m/>
    <x v="1"/>
  </r>
  <r>
    <s v="Vereniging Overleg Studieverenigingen"/>
    <x v="3"/>
    <x v="0"/>
    <n v="20"/>
    <n v="0"/>
    <n v="20"/>
    <n v="0"/>
    <n v="1"/>
    <s v=" A. 1 - 50 "/>
    <n v="20"/>
    <n v="0"/>
    <s v="N/A"/>
    <n v="0"/>
    <n v="0"/>
    <s v="N/A"/>
    <s v="N/A"/>
    <s v="N/A"/>
    <s v="N/A"/>
    <s v="F"/>
    <s v="F"/>
    <s v="F"/>
    <s v="T"/>
    <s v="T"/>
    <s v="T"/>
    <s v="F"/>
    <n v="0"/>
    <n v="0"/>
    <n v="14"/>
    <n v="6"/>
    <n v="0"/>
    <n v="20"/>
    <n v="7"/>
    <m/>
    <m/>
    <m/>
    <m/>
    <m/>
    <x v="1"/>
  </r>
  <r>
    <s v="IrNUT"/>
    <x v="6"/>
    <x v="0"/>
    <s v="N/A"/>
    <s v="N/A"/>
    <s v="N/A"/>
    <s v="N/A"/>
    <s v="N/A"/>
    <s v="E. 1000 +"/>
    <s v="N/A"/>
    <s v="N/A"/>
    <s v="N/A"/>
    <n v="0"/>
    <n v="0"/>
    <s v="N/A"/>
    <s v="N/A"/>
    <s v="N/A"/>
    <s v="N/A"/>
    <s v="F"/>
    <s v="F"/>
    <s v="F"/>
    <s v="T"/>
    <s v="T"/>
    <s v="T"/>
    <s v="F"/>
    <s v="N/A"/>
    <s v="N/A"/>
    <s v="N/A"/>
    <s v="N/A"/>
    <s v="N/A"/>
    <n v="0"/>
    <n v="0"/>
    <m/>
    <m/>
    <m/>
    <m/>
    <m/>
    <x v="1"/>
  </r>
  <r>
    <s v="Stichting Societeit Antigoon"/>
    <x v="6"/>
    <x v="1"/>
    <n v="0"/>
    <n v="0"/>
    <n v="0"/>
    <s v="N/A"/>
    <s v="N/A"/>
    <s v="N/A"/>
    <n v="0"/>
    <n v="0"/>
    <s v="N/A"/>
    <n v="0"/>
    <n v="0"/>
    <s v="N/A"/>
    <s v="N/A"/>
    <s v="N/A"/>
    <s v="N/A"/>
    <s v="F"/>
    <s v="F"/>
    <s v="F"/>
    <s v="T"/>
    <s v="T"/>
    <s v="T"/>
    <s v="F"/>
    <s v="N/A"/>
    <s v="N/A"/>
    <s v="N/A"/>
    <s v="N/A"/>
    <s v="N/A"/>
    <n v="0"/>
    <n v="0"/>
    <m/>
    <m/>
    <m/>
    <m/>
    <m/>
    <x v="1"/>
  </r>
  <r>
    <s v="Stichting Societeit TRAM"/>
    <x v="5"/>
    <x v="1"/>
    <s v="N/A"/>
    <s v="N/A"/>
    <s v="N/A"/>
    <s v="N/A"/>
    <s v="N/A"/>
    <s v="E. 1000 +"/>
    <s v="N/A"/>
    <s v="N/A"/>
    <s v="N/A"/>
    <n v="0"/>
    <n v="0"/>
    <s v="N/A"/>
    <s v="N/A"/>
    <s v="N/A"/>
    <s v="N/A"/>
    <s v="F"/>
    <s v="F"/>
    <s v="F"/>
    <s v="T"/>
    <s v="T"/>
    <s v="T"/>
    <s v="F"/>
    <s v="N/A"/>
    <s v="N/A"/>
    <s v="N/A"/>
    <s v="N/A"/>
    <s v="N/A"/>
    <n v="0"/>
    <n v="0"/>
    <m/>
    <m/>
    <m/>
    <m/>
    <m/>
    <x v="1"/>
  </r>
  <r>
    <s v="Stichting Societeit Flux"/>
    <x v="4"/>
    <x v="1"/>
    <n v="0"/>
    <n v="0"/>
    <n v="0"/>
    <s v="N/A"/>
    <s v="N/A"/>
    <s v="N/A"/>
    <n v="0"/>
    <n v="0"/>
    <s v="N/A"/>
    <n v="0"/>
    <n v="0"/>
    <s v="N/A"/>
    <s v="N/A"/>
    <s v="N/A"/>
    <s v="N/A"/>
    <s v="F"/>
    <s v="F"/>
    <s v="F"/>
    <s v="T"/>
    <s v="T"/>
    <s v="T"/>
    <s v="F"/>
    <s v="N/A"/>
    <s v="N/A"/>
    <s v="N/A"/>
    <s v="N/A"/>
    <s v="N/A"/>
    <n v="0"/>
    <n v="3"/>
    <m/>
    <m/>
    <m/>
    <m/>
    <m/>
    <x v="1"/>
  </r>
  <r>
    <s v="Stichting Societeit Asterion"/>
    <x v="4"/>
    <x v="1"/>
    <n v="0"/>
    <n v="0"/>
    <n v="0"/>
    <s v="N/A"/>
    <s v="N/A"/>
    <s v="N/A"/>
    <n v="0"/>
    <n v="0"/>
    <s v="N/A"/>
    <n v="0"/>
    <n v="0"/>
    <s v="N/A"/>
    <s v="N/A"/>
    <s v="N/A"/>
    <s v="N/A"/>
    <s v="F"/>
    <s v="F"/>
    <s v="F"/>
    <s v="T"/>
    <s v="T"/>
    <s v="T"/>
    <s v="F"/>
    <s v="N/A"/>
    <s v="N/A"/>
    <s v="N/A"/>
    <s v="N/A"/>
    <s v="N/A"/>
    <n v="0"/>
    <n v="5"/>
    <m/>
    <m/>
    <m/>
    <m/>
    <m/>
    <x v="1"/>
  </r>
  <r>
    <s v="Stichting Kantine Sportcentrum"/>
    <x v="6"/>
    <x v="1"/>
    <s v="N/A"/>
    <s v="N/A"/>
    <s v="N/A"/>
    <s v="N/A"/>
    <s v="N/A"/>
    <s v="E. 1000 +"/>
    <s v="N/A"/>
    <s v="N/A"/>
    <s v="N/A"/>
    <n v="0"/>
    <n v="0"/>
    <s v="N/A"/>
    <s v="N/A"/>
    <s v="N/A"/>
    <s v="N/A"/>
    <s v="F"/>
    <s v="F"/>
    <s v="F"/>
    <s v="T"/>
    <s v="T"/>
    <s v="T"/>
    <s v="F"/>
    <s v="N/A"/>
    <s v="N/A"/>
    <s v="N/A"/>
    <s v="N/A"/>
    <s v="N/A"/>
    <n v="0"/>
    <n v="0"/>
    <m/>
    <m/>
    <m/>
    <m/>
    <m/>
    <x v="1"/>
  </r>
  <r>
    <s v="VGST"/>
    <x v="6"/>
    <x v="0"/>
    <n v="79"/>
    <n v="1"/>
    <n v="78"/>
    <n v="1.2658227848101266E-2"/>
    <n v="0.98734177215189878"/>
    <s v="B. 50 - 100"/>
    <n v="65"/>
    <n v="0"/>
    <n v="14"/>
    <n v="0"/>
    <n v="0"/>
    <n v="1"/>
    <n v="0"/>
    <s v="N/A"/>
    <n v="7.1428571428571425E-2"/>
    <s v="T"/>
    <s v="T"/>
    <s v="T"/>
    <s v="T"/>
    <s v="T"/>
    <s v="T"/>
    <s v="T"/>
    <s v="N/A"/>
    <s v="N/A"/>
    <s v="N/A"/>
    <s v="N/A"/>
    <s v="N/A"/>
    <n v="0"/>
    <n v="0"/>
    <m/>
    <m/>
    <m/>
    <m/>
    <m/>
    <x v="1"/>
  </r>
  <r>
    <s v="Stichting t Fluitje"/>
    <x v="6"/>
    <x v="1"/>
    <n v="4"/>
    <n v="0"/>
    <n v="4"/>
    <n v="0"/>
    <n v="1"/>
    <s v=" A. 1 - 50 "/>
    <n v="0"/>
    <n v="0"/>
    <n v="4"/>
    <n v="0"/>
    <n v="0"/>
    <s v="N/A"/>
    <s v="N/A"/>
    <s v="N/A"/>
    <s v="N/A"/>
    <s v="T"/>
    <s v="F"/>
    <s v="F"/>
    <s v="T"/>
    <s v="F"/>
    <s v="T"/>
    <s v="F"/>
    <n v="0"/>
    <n v="0"/>
    <n v="1"/>
    <n v="3"/>
    <n v="2"/>
    <n v="6"/>
    <n v="3"/>
    <m/>
    <m/>
    <m/>
    <m/>
    <m/>
    <x v="1"/>
  </r>
  <r>
    <s v="Enactus Twente"/>
    <x v="4"/>
    <x v="1"/>
    <s v="N/A"/>
    <s v="N/A"/>
    <s v="N/A"/>
    <s v="N/A"/>
    <s v="N/A"/>
    <s v="E. 1000 +"/>
    <s v="N/A"/>
    <s v="N/A"/>
    <s v="N/A"/>
    <n v="0"/>
    <n v="0"/>
    <s v="N/A"/>
    <s v="N/A"/>
    <s v="N/A"/>
    <s v="N/A"/>
    <s v="F"/>
    <s v="F"/>
    <s v="F"/>
    <s v="T"/>
    <s v="T"/>
    <s v="T"/>
    <s v="F"/>
    <s v="N/A"/>
    <s v="N/A"/>
    <s v="N/A"/>
    <s v="N/A"/>
    <s v="N/A"/>
    <n v="0"/>
    <n v="0"/>
    <m/>
    <m/>
    <m/>
    <m/>
    <m/>
    <x v="1"/>
  </r>
  <r>
    <s v="Eurasian Student Organisation"/>
    <x v="5"/>
    <x v="0"/>
    <n v="200"/>
    <n v="15"/>
    <n v="185"/>
    <n v="7.4999999999999997E-2"/>
    <n v="0.92500000000000004"/>
    <s v="C. 100 - 400"/>
    <n v="20"/>
    <n v="200"/>
    <s v="N/A"/>
    <n v="20"/>
    <n v="5"/>
    <s v="N/A"/>
    <n v="1.3333333333333333"/>
    <n v="2.5000000000000001E-2"/>
    <s v="N/A"/>
    <s v="F"/>
    <s v="F"/>
    <s v="F"/>
    <s v="T"/>
    <s v="T"/>
    <s v="T"/>
    <s v="F"/>
    <n v="5"/>
    <n v="1"/>
    <n v="2"/>
    <n v="0"/>
    <n v="0"/>
    <n v="8"/>
    <n v="3"/>
    <m/>
    <m/>
    <m/>
    <m/>
    <m/>
    <x v="1"/>
  </r>
  <r>
    <s v="Ultimate Frisbee Twente"/>
    <x v="1"/>
    <x v="0"/>
    <s v="N/A"/>
    <s v="N/A"/>
    <s v="N/A"/>
    <s v="N/A"/>
    <s v="N/A"/>
    <s v="E. 1000 +"/>
    <s v="N/A"/>
    <s v="N/A"/>
    <s v="N/A"/>
    <n v="0"/>
    <n v="0"/>
    <s v="N/A"/>
    <s v="N/A"/>
    <s v="N/A"/>
    <s v="N/A"/>
    <s v="F"/>
    <s v="F"/>
    <s v="F"/>
    <s v="T"/>
    <s v="T"/>
    <s v="T"/>
    <s v="F"/>
    <s v="N/A"/>
    <s v="N/A"/>
    <s v="N/A"/>
    <s v="N/A"/>
    <s v="N/A"/>
    <n v="0"/>
    <n v="0"/>
    <m/>
    <m/>
    <m/>
    <m/>
    <m/>
    <x v="1"/>
  </r>
  <r>
    <s v="Ambitious Women UT"/>
    <x v="6"/>
    <x v="0"/>
    <n v="28"/>
    <n v="7"/>
    <n v="21"/>
    <n v="0.25"/>
    <n v="0.75"/>
    <s v=" A. 1 - 50 "/>
    <n v="4"/>
    <n v="17"/>
    <n v="7"/>
    <n v="9"/>
    <n v="7"/>
    <s v="N/A"/>
    <n v="1.2857142857142858"/>
    <n v="0.41176470588235292"/>
    <s v="N/A"/>
    <s v="T"/>
    <s v="F"/>
    <s v="F"/>
    <s v="T"/>
    <s v="F"/>
    <s v="F"/>
    <m/>
    <s v="N/A"/>
    <s v="N/A"/>
    <s v="N/A"/>
    <s v="N/A"/>
    <s v="N/A"/>
    <n v="0"/>
    <n v="5"/>
    <m/>
    <m/>
    <m/>
    <m/>
    <m/>
    <x v="1"/>
  </r>
  <r>
    <s v="IAESTE Twente"/>
    <x v="1"/>
    <x v="1"/>
    <s v="N/A"/>
    <s v="N/A"/>
    <s v="N/A"/>
    <s v="N/A"/>
    <s v="N/A"/>
    <s v="E. 1000 +"/>
    <s v="N/A"/>
    <s v="N/A"/>
    <s v="N/A"/>
    <n v="0"/>
    <n v="0"/>
    <s v="N/A"/>
    <s v="N/A"/>
    <s v="N/A"/>
    <s v="N/A"/>
    <s v="F"/>
    <s v="F"/>
    <s v="F"/>
    <s v="T"/>
    <s v="T"/>
    <s v="T"/>
    <e v="#VALUE!"/>
    <s v="N/A"/>
    <s v="N/A"/>
    <s v="N/A"/>
    <s v="N/A"/>
    <s v="N/A"/>
    <n v="0"/>
    <n v="0"/>
    <m/>
    <m/>
    <m/>
    <m/>
    <m/>
    <x v="1"/>
  </r>
  <r>
    <s v="Break-even"/>
    <x v="0"/>
    <x v="0"/>
    <n v="85"/>
    <n v="30"/>
    <n v="55"/>
    <n v="0.35294117647058826"/>
    <n v="0.64705882352941169"/>
    <s v="B. 50 - 100"/>
    <n v="32"/>
    <n v="15"/>
    <n v="38"/>
    <n v="6"/>
    <n v="14"/>
    <n v="10"/>
    <n v="0.2"/>
    <n v="0.93333333333333335"/>
    <n v="0.26315789473684209"/>
    <s v="T"/>
    <s v="T"/>
    <s v="T"/>
    <s v="T"/>
    <s v="T"/>
    <s v="T"/>
    <s v="T"/>
    <n v="0"/>
    <n v="0"/>
    <n v="0"/>
    <n v="0"/>
    <n v="0"/>
    <n v="0"/>
    <n v="7"/>
    <m/>
    <m/>
    <m/>
    <m/>
    <m/>
    <x v="2"/>
  </r>
  <r>
    <s v="DAV Kronos"/>
    <x v="1"/>
    <x v="0"/>
    <n v="102"/>
    <n v="5"/>
    <n v="97"/>
    <n v="4.9019607843137254E-2"/>
    <n v="0.9509803921568627"/>
    <s v="C. 100 - 400"/>
    <n v="45"/>
    <n v="1"/>
    <n v="56"/>
    <n v="1"/>
    <n v="4"/>
    <s v="N/A"/>
    <n v="0.2"/>
    <n v="4"/>
    <s v="N/A"/>
    <s v="T"/>
    <s v="F"/>
    <s v="F"/>
    <s v="F"/>
    <s v="F"/>
    <s v="T"/>
    <s v="F"/>
    <n v="14"/>
    <n v="16"/>
    <n v="18"/>
    <n v="7"/>
    <n v="13"/>
    <n v="68"/>
    <n v="0"/>
    <m/>
    <m/>
    <m/>
    <m/>
    <m/>
    <x v="2"/>
  </r>
  <r>
    <s v="DBV Arriba"/>
    <x v="1"/>
    <x v="0"/>
    <n v="106"/>
    <n v="5"/>
    <n v="101"/>
    <n v="4.716981132075472E-2"/>
    <n v="0.95283018867924529"/>
    <s v="C. 100 - 400"/>
    <n v="33"/>
    <n v="10"/>
    <n v="63"/>
    <n v="1"/>
    <n v="10"/>
    <s v="N/A"/>
    <n v="0.2"/>
    <n v="1"/>
    <s v="N/A"/>
    <s v="T"/>
    <s v="F"/>
    <s v="F"/>
    <s v="T"/>
    <s v="F"/>
    <s v="T"/>
    <s v="F"/>
    <s v="N/A"/>
    <s v="N/A"/>
    <s v="N/A"/>
    <s v="N/A"/>
    <s v="N/A"/>
    <n v="0"/>
    <n v="0"/>
    <m/>
    <m/>
    <m/>
    <m/>
    <m/>
    <x v="2"/>
  </r>
  <r>
    <s v="DSTV Aloha"/>
    <x v="1"/>
    <x v="0"/>
    <n v="72"/>
    <n v="10"/>
    <n v="62"/>
    <n v="0.1388888888888889"/>
    <n v="0.86111111111111116"/>
    <s v="B. 50 - 100"/>
    <n v="29"/>
    <n v="2"/>
    <n v="41"/>
    <n v="0"/>
    <n v="1"/>
    <n v="9"/>
    <n v="0"/>
    <n v="0.5"/>
    <n v="0.21951219512195122"/>
    <s v="T"/>
    <s v="T"/>
    <s v="T"/>
    <s v="T"/>
    <s v="T"/>
    <s v="T"/>
    <s v="T"/>
    <n v="1"/>
    <n v="1"/>
    <n v="0"/>
    <n v="9"/>
    <n v="24"/>
    <n v="35"/>
    <n v="14"/>
    <m/>
    <m/>
    <m/>
    <m/>
    <m/>
    <x v="2"/>
  </r>
  <r>
    <s v="DSV de Skeuvel"/>
    <x v="1"/>
    <x v="0"/>
    <n v="240"/>
    <n v="75"/>
    <n v="165"/>
    <n v="0.3125"/>
    <n v="0.6875"/>
    <s v="C. 100 - 400"/>
    <n v="75"/>
    <n v="5"/>
    <n v="160"/>
    <n v="0"/>
    <n v="1"/>
    <n v="74"/>
    <n v="0"/>
    <n v="0.2"/>
    <n v="0.46250000000000002"/>
    <s v="T"/>
    <s v="T"/>
    <s v="T"/>
    <s v="T"/>
    <s v="T"/>
    <s v="T"/>
    <s v="T"/>
    <n v="0"/>
    <n v="0"/>
    <n v="0"/>
    <n v="0"/>
    <n v="0"/>
    <n v="0"/>
    <n v="28"/>
    <m/>
    <m/>
    <m/>
    <m/>
    <m/>
    <x v="2"/>
  </r>
  <r>
    <s v="DTTV Thibats"/>
    <x v="1"/>
    <x v="0"/>
    <n v="29"/>
    <n v="25"/>
    <n v="4"/>
    <n v="0.86206896551724133"/>
    <n v="0.13793103448275867"/>
    <s v=" A. 1 - 50 "/>
    <n v="5"/>
    <n v="6"/>
    <n v="18"/>
    <n v="0"/>
    <n v="1"/>
    <n v="24"/>
    <n v="0"/>
    <n v="0.16666666666666666"/>
    <n v="1.3333333333333333"/>
    <s v="T"/>
    <s v="T"/>
    <s v="T"/>
    <s v="T"/>
    <s v="F"/>
    <s v="T"/>
    <s v="F"/>
    <n v="1"/>
    <n v="0"/>
    <n v="1"/>
    <n v="3"/>
    <n v="15"/>
    <n v="20"/>
    <n v="6"/>
    <m/>
    <m/>
    <m/>
    <m/>
    <m/>
    <x v="2"/>
  </r>
  <r>
    <s v="DWV Hardboard"/>
    <x v="1"/>
    <x v="0"/>
    <n v="170"/>
    <n v="50"/>
    <n v="120"/>
    <n v="0.29411764705882354"/>
    <n v="0.70588235294117641"/>
    <s v="C. 100 - 400"/>
    <n v="40"/>
    <n v="8"/>
    <n v="122"/>
    <n v="3"/>
    <n v="7"/>
    <n v="40"/>
    <n v="0.06"/>
    <n v="0.875"/>
    <n v="0.32786885245901637"/>
    <s v="T"/>
    <s v="T"/>
    <s v="T"/>
    <s v="T"/>
    <s v="T"/>
    <s v="T"/>
    <s v="T"/>
    <n v="0"/>
    <n v="0"/>
    <n v="0"/>
    <n v="0"/>
    <n v="0"/>
    <n v="0"/>
    <n v="18"/>
    <m/>
    <m/>
    <m/>
    <m/>
    <m/>
    <x v="2"/>
  </r>
  <r>
    <s v="DWV Klein Verzet"/>
    <x v="1"/>
    <x v="0"/>
    <n v="78"/>
    <n v="10"/>
    <n v="68"/>
    <n v="0.12820512820512819"/>
    <n v="0.87179487179487181"/>
    <s v="B. 50 - 100"/>
    <n v="32"/>
    <n v="4"/>
    <n v="42"/>
    <n v="0"/>
    <n v="2"/>
    <n v="8"/>
    <n v="0"/>
    <n v="0.5"/>
    <n v="0.19047619047619047"/>
    <s v="T"/>
    <s v="T"/>
    <s v="T"/>
    <s v="T"/>
    <s v="T"/>
    <s v="T"/>
    <s v="T"/>
    <s v="N/A"/>
    <s v="N/A"/>
    <s v="N/A"/>
    <s v="N/A"/>
    <s v="N/A"/>
    <n v="0"/>
    <n v="14"/>
    <m/>
    <m/>
    <m/>
    <m/>
    <m/>
    <x v="2"/>
  </r>
  <r>
    <s v="DBV DIOK"/>
    <x v="1"/>
    <x v="0"/>
    <n v="106"/>
    <n v="7"/>
    <n v="99"/>
    <n v="6.6037735849056603E-2"/>
    <n v="0.93396226415094341"/>
    <s v="C. 100 - 400"/>
    <n v="24"/>
    <n v="31"/>
    <n v="51"/>
    <n v="6"/>
    <n v="3"/>
    <s v="N/A"/>
    <n v="0.8571428571428571"/>
    <n v="9.6774193548387094E-2"/>
    <s v="N/A"/>
    <s v="T"/>
    <s v="F"/>
    <s v="F"/>
    <s v="T"/>
    <s v="F"/>
    <s v="T"/>
    <s v="F"/>
    <s v="N/A"/>
    <s v="N/A"/>
    <s v="N/A"/>
    <s v="N/A"/>
    <s v="N/A"/>
    <n v="0"/>
    <n v="0"/>
    <m/>
    <m/>
    <m/>
    <m/>
    <m/>
    <x v="2"/>
  </r>
  <r>
    <s v="DBV de Stretchers"/>
    <x v="1"/>
    <x v="0"/>
    <n v="42"/>
    <n v="8"/>
    <n v="34"/>
    <n v="0.19047619047619047"/>
    <n v="0.80952380952380953"/>
    <s v=" A. 1 - 50 "/>
    <n v="14"/>
    <n v="0"/>
    <n v="28"/>
    <n v="0"/>
    <n v="1"/>
    <n v="7"/>
    <n v="0"/>
    <s v="N/A"/>
    <n v="0.25"/>
    <s v="T"/>
    <s v="T"/>
    <s v="T"/>
    <s v="F"/>
    <s v="T"/>
    <s v="T"/>
    <s v="F"/>
    <n v="2"/>
    <n v="2"/>
    <n v="2"/>
    <n v="3"/>
    <n v="16"/>
    <n v="25"/>
    <n v="6"/>
    <m/>
    <m/>
    <m/>
    <m/>
    <m/>
    <x v="2"/>
  </r>
  <r>
    <s v="DHC Drienerlo"/>
    <x v="1"/>
    <x v="0"/>
    <n v="223"/>
    <n v="80"/>
    <n v="143"/>
    <n v="0.35874439461883406"/>
    <n v="0.64125560538116599"/>
    <s v="C. 100 - 400"/>
    <n v="65"/>
    <n v="1"/>
    <n v="157"/>
    <n v="1"/>
    <n v="0"/>
    <n v="79"/>
    <n v="1.2500000000000001E-2"/>
    <n v="0"/>
    <n v="0.50318471337579618"/>
    <s v="T"/>
    <s v="T"/>
    <s v="T"/>
    <s v="T"/>
    <s v="T"/>
    <s v="T"/>
    <s v="T"/>
    <n v="22"/>
    <n v="25"/>
    <n v="38"/>
    <n v="19"/>
    <n v="42"/>
    <n v="146"/>
    <n v="18"/>
    <m/>
    <m/>
    <m/>
    <m/>
    <m/>
    <x v="2"/>
  </r>
  <r>
    <s v="DKV Euros"/>
    <x v="1"/>
    <x v="0"/>
    <s v="N/A"/>
    <s v="N/A"/>
    <s v="N/A"/>
    <s v="N/A"/>
    <s v="N/A"/>
    <s v="E. 1000 +"/>
    <s v="N/A"/>
    <s v="N/A"/>
    <s v="N/A"/>
    <n v="0"/>
    <n v="0"/>
    <s v="N/A"/>
    <s v="N/A"/>
    <s v="N/A"/>
    <s v="N/A"/>
    <s v="F"/>
    <s v="F"/>
    <s v="F"/>
    <s v="T"/>
    <s v="T"/>
    <s v="T"/>
    <s v="F"/>
    <s v="N/A"/>
    <s v="N/A"/>
    <s v="N/A"/>
    <s v="N/A"/>
    <s v="N/A"/>
    <n v="0"/>
    <n v="0"/>
    <m/>
    <m/>
    <m/>
    <m/>
    <m/>
    <x v="2"/>
  </r>
  <r>
    <s v="DRV Euros"/>
    <x v="1"/>
    <x v="0"/>
    <n v="353"/>
    <n v="10"/>
    <n v="343"/>
    <n v="2.8328611898016998E-2"/>
    <n v="0.97167138810198295"/>
    <s v="C. 100 - 400"/>
    <n v="194"/>
    <n v="0"/>
    <n v="159"/>
    <n v="0"/>
    <n v="4"/>
    <n v="6"/>
    <n v="0"/>
    <s v="N/A"/>
    <n v="3.7735849056603772E-2"/>
    <s v="T"/>
    <s v="T"/>
    <s v="T"/>
    <s v="F"/>
    <s v="T"/>
    <s v="T"/>
    <s v="F"/>
    <n v="0"/>
    <n v="0"/>
    <n v="0"/>
    <n v="0"/>
    <n v="0"/>
    <n v="0"/>
    <n v="39"/>
    <m/>
    <m/>
    <m/>
    <m/>
    <m/>
    <x v="2"/>
  </r>
  <r>
    <s v="DRV Hippocampus"/>
    <x v="1"/>
    <x v="0"/>
    <n v="60"/>
    <n v="10"/>
    <n v="50"/>
    <n v="0.16666666666666666"/>
    <n v="0.83333333333333337"/>
    <s v="B. 50 - 100"/>
    <n v="20"/>
    <n v="10"/>
    <n v="30"/>
    <n v="5"/>
    <n v="5"/>
    <s v="N/A"/>
    <n v="0.5"/>
    <n v="0.5"/>
    <s v="N/A"/>
    <s v="T"/>
    <s v="F"/>
    <s v="F"/>
    <s v="T"/>
    <s v="F"/>
    <s v="T"/>
    <s v="F"/>
    <s v="N/A"/>
    <s v="N/A"/>
    <s v="N/A"/>
    <s v="N/A"/>
    <s v="N/A"/>
    <n v="0"/>
    <n v="8"/>
    <m/>
    <m/>
    <m/>
    <m/>
    <m/>
    <x v="2"/>
  </r>
  <r>
    <s v="DSSV Tartaros"/>
    <x v="1"/>
    <x v="0"/>
    <n v="75"/>
    <n v="20"/>
    <n v="55"/>
    <n v="0.26666666666666666"/>
    <n v="0.73333333333333339"/>
    <s v="B. 50 - 100"/>
    <n v="52"/>
    <n v="0"/>
    <n v="23"/>
    <n v="0"/>
    <n v="0"/>
    <n v="20"/>
    <n v="0"/>
    <s v="N/A"/>
    <n v="0.86956521739130432"/>
    <s v="T"/>
    <s v="T"/>
    <s v="T"/>
    <s v="T"/>
    <s v="T"/>
    <s v="T"/>
    <s v="T"/>
    <s v="N/A"/>
    <s v="N/A"/>
    <s v="N/A"/>
    <s v="N/A"/>
    <s v="N/A"/>
    <n v="0"/>
    <n v="16"/>
    <m/>
    <m/>
    <m/>
    <m/>
    <m/>
    <x v="2"/>
  </r>
  <r>
    <s v="DZV Euros"/>
    <x v="1"/>
    <x v="0"/>
    <n v="62"/>
    <n v="4"/>
    <n v="58"/>
    <n v="6.4516129032258063E-2"/>
    <n v="0.93548387096774199"/>
    <s v="B. 50 - 100"/>
    <n v="45"/>
    <n v="0"/>
    <n v="17"/>
    <n v="0"/>
    <n v="4"/>
    <s v="N/A"/>
    <n v="0"/>
    <s v="N/A"/>
    <s v="N/A"/>
    <s v="T"/>
    <s v="F"/>
    <s v="F"/>
    <s v="F"/>
    <s v="F"/>
    <s v="T"/>
    <s v="F"/>
    <n v="7"/>
    <n v="11"/>
    <n v="22"/>
    <n v="9"/>
    <n v="0"/>
    <n v="49"/>
    <n v="15"/>
    <m/>
    <m/>
    <m/>
    <m/>
    <m/>
    <x v="2"/>
  </r>
  <r>
    <s v="EEEHV Cabezota"/>
    <x v="1"/>
    <x v="0"/>
    <n v="50"/>
    <n v="10"/>
    <n v="40"/>
    <n v="0.2"/>
    <n v="0.8"/>
    <s v="B. 50 - 100"/>
    <n v="28"/>
    <n v="0"/>
    <n v="22"/>
    <n v="0"/>
    <n v="4"/>
    <n v="6"/>
    <n v="0"/>
    <s v="N/A"/>
    <n v="0.27272727272727271"/>
    <s v="T"/>
    <s v="T"/>
    <s v="T"/>
    <s v="F"/>
    <s v="T"/>
    <s v="T"/>
    <s v="F"/>
    <n v="3"/>
    <n v="7"/>
    <n v="7"/>
    <n v="6"/>
    <n v="5"/>
    <n v="28"/>
    <n v="13"/>
    <m/>
    <m/>
    <m/>
    <m/>
    <m/>
    <x v="2"/>
  </r>
  <r>
    <s v="ESBV Buitenwesten"/>
    <x v="1"/>
    <x v="0"/>
    <n v="100"/>
    <n v="30"/>
    <n v="70"/>
    <n v="0.3"/>
    <n v="0.7"/>
    <s v="C. 100 - 400"/>
    <n v="15"/>
    <n v="10"/>
    <n v="75"/>
    <n v="2"/>
    <n v="8"/>
    <n v="20"/>
    <n v="6.6666666666666666E-2"/>
    <n v="0.8"/>
    <n v="0.26666666666666666"/>
    <s v="T"/>
    <s v="T"/>
    <s v="T"/>
    <s v="T"/>
    <s v="T"/>
    <s v="T"/>
    <s v="T"/>
    <n v="2"/>
    <n v="2"/>
    <n v="4"/>
    <n v="2"/>
    <n v="5"/>
    <n v="15"/>
    <n v="8"/>
    <m/>
    <m/>
    <m/>
    <m/>
    <m/>
    <x v="2"/>
  </r>
  <r>
    <s v="HSV High-Tech-Hitters"/>
    <x v="1"/>
    <x v="0"/>
    <n v="52"/>
    <n v="7"/>
    <n v="45"/>
    <n v="0.13461538461538461"/>
    <n v="0.86538461538461542"/>
    <s v="B. 50 - 100"/>
    <n v="25"/>
    <n v="0"/>
    <n v="27"/>
    <n v="0"/>
    <n v="3"/>
    <n v="4"/>
    <n v="0"/>
    <s v="N/A"/>
    <n v="0.14814814814814814"/>
    <s v="T"/>
    <s v="T"/>
    <s v="T"/>
    <s v="F"/>
    <s v="T"/>
    <s v="T"/>
    <s v="F"/>
    <n v="0"/>
    <n v="0"/>
    <n v="8"/>
    <n v="1"/>
    <n v="2"/>
    <n v="11"/>
    <n v="12"/>
    <m/>
    <m/>
    <m/>
    <m/>
    <m/>
    <x v="2"/>
  </r>
  <r>
    <s v="Linea Recta"/>
    <x v="1"/>
    <x v="0"/>
    <n v="68"/>
    <n v="5"/>
    <n v="63"/>
    <n v="7.3529411764705885E-2"/>
    <n v="0.92647058823529416"/>
    <s v="B. 50 - 100"/>
    <n v="40"/>
    <n v="1"/>
    <n v="27"/>
    <n v="1"/>
    <n v="7"/>
    <s v="N/A"/>
    <n v="0.2"/>
    <n v="7"/>
    <s v="N/A"/>
    <s v="T"/>
    <s v="F"/>
    <s v="F"/>
    <s v="F"/>
    <s v="F"/>
    <s v="T"/>
    <s v="F"/>
    <n v="0"/>
    <n v="6"/>
    <n v="12"/>
    <n v="4"/>
    <n v="9"/>
    <n v="31"/>
    <n v="15"/>
    <m/>
    <m/>
    <m/>
    <m/>
    <m/>
    <x v="2"/>
  </r>
  <r>
    <s v="Messed Up"/>
    <x v="1"/>
    <x v="0"/>
    <n v="37"/>
    <n v="3"/>
    <n v="34"/>
    <n v="8.1081081081081086E-2"/>
    <n v="0.91891891891891886"/>
    <s v=" A. 1 - 50 "/>
    <n v="17"/>
    <n v="1"/>
    <n v="19"/>
    <n v="1"/>
    <n v="4"/>
    <s v="N/A"/>
    <n v="0.33333333333333331"/>
    <n v="4"/>
    <s v="N/A"/>
    <s v="T"/>
    <s v="F"/>
    <s v="F"/>
    <s v="F"/>
    <s v="F"/>
    <s v="T"/>
    <s v="F"/>
    <s v="N/A"/>
    <s v="N/A"/>
    <s v="N/A"/>
    <s v="N/A"/>
    <s v="N/A"/>
    <n v="0"/>
    <n v="6"/>
    <m/>
    <m/>
    <m/>
    <m/>
    <m/>
    <x v="2"/>
  </r>
  <r>
    <s v="Motor Sport Groep"/>
    <x v="1"/>
    <x v="0"/>
    <n v="74"/>
    <n v="20"/>
    <n v="54"/>
    <n v="0.27027027027027029"/>
    <n v="0.72972972972972971"/>
    <s v="B. 50 - 100"/>
    <n v="15"/>
    <n v="1"/>
    <n v="58"/>
    <n v="0"/>
    <n v="2"/>
    <n v="18"/>
    <n v="0"/>
    <n v="2"/>
    <n v="0.31034482758620691"/>
    <s v="T"/>
    <s v="T"/>
    <s v="T"/>
    <s v="F"/>
    <s v="T"/>
    <s v="T"/>
    <s v="F"/>
    <s v="N/A"/>
    <s v="N/A"/>
    <s v="N/A"/>
    <s v="N/A"/>
    <s v="N/A"/>
    <n v="0"/>
    <n v="6"/>
    <m/>
    <m/>
    <m/>
    <m/>
    <m/>
    <x v="2"/>
  </r>
  <r>
    <s v="SKV Vakgericht"/>
    <x v="1"/>
    <x v="0"/>
    <n v="57"/>
    <n v="5"/>
    <n v="52"/>
    <n v="8.771929824561403E-2"/>
    <n v="0.91228070175438591"/>
    <s v="B. 50 - 100"/>
    <n v="40"/>
    <n v="0"/>
    <n v="17"/>
    <n v="0"/>
    <n v="0"/>
    <n v="5"/>
    <n v="0"/>
    <s v="N/A"/>
    <n v="0.29411764705882354"/>
    <s v="T"/>
    <s v="T"/>
    <s v="T"/>
    <s v="T"/>
    <s v="T"/>
    <s v="T"/>
    <s v="T"/>
    <n v="4"/>
    <n v="4"/>
    <n v="6"/>
    <n v="5"/>
    <n v="12"/>
    <n v="31"/>
    <n v="16"/>
    <m/>
    <m/>
    <m/>
    <m/>
    <m/>
    <x v="2"/>
  </r>
  <r>
    <s v="SHBV Sagittarius"/>
    <x v="1"/>
    <x v="0"/>
    <n v="59"/>
    <n v="16"/>
    <n v="43"/>
    <n v="0.2711864406779661"/>
    <n v="0.72881355932203395"/>
    <s v="B. 50 - 100"/>
    <n v="16"/>
    <n v="8"/>
    <n v="35"/>
    <n v="1"/>
    <n v="0"/>
    <n v="15"/>
    <n v="6.25E-2"/>
    <n v="0"/>
    <n v="0.42857142857142855"/>
    <s v="T"/>
    <s v="T"/>
    <s v="T"/>
    <s v="T"/>
    <s v="T"/>
    <s v="T"/>
    <s v="T"/>
    <n v="0"/>
    <n v="0"/>
    <n v="0"/>
    <n v="0"/>
    <n v="0"/>
    <n v="0"/>
    <n v="8"/>
    <m/>
    <m/>
    <m/>
    <m/>
    <m/>
    <x v="2"/>
  </r>
  <r>
    <s v="ADSKV Slagvaardig"/>
    <x v="1"/>
    <x v="0"/>
    <s v="N/A"/>
    <s v="N/A"/>
    <s v="N/A"/>
    <s v="N/A"/>
    <s v="N/A"/>
    <s v="E. 1000 +"/>
    <s v="N/A"/>
    <s v="N/A"/>
    <s v="N/A"/>
    <n v="0"/>
    <n v="0"/>
    <s v="N/A"/>
    <s v="N/A"/>
    <s v="N/A"/>
    <s v="N/A"/>
    <s v="F"/>
    <s v="F"/>
    <s v="F"/>
    <s v="T"/>
    <s v="T"/>
    <s v="T"/>
    <s v="F"/>
    <s v="N/A"/>
    <s v="N/A"/>
    <s v="N/A"/>
    <s v="N/A"/>
    <s v="N/A"/>
    <n v="0"/>
    <n v="0"/>
    <m/>
    <m/>
    <m/>
    <m/>
    <m/>
    <x v="2"/>
  </r>
  <r>
    <s v="SYHV The Slapping Studs"/>
    <x v="1"/>
    <x v="0"/>
    <n v="55"/>
    <n v="0"/>
    <n v="55"/>
    <n v="0"/>
    <n v="1"/>
    <s v="B. 50 - 100"/>
    <n v="4"/>
    <n v="5"/>
    <n v="46"/>
    <n v="2"/>
    <n v="1"/>
    <s v="N/A"/>
    <s v="N/A"/>
    <n v="0.2"/>
    <s v="N/A"/>
    <s v="T"/>
    <s v="F"/>
    <s v="F"/>
    <s v="T"/>
    <s v="F"/>
    <s v="T"/>
    <s v="F"/>
    <s v="N/A"/>
    <s v="N/A"/>
    <s v="N/A"/>
    <s v="N/A"/>
    <s v="N/A"/>
    <n v="0"/>
    <n v="6"/>
    <m/>
    <m/>
    <m/>
    <m/>
    <m/>
    <x v="2"/>
  </r>
  <r>
    <s v="TC Ludica"/>
    <x v="1"/>
    <x v="0"/>
    <n v="560"/>
    <n v="250"/>
    <n v="310"/>
    <n v="0.44642857142857145"/>
    <n v="0.5535714285714286"/>
    <s v="D. 400 - 1000"/>
    <n v="100"/>
    <n v="25"/>
    <n v="435"/>
    <n v="0"/>
    <n v="5"/>
    <n v="245"/>
    <n v="0"/>
    <n v="0.2"/>
    <n v="0.56321839080459768"/>
    <s v="T"/>
    <s v="T"/>
    <s v="T"/>
    <s v="T"/>
    <s v="T"/>
    <s v="T"/>
    <s v="T"/>
    <s v="N/A"/>
    <s v="N/A"/>
    <s v="N/A"/>
    <s v="N/A"/>
    <s v="N/A"/>
    <n v="0"/>
    <n v="22"/>
    <m/>
    <m/>
    <m/>
    <m/>
    <m/>
    <x v="2"/>
  </r>
  <r>
    <s v="TSAC"/>
    <x v="1"/>
    <x v="0"/>
    <n v="175"/>
    <n v="11"/>
    <n v="164"/>
    <n v="6.2857142857142861E-2"/>
    <n v="0.93714285714285717"/>
    <s v="C. 100 - 400"/>
    <n v="40"/>
    <n v="45"/>
    <n v="90"/>
    <n v="5"/>
    <n v="20"/>
    <s v="N/A"/>
    <n v="0.45454545454545453"/>
    <n v="0.44444444444444442"/>
    <s v="N/A"/>
    <s v="T"/>
    <s v="F"/>
    <s v="F"/>
    <s v="T"/>
    <s v="F"/>
    <s v="T"/>
    <s v="F"/>
    <n v="7"/>
    <n v="7"/>
    <n v="19"/>
    <n v="7"/>
    <n v="24"/>
    <n v="64"/>
    <n v="11"/>
    <m/>
    <m/>
    <m/>
    <m/>
    <m/>
    <x v="2"/>
  </r>
  <r>
    <s v="VAS Arashi"/>
    <x v="1"/>
    <x v="0"/>
    <n v="122"/>
    <n v="20"/>
    <n v="102"/>
    <n v="0.16393442622950818"/>
    <n v="0.83606557377049184"/>
    <s v="C. 100 - 400"/>
    <n v="30"/>
    <n v="2"/>
    <n v="90"/>
    <n v="0"/>
    <n v="10"/>
    <n v="10"/>
    <n v="0"/>
    <n v="5"/>
    <n v="0.1111111111111111"/>
    <s v="T"/>
    <s v="T"/>
    <s v="T"/>
    <s v="F"/>
    <s v="T"/>
    <s v="T"/>
    <s v="F"/>
    <n v="3"/>
    <n v="2"/>
    <n v="1"/>
    <n v="3"/>
    <n v="10"/>
    <n v="19"/>
    <n v="10"/>
    <m/>
    <m/>
    <m/>
    <m/>
    <m/>
    <x v="2"/>
  </r>
  <r>
    <s v="VV Drienerlo"/>
    <x v="1"/>
    <x v="0"/>
    <n v="380"/>
    <n v="100"/>
    <n v="280"/>
    <n v="0.26315789473684209"/>
    <n v="0.73684210526315796"/>
    <s v="C. 100 - 400"/>
    <n v="50"/>
    <n v="30"/>
    <n v="300"/>
    <n v="0"/>
    <n v="10"/>
    <n v="90"/>
    <n v="0"/>
    <n v="0.33333333333333331"/>
    <n v="0.3"/>
    <s v="T"/>
    <s v="T"/>
    <s v="T"/>
    <s v="T"/>
    <s v="T"/>
    <s v="T"/>
    <s v="T"/>
    <n v="4"/>
    <n v="6"/>
    <n v="12"/>
    <n v="6"/>
    <n v="1"/>
    <n v="29"/>
    <n v="14"/>
    <m/>
    <m/>
    <m/>
    <m/>
    <m/>
    <x v="2"/>
  </r>
  <r>
    <s v="VV Harambee"/>
    <x v="1"/>
    <x v="0"/>
    <n v="420"/>
    <n v="50"/>
    <n v="370"/>
    <n v="0.11904761904761904"/>
    <n v="0.88095238095238093"/>
    <s v="D. 400 - 1000"/>
    <n v="100"/>
    <n v="20"/>
    <n v="300"/>
    <n v="5"/>
    <n v="10"/>
    <n v="35"/>
    <n v="0.1"/>
    <n v="0.5"/>
    <n v="0.11666666666666667"/>
    <s v="T"/>
    <s v="T"/>
    <s v="T"/>
    <s v="T"/>
    <s v="T"/>
    <s v="T"/>
    <s v="T"/>
    <n v="12"/>
    <n v="11"/>
    <n v="12"/>
    <n v="13"/>
    <n v="8"/>
    <n v="56"/>
    <n v="0"/>
    <m/>
    <m/>
    <m/>
    <m/>
    <m/>
    <x v="2"/>
  </r>
  <r>
    <s v="ZPV Piranha"/>
    <x v="1"/>
    <x v="0"/>
    <n v="280"/>
    <n v="50"/>
    <n v="230"/>
    <n v="0.17857142857142858"/>
    <n v="0.8214285714285714"/>
    <s v="C. 100 - 400"/>
    <n v="108"/>
    <n v="10"/>
    <n v="162"/>
    <n v="1"/>
    <n v="7"/>
    <n v="42"/>
    <n v="0.02"/>
    <n v="0.7"/>
    <n v="0.25925925925925924"/>
    <s v="T"/>
    <s v="T"/>
    <s v="T"/>
    <s v="T"/>
    <s v="T"/>
    <s v="T"/>
    <s v="T"/>
    <n v="1"/>
    <n v="2"/>
    <n v="1"/>
    <n v="1"/>
    <n v="0"/>
    <n v="5"/>
    <n v="22"/>
    <m/>
    <m/>
    <m/>
    <m/>
    <m/>
    <x v="2"/>
  </r>
  <r>
    <s v="Twentse Thestrals"/>
    <x v="1"/>
    <x v="0"/>
    <s v="N/A"/>
    <s v="N/A"/>
    <s v="N/A"/>
    <s v="N/A"/>
    <s v="N/A"/>
    <s v="E. 1000 +"/>
    <s v="N/A"/>
    <s v="N/A"/>
    <s v="N/A"/>
    <n v="0"/>
    <n v="0"/>
    <s v="N/A"/>
    <s v="N/A"/>
    <s v="N/A"/>
    <s v="N/A"/>
    <s v="F"/>
    <s v="F"/>
    <s v="F"/>
    <s v="T"/>
    <s v="T"/>
    <s v="T"/>
    <s v="F"/>
    <s v="N/A"/>
    <s v="N/A"/>
    <s v="N/A"/>
    <s v="N/A"/>
    <s v="N/A"/>
    <n v="0"/>
    <n v="0"/>
    <m/>
    <m/>
    <m/>
    <m/>
    <m/>
    <x v="2"/>
  </r>
  <r>
    <s v="Primo Ballerino"/>
    <x v="0"/>
    <x v="0"/>
    <n v="55"/>
    <n v="30"/>
    <n v="25"/>
    <n v="0.54545454545454541"/>
    <n v="0.45454545454545459"/>
    <s v="B. 50 - 100"/>
    <n v="18"/>
    <n v="7"/>
    <n v="30"/>
    <n v="2"/>
    <n v="3"/>
    <n v="25"/>
    <n v="6.6666666666666666E-2"/>
    <n v="0.42857142857142855"/>
    <n v="0.83333333333333337"/>
    <s v="T"/>
    <s v="T"/>
    <s v="T"/>
    <s v="T"/>
    <s v="T"/>
    <s v="T"/>
    <s v="T"/>
    <n v="0"/>
    <n v="0"/>
    <n v="1"/>
    <n v="1"/>
    <n v="1"/>
    <n v="3"/>
    <n v="8"/>
    <m/>
    <m/>
    <m/>
    <m/>
    <m/>
    <x v="2"/>
  </r>
  <r>
    <s v="Phoenix Lacrosse"/>
    <x v="1"/>
    <x v="0"/>
    <n v="59"/>
    <n v="24"/>
    <n v="35"/>
    <n v="0.40677966101694918"/>
    <n v="0.59322033898305082"/>
    <s v="B. 50 - 100"/>
    <n v="35"/>
    <n v="0"/>
    <n v="24"/>
    <n v="0"/>
    <n v="2"/>
    <n v="22"/>
    <n v="0"/>
    <s v="N/A"/>
    <n v="0.91666666666666663"/>
    <s v="T"/>
    <s v="T"/>
    <s v="T"/>
    <s v="F"/>
    <s v="T"/>
    <s v="T"/>
    <s v="F"/>
    <s v="N/A"/>
    <s v="N/A"/>
    <s v="N/A"/>
    <s v="N/A"/>
    <s v="N/A"/>
    <n v="0"/>
    <n v="0"/>
    <m/>
    <m/>
    <m/>
    <m/>
    <m/>
    <x v="2"/>
  </r>
  <r>
    <s v="SKV Hercules"/>
    <x v="1"/>
    <x v="0"/>
    <n v="65"/>
    <n v="40"/>
    <n v="25"/>
    <n v="0.61538461538461542"/>
    <n v="0.38461538461538458"/>
    <s v="B. 50 - 100"/>
    <n v="25"/>
    <n v="3"/>
    <n v="37"/>
    <n v="1"/>
    <n v="12"/>
    <n v="27"/>
    <n v="2.5000000000000001E-2"/>
    <n v="4"/>
    <n v="0.72972972972972971"/>
    <s v="T"/>
    <s v="T"/>
    <s v="T"/>
    <s v="F"/>
    <s v="T"/>
    <s v="T"/>
    <s v="F"/>
    <s v="N/A"/>
    <s v="N/A"/>
    <s v="N/A"/>
    <s v="N/A"/>
    <s v="N/A"/>
    <n v="0"/>
    <n v="3"/>
    <m/>
    <m/>
    <m/>
    <m/>
    <m/>
    <x v="2"/>
  </r>
  <r>
    <s v="A la Kart"/>
    <x v="1"/>
    <x v="0"/>
    <s v="N/A"/>
    <s v="N/A"/>
    <s v="N/A"/>
    <s v="N/A"/>
    <s v="N/A"/>
    <s v="E. 1000 +"/>
    <s v="N/A"/>
    <s v="N/A"/>
    <s v="N/A"/>
    <n v="0"/>
    <n v="0"/>
    <s v="N/A"/>
    <s v="N/A"/>
    <s v="N/A"/>
    <s v="N/A"/>
    <s v="F"/>
    <s v="F"/>
    <s v="F"/>
    <s v="T"/>
    <s v="T"/>
    <s v="T"/>
    <s v="F"/>
    <s v="N/A"/>
    <s v="N/A"/>
    <s v="N/A"/>
    <s v="N/A"/>
    <s v="N/A"/>
    <n v="0"/>
    <n v="0"/>
    <m/>
    <m/>
    <m/>
    <m/>
    <m/>
    <x v="2"/>
  </r>
  <r>
    <s v="BSV de Stoottroepen"/>
    <x v="1"/>
    <x v="0"/>
    <s v="N/A"/>
    <s v="N/A"/>
    <s v="N/A"/>
    <s v="N/A"/>
    <s v="N/A"/>
    <s v="E. 1000 +"/>
    <s v="N/A"/>
    <s v="N/A"/>
    <s v="N/A"/>
    <n v="0"/>
    <n v="0"/>
    <s v="N/A"/>
    <s v="N/A"/>
    <s v="N/A"/>
    <s v="N/A"/>
    <s v="F"/>
    <s v="F"/>
    <s v="F"/>
    <s v="T"/>
    <s v="T"/>
    <s v="T"/>
    <s v="F"/>
    <s v="N/A"/>
    <s v="N/A"/>
    <s v="N/A"/>
    <s v="N/A"/>
    <s v="N/A"/>
    <n v="0"/>
    <n v="0"/>
    <m/>
    <m/>
    <m/>
    <m/>
    <m/>
    <x v="2"/>
  </r>
  <r>
    <s v="SV Muurvast"/>
    <x v="1"/>
    <x v="0"/>
    <s v="N/A"/>
    <s v="N/A"/>
    <s v="N/A"/>
    <s v="N/A"/>
    <s v="N/A"/>
    <s v="E. 1000 +"/>
    <s v="N/A"/>
    <s v="N/A"/>
    <s v="N/A"/>
    <n v="0"/>
    <n v="0"/>
    <s v="N/A"/>
    <s v="N/A"/>
    <s v="N/A"/>
    <s v="N/A"/>
    <s v="F"/>
    <s v="F"/>
    <s v="F"/>
    <s v="T"/>
    <s v="T"/>
    <s v="T"/>
    <s v="F"/>
    <s v="N/A"/>
    <s v="N/A"/>
    <s v="N/A"/>
    <s v="N/A"/>
    <s v="N/A"/>
    <n v="0"/>
    <n v="0"/>
    <m/>
    <m/>
    <m/>
    <m/>
    <m/>
    <x v="2"/>
  </r>
  <r>
    <s v="DKV De Zeeuven Reen"/>
    <x v="1"/>
    <x v="0"/>
    <s v="N/A"/>
    <s v="N/A"/>
    <s v="N/A"/>
    <s v="N/A"/>
    <s v="N/A"/>
    <s v="E. 1000 +"/>
    <s v="N/A"/>
    <s v="N/A"/>
    <s v="N/A"/>
    <n v="0"/>
    <n v="0"/>
    <s v="N/A"/>
    <s v="N/A"/>
    <s v="N/A"/>
    <s v="N/A"/>
    <s v="F"/>
    <s v="F"/>
    <s v="F"/>
    <s v="T"/>
    <s v="T"/>
    <s v="T"/>
    <s v="F"/>
    <s v="N/A"/>
    <s v="N/A"/>
    <s v="N/A"/>
    <s v="N/A"/>
    <s v="N/A"/>
    <n v="0"/>
    <n v="0"/>
    <m/>
    <m/>
    <m/>
    <m/>
    <m/>
    <x v="2"/>
  </r>
  <r>
    <s v="BlueShell"/>
    <x v="1"/>
    <x v="0"/>
    <n v="180"/>
    <n v="30"/>
    <n v="150"/>
    <n v="0.16666666666666666"/>
    <n v="0.83333333333333337"/>
    <s v="C. 100 - 400"/>
    <n v="60"/>
    <n v="30"/>
    <n v="90"/>
    <n v="15"/>
    <n v="15"/>
    <s v="N/A"/>
    <n v="0.5"/>
    <n v="0.5"/>
    <s v="N/A"/>
    <s v="T"/>
    <s v="F"/>
    <s v="F"/>
    <s v="T"/>
    <s v="F"/>
    <s v="T"/>
    <s v="F"/>
    <s v="N/A"/>
    <s v="N/A"/>
    <s v="N/A"/>
    <s v="N/A"/>
    <s v="N/A"/>
    <n v="0"/>
    <n v="16"/>
    <m/>
    <m/>
    <m/>
    <m/>
    <m/>
    <x v="2"/>
  </r>
  <r>
    <s v="4 happy feet"/>
    <x v="0"/>
    <x v="0"/>
    <n v="252"/>
    <n v="40"/>
    <n v="212"/>
    <n v="0.15873015873015872"/>
    <n v="0.84126984126984128"/>
    <s v="C. 100 - 400"/>
    <n v="45"/>
    <n v="10"/>
    <n v="197"/>
    <n v="0"/>
    <n v="5"/>
    <n v="35"/>
    <n v="0"/>
    <n v="0.5"/>
    <n v="0.17766497461928935"/>
    <s v="T"/>
    <s v="T"/>
    <s v="T"/>
    <s v="T"/>
    <s v="T"/>
    <s v="T"/>
    <s v="T"/>
    <s v="N/A"/>
    <s v="N/A"/>
    <s v="N/A"/>
    <s v="N/A"/>
    <s v="N/A"/>
    <n v="0"/>
    <n v="17"/>
    <m/>
    <m/>
    <m/>
    <m/>
    <m/>
    <x v="2"/>
  </r>
  <r>
    <s v="AFVD Foton"/>
    <x v="0"/>
    <x v="0"/>
    <s v="N/A"/>
    <s v="N/A"/>
    <s v="N/A"/>
    <s v="N/A"/>
    <s v="N/A"/>
    <s v="E. 1000 +"/>
    <s v="N/A"/>
    <s v="N/A"/>
    <s v="N/A"/>
    <n v="0"/>
    <n v="0"/>
    <s v="N/A"/>
    <s v="N/A"/>
    <s v="N/A"/>
    <s v="N/A"/>
    <s v="F"/>
    <s v="F"/>
    <s v="F"/>
    <s v="T"/>
    <s v="T"/>
    <s v="T"/>
    <s v="F"/>
    <s v="N/A"/>
    <s v="N/A"/>
    <s v="N/A"/>
    <s v="N/A"/>
    <s v="N/A"/>
    <n v="0"/>
    <n v="0"/>
    <m/>
    <m/>
    <m/>
    <m/>
    <m/>
    <x v="2"/>
  </r>
  <r>
    <s v="Arabesque"/>
    <x v="0"/>
    <x v="0"/>
    <n v="28"/>
    <n v="6"/>
    <n v="22"/>
    <n v="0.21428571428571427"/>
    <n v="0.7857142857142857"/>
    <s v=" A. 1 - 50 "/>
    <n v="6"/>
    <n v="4"/>
    <n v="18"/>
    <n v="1"/>
    <n v="3"/>
    <n v="2"/>
    <n v="0.16666666666666666"/>
    <n v="0.75"/>
    <n v="0.1111111111111111"/>
    <s v="T"/>
    <s v="T"/>
    <s v="T"/>
    <s v="T"/>
    <s v="T"/>
    <s v="T"/>
    <s v="T"/>
    <n v="0"/>
    <n v="0"/>
    <n v="5"/>
    <n v="4"/>
    <n v="2"/>
    <n v="11"/>
    <n v="0"/>
    <m/>
    <m/>
    <m/>
    <m/>
    <m/>
    <x v="2"/>
  </r>
  <r>
    <s v="Belletrie Bibliotheek"/>
    <x v="0"/>
    <x v="0"/>
    <n v="133"/>
    <n v="40"/>
    <n v="93"/>
    <n v="0.3007518796992481"/>
    <n v="0.6992481203007519"/>
    <s v="C. 100 - 400"/>
    <n v="24"/>
    <n v="20"/>
    <n v="89"/>
    <n v="1"/>
    <n v="4"/>
    <n v="35"/>
    <n v="2.5000000000000001E-2"/>
    <n v="0.2"/>
    <n v="0.39325842696629215"/>
    <s v="T"/>
    <s v="T"/>
    <s v="T"/>
    <s v="T"/>
    <s v="T"/>
    <s v="T"/>
    <s v="T"/>
    <s v="N/A"/>
    <s v="N/A"/>
    <s v="N/A"/>
    <s v="N/A"/>
    <s v="N/A"/>
    <n v="0"/>
    <n v="12"/>
    <m/>
    <m/>
    <m/>
    <m/>
    <m/>
    <x v="2"/>
  </r>
  <r>
    <s v="Contramime"/>
    <x v="0"/>
    <x v="0"/>
    <s v="N/A"/>
    <s v="N/A"/>
    <s v="N/A"/>
    <s v="N/A"/>
    <s v="N/A"/>
    <s v="E. 1000 +"/>
    <s v="N/A"/>
    <s v="N/A"/>
    <s v="N/A"/>
    <n v="0"/>
    <n v="0"/>
    <s v="N/A"/>
    <s v="N/A"/>
    <s v="N/A"/>
    <s v="N/A"/>
    <s v="F"/>
    <s v="F"/>
    <s v="F"/>
    <s v="T"/>
    <s v="T"/>
    <s v="T"/>
    <s v="F"/>
    <s v="N/A"/>
    <s v="N/A"/>
    <s v="N/A"/>
    <s v="N/A"/>
    <s v="N/A"/>
    <n v="0"/>
    <n v="0"/>
    <m/>
    <m/>
    <m/>
    <m/>
    <m/>
    <x v="2"/>
  </r>
  <r>
    <s v="Fanaat"/>
    <x v="0"/>
    <x v="0"/>
    <n v="88"/>
    <n v="15"/>
    <n v="73"/>
    <n v="0.17045454545454544"/>
    <n v="0.82954545454545459"/>
    <s v="B. 50 - 100"/>
    <n v="12"/>
    <n v="1"/>
    <n v="75"/>
    <n v="0"/>
    <n v="0"/>
    <n v="15"/>
    <n v="0"/>
    <n v="0"/>
    <n v="0.2"/>
    <s v="T"/>
    <s v="T"/>
    <s v="T"/>
    <s v="T"/>
    <s v="T"/>
    <s v="T"/>
    <s v="T"/>
    <n v="0"/>
    <n v="6"/>
    <n v="14"/>
    <n v="10"/>
    <n v="3"/>
    <n v="33"/>
    <n v="13"/>
    <m/>
    <m/>
    <m/>
    <m/>
    <m/>
    <x v="2"/>
  </r>
  <r>
    <s v="Musica Silvestra Orkest"/>
    <x v="0"/>
    <x v="0"/>
    <n v="18"/>
    <n v="4"/>
    <n v="14"/>
    <n v="0.22222222222222221"/>
    <n v="0.77777777777777779"/>
    <s v=" A. 1 - 50 "/>
    <n v="11"/>
    <n v="2"/>
    <n v="5"/>
    <n v="0"/>
    <n v="0"/>
    <n v="4"/>
    <n v="0"/>
    <n v="0"/>
    <n v="0.8"/>
    <s v="T"/>
    <s v="T"/>
    <s v="T"/>
    <s v="T"/>
    <s v="T"/>
    <s v="T"/>
    <s v="T"/>
    <n v="2"/>
    <n v="7"/>
    <n v="15"/>
    <n v="6"/>
    <n v="14"/>
    <n v="44"/>
    <n v="10"/>
    <m/>
    <m/>
    <m/>
    <m/>
    <m/>
    <x v="2"/>
  </r>
  <r>
    <s v="Musilon"/>
    <x v="0"/>
    <x v="0"/>
    <n v="60"/>
    <n v="8"/>
    <n v="52"/>
    <n v="0.13333333333333333"/>
    <n v="0.8666666666666667"/>
    <s v="B. 50 - 100"/>
    <n v="35"/>
    <n v="12"/>
    <n v="13"/>
    <n v="5"/>
    <n v="8"/>
    <s v="N/A"/>
    <n v="0.625"/>
    <n v="0.66666666666666663"/>
    <s v="N/A"/>
    <s v="T"/>
    <s v="F"/>
    <s v="F"/>
    <s v="T"/>
    <s v="F"/>
    <s v="T"/>
    <s v="F"/>
    <s v="N/A"/>
    <s v="N/A"/>
    <s v="N/A"/>
    <s v="N/A"/>
    <s v="N/A"/>
    <n v="0"/>
    <n v="11"/>
    <m/>
    <m/>
    <m/>
    <m/>
    <m/>
    <x v="2"/>
  </r>
  <r>
    <s v="Nest"/>
    <x v="0"/>
    <x v="0"/>
    <n v="67"/>
    <n v="5"/>
    <n v="62"/>
    <n v="7.4626865671641784E-2"/>
    <n v="0.92537313432835822"/>
    <s v="B. 50 - 100"/>
    <n v="43"/>
    <n v="1"/>
    <n v="23"/>
    <n v="0"/>
    <n v="10"/>
    <s v="N/A"/>
    <n v="0"/>
    <n v="10"/>
    <s v="N/A"/>
    <s v="T"/>
    <s v="F"/>
    <s v="F"/>
    <s v="F"/>
    <s v="F"/>
    <s v="T"/>
    <s v="F"/>
    <n v="0"/>
    <n v="0"/>
    <n v="0"/>
    <n v="0"/>
    <n v="0"/>
    <n v="0"/>
    <n v="0"/>
    <m/>
    <m/>
    <m/>
    <m/>
    <m/>
    <x v="2"/>
  </r>
  <r>
    <s v="Pro Deo"/>
    <x v="0"/>
    <x v="0"/>
    <n v="44"/>
    <n v="10"/>
    <n v="34"/>
    <n v="0.22727272727272727"/>
    <n v="0.77272727272727271"/>
    <s v=" A. 1 - 50 "/>
    <n v="17"/>
    <n v="2"/>
    <n v="25"/>
    <n v="1"/>
    <n v="2"/>
    <n v="7"/>
    <n v="0.1"/>
    <n v="1"/>
    <n v="0.28000000000000003"/>
    <s v="T"/>
    <s v="T"/>
    <s v="T"/>
    <s v="T"/>
    <s v="T"/>
    <s v="T"/>
    <s v="T"/>
    <n v="0"/>
    <n v="2"/>
    <n v="1"/>
    <n v="0"/>
    <n v="16"/>
    <n v="19"/>
    <n v="10"/>
    <m/>
    <m/>
    <m/>
    <m/>
    <m/>
    <x v="2"/>
  </r>
  <r>
    <s v="SDV Chasse"/>
    <x v="0"/>
    <x v="0"/>
    <n v="48"/>
    <n v="8"/>
    <n v="40"/>
    <n v="0.16666666666666666"/>
    <n v="0.83333333333333337"/>
    <s v=" A. 1 - 50 "/>
    <n v="26"/>
    <n v="3"/>
    <n v="19"/>
    <n v="3"/>
    <n v="3"/>
    <n v="2"/>
    <n v="0.375"/>
    <n v="1"/>
    <n v="0.10526315789473684"/>
    <s v="T"/>
    <s v="T"/>
    <s v="T"/>
    <s v="T"/>
    <s v="T"/>
    <s v="T"/>
    <s v="T"/>
    <n v="0"/>
    <n v="0"/>
    <n v="0"/>
    <n v="0"/>
    <n v="0"/>
    <n v="0"/>
    <n v="8"/>
    <m/>
    <m/>
    <m/>
    <m/>
    <m/>
    <x v="2"/>
  </r>
  <r>
    <s v="SHOT"/>
    <x v="0"/>
    <x v="0"/>
    <n v="63"/>
    <n v="10"/>
    <n v="53"/>
    <n v="0.15873015873015872"/>
    <n v="0.84126984126984128"/>
    <s v="B. 50 - 100"/>
    <n v="20"/>
    <n v="2"/>
    <n v="41"/>
    <n v="1"/>
    <n v="0"/>
    <n v="9"/>
    <n v="0.1"/>
    <n v="0"/>
    <n v="0.21951219512195122"/>
    <s v="T"/>
    <s v="T"/>
    <s v="T"/>
    <s v="T"/>
    <s v="T"/>
    <s v="T"/>
    <s v="T"/>
    <s v="N/A"/>
    <s v="N/A"/>
    <s v="N/A"/>
    <s v="N/A"/>
    <s v="N/A"/>
    <n v="0"/>
    <n v="14"/>
    <m/>
    <m/>
    <m/>
    <m/>
    <m/>
    <x v="2"/>
  </r>
  <r>
    <s v="Stubiba"/>
    <x v="0"/>
    <x v="0"/>
    <n v="25"/>
    <n v="2"/>
    <n v="23"/>
    <n v="0.08"/>
    <n v="0.92"/>
    <s v=" A. 1 - 50 "/>
    <n v="7"/>
    <n v="3"/>
    <n v="15"/>
    <n v="0"/>
    <n v="0"/>
    <n v="2"/>
    <n v="0"/>
    <n v="0"/>
    <n v="0.13333333333333333"/>
    <s v="T"/>
    <s v="T"/>
    <s v="T"/>
    <s v="T"/>
    <s v="T"/>
    <s v="T"/>
    <s v="T"/>
    <s v="N/A"/>
    <s v="N/A"/>
    <s v="N/A"/>
    <s v="N/A"/>
    <s v="N/A"/>
    <n v="0"/>
    <n v="0"/>
    <m/>
    <m/>
    <m/>
    <m/>
    <m/>
    <x v="2"/>
  </r>
  <r>
    <s v="Inspe"/>
    <x v="0"/>
    <x v="1"/>
    <n v="70"/>
    <s v="N/A"/>
    <s v="N/A"/>
    <s v="N/A"/>
    <s v="N/A"/>
    <s v="B. 50 - 100"/>
    <s v="N/A"/>
    <n v="1"/>
    <s v="N/A"/>
    <n v="0"/>
    <n v="0"/>
    <s v="N/A"/>
    <s v="N/A"/>
    <n v="0"/>
    <s v="N/A"/>
    <s v="F"/>
    <s v="F"/>
    <s v="F"/>
    <s v="T"/>
    <s v="T"/>
    <s v="T"/>
    <s v="F"/>
    <n v="2"/>
    <n v="0"/>
    <n v="7"/>
    <n v="8"/>
    <n v="13"/>
    <n v="30"/>
    <n v="11"/>
    <m/>
    <m/>
    <m/>
    <m/>
    <m/>
    <x v="2"/>
  </r>
  <r>
    <s v="Stukafest"/>
    <x v="0"/>
    <x v="0"/>
    <s v="N/A"/>
    <s v="N/A"/>
    <s v="N/A"/>
    <s v="N/A"/>
    <s v="N/A"/>
    <s v="E. 1000 +"/>
    <s v="N/A"/>
    <s v="N/A"/>
    <s v="N/A"/>
    <n v="0"/>
    <n v="0"/>
    <s v="N/A"/>
    <s v="N/A"/>
    <s v="N/A"/>
    <s v="N/A"/>
    <s v="F"/>
    <s v="F"/>
    <s v="F"/>
    <s v="T"/>
    <s v="T"/>
    <s v="T"/>
    <s v="F"/>
    <s v="N/A"/>
    <s v="N/A"/>
    <s v="N/A"/>
    <s v="N/A"/>
    <s v="N/A"/>
    <n v="0"/>
    <n v="0"/>
    <m/>
    <m/>
    <m/>
    <m/>
    <m/>
    <x v="2"/>
  </r>
  <r>
    <s v="Abacus"/>
    <x v="3"/>
    <x v="0"/>
    <n v="477"/>
    <n v="30"/>
    <n v="447"/>
    <n v="6.2893081761006289E-2"/>
    <n v="0.93710691823899372"/>
    <s v="D. 400 - 1000"/>
    <n v="80"/>
    <n v="25"/>
    <n v="372"/>
    <n v="5"/>
    <n v="15"/>
    <n v="10"/>
    <n v="0.16666666666666666"/>
    <n v="0.6"/>
    <n v="2.6881720430107527E-2"/>
    <s v="T"/>
    <s v="T"/>
    <s v="T"/>
    <s v="T"/>
    <s v="T"/>
    <s v="T"/>
    <s v="T"/>
    <n v="11"/>
    <n v="23"/>
    <n v="46"/>
    <n v="24"/>
    <n v="14"/>
    <n v="118"/>
    <n v="27"/>
    <m/>
    <m/>
    <m/>
    <m/>
    <m/>
    <x v="2"/>
  </r>
  <r>
    <s v="Alembic"/>
    <x v="3"/>
    <x v="0"/>
    <n v="308"/>
    <n v="25"/>
    <n v="283"/>
    <n v="8.1168831168831168E-2"/>
    <n v="0.91883116883116878"/>
    <s v="C. 100 - 400"/>
    <n v="100"/>
    <n v="46"/>
    <n v="162"/>
    <n v="10"/>
    <n v="10"/>
    <n v="5"/>
    <n v="0.4"/>
    <n v="0.21739130434782608"/>
    <n v="3.0864197530864196E-2"/>
    <s v="T"/>
    <s v="T"/>
    <s v="T"/>
    <s v="T"/>
    <s v="T"/>
    <s v="T"/>
    <s v="T"/>
    <n v="24"/>
    <n v="47"/>
    <n v="58"/>
    <n v="31"/>
    <n v="30"/>
    <n v="190"/>
    <n v="29"/>
    <m/>
    <m/>
    <m/>
    <m/>
    <m/>
    <x v="2"/>
  </r>
  <r>
    <s v="Arago"/>
    <x v="3"/>
    <x v="0"/>
    <n v="617"/>
    <n v="56"/>
    <n v="561"/>
    <n v="9.0761750405186387E-2"/>
    <n v="0.90923824959481359"/>
    <s v="D. 400 - 1000"/>
    <n v="219"/>
    <n v="1"/>
    <n v="397"/>
    <n v="0"/>
    <n v="0"/>
    <n v="56"/>
    <n v="0"/>
    <n v="0"/>
    <n v="0.14105793450881612"/>
    <s v="T"/>
    <s v="T"/>
    <s v="T"/>
    <s v="T"/>
    <s v="T"/>
    <s v="T"/>
    <s v="T"/>
    <n v="10"/>
    <n v="5"/>
    <n v="0"/>
    <n v="3"/>
    <n v="0"/>
    <n v="18"/>
    <n v="59"/>
    <m/>
    <m/>
    <m/>
    <m/>
    <m/>
    <x v="2"/>
  </r>
  <r>
    <s v="Astatine"/>
    <x v="3"/>
    <x v="0"/>
    <n v="442"/>
    <n v="0"/>
    <n v="442"/>
    <n v="0"/>
    <n v="1"/>
    <s v="D. 400 - 1000"/>
    <n v="108"/>
    <n v="36"/>
    <n v="298"/>
    <n v="5"/>
    <n v="10"/>
    <s v="N/A"/>
    <s v="N/A"/>
    <n v="0.27777777777777779"/>
    <s v="N/A"/>
    <s v="T"/>
    <s v="F"/>
    <s v="F"/>
    <s v="T"/>
    <s v="F"/>
    <s v="T"/>
    <s v="F"/>
    <n v="39"/>
    <n v="48"/>
    <n v="72"/>
    <n v="39"/>
    <n v="14"/>
    <n v="212"/>
    <n v="0"/>
    <m/>
    <m/>
    <m/>
    <m/>
    <m/>
    <x v="2"/>
  </r>
  <r>
    <s v="Atlantis"/>
    <x v="3"/>
    <x v="0"/>
    <n v="193"/>
    <n v="10"/>
    <n v="183"/>
    <n v="5.181347150259067E-2"/>
    <n v="0.94818652849740936"/>
    <s v="C. 100 - 400"/>
    <n v="75"/>
    <n v="14"/>
    <n v="104"/>
    <n v="10"/>
    <n v="20"/>
    <s v="N/A"/>
    <n v="1"/>
    <n v="1.4285714285714286"/>
    <s v="N/A"/>
    <s v="T"/>
    <s v="F"/>
    <s v="F"/>
    <s v="F"/>
    <s v="F"/>
    <s v="T"/>
    <s v="F"/>
    <n v="60"/>
    <n v="43"/>
    <n v="21"/>
    <n v="6"/>
    <n v="0"/>
    <n v="130"/>
    <n v="21"/>
    <m/>
    <m/>
    <m/>
    <m/>
    <m/>
    <x v="2"/>
  </r>
  <r>
    <s v="Communique"/>
    <x v="3"/>
    <x v="0"/>
    <n v="311"/>
    <n v="50"/>
    <n v="261"/>
    <n v="0.16077170418006431"/>
    <n v="0.83922829581993574"/>
    <s v="C. 100 - 400"/>
    <n v="55"/>
    <n v="30"/>
    <n v="226"/>
    <n v="4"/>
    <n v="23"/>
    <n v="23"/>
    <n v="0.08"/>
    <n v="0.76666666666666672"/>
    <n v="0.10176991150442478"/>
    <s v="T"/>
    <s v="T"/>
    <s v="T"/>
    <s v="T"/>
    <s v="T"/>
    <s v="T"/>
    <s v="T"/>
    <n v="16"/>
    <n v="19"/>
    <n v="6"/>
    <n v="12"/>
    <n v="1"/>
    <n v="54"/>
    <n v="22"/>
    <m/>
    <m/>
    <m/>
    <m/>
    <m/>
    <x v="2"/>
  </r>
  <r>
    <s v="ConcepT"/>
    <x v="3"/>
    <x v="0"/>
    <n v="670"/>
    <n v="100"/>
    <n v="570"/>
    <n v="0.14925373134328357"/>
    <n v="0.85074626865671643"/>
    <s v="D. 400 - 1000"/>
    <n v="146"/>
    <n v="40"/>
    <n v="484"/>
    <n v="4"/>
    <n v="7"/>
    <n v="89"/>
    <n v="0.04"/>
    <n v="0.17499999999999999"/>
    <n v="0.18388429752066116"/>
    <s v="T"/>
    <s v="T"/>
    <s v="T"/>
    <s v="T"/>
    <s v="T"/>
    <s v="T"/>
    <s v="T"/>
    <s v="N/A"/>
    <s v="N/A"/>
    <s v="N/A"/>
    <s v="N/A"/>
    <s v="N/A"/>
    <n v="0"/>
    <n v="19"/>
    <m/>
    <m/>
    <m/>
    <m/>
    <m/>
    <x v="2"/>
  </r>
  <r>
    <s v="Daedalus"/>
    <x v="3"/>
    <x v="0"/>
    <n v="862"/>
    <n v="100"/>
    <n v="762"/>
    <n v="0.11600928074245939"/>
    <n v="0.88399071925754058"/>
    <s v="D. 400 - 1000"/>
    <n v="128"/>
    <n v="62"/>
    <n v="672"/>
    <n v="5"/>
    <n v="22"/>
    <n v="73"/>
    <n v="0.05"/>
    <n v="0.35483870967741937"/>
    <n v="0.10863095238095238"/>
    <s v="T"/>
    <s v="T"/>
    <s v="T"/>
    <s v="T"/>
    <s v="T"/>
    <s v="T"/>
    <s v="T"/>
    <n v="0"/>
    <n v="0"/>
    <n v="0"/>
    <n v="0"/>
    <n v="0"/>
    <n v="0"/>
    <n v="34"/>
    <m/>
    <m/>
    <m/>
    <m/>
    <m/>
    <x v="2"/>
  </r>
  <r>
    <s v="Dimensie"/>
    <x v="3"/>
    <x v="0"/>
    <n v="780"/>
    <n v="150"/>
    <n v="630"/>
    <n v="0.19230769230769232"/>
    <n v="0.80769230769230771"/>
    <s v="D. 400 - 1000"/>
    <n v="74"/>
    <n v="50"/>
    <n v="656"/>
    <n v="1"/>
    <n v="73"/>
    <n v="76"/>
    <n v="6.6666666666666671E-3"/>
    <n v="1.46"/>
    <n v="0.11585365853658537"/>
    <s v="T"/>
    <s v="T"/>
    <s v="T"/>
    <s v="F"/>
    <s v="T"/>
    <s v="T"/>
    <s v="F"/>
    <n v="22"/>
    <n v="33"/>
    <n v="21"/>
    <n v="20"/>
    <n v="9"/>
    <n v="105"/>
    <n v="20"/>
    <m/>
    <m/>
    <m/>
    <m/>
    <m/>
    <x v="2"/>
  </r>
  <r>
    <s v="Ideefiks"/>
    <x v="3"/>
    <x v="0"/>
    <n v="66"/>
    <n v="5"/>
    <n v="61"/>
    <n v="7.575757575757576E-2"/>
    <n v="0.9242424242424242"/>
    <s v="B. 50 - 100"/>
    <n v="25"/>
    <n v="18"/>
    <n v="23"/>
    <n v="10"/>
    <n v="10"/>
    <s v="N/A"/>
    <n v="2"/>
    <n v="0.55555555555555558"/>
    <s v="N/A"/>
    <s v="T"/>
    <s v="F"/>
    <s v="F"/>
    <s v="T"/>
    <s v="F"/>
    <s v="T"/>
    <s v="F"/>
    <s v="N/A"/>
    <s v="N/A"/>
    <s v="N/A"/>
    <s v="N/A"/>
    <s v="N/A"/>
    <n v="0"/>
    <n v="6"/>
    <m/>
    <m/>
    <m/>
    <m/>
    <m/>
    <x v="2"/>
  </r>
  <r>
    <s v="Inter-Actief"/>
    <x v="3"/>
    <x v="0"/>
    <n v="1200"/>
    <n v="90"/>
    <n v="1110"/>
    <n v="7.4999999999999997E-2"/>
    <n v="0.92500000000000004"/>
    <s v="E. 1000 +"/>
    <n v="150"/>
    <n v="200"/>
    <n v="850"/>
    <n v="8"/>
    <n v="12"/>
    <n v="70"/>
    <n v="8.8888888888888892E-2"/>
    <n v="0.06"/>
    <n v="8.2352941176470587E-2"/>
    <s v="T"/>
    <s v="T"/>
    <s v="T"/>
    <s v="T"/>
    <s v="T"/>
    <s v="T"/>
    <s v="T"/>
    <n v="37"/>
    <n v="74"/>
    <n v="113"/>
    <n v="67"/>
    <n v="20"/>
    <n v="311"/>
    <n v="38"/>
    <m/>
    <m/>
    <m/>
    <m/>
    <m/>
    <x v="2"/>
  </r>
  <r>
    <s v="Isaac Newton"/>
    <x v="3"/>
    <x v="0"/>
    <n v="1505"/>
    <n v="150"/>
    <n v="1355"/>
    <n v="9.9667774086378738E-2"/>
    <n v="0.90033222591362128"/>
    <s v="E. 1000 +"/>
    <n v="197"/>
    <n v="292"/>
    <n v="1016"/>
    <n v="10"/>
    <n v="10"/>
    <n v="130"/>
    <n v="6.6666666666666666E-2"/>
    <n v="3.4246575342465752E-2"/>
    <n v="0.12795275590551181"/>
    <s v="T"/>
    <s v="T"/>
    <s v="T"/>
    <s v="T"/>
    <s v="T"/>
    <s v="T"/>
    <s v="T"/>
    <n v="13"/>
    <n v="59"/>
    <n v="47"/>
    <n v="38"/>
    <n v="33"/>
    <n v="190"/>
    <n v="28"/>
    <m/>
    <m/>
    <m/>
    <m/>
    <m/>
    <x v="2"/>
  </r>
  <r>
    <s v="Komma"/>
    <x v="3"/>
    <x v="0"/>
    <n v="298"/>
    <n v="4"/>
    <n v="294"/>
    <n v="1.3422818791946308E-2"/>
    <n v="0.98657718120805371"/>
    <s v="C. 100 - 400"/>
    <n v="11"/>
    <n v="65"/>
    <n v="222"/>
    <n v="4"/>
    <n v="5"/>
    <s v="N/A"/>
    <n v="1"/>
    <n v="7.6923076923076927E-2"/>
    <s v="N/A"/>
    <s v="T"/>
    <s v="F"/>
    <s v="F"/>
    <s v="T"/>
    <s v="F"/>
    <s v="T"/>
    <s v="F"/>
    <n v="0"/>
    <n v="0"/>
    <n v="0"/>
    <n v="4"/>
    <n v="0"/>
    <n v="4"/>
    <n v="0"/>
    <m/>
    <m/>
    <m/>
    <m/>
    <m/>
    <x v="2"/>
  </r>
  <r>
    <s v="Paradoks"/>
    <x v="3"/>
    <x v="0"/>
    <s v="N/A"/>
    <s v="N/A"/>
    <s v="N/A"/>
    <s v="N/A"/>
    <s v="N/A"/>
    <s v="E. 1000 +"/>
    <s v="N/A"/>
    <s v="N/A"/>
    <s v="N/A"/>
    <n v="0"/>
    <n v="0"/>
    <s v="N/A"/>
    <s v="N/A"/>
    <s v="N/A"/>
    <s v="N/A"/>
    <s v="F"/>
    <s v="F"/>
    <s v="F"/>
    <s v="T"/>
    <s v="T"/>
    <s v="T"/>
    <s v="F"/>
    <s v="N/A"/>
    <s v="N/A"/>
    <s v="N/A"/>
    <s v="N/A"/>
    <s v="N/A"/>
    <n v="0"/>
    <n v="0"/>
    <m/>
    <m/>
    <m/>
    <m/>
    <m/>
    <x v="2"/>
  </r>
  <r>
    <s v="Proto"/>
    <x v="3"/>
    <x v="0"/>
    <n v="455"/>
    <n v="50"/>
    <n v="405"/>
    <n v="0.10989010989010989"/>
    <n v="0.89010989010989006"/>
    <s v="D. 400 - 1000"/>
    <n v="128"/>
    <n v="25"/>
    <n v="302"/>
    <n v="2"/>
    <n v="13"/>
    <n v="35"/>
    <n v="0.04"/>
    <n v="0.52"/>
    <n v="0.11589403973509933"/>
    <s v="T"/>
    <s v="T"/>
    <s v="T"/>
    <s v="T"/>
    <s v="T"/>
    <s v="T"/>
    <s v="T"/>
    <n v="16"/>
    <n v="62"/>
    <n v="67"/>
    <n v="47"/>
    <n v="45"/>
    <n v="237"/>
    <n v="36"/>
    <m/>
    <m/>
    <m/>
    <m/>
    <m/>
    <x v="2"/>
  </r>
  <r>
    <s v="Scintilla"/>
    <x v="3"/>
    <x v="0"/>
    <n v="600"/>
    <n v="0"/>
    <n v="600"/>
    <n v="0"/>
    <n v="1"/>
    <s v="D. 400 - 1000"/>
    <n v="149"/>
    <n v="15"/>
    <n v="436"/>
    <n v="2"/>
    <n v="10"/>
    <s v="N/A"/>
    <s v="N/A"/>
    <n v="0.66666666666666663"/>
    <s v="N/A"/>
    <s v="T"/>
    <s v="F"/>
    <s v="F"/>
    <s v="T"/>
    <s v="F"/>
    <s v="T"/>
    <s v="F"/>
    <n v="14"/>
    <n v="14"/>
    <n v="63"/>
    <n v="63"/>
    <n v="60"/>
    <n v="214"/>
    <n v="27"/>
    <m/>
    <m/>
    <m/>
    <m/>
    <m/>
    <x v="2"/>
  </r>
  <r>
    <s v="Sirius"/>
    <x v="3"/>
    <x v="0"/>
    <n v="820"/>
    <n v="15"/>
    <n v="805"/>
    <n v="1.8292682926829267E-2"/>
    <n v="0.98170731707317072"/>
    <s v="D. 400 - 1000"/>
    <n v="77"/>
    <n v="5"/>
    <n v="738"/>
    <n v="1"/>
    <n v="9"/>
    <n v="5"/>
    <n v="6.6666666666666666E-2"/>
    <n v="1.8"/>
    <n v="6.7750677506775072E-3"/>
    <s v="T"/>
    <s v="T"/>
    <s v="T"/>
    <s v="F"/>
    <s v="T"/>
    <s v="T"/>
    <s v="F"/>
    <n v="29"/>
    <n v="53"/>
    <n v="12"/>
    <n v="15"/>
    <n v="0"/>
    <n v="109"/>
    <n v="0"/>
    <m/>
    <m/>
    <m/>
    <m/>
    <m/>
    <x v="2"/>
  </r>
  <r>
    <s v="Stress"/>
    <x v="3"/>
    <x v="0"/>
    <n v="1960"/>
    <n v="49"/>
    <n v="1911"/>
    <n v="2.5000000000000001E-2"/>
    <n v="0.97499999999999998"/>
    <s v="E. 1000 +"/>
    <n v="120"/>
    <n v="200"/>
    <n v="1640"/>
    <n v="10"/>
    <n v="35"/>
    <n v="4"/>
    <n v="0.20408163265306123"/>
    <n v="0.17499999999999999"/>
    <n v="2.4390243902439024E-3"/>
    <s v="T"/>
    <s v="T"/>
    <s v="T"/>
    <s v="T"/>
    <s v="T"/>
    <s v="T"/>
    <s v="T"/>
    <s v="N/A"/>
    <s v="N/A"/>
    <s v="N/A"/>
    <s v="N/A"/>
    <s v="N/A"/>
    <n v="0"/>
    <n v="26"/>
    <m/>
    <m/>
    <m/>
    <m/>
    <m/>
    <x v="2"/>
  </r>
  <r>
    <s v="SV Onwijs"/>
    <x v="3"/>
    <x v="0"/>
    <n v="80"/>
    <n v="40"/>
    <n v="40"/>
    <n v="0.5"/>
    <n v="0.5"/>
    <s v="B. 50 - 100"/>
    <n v="12"/>
    <n v="0"/>
    <n v="68"/>
    <n v="0"/>
    <n v="0"/>
    <n v="40"/>
    <n v="0"/>
    <s v="N/A"/>
    <n v="0.58823529411764708"/>
    <s v="T"/>
    <s v="T"/>
    <s v="T"/>
    <s v="T"/>
    <s v="T"/>
    <s v="T"/>
    <s v="T"/>
    <n v="0"/>
    <n v="0"/>
    <n v="0"/>
    <n v="3"/>
    <n v="3"/>
    <n v="6"/>
    <n v="3"/>
    <m/>
    <m/>
    <m/>
    <m/>
    <m/>
    <x v="2"/>
  </r>
  <r>
    <s v="ITC-SAB"/>
    <x v="3"/>
    <x v="0"/>
    <s v="N/A"/>
    <s v="N/A"/>
    <s v="N/A"/>
    <s v="N/A"/>
    <s v="N/A"/>
    <s v="E. 1000 +"/>
    <s v="N/A"/>
    <s v="N/A"/>
    <s v="N/A"/>
    <n v="0"/>
    <n v="0"/>
    <s v="N/A"/>
    <s v="N/A"/>
    <s v="N/A"/>
    <s v="N/A"/>
    <s v="F"/>
    <s v="F"/>
    <s v="F"/>
    <s v="T"/>
    <s v="T"/>
    <s v="T"/>
    <s v="F"/>
    <s v="N/A"/>
    <s v="N/A"/>
    <s v="N/A"/>
    <s v="N/A"/>
    <s v="N/A"/>
    <n v="0"/>
    <n v="0"/>
    <m/>
    <m/>
    <m/>
    <m/>
    <m/>
    <x v="2"/>
  </r>
  <r>
    <s v="Honoursvereniging Ockham"/>
    <x v="3"/>
    <x v="0"/>
    <n v="250"/>
    <n v="80"/>
    <n v="170"/>
    <n v="0.32"/>
    <n v="0.67999999999999994"/>
    <s v="C. 100 - 400"/>
    <n v="40"/>
    <n v="20"/>
    <n v="190"/>
    <n v="5"/>
    <n v="20"/>
    <n v="55"/>
    <n v="6.25E-2"/>
    <n v="1"/>
    <n v="0.28947368421052633"/>
    <s v="T"/>
    <s v="T"/>
    <s v="T"/>
    <s v="T"/>
    <s v="T"/>
    <s v="T"/>
    <s v="T"/>
    <s v="N/A"/>
    <s v="N/A"/>
    <s v="N/A"/>
    <s v="N/A"/>
    <s v="N/A"/>
    <n v="0"/>
    <n v="11"/>
    <m/>
    <m/>
    <m/>
    <m/>
    <m/>
    <x v="2"/>
  </r>
  <r>
    <s v="AEGEE Enschede"/>
    <x v="4"/>
    <x v="0"/>
    <n v="285"/>
    <n v="95"/>
    <n v="190"/>
    <n v="0.33333333333333331"/>
    <n v="0.66666666666666674"/>
    <s v="C. 100 - 400"/>
    <n v="100"/>
    <n v="5"/>
    <n v="180"/>
    <n v="0"/>
    <n v="5"/>
    <n v="90"/>
    <n v="0"/>
    <n v="1"/>
    <n v="0.5"/>
    <s v="T"/>
    <s v="T"/>
    <s v="T"/>
    <s v="T"/>
    <s v="T"/>
    <s v="T"/>
    <s v="T"/>
    <n v="24"/>
    <n v="21"/>
    <n v="50"/>
    <n v="65"/>
    <n v="24"/>
    <n v="184"/>
    <n v="26"/>
    <m/>
    <m/>
    <m/>
    <m/>
    <m/>
    <x v="2"/>
  </r>
  <r>
    <s v="ASV Taste"/>
    <x v="4"/>
    <x v="0"/>
    <n v="548"/>
    <n v="70"/>
    <n v="478"/>
    <n v="0.12773722627737227"/>
    <n v="0.87226277372262773"/>
    <s v="D. 400 - 1000"/>
    <n v="100"/>
    <n v="0"/>
    <n v="448"/>
    <n v="0"/>
    <n v="0"/>
    <n v="70"/>
    <n v="0"/>
    <s v="N/A"/>
    <n v="0.15625"/>
    <s v="T"/>
    <s v="T"/>
    <s v="T"/>
    <s v="T"/>
    <s v="T"/>
    <s v="T"/>
    <s v="T"/>
    <n v="42"/>
    <n v="85"/>
    <n v="69"/>
    <n v="31"/>
    <n v="9"/>
    <n v="236"/>
    <n v="29"/>
    <m/>
    <m/>
    <m/>
    <m/>
    <m/>
    <x v="2"/>
  </r>
  <r>
    <s v="Audentis et Virtutis"/>
    <x v="4"/>
    <x v="0"/>
    <n v="510"/>
    <n v="18"/>
    <n v="492"/>
    <n v="3.5294117647058823E-2"/>
    <n v="0.96470588235294119"/>
    <s v="D. 400 - 1000"/>
    <n v="205"/>
    <n v="0"/>
    <n v="305"/>
    <n v="0"/>
    <n v="0"/>
    <n v="18"/>
    <n v="0"/>
    <s v="N/A"/>
    <n v="5.9016393442622953E-2"/>
    <s v="T"/>
    <s v="T"/>
    <s v="T"/>
    <s v="T"/>
    <s v="T"/>
    <s v="T"/>
    <s v="T"/>
    <s v="N/A"/>
    <s v="N/A"/>
    <s v="N/A"/>
    <s v="N/A"/>
    <s v="N/A"/>
    <n v="0"/>
    <n v="24"/>
    <m/>
    <m/>
    <m/>
    <m/>
    <m/>
    <x v="2"/>
  </r>
  <r>
    <s v="CSV Alpha"/>
    <x v="4"/>
    <x v="0"/>
    <n v="118"/>
    <n v="10"/>
    <n v="108"/>
    <n v="8.4745762711864403E-2"/>
    <n v="0.9152542372881356"/>
    <s v="C. 100 - 400"/>
    <n v="85"/>
    <n v="0"/>
    <n v="33"/>
    <n v="0"/>
    <n v="0"/>
    <n v="10"/>
    <n v="0"/>
    <s v="N/A"/>
    <n v="0.30303030303030304"/>
    <s v="T"/>
    <s v="T"/>
    <s v="T"/>
    <s v="T"/>
    <s v="T"/>
    <s v="T"/>
    <s v="T"/>
    <n v="30"/>
    <n v="25"/>
    <n v="35"/>
    <n v="22"/>
    <n v="19"/>
    <n v="131"/>
    <n v="36"/>
    <m/>
    <m/>
    <m/>
    <m/>
    <m/>
    <x v="2"/>
  </r>
  <r>
    <s v="Reformatorische Studenten Kring"/>
    <x v="4"/>
    <x v="0"/>
    <n v="55"/>
    <n v="10"/>
    <n v="45"/>
    <n v="0.18181818181818182"/>
    <n v="0.81818181818181812"/>
    <s v="B. 50 - 100"/>
    <n v="40"/>
    <n v="0"/>
    <n v="15"/>
    <n v="0"/>
    <n v="0"/>
    <n v="10"/>
    <n v="0"/>
    <s v="N/A"/>
    <n v="0.66666666666666663"/>
    <s v="T"/>
    <s v="T"/>
    <s v="T"/>
    <s v="T"/>
    <s v="T"/>
    <s v="T"/>
    <s v="T"/>
    <s v="N/A"/>
    <s v="N/A"/>
    <s v="N/A"/>
    <s v="N/A"/>
    <s v="N/A"/>
    <n v="0"/>
    <n v="28"/>
    <m/>
    <m/>
    <m/>
    <m/>
    <m/>
    <x v="2"/>
  </r>
  <r>
    <s v="SV De Gevreesde Koe VB"/>
    <x v="4"/>
    <x v="0"/>
    <s v="N/A"/>
    <s v="N/A"/>
    <s v="N/A"/>
    <s v="N/A"/>
    <s v="N/A"/>
    <s v="E. 1000 +"/>
    <s v="N/A"/>
    <s v="N/A"/>
    <s v="N/A"/>
    <n v="0"/>
    <n v="0"/>
    <s v="N/A"/>
    <s v="N/A"/>
    <s v="N/A"/>
    <s v="N/A"/>
    <s v="F"/>
    <s v="F"/>
    <s v="F"/>
    <s v="T"/>
    <s v="T"/>
    <s v="T"/>
    <s v="F"/>
    <s v="N/A"/>
    <s v="N/A"/>
    <s v="N/A"/>
    <s v="N/A"/>
    <s v="N/A"/>
    <n v="0"/>
    <n v="0"/>
    <m/>
    <m/>
    <m/>
    <m/>
    <m/>
    <x v="2"/>
  </r>
  <r>
    <s v="Navigators studentenvereniging Enschede"/>
    <x v="4"/>
    <x v="0"/>
    <n v="96"/>
    <n v="5"/>
    <n v="91"/>
    <n v="5.2083333333333336E-2"/>
    <n v="0.94791666666666663"/>
    <s v="B. 50 - 100"/>
    <n v="80"/>
    <n v="0"/>
    <n v="16"/>
    <n v="0"/>
    <n v="0"/>
    <n v="5"/>
    <n v="0"/>
    <s v="N/A"/>
    <n v="0.3125"/>
    <s v="T"/>
    <s v="T"/>
    <s v="T"/>
    <s v="T"/>
    <s v="T"/>
    <s v="T"/>
    <s v="T"/>
    <n v="0"/>
    <n v="0"/>
    <n v="0"/>
    <n v="0"/>
    <n v="0"/>
    <n v="0"/>
    <n v="26"/>
    <m/>
    <m/>
    <m/>
    <m/>
    <m/>
    <x v="2"/>
  </r>
  <r>
    <s v="Jongeren - en Studentenvereniging Exaltio"/>
    <x v="6"/>
    <x v="0"/>
    <n v="170"/>
    <n v="30"/>
    <n v="140"/>
    <n v="0.17647058823529413"/>
    <n v="0.82352941176470584"/>
    <s v="C. 100 - 400"/>
    <n v="30"/>
    <n v="10"/>
    <n v="130"/>
    <n v="1"/>
    <n v="8"/>
    <n v="21"/>
    <n v="3.3333333333333333E-2"/>
    <n v="0.8"/>
    <n v="0.16153846153846155"/>
    <s v="T"/>
    <s v="T"/>
    <s v="T"/>
    <s v="T"/>
    <s v="T"/>
    <s v="T"/>
    <s v="T"/>
    <s v="N/A"/>
    <s v="N/A"/>
    <s v="N/A"/>
    <s v="N/A"/>
    <s v="N/A"/>
    <n v="0"/>
    <n v="0"/>
    <m/>
    <m/>
    <m/>
    <m/>
    <m/>
    <x v="2"/>
  </r>
  <r>
    <s v="ISA AT UT"/>
    <x v="5"/>
    <x v="0"/>
    <s v="N/A"/>
    <s v="N/A"/>
    <s v="N/A"/>
    <s v="N/A"/>
    <s v="N/A"/>
    <s v="E. 1000 +"/>
    <s v="N/A"/>
    <s v="N/A"/>
    <s v="N/A"/>
    <n v="0"/>
    <n v="0"/>
    <s v="N/A"/>
    <s v="N/A"/>
    <s v="N/A"/>
    <s v="N/A"/>
    <s v="F"/>
    <s v="F"/>
    <s v="F"/>
    <s v="T"/>
    <s v="T"/>
    <s v="T"/>
    <s v="F"/>
    <s v="N/A"/>
    <s v="N/A"/>
    <s v="N/A"/>
    <s v="N/A"/>
    <s v="N/A"/>
    <n v="0"/>
    <n v="0"/>
    <m/>
    <m/>
    <m/>
    <m/>
    <m/>
    <x v="2"/>
  </r>
  <r>
    <s v="Student Union"/>
    <x v="6"/>
    <x v="1"/>
    <n v="6"/>
    <n v="0"/>
    <n v="6"/>
    <n v="0"/>
    <n v="1"/>
    <s v=" A. 1 - 50 "/>
    <n v="0"/>
    <n v="0"/>
    <n v="6"/>
    <n v="0"/>
    <n v="0"/>
    <s v="N/A"/>
    <s v="N/A"/>
    <s v="N/A"/>
    <s v="N/A"/>
    <s v="T"/>
    <s v="F"/>
    <s v="F"/>
    <s v="T"/>
    <s v="F"/>
    <s v="T"/>
    <s v="F"/>
    <n v="0"/>
    <n v="5"/>
    <n v="12"/>
    <n v="8"/>
    <n v="1"/>
    <n v="26"/>
    <n v="5"/>
    <m/>
    <m/>
    <m/>
    <m/>
    <m/>
    <x v="2"/>
  </r>
  <r>
    <s v="LA Voz"/>
    <x v="0"/>
    <x v="0"/>
    <n v="65"/>
    <n v="2"/>
    <n v="63"/>
    <n v="3.0769230769230771E-2"/>
    <n v="0.96923076923076923"/>
    <s v="B. 50 - 100"/>
    <n v="5"/>
    <n v="50"/>
    <n v="10"/>
    <n v="4"/>
    <n v="0"/>
    <s v="N/A"/>
    <n v="2"/>
    <n v="0"/>
    <s v="N/A"/>
    <s v="T"/>
    <s v="F"/>
    <s v="F"/>
    <s v="T"/>
    <s v="F"/>
    <s v="T"/>
    <s v="F"/>
    <s v="N/A"/>
    <s v="N/A"/>
    <s v="N/A"/>
    <s v="N/A"/>
    <s v="N/A"/>
    <n v="0"/>
    <n v="1"/>
    <m/>
    <m/>
    <m/>
    <m/>
    <m/>
    <x v="2"/>
  </r>
  <r>
    <s v="ESN Twente"/>
    <x v="5"/>
    <x v="1"/>
    <n v="0"/>
    <s v="N/A"/>
    <s v="N/A"/>
    <s v="N/A"/>
    <s v="N/A"/>
    <s v="N/A"/>
    <s v="N/A"/>
    <n v="0"/>
    <s v="N/A"/>
    <n v="0"/>
    <n v="0"/>
    <s v="N/A"/>
    <s v="N/A"/>
    <s v="N/A"/>
    <s v="N/A"/>
    <s v="F"/>
    <s v="F"/>
    <s v="F"/>
    <s v="T"/>
    <s v="T"/>
    <s v="T"/>
    <s v="F"/>
    <n v="0"/>
    <n v="0"/>
    <n v="2"/>
    <n v="0"/>
    <n v="0"/>
    <n v="2"/>
    <n v="1"/>
    <m/>
    <m/>
    <m/>
    <m/>
    <m/>
    <x v="2"/>
  </r>
  <r>
    <s v="ICF-E"/>
    <x v="5"/>
    <x v="1"/>
    <n v="50"/>
    <s v="N/A"/>
    <s v="N/A"/>
    <s v="N/A"/>
    <s v="N/A"/>
    <s v="B. 50 - 100"/>
    <s v="N/A"/>
    <n v="25"/>
    <s v="N/A"/>
    <n v="0"/>
    <n v="0"/>
    <s v="N/A"/>
    <s v="N/A"/>
    <n v="0"/>
    <s v="N/A"/>
    <s v="F"/>
    <s v="F"/>
    <s v="F"/>
    <s v="T"/>
    <s v="T"/>
    <s v="T"/>
    <s v="F"/>
    <n v="5"/>
    <n v="2"/>
    <n v="1"/>
    <n v="0"/>
    <n v="10"/>
    <n v="18"/>
    <n v="11"/>
    <m/>
    <m/>
    <m/>
    <m/>
    <m/>
    <x v="2"/>
  </r>
  <r>
    <s v="PSA"/>
    <x v="5"/>
    <x v="0"/>
    <s v="N/A"/>
    <s v="N/A"/>
    <s v="N/A"/>
    <s v="N/A"/>
    <s v="N/A"/>
    <s v="E. 1000 +"/>
    <s v="N/A"/>
    <s v="N/A"/>
    <s v="N/A"/>
    <n v="0"/>
    <n v="0"/>
    <s v="N/A"/>
    <s v="N/A"/>
    <s v="N/A"/>
    <s v="N/A"/>
    <s v="F"/>
    <s v="F"/>
    <s v="F"/>
    <s v="T"/>
    <s v="T"/>
    <s v="T"/>
    <s v="F"/>
    <s v="N/A"/>
    <s v="N/A"/>
    <s v="N/A"/>
    <s v="N/A"/>
    <s v="N/A"/>
    <n v="0"/>
    <n v="0"/>
    <m/>
    <m/>
    <m/>
    <m/>
    <m/>
    <x v="2"/>
  </r>
  <r>
    <s v="SUUT"/>
    <x v="5"/>
    <x v="0"/>
    <n v="18"/>
    <n v="0"/>
    <n v="18"/>
    <n v="0"/>
    <n v="1"/>
    <s v=" A. 1 - 50 "/>
    <n v="3"/>
    <n v="12"/>
    <n v="3"/>
    <n v="2"/>
    <n v="0"/>
    <s v="N/A"/>
    <s v="N/A"/>
    <n v="0"/>
    <s v="N/A"/>
    <s v="T"/>
    <s v="F"/>
    <s v="F"/>
    <s v="T"/>
    <s v="F"/>
    <s v="T"/>
    <s v="F"/>
    <s v="N/A"/>
    <s v="N/A"/>
    <s v="N/A"/>
    <s v="N/A"/>
    <s v="N/A"/>
    <n v="0"/>
    <n v="0"/>
    <m/>
    <m/>
    <m/>
    <m/>
    <m/>
    <x v="2"/>
  </r>
  <r>
    <s v="RSA"/>
    <x v="5"/>
    <x v="0"/>
    <s v="N/A"/>
    <s v="N/A"/>
    <s v="N/A"/>
    <s v="N/A"/>
    <s v="N/A"/>
    <s v="E. 1000 +"/>
    <s v="N/A"/>
    <s v="N/A"/>
    <s v="N/A"/>
    <n v="0"/>
    <n v="0"/>
    <s v="N/A"/>
    <s v="N/A"/>
    <s v="N/A"/>
    <s v="N/A"/>
    <s v="F"/>
    <s v="F"/>
    <s v="F"/>
    <s v="T"/>
    <s v="T"/>
    <s v="T"/>
    <s v="F"/>
    <s v="N/A"/>
    <s v="N/A"/>
    <s v="N/A"/>
    <s v="N/A"/>
    <s v="N/A"/>
    <n v="0"/>
    <n v="0"/>
    <m/>
    <m/>
    <m/>
    <m/>
    <m/>
    <x v="2"/>
  </r>
  <r>
    <s v="UT Muslims"/>
    <x v="5"/>
    <x v="0"/>
    <n v="57"/>
    <n v="5"/>
    <n v="52"/>
    <n v="8.771929824561403E-2"/>
    <n v="0.91228070175438591"/>
    <s v="B. 50 - 100"/>
    <n v="15"/>
    <n v="36"/>
    <n v="6"/>
    <n v="6"/>
    <n v="1"/>
    <s v="N/A"/>
    <n v="1.2"/>
    <n v="2.7777777777777776E-2"/>
    <s v="N/A"/>
    <s v="T"/>
    <s v="F"/>
    <s v="F"/>
    <s v="T"/>
    <s v="F"/>
    <s v="T"/>
    <s v="F"/>
    <n v="8"/>
    <n v="2"/>
    <n v="0"/>
    <n v="0"/>
    <n v="3"/>
    <n v="13"/>
    <n v="0"/>
    <m/>
    <m/>
    <m/>
    <m/>
    <m/>
    <x v="2"/>
  </r>
  <r>
    <s v="SUT"/>
    <x v="1"/>
    <x v="1"/>
    <n v="3"/>
    <n v="0"/>
    <n v="3"/>
    <n v="0"/>
    <n v="1"/>
    <s v=" A. 1 - 50 "/>
    <n v="0"/>
    <s v="N/A"/>
    <s v="N/A"/>
    <n v="0"/>
    <n v="0"/>
    <s v="N/A"/>
    <s v="N/A"/>
    <s v="N/A"/>
    <s v="N/A"/>
    <s v="F"/>
    <s v="F"/>
    <s v="F"/>
    <s v="T"/>
    <s v="T"/>
    <s v="T"/>
    <s v="F"/>
    <n v="0"/>
    <n v="1"/>
    <n v="3"/>
    <n v="8"/>
    <n v="2"/>
    <n v="14"/>
    <n v="5"/>
    <m/>
    <m/>
    <m/>
    <m/>
    <m/>
    <x v="2"/>
  </r>
  <r>
    <s v="Cultuurkoepel Apollo"/>
    <x v="0"/>
    <x v="1"/>
    <n v="3"/>
    <s v="N/A"/>
    <s v="N/A"/>
    <s v="N/A"/>
    <s v="N/A"/>
    <s v=" A. 1 - 50 "/>
    <s v="N/A"/>
    <n v="0"/>
    <s v="N/A"/>
    <n v="0"/>
    <n v="0"/>
    <s v="N/A"/>
    <s v="N/A"/>
    <s v="N/A"/>
    <s v="N/A"/>
    <s v="F"/>
    <s v="F"/>
    <s v="F"/>
    <s v="T"/>
    <s v="T"/>
    <s v="T"/>
    <s v="F"/>
    <n v="1"/>
    <n v="5"/>
    <n v="11"/>
    <n v="11"/>
    <n v="6"/>
    <n v="34"/>
    <n v="15"/>
    <m/>
    <m/>
    <m/>
    <m/>
    <m/>
    <x v="2"/>
  </r>
  <r>
    <s v="PKVV Fact"/>
    <x v="4"/>
    <x v="1"/>
    <n v="1447"/>
    <s v="N/A"/>
    <s v="N/A"/>
    <s v="N/A"/>
    <s v="N/A"/>
    <s v="E. 1000 +"/>
    <s v="N/A"/>
    <n v="0"/>
    <s v="N/A"/>
    <n v="0"/>
    <n v="0"/>
    <s v="N/A"/>
    <s v="N/A"/>
    <s v="N/A"/>
    <s v="N/A"/>
    <s v="F"/>
    <s v="F"/>
    <s v="F"/>
    <s v="T"/>
    <s v="T"/>
    <s v="T"/>
    <s v="F"/>
    <n v="1"/>
    <n v="4"/>
    <n v="4"/>
    <n v="3"/>
    <n v="6"/>
    <n v="18"/>
    <n v="2"/>
    <m/>
    <m/>
    <m/>
    <m/>
    <m/>
    <x v="2"/>
  </r>
  <r>
    <s v="UniTe"/>
    <x v="5"/>
    <x v="1"/>
    <n v="7"/>
    <n v="0"/>
    <n v="7"/>
    <n v="0"/>
    <n v="1"/>
    <s v=" A. 1 - 50 "/>
    <n v="0"/>
    <n v="6"/>
    <n v="1"/>
    <n v="0"/>
    <n v="0"/>
    <s v="N/A"/>
    <s v="N/A"/>
    <n v="0"/>
    <s v="N/A"/>
    <s v="T"/>
    <s v="F"/>
    <s v="F"/>
    <s v="T"/>
    <s v="F"/>
    <s v="T"/>
    <s v="F"/>
    <n v="0"/>
    <n v="1"/>
    <n v="0"/>
    <n v="3"/>
    <n v="3"/>
    <n v="7"/>
    <n v="0"/>
    <m/>
    <m/>
    <m/>
    <m/>
    <m/>
    <x v="2"/>
  </r>
  <r>
    <s v="Bedrijvendagen"/>
    <x v="6"/>
    <x v="1"/>
    <n v="6"/>
    <s v="N/A"/>
    <s v="N/A"/>
    <s v="N/A"/>
    <s v="N/A"/>
    <s v=" A. 1 - 50 "/>
    <s v="N/A"/>
    <n v="0"/>
    <s v="N/A"/>
    <n v="0"/>
    <n v="0"/>
    <s v="N/A"/>
    <s v="N/A"/>
    <s v="N/A"/>
    <s v="N/A"/>
    <s v="F"/>
    <s v="F"/>
    <s v="F"/>
    <s v="T"/>
    <s v="T"/>
    <s v="T"/>
    <s v="F"/>
    <s v="N/A"/>
    <s v="N/A"/>
    <s v="N/A"/>
    <s v="N/A"/>
    <s v="N/A"/>
    <n v="0"/>
    <n v="1"/>
    <m/>
    <m/>
    <m/>
    <m/>
    <m/>
    <x v="2"/>
  </r>
  <r>
    <s v="Duitenberg"/>
    <x v="6"/>
    <x v="0"/>
    <n v="110"/>
    <n v="30"/>
    <n v="80"/>
    <n v="0.27272727272727271"/>
    <n v="0.72727272727272729"/>
    <s v="C. 100 - 400"/>
    <n v="17"/>
    <n v="12"/>
    <n v="81"/>
    <n v="2"/>
    <n v="7"/>
    <n v="21"/>
    <n v="6.6666666666666666E-2"/>
    <n v="0.58333333333333337"/>
    <n v="0.25925925925925924"/>
    <s v="T"/>
    <s v="T"/>
    <s v="T"/>
    <s v="T"/>
    <s v="T"/>
    <s v="T"/>
    <s v="T"/>
    <s v="N/A"/>
    <s v="N/A"/>
    <s v="N/A"/>
    <s v="N/A"/>
    <s v="N/A"/>
    <n v="0"/>
    <n v="0"/>
    <m/>
    <m/>
    <m/>
    <m/>
    <m/>
    <x v="2"/>
  </r>
  <r>
    <s v="Integrand Twente"/>
    <x v="6"/>
    <x v="1"/>
    <n v="9"/>
    <s v="N/A"/>
    <s v="N/A"/>
    <s v="N/A"/>
    <s v="N/A"/>
    <s v=" A. 1 - 50 "/>
    <s v="N/A"/>
    <n v="0"/>
    <s v="N/A"/>
    <n v="0"/>
    <n v="0"/>
    <s v="N/A"/>
    <s v="N/A"/>
    <s v="N/A"/>
    <s v="N/A"/>
    <s v="F"/>
    <s v="F"/>
    <s v="F"/>
    <s v="T"/>
    <s v="T"/>
    <s v="T"/>
    <s v="F"/>
    <n v="0"/>
    <n v="0"/>
    <n v="6"/>
    <n v="2"/>
    <n v="0"/>
    <n v="8"/>
    <n v="1"/>
    <m/>
    <m/>
    <m/>
    <m/>
    <m/>
    <x v="2"/>
  </r>
  <r>
    <s v="KIVI Students Twente"/>
    <x v="6"/>
    <x v="1"/>
    <n v="25"/>
    <s v="N/A"/>
    <s v="N/A"/>
    <s v="N/A"/>
    <s v="N/A"/>
    <s v=" A. 1 - 50 "/>
    <s v="N/A"/>
    <n v="2"/>
    <s v="N/A"/>
    <n v="0"/>
    <n v="0"/>
    <s v="N/A"/>
    <s v="N/A"/>
    <n v="0"/>
    <s v="N/A"/>
    <s v="F"/>
    <s v="F"/>
    <s v="F"/>
    <s v="T"/>
    <s v="T"/>
    <s v="T"/>
    <s v="F"/>
    <n v="0"/>
    <n v="0"/>
    <n v="0"/>
    <n v="0"/>
    <n v="0"/>
    <n v="0"/>
    <n v="4"/>
    <m/>
    <m/>
    <m/>
    <m/>
    <m/>
    <x v="2"/>
  </r>
  <r>
    <s v="Unipartners"/>
    <x v="6"/>
    <x v="1"/>
    <s v="N/A"/>
    <s v="N/A"/>
    <s v="N/A"/>
    <s v="N/A"/>
    <s v="N/A"/>
    <s v="E. 1000 +"/>
    <s v="N/A"/>
    <s v="N/A"/>
    <s v="N/A"/>
    <n v="0"/>
    <n v="0"/>
    <s v="N/A"/>
    <s v="N/A"/>
    <s v="N/A"/>
    <s v="N/A"/>
    <s v="F"/>
    <s v="F"/>
    <s v="F"/>
    <s v="T"/>
    <s v="T"/>
    <s v="T"/>
    <s v="F"/>
    <s v="N/A"/>
    <s v="N/A"/>
    <s v="N/A"/>
    <s v="N/A"/>
    <s v="N/A"/>
    <n v="0"/>
    <n v="0"/>
    <m/>
    <m/>
    <m/>
    <m/>
    <m/>
    <x v="2"/>
  </r>
  <r>
    <s v="DSIF"/>
    <x v="6"/>
    <x v="1"/>
    <n v="8"/>
    <s v="N/A"/>
    <s v="N/A"/>
    <s v="N/A"/>
    <s v="N/A"/>
    <s v=" A. 1 - 50 "/>
    <s v="N/A"/>
    <n v="2"/>
    <s v="N/A"/>
    <n v="0"/>
    <n v="0"/>
    <s v="N/A"/>
    <s v="N/A"/>
    <n v="0"/>
    <s v="N/A"/>
    <s v="F"/>
    <s v="F"/>
    <s v="F"/>
    <s v="T"/>
    <s v="T"/>
    <s v="T"/>
    <s v="F"/>
    <s v="N/A"/>
    <s v="N/A"/>
    <s v="N/A"/>
    <s v="N/A"/>
    <s v="N/A"/>
    <n v="0"/>
    <n v="0"/>
    <m/>
    <m/>
    <m/>
    <m/>
    <m/>
    <x v="2"/>
  </r>
  <r>
    <s v="Hive01"/>
    <x v="6"/>
    <x v="1"/>
    <n v="5"/>
    <n v="0"/>
    <n v="5"/>
    <n v="0"/>
    <n v="1"/>
    <s v=" A. 1 - 50 "/>
    <n v="0"/>
    <n v="1"/>
    <n v="4"/>
    <n v="0"/>
    <n v="0"/>
    <s v="N/A"/>
    <s v="N/A"/>
    <n v="0"/>
    <s v="N/A"/>
    <s v="T"/>
    <s v="F"/>
    <s v="F"/>
    <s v="T"/>
    <s v="F"/>
    <s v="T"/>
    <s v="F"/>
    <s v="N/A"/>
    <s v="N/A"/>
    <s v="N/A"/>
    <s v="N/A"/>
    <s v="N/A"/>
    <n v="0"/>
    <n v="0"/>
    <m/>
    <m/>
    <m/>
    <m/>
    <m/>
    <x v="2"/>
  </r>
  <r>
    <s v="Green Team Twente"/>
    <x v="6"/>
    <x v="1"/>
    <n v="31"/>
    <s v="N/A"/>
    <s v="N/A"/>
    <s v="N/A"/>
    <s v="N/A"/>
    <s v=" A. 1 - 50 "/>
    <s v="N/A"/>
    <n v="0"/>
    <s v="N/A"/>
    <n v="0"/>
    <n v="0"/>
    <s v="N/A"/>
    <s v="N/A"/>
    <s v="N/A"/>
    <s v="N/A"/>
    <s v="F"/>
    <s v="F"/>
    <s v="F"/>
    <s v="T"/>
    <s v="T"/>
    <s v="T"/>
    <s v="F"/>
    <s v="N/A"/>
    <s v="N/A"/>
    <s v="N/A"/>
    <s v="N/A"/>
    <s v="N/A"/>
    <n v="0"/>
    <n v="1"/>
    <m/>
    <m/>
    <m/>
    <m/>
    <m/>
    <x v="2"/>
  </r>
  <r>
    <s v="IAPC"/>
    <x v="6"/>
    <x v="1"/>
    <n v="30"/>
    <s v="N/A"/>
    <s v="N/A"/>
    <s v="N/A"/>
    <s v="N/A"/>
    <s v=" A. 1 - 50 "/>
    <s v="N/A"/>
    <n v="0"/>
    <s v="N/A"/>
    <n v="0"/>
    <n v="0"/>
    <s v="N/A"/>
    <s v="N/A"/>
    <s v="N/A"/>
    <s v="N/A"/>
    <s v="F"/>
    <s v="F"/>
    <s v="F"/>
    <s v="T"/>
    <s v="T"/>
    <s v="T"/>
    <s v="F"/>
    <n v="0"/>
    <n v="13"/>
    <n v="5"/>
    <n v="0"/>
    <n v="1"/>
    <n v="19"/>
    <n v="0"/>
    <m/>
    <m/>
    <m/>
    <m/>
    <m/>
    <x v="2"/>
  </r>
  <r>
    <s v="Stichting Borrelbeheer Zilvering"/>
    <x v="4"/>
    <x v="1"/>
    <n v="17"/>
    <n v="0"/>
    <n v="17"/>
    <n v="0"/>
    <n v="1"/>
    <s v=" A. 1 - 50 "/>
    <n v="0"/>
    <n v="0"/>
    <n v="17"/>
    <n v="0"/>
    <n v="0"/>
    <s v="N/A"/>
    <s v="N/A"/>
    <s v="N/A"/>
    <s v="N/A"/>
    <s v="T"/>
    <s v="F"/>
    <s v="F"/>
    <s v="T"/>
    <s v="F"/>
    <s v="T"/>
    <s v="F"/>
    <n v="0"/>
    <n v="0"/>
    <n v="6"/>
    <n v="2"/>
    <n v="0"/>
    <n v="8"/>
    <n v="0"/>
    <m/>
    <m/>
    <m/>
    <m/>
    <m/>
    <x v="2"/>
  </r>
  <r>
    <s v="Stichting Batavierenrace"/>
    <x v="1"/>
    <x v="1"/>
    <n v="120"/>
    <s v="N/A"/>
    <s v="N/A"/>
    <s v="N/A"/>
    <s v="N/A"/>
    <s v="C. 100 - 400"/>
    <s v="N/A"/>
    <n v="0"/>
    <s v="N/A"/>
    <n v="0"/>
    <n v="0"/>
    <s v="N/A"/>
    <s v="N/A"/>
    <s v="N/A"/>
    <s v="N/A"/>
    <s v="F"/>
    <s v="F"/>
    <s v="F"/>
    <s v="T"/>
    <s v="T"/>
    <s v="T"/>
    <s v="F"/>
    <n v="0"/>
    <n v="2"/>
    <n v="0"/>
    <n v="1"/>
    <n v="1"/>
    <n v="4"/>
    <n v="16"/>
    <m/>
    <m/>
    <m/>
    <m/>
    <m/>
    <x v="2"/>
  </r>
  <r>
    <s v="Stichting Solar Team Twente"/>
    <x v="6"/>
    <x v="1"/>
    <n v="28"/>
    <s v="N/A"/>
    <s v="N/A"/>
    <s v="N/A"/>
    <s v="N/A"/>
    <s v=" A. 1 - 50 "/>
    <s v="N/A"/>
    <n v="0"/>
    <s v="N/A"/>
    <n v="0"/>
    <n v="0"/>
    <s v="N/A"/>
    <s v="N/A"/>
    <s v="N/A"/>
    <s v="N/A"/>
    <s v="F"/>
    <s v="F"/>
    <s v="F"/>
    <s v="T"/>
    <s v="T"/>
    <s v="T"/>
    <s v="F"/>
    <n v="0"/>
    <n v="0"/>
    <n v="0"/>
    <n v="0"/>
    <n v="0"/>
    <n v="0"/>
    <n v="3"/>
    <m/>
    <m/>
    <m/>
    <m/>
    <m/>
    <x v="2"/>
  </r>
  <r>
    <s v="Studenten Net Twente"/>
    <x v="6"/>
    <x v="0"/>
    <n v="145"/>
    <n v="4"/>
    <n v="141"/>
    <n v="2.7586206896551724E-2"/>
    <n v="0.97241379310344822"/>
    <s v="C. 100 - 400"/>
    <n v="20"/>
    <n v="2"/>
    <n v="123"/>
    <n v="1"/>
    <n v="0"/>
    <n v="3"/>
    <n v="0.25"/>
    <n v="0"/>
    <n v="2.4390243902439025E-2"/>
    <s v="T"/>
    <s v="T"/>
    <s v="T"/>
    <s v="T"/>
    <s v="T"/>
    <s v="T"/>
    <s v="T"/>
    <s v="N/A"/>
    <s v="N/A"/>
    <s v="N/A"/>
    <s v="N/A"/>
    <s v="N/A"/>
    <n v="0"/>
    <n v="0"/>
    <m/>
    <m/>
    <m/>
    <m/>
    <m/>
    <x v="2"/>
  </r>
  <r>
    <s v="Vereniging Campus kabel"/>
    <x v="6"/>
    <x v="0"/>
    <s v="N/A"/>
    <s v="N/A"/>
    <s v="N/A"/>
    <s v="N/A"/>
    <s v="N/A"/>
    <s v="E. 1000 +"/>
    <s v="N/A"/>
    <s v="N/A"/>
    <s v="N/A"/>
    <n v="0"/>
    <n v="0"/>
    <s v="N/A"/>
    <s v="N/A"/>
    <s v="N/A"/>
    <s v="N/A"/>
    <s v="F"/>
    <s v="F"/>
    <s v="F"/>
    <s v="T"/>
    <s v="T"/>
    <s v="T"/>
    <s v="F"/>
    <s v="N/A"/>
    <s v="N/A"/>
    <s v="N/A"/>
    <s v="N/A"/>
    <s v="N/A"/>
    <n v="0"/>
    <n v="0"/>
    <m/>
    <m/>
    <m/>
    <m/>
    <m/>
    <x v="2"/>
  </r>
  <r>
    <s v="Werkgroep OntwikkelingsTechnieken"/>
    <x v="6"/>
    <x v="0"/>
    <n v="89"/>
    <n v="3"/>
    <n v="86"/>
    <n v="3.3707865168539325E-2"/>
    <n v="0.9662921348314607"/>
    <s v="B. 50 - 100"/>
    <n v="13"/>
    <n v="2"/>
    <n v="74"/>
    <n v="0"/>
    <n v="0"/>
    <n v="3"/>
    <n v="0"/>
    <n v="0"/>
    <n v="4.0540540540540543E-2"/>
    <s v="T"/>
    <s v="T"/>
    <s v="T"/>
    <s v="T"/>
    <s v="T"/>
    <s v="T"/>
    <s v="T"/>
    <s v="N/A"/>
    <s v="N/A"/>
    <s v="N/A"/>
    <s v="N/A"/>
    <s v="N/A"/>
    <n v="0"/>
    <n v="0"/>
    <m/>
    <m/>
    <m/>
    <m/>
    <m/>
    <x v="2"/>
  </r>
  <r>
    <s v="Borrelbeheer TAP"/>
    <x v="4"/>
    <x v="1"/>
    <n v="0"/>
    <s v="N/A"/>
    <s v="N/A"/>
    <s v="N/A"/>
    <s v="N/A"/>
    <s v="N/A"/>
    <s v="N/A"/>
    <n v="0"/>
    <s v="N/A"/>
    <n v="0"/>
    <n v="0"/>
    <s v="N/A"/>
    <s v="N/A"/>
    <s v="N/A"/>
    <s v="N/A"/>
    <s v="F"/>
    <s v="F"/>
    <s v="F"/>
    <s v="T"/>
    <s v="T"/>
    <s v="T"/>
    <s v="F"/>
    <s v="N/A"/>
    <s v="N/A"/>
    <s v="N/A"/>
    <s v="N/A"/>
    <s v="N/A"/>
    <n v="0"/>
    <n v="1"/>
    <m/>
    <m/>
    <m/>
    <m/>
    <m/>
    <x v="2"/>
  </r>
  <r>
    <s v="Studentenstam Radix"/>
    <x v="6"/>
    <x v="0"/>
    <n v="38"/>
    <n v="5"/>
    <n v="33"/>
    <n v="0.13157894736842105"/>
    <n v="0.86842105263157898"/>
    <s v=" A. 1 - 50 "/>
    <n v="15"/>
    <n v="0"/>
    <n v="23"/>
    <n v="0"/>
    <n v="0"/>
    <n v="5"/>
    <n v="0"/>
    <s v="N/A"/>
    <n v="0.21739130434782608"/>
    <s v="T"/>
    <s v="T"/>
    <s v="T"/>
    <s v="T"/>
    <s v="T"/>
    <s v="T"/>
    <s v="T"/>
    <n v="0"/>
    <n v="0"/>
    <n v="0"/>
    <n v="0"/>
    <n v="0"/>
    <n v="0"/>
    <n v="5"/>
    <m/>
    <m/>
    <m/>
    <m/>
    <m/>
    <x v="2"/>
  </r>
  <r>
    <s v="IEEE Student Branch"/>
    <x v="6"/>
    <x v="1"/>
    <s v="N/A"/>
    <s v="N/A"/>
    <s v="N/A"/>
    <s v="N/A"/>
    <s v="N/A"/>
    <s v="E. 1000 +"/>
    <s v="N/A"/>
    <s v="N/A"/>
    <s v="N/A"/>
    <n v="0"/>
    <n v="0"/>
    <s v="N/A"/>
    <s v="N/A"/>
    <s v="N/A"/>
    <s v="N/A"/>
    <s v="F"/>
    <s v="F"/>
    <s v="F"/>
    <s v="T"/>
    <s v="T"/>
    <s v="T"/>
    <s v="F"/>
    <s v="N/A"/>
    <s v="N/A"/>
    <s v="N/A"/>
    <s v="N/A"/>
    <s v="N/A"/>
    <n v="0"/>
    <n v="0"/>
    <m/>
    <m/>
    <m/>
    <m/>
    <m/>
    <x v="2"/>
  </r>
  <r>
    <s v="Stichting Solar Boat Twente"/>
    <x v="6"/>
    <x v="1"/>
    <n v="21"/>
    <s v="N/A"/>
    <s v="N/A"/>
    <s v="N/A"/>
    <s v="N/A"/>
    <s v=" A. 1 - 50 "/>
    <s v="N/A"/>
    <n v="0"/>
    <s v="N/A"/>
    <n v="0"/>
    <n v="0"/>
    <s v="N/A"/>
    <s v="N/A"/>
    <s v="N/A"/>
    <s v="N/A"/>
    <s v="F"/>
    <s v="F"/>
    <s v="F"/>
    <s v="T"/>
    <s v="T"/>
    <s v="T"/>
    <s v="F"/>
    <s v="N/A"/>
    <s v="N/A"/>
    <s v="N/A"/>
    <s v="N/A"/>
    <s v="N/A"/>
    <n v="0"/>
    <n v="1"/>
    <m/>
    <m/>
    <m/>
    <m/>
    <m/>
    <x v="2"/>
  </r>
  <r>
    <s v="Stichting Robo Team Twente"/>
    <x v="6"/>
    <x v="1"/>
    <n v="18"/>
    <s v="N/A"/>
    <s v="N/A"/>
    <s v="N/A"/>
    <s v="N/A"/>
    <s v=" A. 1 - 50 "/>
    <s v="N/A"/>
    <n v="3"/>
    <s v="N/A"/>
    <n v="0"/>
    <n v="0"/>
    <s v="N/A"/>
    <s v="N/A"/>
    <n v="0"/>
    <s v="N/A"/>
    <s v="F"/>
    <s v="F"/>
    <s v="F"/>
    <s v="T"/>
    <s v="T"/>
    <s v="T"/>
    <s v="F"/>
    <n v="0"/>
    <n v="0"/>
    <n v="0"/>
    <n v="0"/>
    <n v="0"/>
    <n v="0"/>
    <n v="1"/>
    <m/>
    <m/>
    <m/>
    <m/>
    <m/>
    <x v="2"/>
  </r>
  <r>
    <s v="Stichting Electric Superbike Twente"/>
    <x v="6"/>
    <x v="1"/>
    <n v="14"/>
    <s v="N/A"/>
    <s v="N/A"/>
    <s v="N/A"/>
    <s v="N/A"/>
    <s v=" A. 1 - 50 "/>
    <s v="N/A"/>
    <n v="1"/>
    <s v="N/A"/>
    <n v="0"/>
    <n v="0"/>
    <s v="N/A"/>
    <s v="N/A"/>
    <n v="0"/>
    <s v="N/A"/>
    <s v="F"/>
    <s v="F"/>
    <s v="F"/>
    <s v="T"/>
    <s v="T"/>
    <s v="T"/>
    <s v="F"/>
    <s v="N/A"/>
    <s v="N/A"/>
    <s v="N/A"/>
    <s v="N/A"/>
    <s v="N/A"/>
    <n v="0"/>
    <n v="0"/>
    <m/>
    <m/>
    <m/>
    <m/>
    <m/>
    <x v="2"/>
  </r>
  <r>
    <s v="De sevende camer"/>
    <x v="1"/>
    <x v="1"/>
    <n v="500"/>
    <s v="N/A"/>
    <s v="N/A"/>
    <s v="N/A"/>
    <s v="N/A"/>
    <s v="D. 400 - 1000"/>
    <s v="N/A"/>
    <n v="5"/>
    <s v="N/A"/>
    <n v="0"/>
    <n v="0"/>
    <s v="N/A"/>
    <s v="N/A"/>
    <n v="0"/>
    <s v="N/A"/>
    <s v="F"/>
    <s v="F"/>
    <s v="F"/>
    <s v="T"/>
    <s v="T"/>
    <s v="T"/>
    <s v="F"/>
    <s v="N/A"/>
    <s v="N/A"/>
    <s v="N/A"/>
    <s v="N/A"/>
    <s v="N/A"/>
    <n v="0"/>
    <n v="0"/>
    <m/>
    <m/>
    <m/>
    <m/>
    <m/>
    <x v="2"/>
  </r>
  <r>
    <s v="The negotiation project"/>
    <x v="4"/>
    <x v="1"/>
    <n v="25"/>
    <n v="0"/>
    <n v="25"/>
    <n v="0"/>
    <n v="1"/>
    <s v=" A. 1 - 50 "/>
    <n v="0"/>
    <n v="6"/>
    <n v="19"/>
    <n v="0"/>
    <n v="0"/>
    <s v="N/A"/>
    <s v="N/A"/>
    <n v="0"/>
    <s v="N/A"/>
    <s v="T"/>
    <s v="F"/>
    <s v="F"/>
    <s v="T"/>
    <s v="F"/>
    <s v="T"/>
    <s v="F"/>
    <n v="0"/>
    <n v="3"/>
    <n v="2"/>
    <n v="0"/>
    <n v="0"/>
    <n v="5"/>
    <n v="2"/>
    <m/>
    <m/>
    <m/>
    <m/>
    <m/>
    <x v="2"/>
  </r>
  <r>
    <s v="Drone Team Twente"/>
    <x v="6"/>
    <x v="1"/>
    <n v="16"/>
    <s v="N/A"/>
    <s v="N/A"/>
    <s v="N/A"/>
    <s v="N/A"/>
    <s v=" A. 1 - 50 "/>
    <s v="N/A"/>
    <n v="1"/>
    <s v="N/A"/>
    <n v="0"/>
    <n v="0"/>
    <s v="N/A"/>
    <s v="N/A"/>
    <n v="0"/>
    <s v="N/A"/>
    <s v="F"/>
    <s v="F"/>
    <s v="F"/>
    <s v="T"/>
    <s v="T"/>
    <s v="T"/>
    <s v="F"/>
    <n v="2"/>
    <n v="3"/>
    <n v="3"/>
    <n v="0"/>
    <n v="2"/>
    <n v="10"/>
    <n v="2"/>
    <m/>
    <m/>
    <m/>
    <m/>
    <m/>
    <x v="2"/>
  </r>
  <r>
    <s v="Sustain"/>
    <x v="6"/>
    <x v="0"/>
    <s v="N/A"/>
    <s v="N/A"/>
    <s v="N/A"/>
    <s v="N/A"/>
    <s v="N/A"/>
    <s v="E. 1000 +"/>
    <s v="N/A"/>
    <s v="N/A"/>
    <s v="N/A"/>
    <n v="0"/>
    <n v="0"/>
    <s v="N/A"/>
    <s v="N/A"/>
    <s v="N/A"/>
    <s v="N/A"/>
    <s v="F"/>
    <s v="F"/>
    <s v="F"/>
    <s v="T"/>
    <s v="T"/>
    <s v="T"/>
    <s v="F"/>
    <s v="N/A"/>
    <s v="N/A"/>
    <s v="N/A"/>
    <s v="N/A"/>
    <s v="N/A"/>
    <n v="0"/>
    <n v="0"/>
    <m/>
    <m/>
    <m/>
    <m/>
    <m/>
    <x v="2"/>
  </r>
  <r>
    <s v="Space Society"/>
    <x v="6"/>
    <x v="0"/>
    <n v="38"/>
    <n v="5"/>
    <n v="33"/>
    <n v="0.13157894736842105"/>
    <n v="0.86842105263157898"/>
    <s v=" A. 1 - 50 "/>
    <n v="16"/>
    <n v="12"/>
    <n v="10"/>
    <n v="6"/>
    <n v="4"/>
    <s v="N/A"/>
    <n v="1.2"/>
    <n v="0.33333333333333331"/>
    <s v="N/A"/>
    <s v="T"/>
    <s v="F"/>
    <s v="F"/>
    <s v="T"/>
    <s v="F"/>
    <s v="T"/>
    <s v="F"/>
    <s v="N/A"/>
    <s v="N/A"/>
    <s v="N/A"/>
    <s v="N/A"/>
    <s v="N/A"/>
    <n v="0"/>
    <n v="4"/>
    <m/>
    <m/>
    <m/>
    <m/>
    <m/>
    <x v="2"/>
  </r>
  <r>
    <s v="Drienerlose Stichting Torenhoog"/>
    <x v="6"/>
    <x v="1"/>
    <s v="N/A"/>
    <s v="N/A"/>
    <s v="N/A"/>
    <s v="N/A"/>
    <s v="N/A"/>
    <s v="E. 1000 +"/>
    <s v="N/A"/>
    <s v="N/A"/>
    <s v="N/A"/>
    <n v="0"/>
    <n v="0"/>
    <s v="N/A"/>
    <s v="N/A"/>
    <s v="N/A"/>
    <s v="N/A"/>
    <s v="F"/>
    <s v="F"/>
    <s v="F"/>
    <s v="T"/>
    <s v="T"/>
    <s v="T"/>
    <s v="F"/>
    <s v="N/A"/>
    <s v="N/A"/>
    <s v="N/A"/>
    <s v="N/A"/>
    <s v="N/A"/>
    <n v="0"/>
    <n v="0"/>
    <m/>
    <m/>
    <m/>
    <m/>
    <m/>
    <x v="2"/>
  </r>
  <r>
    <s v="Vereniging Overleg Studieverenigingen"/>
    <x v="3"/>
    <x v="0"/>
    <n v="20"/>
    <n v="0"/>
    <n v="20"/>
    <n v="0"/>
    <n v="1"/>
    <s v=" A. 1 - 50 "/>
    <n v="20"/>
    <n v="0"/>
    <s v="N/A"/>
    <n v="0"/>
    <n v="20"/>
    <s v="N/A"/>
    <s v="N/A"/>
    <s v="N/A"/>
    <s v="N/A"/>
    <s v="F"/>
    <s v="F"/>
    <s v="F"/>
    <s v="F"/>
    <s v="T"/>
    <s v="T"/>
    <s v="F"/>
    <n v="0"/>
    <n v="0"/>
    <n v="14"/>
    <n v="6"/>
    <n v="0"/>
    <n v="20"/>
    <n v="7"/>
    <m/>
    <m/>
    <m/>
    <m/>
    <m/>
    <x v="2"/>
  </r>
  <r>
    <s v="IrNUT"/>
    <x v="6"/>
    <x v="0"/>
    <s v="N/A"/>
    <s v="N/A"/>
    <s v="N/A"/>
    <s v="N/A"/>
    <s v="N/A"/>
    <s v="E. 1000 +"/>
    <s v="N/A"/>
    <s v="N/A"/>
    <s v="N/A"/>
    <n v="0"/>
    <n v="0"/>
    <s v="N/A"/>
    <s v="N/A"/>
    <s v="N/A"/>
    <s v="N/A"/>
    <s v="F"/>
    <s v="F"/>
    <s v="F"/>
    <s v="T"/>
    <s v="T"/>
    <s v="T"/>
    <s v="F"/>
    <s v="N/A"/>
    <s v="N/A"/>
    <s v="N/A"/>
    <s v="N/A"/>
    <s v="N/A"/>
    <n v="0"/>
    <n v="0"/>
    <m/>
    <m/>
    <m/>
    <m/>
    <m/>
    <x v="2"/>
  </r>
  <r>
    <s v="Stichting Societeit Antigoon"/>
    <x v="4"/>
    <x v="1"/>
    <n v="467"/>
    <s v="N/A"/>
    <s v="N/A"/>
    <s v="N/A"/>
    <s v="N/A"/>
    <s v="D. 400 - 1000"/>
    <s v="N/A"/>
    <n v="0"/>
    <s v="N/A"/>
    <n v="0"/>
    <n v="0"/>
    <s v="N/A"/>
    <s v="N/A"/>
    <s v="N/A"/>
    <s v="N/A"/>
    <s v="F"/>
    <s v="F"/>
    <s v="F"/>
    <s v="T"/>
    <s v="T"/>
    <s v="T"/>
    <s v="F"/>
    <s v="N/A"/>
    <s v="N/A"/>
    <s v="N/A"/>
    <s v="N/A"/>
    <s v="N/A"/>
    <n v="0"/>
    <n v="0"/>
    <m/>
    <m/>
    <m/>
    <m/>
    <m/>
    <x v="2"/>
  </r>
  <r>
    <s v="Stichting Societeit TRAM"/>
    <x v="0"/>
    <x v="1"/>
    <n v="0"/>
    <s v="N/A"/>
    <s v="N/A"/>
    <s v="N/A"/>
    <s v="N/A"/>
    <s v="N/A"/>
    <s v="N/A"/>
    <n v="0"/>
    <s v="N/A"/>
    <n v="0"/>
    <n v="0"/>
    <s v="N/A"/>
    <s v="N/A"/>
    <s v="N/A"/>
    <s v="N/A"/>
    <s v="F"/>
    <s v="F"/>
    <s v="F"/>
    <s v="T"/>
    <s v="T"/>
    <s v="T"/>
    <s v="F"/>
    <s v="N/A"/>
    <s v="N/A"/>
    <s v="N/A"/>
    <s v="N/A"/>
    <s v="N/A"/>
    <n v="0"/>
    <n v="0"/>
    <m/>
    <m/>
    <m/>
    <m/>
    <m/>
    <x v="2"/>
  </r>
  <r>
    <s v="Stichting Societeit Flux"/>
    <x v="4"/>
    <x v="1"/>
    <n v="0"/>
    <s v="N/A"/>
    <s v="N/A"/>
    <s v="N/A"/>
    <s v="N/A"/>
    <s v="N/A"/>
    <s v="N/A"/>
    <n v="0"/>
    <s v="N/A"/>
    <n v="0"/>
    <n v="0"/>
    <s v="N/A"/>
    <s v="N/A"/>
    <s v="N/A"/>
    <s v="N/A"/>
    <s v="F"/>
    <s v="F"/>
    <s v="F"/>
    <s v="T"/>
    <s v="T"/>
    <s v="T"/>
    <s v="F"/>
    <s v="N/A"/>
    <s v="N/A"/>
    <s v="N/A"/>
    <s v="N/A"/>
    <s v="N/A"/>
    <n v="0"/>
    <n v="3"/>
    <m/>
    <m/>
    <m/>
    <m/>
    <m/>
    <x v="2"/>
  </r>
  <r>
    <s v="Stichting Societeit Asterion"/>
    <x v="4"/>
    <x v="1"/>
    <n v="0"/>
    <n v="0"/>
    <n v="0"/>
    <s v="N/A"/>
    <s v="N/A"/>
    <s v="N/A"/>
    <n v="0"/>
    <n v="0"/>
    <s v="N/A"/>
    <n v="0"/>
    <n v="0"/>
    <s v="N/A"/>
    <s v="N/A"/>
    <s v="N/A"/>
    <s v="N/A"/>
    <s v="F"/>
    <s v="F"/>
    <s v="F"/>
    <s v="T"/>
    <s v="T"/>
    <s v="T"/>
    <s v="F"/>
    <s v="N/A"/>
    <s v="N/A"/>
    <s v="N/A"/>
    <s v="N/A"/>
    <s v="N/A"/>
    <n v="0"/>
    <n v="5"/>
    <m/>
    <m/>
    <m/>
    <m/>
    <m/>
    <x v="2"/>
  </r>
  <r>
    <s v="Stichting Kantine Sportcentrum"/>
    <x v="6"/>
    <x v="1"/>
    <s v="N/A"/>
    <s v="N/A"/>
    <s v="N/A"/>
    <s v="N/A"/>
    <s v="N/A"/>
    <s v="E. 1000 +"/>
    <s v="N/A"/>
    <s v="N/A"/>
    <s v="N/A"/>
    <n v="0"/>
    <n v="0"/>
    <s v="N/A"/>
    <s v="N/A"/>
    <s v="N/A"/>
    <s v="N/A"/>
    <s v="F"/>
    <s v="F"/>
    <s v="F"/>
    <s v="T"/>
    <s v="T"/>
    <s v="T"/>
    <s v="F"/>
    <s v="N/A"/>
    <s v="N/A"/>
    <s v="N/A"/>
    <s v="N/A"/>
    <s v="N/A"/>
    <n v="0"/>
    <n v="0"/>
    <m/>
    <m/>
    <m/>
    <m/>
    <m/>
    <x v="2"/>
  </r>
  <r>
    <s v="VGST"/>
    <x v="6"/>
    <x v="0"/>
    <n v="79"/>
    <n v="1"/>
    <n v="78"/>
    <n v="1.2658227848101266E-2"/>
    <n v="0.98734177215189878"/>
    <s v="B. 50 - 100"/>
    <n v="65"/>
    <n v="0"/>
    <n v="14"/>
    <n v="0"/>
    <n v="0"/>
    <n v="1"/>
    <n v="0"/>
    <s v="N/A"/>
    <n v="7.1428571428571425E-2"/>
    <s v="T"/>
    <s v="T"/>
    <s v="T"/>
    <s v="T"/>
    <s v="T"/>
    <s v="T"/>
    <s v="T"/>
    <s v="N/A"/>
    <s v="N/A"/>
    <s v="N/A"/>
    <s v="N/A"/>
    <s v="N/A"/>
    <n v="0"/>
    <n v="0"/>
    <m/>
    <m/>
    <m/>
    <m/>
    <m/>
    <x v="2"/>
  </r>
  <r>
    <s v="Stichting t Fluitje"/>
    <x v="6"/>
    <x v="1"/>
    <n v="4"/>
    <s v="N/A"/>
    <s v="N/A"/>
    <s v="N/A"/>
    <s v="N/A"/>
    <s v=" A. 1 - 50 "/>
    <s v="N/A"/>
    <n v="0"/>
    <s v="N/A"/>
    <n v="0"/>
    <n v="0"/>
    <s v="N/A"/>
    <s v="N/A"/>
    <s v="N/A"/>
    <s v="N/A"/>
    <s v="F"/>
    <s v="F"/>
    <s v="F"/>
    <s v="T"/>
    <s v="T"/>
    <s v="T"/>
    <s v="F"/>
    <n v="0"/>
    <n v="0"/>
    <n v="1"/>
    <n v="3"/>
    <n v="2"/>
    <n v="6"/>
    <n v="3"/>
    <m/>
    <m/>
    <m/>
    <m/>
    <m/>
    <x v="2"/>
  </r>
  <r>
    <s v="Enactus Twente"/>
    <x v="4"/>
    <x v="1"/>
    <s v="N/A"/>
    <s v="N/A"/>
    <s v="N/A"/>
    <s v="N/A"/>
    <s v="N/A"/>
    <s v="E. 1000 +"/>
    <s v="N/A"/>
    <s v="N/A"/>
    <s v="N/A"/>
    <n v="0"/>
    <n v="0"/>
    <s v="N/A"/>
    <s v="N/A"/>
    <s v="N/A"/>
    <s v="N/A"/>
    <s v="F"/>
    <s v="F"/>
    <s v="F"/>
    <s v="T"/>
    <s v="T"/>
    <s v="T"/>
    <s v="F"/>
    <s v="N/A"/>
    <s v="N/A"/>
    <s v="N/A"/>
    <s v="N/A"/>
    <s v="N/A"/>
    <n v="0"/>
    <n v="0"/>
    <m/>
    <m/>
    <m/>
    <m/>
    <m/>
    <x v="2"/>
  </r>
  <r>
    <s v="Eurasian Student Organisation"/>
    <x v="5"/>
    <x v="0"/>
    <n v="200"/>
    <n v="15"/>
    <n v="185"/>
    <n v="7.4999999999999997E-2"/>
    <n v="0.92500000000000004"/>
    <s v="C. 100 - 400"/>
    <n v="20"/>
    <n v="200"/>
    <s v="N/A"/>
    <n v="20"/>
    <n v="5"/>
    <s v="N/A"/>
    <n v="1.3333333333333333"/>
    <n v="2.5000000000000001E-2"/>
    <s v="N/A"/>
    <s v="F"/>
    <s v="F"/>
    <s v="F"/>
    <s v="T"/>
    <s v="T"/>
    <s v="T"/>
    <s v="F"/>
    <n v="5"/>
    <n v="1"/>
    <n v="2"/>
    <n v="0"/>
    <n v="0"/>
    <n v="8"/>
    <n v="3"/>
    <m/>
    <m/>
    <m/>
    <m/>
    <m/>
    <x v="2"/>
  </r>
  <r>
    <s v="Ultimate Frisbee Twente"/>
    <x v="1"/>
    <x v="0"/>
    <s v="N/A"/>
    <s v="N/A"/>
    <s v="N/A"/>
    <s v="N/A"/>
    <s v="N/A"/>
    <s v="E. 1000 +"/>
    <s v="N/A"/>
    <s v="N/A"/>
    <s v="N/A"/>
    <n v="0"/>
    <n v="0"/>
    <s v="N/A"/>
    <s v="N/A"/>
    <s v="N/A"/>
    <s v="N/A"/>
    <s v="F"/>
    <s v="F"/>
    <s v="F"/>
    <s v="T"/>
    <s v="T"/>
    <s v="T"/>
    <s v="F"/>
    <s v="N/A"/>
    <s v="N/A"/>
    <s v="N/A"/>
    <s v="N/A"/>
    <s v="N/A"/>
    <n v="0"/>
    <n v="0"/>
    <m/>
    <m/>
    <m/>
    <m/>
    <m/>
    <x v="2"/>
  </r>
  <r>
    <s v="Ambitious Women UT"/>
    <x v="6"/>
    <x v="0"/>
    <n v="28"/>
    <n v="7"/>
    <n v="21"/>
    <n v="0.25"/>
    <n v="0.75"/>
    <s v=" A. 1 - 50 "/>
    <n v="4"/>
    <n v="17"/>
    <n v="7"/>
    <n v="9"/>
    <n v="7"/>
    <s v="N/A"/>
    <n v="1.2857142857142858"/>
    <n v="0.41176470588235292"/>
    <s v="N/A"/>
    <s v="T"/>
    <s v="F"/>
    <s v="F"/>
    <s v="T"/>
    <s v="F"/>
    <s v="F"/>
    <m/>
    <s v="N/A"/>
    <s v="N/A"/>
    <s v="N/A"/>
    <s v="N/A"/>
    <s v="N/A"/>
    <n v="0"/>
    <n v="5"/>
    <m/>
    <m/>
    <m/>
    <m/>
    <m/>
    <x v="2"/>
  </r>
  <r>
    <s v="IAESTE Twente"/>
    <x v="1"/>
    <x v="1"/>
    <s v="N/A"/>
    <s v="N/A"/>
    <s v="N/A"/>
    <s v="N/A"/>
    <s v="N/A"/>
    <s v="E. 1000 +"/>
    <s v="N/A"/>
    <s v="N/A"/>
    <s v="N/A"/>
    <n v="0"/>
    <n v="0"/>
    <s v="N/A"/>
    <s v="N/A"/>
    <s v="N/A"/>
    <s v="N/A"/>
    <s v="F"/>
    <s v="F"/>
    <s v="F"/>
    <s v="T"/>
    <s v="T"/>
    <s v="T"/>
    <e v="#VALUE!"/>
    <s v="N/A"/>
    <s v="N/A"/>
    <s v="N/A"/>
    <s v="N/A"/>
    <s v="N/A"/>
    <n v="0"/>
    <n v="0"/>
    <m/>
    <m/>
    <m/>
    <m/>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EE287A-4E00-420E-8787-91728726DB57}" name="Draaitabel11" cacheId="53"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4">
  <location ref="F17:H24" firstHeaderRow="0" firstDataRow="1" firstDataCol="1"/>
  <pivotFields count="6">
    <pivotField dataField="1" showAll="0"/>
    <pivotField dataField="1" showAll="0"/>
    <pivotField axis="axisRow" showAll="0">
      <items count="7">
        <item sd="0" x="0"/>
        <item sd="0" x="5"/>
        <item sd="0" x="3"/>
        <item sd="0" x="1"/>
        <item sd="0" x="2"/>
        <item sd="0" x="4"/>
        <item t="default" sd="0"/>
      </items>
    </pivotField>
    <pivotField showAll="0"/>
    <pivotField dragToRow="0" dragToCol="0" dragToPage="0" showAll="0" defaultSubtotal="0"/>
    <pivotField dragToRow="0" dragToCol="0" dragToPage="0" showAll="0" defaultSubtotal="0"/>
  </pivotFields>
  <rowFields count="1">
    <field x="2"/>
  </rowFields>
  <rowItems count="7">
    <i>
      <x/>
    </i>
    <i>
      <x v="1"/>
    </i>
    <i>
      <x v="2"/>
    </i>
    <i>
      <x v="3"/>
    </i>
    <i>
      <x v="4"/>
    </i>
    <i>
      <x v="5"/>
    </i>
    <i t="grand">
      <x/>
    </i>
  </rowItems>
  <colFields count="1">
    <field x="-2"/>
  </colFields>
  <colItems count="2">
    <i>
      <x/>
    </i>
    <i i="1">
      <x v="1"/>
    </i>
  </colItems>
  <dataFields count="2">
    <dataField name="Number of responses" fld="1" baseField="2" baseItem="0"/>
    <dataField name="Total number of associations" fld="0" subtotal="count" baseField="2" baseItem="0"/>
  </dataFields>
  <chartFormats count="3">
    <chartFormat chart="1" format="1" series="1">
      <pivotArea type="data" outline="0" fieldPosition="0">
        <references count="1">
          <reference field="4294967294" count="1" selected="0">
            <x v="0"/>
          </reference>
        </references>
      </pivotArea>
    </chartFormat>
    <chartFormat chart="13" format="30" series="1">
      <pivotArea type="data" outline="0" fieldPosition="0">
        <references count="1">
          <reference field="4294967294" count="1" selected="0">
            <x v="0"/>
          </reference>
        </references>
      </pivotArea>
    </chartFormat>
    <chartFormat chart="13" format="3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C15C7A7-77B9-4B97-8764-2E25AEE86323}" name="Draaitabel7" cacheId="54"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2">
  <location ref="A3:A10" firstHeaderRow="1" firstDataRow="1" firstDataCol="1" rowPageCount="1"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showAll="0"/>
    <pivotField showAll="0"/>
    <pivotField showAll="0"/>
    <pivotField showAll="0"/>
    <pivotField showAll="0"/>
    <pivotField showAll="0"/>
    <pivotField axis="axisRow" showAll="0">
      <items count="7">
        <item sd="0" x="1"/>
        <item sd="0" x="0"/>
        <item sd="0" x="3"/>
        <item x="2"/>
        <item x="4"/>
        <item x="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5">
        <item x="0"/>
        <item x="37"/>
        <item x="16"/>
        <item x="28"/>
        <item x="15"/>
        <item x="32"/>
        <item x="41"/>
        <item x="42"/>
        <item x="43"/>
        <item x="9"/>
        <item x="38"/>
        <item x="39"/>
        <item x="8"/>
        <item x="22"/>
        <item x="12"/>
        <item x="3"/>
        <item x="4"/>
        <item x="36"/>
        <item x="7"/>
        <item x="13"/>
        <item x="19"/>
        <item x="10"/>
        <item x="17"/>
        <item x="40"/>
        <item x="2"/>
        <item x="18"/>
        <item x="6"/>
        <item x="25"/>
        <item x="14"/>
        <item x="11"/>
        <item x="1"/>
        <item x="26"/>
        <item x="31"/>
        <item x="20"/>
        <item x="24"/>
        <item x="35"/>
        <item x="5"/>
        <item x="33"/>
        <item x="21"/>
        <item x="23"/>
        <item x="30"/>
        <item x="34"/>
        <item x="29"/>
        <item x="27"/>
        <item t="default"/>
      </items>
    </pivotField>
    <pivotField showAll="0"/>
    <pivotField showAll="0"/>
  </pivotFields>
  <rowFields count="3">
    <field x="1"/>
    <field x="8"/>
    <field x="0"/>
  </rowFields>
  <rowItems count="7">
    <i>
      <x/>
    </i>
    <i>
      <x v="1"/>
    </i>
    <i>
      <x v="2"/>
    </i>
    <i>
      <x v="3"/>
    </i>
    <i>
      <x v="4"/>
    </i>
    <i>
      <x v="5"/>
    </i>
    <i t="grand">
      <x/>
    </i>
  </rowItems>
  <colItems count="1">
    <i/>
  </colItems>
  <pageFields count="1">
    <pageField fld="3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21FBA89-B850-402C-AF3C-B4A091603534}" name="Draaitabel3" cacheId="54"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9">
  <location ref="A4:B10" firstHeaderRow="1" firstDataRow="1" firstDataCol="1" rowPageCount="2" colPageCount="1"/>
  <pivotFields count="33">
    <pivotField showAll="0"/>
    <pivotField axis="axisRow" dataField="1" showAll="0">
      <items count="7">
        <item x="0"/>
        <item x="4"/>
        <item x="3"/>
        <item x="1"/>
        <item x="2"/>
        <item x="5"/>
        <item t="default"/>
      </items>
    </pivotField>
    <pivotField axis="axisPage" multipleItemSelectionAllowed="1" showAll="0">
      <items count="3">
        <item x="0"/>
        <item h="1" x="1"/>
        <item t="default"/>
      </items>
    </pivotField>
    <pivotField axis="axisPage" multipleItemSelectionAllowed="1" showAll="0">
      <items count="83">
        <item x="66"/>
        <item x="80"/>
        <item x="2"/>
        <item x="67"/>
        <item x="69"/>
        <item x="71"/>
        <item x="38"/>
        <item x="73"/>
        <item x="77"/>
        <item x="32"/>
        <item x="8"/>
        <item x="36"/>
        <item x="14"/>
        <item x="20"/>
        <item x="37"/>
        <item x="11"/>
        <item x="13"/>
        <item x="70"/>
        <item x="1"/>
        <item x="15"/>
        <item x="6"/>
        <item x="51"/>
        <item x="81"/>
        <item x="27"/>
        <item x="42"/>
        <item x="54"/>
        <item x="49"/>
        <item x="7"/>
        <item x="0"/>
        <item x="3"/>
        <item x="4"/>
        <item x="5"/>
        <item x="9"/>
        <item x="10"/>
        <item x="12"/>
        <item x="16"/>
        <item x="17"/>
        <item x="18"/>
        <item x="19"/>
        <item x="21"/>
        <item x="22"/>
        <item x="23"/>
        <item x="24"/>
        <item x="25"/>
        <item x="26"/>
        <item x="28"/>
        <item x="29"/>
        <item x="30"/>
        <item x="31"/>
        <item x="33"/>
        <item x="34"/>
        <item x="35"/>
        <item x="39"/>
        <item x="40"/>
        <item x="41"/>
        <item x="43"/>
        <item x="44"/>
        <item x="45"/>
        <item x="46"/>
        <item x="47"/>
        <item x="48"/>
        <item x="50"/>
        <item x="52"/>
        <item x="53"/>
        <item x="55"/>
        <item x="56"/>
        <item x="57"/>
        <item x="58"/>
        <item x="59"/>
        <item x="60"/>
        <item x="61"/>
        <item x="62"/>
        <item x="63"/>
        <item x="64"/>
        <item x="65"/>
        <item x="68"/>
        <item x="72"/>
        <item x="74"/>
        <item x="75"/>
        <item x="76"/>
        <item x="78"/>
        <item x="79"/>
        <item t="default"/>
      </items>
    </pivotField>
    <pivotField showAll="0"/>
    <pivotField showAll="0"/>
    <pivotField showAll="0"/>
    <pivotField showAll="0"/>
    <pivotField axis="axisRow" showAll="0">
      <items count="7">
        <item sd="0" x="1"/>
        <item sd="0" x="0"/>
        <item sd="0" x="2"/>
        <item sd="0" x="4"/>
        <item sd="0" x="3"/>
        <item x="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1"/>
  </rowFields>
  <rowItems count="6">
    <i>
      <x/>
    </i>
    <i>
      <x v="1"/>
    </i>
    <i>
      <x v="2"/>
    </i>
    <i>
      <x v="3"/>
    </i>
    <i>
      <x v="4"/>
    </i>
    <i t="grand">
      <x/>
    </i>
  </rowItems>
  <colItems count="1">
    <i/>
  </colItems>
  <pageFields count="2">
    <pageField fld="3" hier="-1"/>
    <pageField fld="2" hier="-1"/>
  </pageFields>
  <dataFields count="1">
    <dataField name="Number of Sector " fld="1" subtotal="count" baseField="0" baseItem="0"/>
  </dataFields>
  <chartFormats count="3">
    <chartFormat chart="3" format="3"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D5DBCF-3881-4DFE-A8A6-5F359FFD426D}" name="Draaitabel1" cacheId="5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6">
  <location ref="A5:D11" firstHeaderRow="0" firstDataRow="1" firstDataCol="1" rowPageCount="3"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axis="axisPage" multipleItemSelectionAllowed="1" showAll="0">
      <items count="3">
        <item x="0"/>
        <item h="1" x="1"/>
        <item t="default"/>
      </items>
    </pivotField>
    <pivotField axis="axisPage" multipleItemSelectionAllowed="1" showAll="0">
      <items count="93">
        <item x="69"/>
        <item x="90"/>
        <item x="75"/>
        <item x="71"/>
        <item x="73"/>
        <item x="78"/>
        <item x="87"/>
        <item x="83"/>
        <item x="41"/>
        <item x="33"/>
        <item x="8"/>
        <item x="39"/>
        <item x="15"/>
        <item x="21"/>
        <item x="12"/>
        <item x="30"/>
        <item x="42"/>
        <item x="16"/>
        <item x="6"/>
        <item x="91"/>
        <item x="28"/>
        <item x="46"/>
        <item x="10"/>
        <item x="0"/>
        <item x="3"/>
        <item x="4"/>
        <item x="5"/>
        <item x="18"/>
        <item x="20"/>
        <item x="23"/>
        <item x="25"/>
        <item x="26"/>
        <item x="27"/>
        <item x="61"/>
        <item x="38"/>
        <item x="31"/>
        <item x="35"/>
        <item x="36"/>
        <item x="48"/>
        <item x="49"/>
        <item x="51"/>
        <item x="52"/>
        <item x="60"/>
        <item x="62"/>
        <item x="66"/>
        <item x="67"/>
        <item x="68"/>
        <item x="79"/>
        <item x="82"/>
        <item x="89"/>
        <item x="1"/>
        <item x="2"/>
        <item x="7"/>
        <item x="9"/>
        <item x="11"/>
        <item x="13"/>
        <item x="14"/>
        <item x="17"/>
        <item x="19"/>
        <item x="22"/>
        <item x="24"/>
        <item x="29"/>
        <item x="32"/>
        <item x="34"/>
        <item x="37"/>
        <item x="40"/>
        <item x="43"/>
        <item x="44"/>
        <item x="45"/>
        <item x="47"/>
        <item x="50"/>
        <item x="53"/>
        <item x="54"/>
        <item x="55"/>
        <item x="56"/>
        <item x="57"/>
        <item x="58"/>
        <item x="59"/>
        <item x="63"/>
        <item x="64"/>
        <item x="65"/>
        <item x="70"/>
        <item x="72"/>
        <item x="74"/>
        <item x="76"/>
        <item x="77"/>
        <item x="80"/>
        <item x="81"/>
        <item x="84"/>
        <item x="85"/>
        <item x="86"/>
        <item x="88"/>
        <item t="default"/>
      </items>
    </pivotField>
    <pivotField showAll="0"/>
    <pivotField showAll="0"/>
    <pivotField showAll="0"/>
    <pivotField showAll="0"/>
    <pivotField axis="axisRow" showAll="0">
      <items count="7">
        <item sd="0" x="2"/>
        <item sd="0" x="0"/>
        <item sd="0" x="1"/>
        <item sd="0" x="4"/>
        <item sd="0" x="3"/>
        <item sd="0" x="5"/>
        <item t="default" sd="0"/>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s>
  <rowFields count="3">
    <field x="1"/>
    <field x="8"/>
    <field x="0"/>
  </rowFields>
  <rowItems count="6">
    <i>
      <x/>
    </i>
    <i>
      <x v="1"/>
    </i>
    <i>
      <x v="2"/>
    </i>
    <i>
      <x v="3"/>
    </i>
    <i>
      <x v="4"/>
    </i>
    <i t="grand">
      <x/>
    </i>
  </rowItems>
  <colFields count="1">
    <field x="-2"/>
  </colFields>
  <colItems count="3">
    <i>
      <x/>
    </i>
    <i i="1">
      <x v="1"/>
    </i>
    <i i="2">
      <x v="2"/>
    </i>
  </colItems>
  <pageFields count="3">
    <pageField fld="3" hier="-1"/>
    <pageField fld="2" hier="-1"/>
    <pageField fld="24" hier="-1"/>
  </pageFields>
  <dataFields count="3">
    <dataField name="Som van EEA total" fld="10" baseField="0" baseItem="0"/>
    <dataField name="Som van Dutch total" fld="11" baseField="0" baseItem="0"/>
    <dataField name="Som van Non-EEA Total" fld="9" baseField="0" baseItem="0"/>
  </dataFields>
  <chartFormats count="4">
    <chartFormat chart="5" format="9"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1"/>
          </reference>
        </references>
      </pivotArea>
    </chartFormat>
    <chartFormat chart="5" format="11" series="1">
      <pivotArea type="data" outline="0" fieldPosition="0">
        <references count="1">
          <reference field="4294967294" count="1" selected="0">
            <x v="2"/>
          </reference>
        </references>
      </pivotArea>
    </chartFormat>
    <chartFormat chart="5" format="12">
      <pivotArea type="data" outline="0" fieldPosition="0">
        <references count="3">
          <reference field="4294967294" count="1" selected="0">
            <x v="2"/>
          </reference>
          <reference field="1"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D0FDA06-EB8B-4692-BC56-9A359FCB0A87}" name="PivotTable2" cacheId="55"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5">
  <location ref="B4:F12" firstHeaderRow="1" firstDataRow="2" firstDataCol="1" rowPageCount="1" colPageCount="1"/>
  <pivotFields count="38">
    <pivotField showAll="0"/>
    <pivotField axis="axisRow" showAll="0">
      <items count="8">
        <item sd="0" x="0"/>
        <item sd="0" x="6"/>
        <item sd="0" x="4"/>
        <item sd="0" x="1"/>
        <item sd="0" x="3"/>
        <item sd="0" x="5"/>
        <item h="1" sd="0" x="2"/>
        <item t="default" sd="0"/>
      </items>
    </pivotField>
    <pivotField axis="axisPage" multipleItemSelectionAllowed="1" showAll="0">
      <items count="3">
        <item x="0"/>
        <item h="1" x="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sortType="ascending">
      <items count="4">
        <item x="0"/>
        <item x="1"/>
        <item x="2"/>
        <item t="default"/>
      </items>
    </pivotField>
  </pivotFields>
  <rowFields count="1">
    <field x="1"/>
  </rowFields>
  <rowItems count="7">
    <i>
      <x/>
    </i>
    <i>
      <x v="1"/>
    </i>
    <i>
      <x v="2"/>
    </i>
    <i>
      <x v="3"/>
    </i>
    <i>
      <x v="4"/>
    </i>
    <i>
      <x v="5"/>
    </i>
    <i t="grand">
      <x/>
    </i>
  </rowItems>
  <colFields count="1">
    <field x="37"/>
  </colFields>
  <colItems count="4">
    <i>
      <x/>
    </i>
    <i>
      <x v="1"/>
    </i>
    <i>
      <x v="2"/>
    </i>
    <i t="grand">
      <x/>
    </i>
  </colItems>
  <pageFields count="1">
    <pageField fld="2" hier="-1"/>
  </pageFields>
  <dataFields count="1">
    <dataField name="Average of Percentage active members" fld="6" subtotal="average" baseField="1" baseItem="0"/>
  </dataFields>
  <chartFormats count="13">
    <chartFormat chart="1" format="27" series="1">
      <pivotArea type="data" outline="0" fieldPosition="0">
        <references count="2">
          <reference field="4294967294" count="1" selected="0">
            <x v="0"/>
          </reference>
          <reference field="37" count="1" selected="0">
            <x v="0"/>
          </reference>
        </references>
      </pivotArea>
    </chartFormat>
    <chartFormat chart="1" format="28">
      <pivotArea type="data" outline="0" fieldPosition="0">
        <references count="3">
          <reference field="4294967294" count="1" selected="0">
            <x v="0"/>
          </reference>
          <reference field="1" count="1" selected="0">
            <x v="1"/>
          </reference>
          <reference field="37" count="1" selected="0">
            <x v="0"/>
          </reference>
        </references>
      </pivotArea>
    </chartFormat>
    <chartFormat chart="1" format="29" series="1">
      <pivotArea type="data" outline="0" fieldPosition="0">
        <references count="2">
          <reference field="4294967294" count="1" selected="0">
            <x v="0"/>
          </reference>
          <reference field="37" count="1" selected="0">
            <x v="1"/>
          </reference>
        </references>
      </pivotArea>
    </chartFormat>
    <chartFormat chart="2" format="30" series="1">
      <pivotArea type="data" outline="0" fieldPosition="0">
        <references count="2">
          <reference field="4294967294" count="1" selected="0">
            <x v="0"/>
          </reference>
          <reference field="37" count="1" selected="0">
            <x v="0"/>
          </reference>
        </references>
      </pivotArea>
    </chartFormat>
    <chartFormat chart="2" format="31">
      <pivotArea type="data" outline="0" fieldPosition="0">
        <references count="3">
          <reference field="4294967294" count="1" selected="0">
            <x v="0"/>
          </reference>
          <reference field="1" count="1" selected="0">
            <x v="1"/>
          </reference>
          <reference field="37" count="1" selected="0">
            <x v="0"/>
          </reference>
        </references>
      </pivotArea>
    </chartFormat>
    <chartFormat chart="2" format="32" series="1">
      <pivotArea type="data" outline="0" fieldPosition="0">
        <references count="2">
          <reference field="4294967294" count="1" selected="0">
            <x v="0"/>
          </reference>
          <reference field="37" count="1" selected="0">
            <x v="1"/>
          </reference>
        </references>
      </pivotArea>
    </chartFormat>
    <chartFormat chart="2" format="33" series="1">
      <pivotArea type="data" outline="0" fieldPosition="0">
        <references count="2">
          <reference field="4294967294" count="1" selected="0">
            <x v="0"/>
          </reference>
          <reference field="37" count="1" selected="0">
            <x v="2"/>
          </reference>
        </references>
      </pivotArea>
    </chartFormat>
    <chartFormat chart="2" format="34">
      <pivotArea type="data" outline="0" fieldPosition="0">
        <references count="3">
          <reference field="4294967294" count="1" selected="0">
            <x v="0"/>
          </reference>
          <reference field="1" count="1" selected="0">
            <x v="0"/>
          </reference>
          <reference field="37" count="1" selected="0">
            <x v="2"/>
          </reference>
        </references>
      </pivotArea>
    </chartFormat>
    <chartFormat chart="2" format="35">
      <pivotArea type="data" outline="0" fieldPosition="0">
        <references count="3">
          <reference field="4294967294" count="1" selected="0">
            <x v="0"/>
          </reference>
          <reference field="1" count="1" selected="0">
            <x v="1"/>
          </reference>
          <reference field="37" count="1" selected="0">
            <x v="2"/>
          </reference>
        </references>
      </pivotArea>
    </chartFormat>
    <chartFormat chart="2" format="36">
      <pivotArea type="data" outline="0" fieldPosition="0">
        <references count="3">
          <reference field="4294967294" count="1" selected="0">
            <x v="0"/>
          </reference>
          <reference field="1" count="1" selected="0">
            <x v="2"/>
          </reference>
          <reference field="37" count="1" selected="0">
            <x v="2"/>
          </reference>
        </references>
      </pivotArea>
    </chartFormat>
    <chartFormat chart="2" format="37">
      <pivotArea type="data" outline="0" fieldPosition="0">
        <references count="3">
          <reference field="4294967294" count="1" selected="0">
            <x v="0"/>
          </reference>
          <reference field="1" count="1" selected="0">
            <x v="3"/>
          </reference>
          <reference field="37" count="1" selected="0">
            <x v="2"/>
          </reference>
        </references>
      </pivotArea>
    </chartFormat>
    <chartFormat chart="2" format="38">
      <pivotArea type="data" outline="0" fieldPosition="0">
        <references count="3">
          <reference field="4294967294" count="1" selected="0">
            <x v="0"/>
          </reference>
          <reference field="1" count="1" selected="0">
            <x v="4"/>
          </reference>
          <reference field="37" count="1" selected="0">
            <x v="2"/>
          </reference>
        </references>
      </pivotArea>
    </chartFormat>
    <chartFormat chart="2" format="39">
      <pivotArea type="data" outline="0" fieldPosition="0">
        <references count="3">
          <reference field="4294967294" count="1" selected="0">
            <x v="0"/>
          </reference>
          <reference field="1" count="1" selected="0">
            <x v="5"/>
          </reference>
          <reference field="3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B25BB93-9CE2-47F1-8F15-7A75956BB710}" name="PivotTable3" cacheId="55"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
  <location ref="G11:J32" firstHeaderRow="0" firstDataRow="1" firstDataCol="1" rowPageCount="1" colPageCount="1"/>
  <pivotFields count="38">
    <pivotField showAll="0"/>
    <pivotField axis="axisRow" showAll="0">
      <items count="8">
        <item x="0"/>
        <item h="1" x="6"/>
        <item x="4"/>
        <item x="1"/>
        <item x="3"/>
        <item x="5"/>
        <item h="1" x="2"/>
        <item t="default"/>
      </items>
    </pivotField>
    <pivotField axis="axisPage" multipleItemSelectionAllowed="1" showAll="0">
      <items count="3">
        <item x="0"/>
        <item h="1" x="1"/>
        <item t="default"/>
      </items>
    </pivotField>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s>
  <rowFields count="2">
    <field x="1"/>
    <field x="37"/>
  </rowFields>
  <rowItems count="21">
    <i>
      <x/>
    </i>
    <i r="1">
      <x/>
    </i>
    <i r="1">
      <x v="1"/>
    </i>
    <i r="1">
      <x v="2"/>
    </i>
    <i>
      <x v="2"/>
    </i>
    <i r="1">
      <x/>
    </i>
    <i r="1">
      <x v="1"/>
    </i>
    <i r="1">
      <x v="2"/>
    </i>
    <i>
      <x v="3"/>
    </i>
    <i r="1">
      <x/>
    </i>
    <i r="1">
      <x v="1"/>
    </i>
    <i r="1">
      <x v="2"/>
    </i>
    <i>
      <x v="4"/>
    </i>
    <i r="1">
      <x/>
    </i>
    <i r="1">
      <x v="1"/>
    </i>
    <i r="1">
      <x v="2"/>
    </i>
    <i>
      <x v="5"/>
    </i>
    <i r="1">
      <x/>
    </i>
    <i r="1">
      <x v="1"/>
    </i>
    <i r="1">
      <x v="2"/>
    </i>
    <i t="grand">
      <x/>
    </i>
  </rowItems>
  <colFields count="1">
    <field x="-2"/>
  </colFields>
  <colItems count="3">
    <i>
      <x/>
    </i>
    <i i="1">
      <x v="1"/>
    </i>
    <i i="2">
      <x v="2"/>
    </i>
  </colItems>
  <pageFields count="1">
    <pageField fld="2" hier="-1"/>
  </pageFields>
  <dataFields count="3">
    <dataField name="Sum of Non-EEA Total" fld="9" baseField="1" baseItem="0"/>
    <dataField name="Sum of EEA total" fld="10" baseField="1" baseItem="0"/>
    <dataField name="Sum of Dutch total" fld="11"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EE32CA2-C2AF-4A8A-A3EC-DE6A5EFD02F0}" name="PivotTable1" cacheId="49"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
  <location ref="AC39:AG47"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6">
        <item s="1" x="0"/>
        <item s="1" x="1"/>
        <item s="1" x="2"/>
        <item s="1" x="3"/>
        <item s="1" x="4"/>
        <item s="1" x="5"/>
      </items>
    </pivotField>
    <pivotField axis="axisCol" allDrilled="1" subtotalTop="0" showAll="0" dataSourceSort="1" defaultSubtotal="0" defaultAttributeDrillState="1">
      <items count="3">
        <item x="0"/>
        <item x="1"/>
        <item x="2"/>
      </items>
    </pivotField>
    <pivotField dataField="1" subtotalTop="0" showAll="0" defaultSubtotal="0"/>
  </pivotFields>
  <rowFields count="1">
    <field x="1"/>
  </rowFields>
  <rowItems count="7">
    <i>
      <x/>
    </i>
    <i>
      <x v="1"/>
    </i>
    <i>
      <x v="2"/>
    </i>
    <i>
      <x v="3"/>
    </i>
    <i>
      <x v="4"/>
    </i>
    <i>
      <x v="5"/>
    </i>
    <i t="grand">
      <x/>
    </i>
  </rowItems>
  <colFields count="1">
    <field x="2"/>
  </colFields>
  <colItems count="4">
    <i>
      <x/>
    </i>
    <i>
      <x v="1"/>
    </i>
    <i>
      <x v="2"/>
    </i>
    <i t="grand">
      <x/>
    </i>
  </colItems>
  <pageFields count="1">
    <pageField fld="0" hier="2" name="[Combined20212022].[type].[All]" cap="All"/>
  </pageFields>
  <dataFields count="1">
    <dataField name="Count of Ratio Active Non-EEA" fld="3" subtotal="count" baseField="0" baseItem="0"/>
  </dataFields>
  <chartFormats count="2">
    <chartFormat chart="0" format="30" series="1">
      <pivotArea type="data" outline="0" fieldPosition="0">
        <references count="1">
          <reference field="2" count="1" selected="0">
            <x v="0"/>
          </reference>
        </references>
      </pivotArea>
    </chartFormat>
    <chartFormat chart="0" format="31" series="1">
      <pivotArea type="data" outline="0" fieldPosition="0">
        <references count="1">
          <reference field="2" count="1" selected="0">
            <x v="1"/>
          </reference>
        </references>
      </pivotArea>
    </chartFormat>
  </chartFormats>
  <pivotHierarchies count="1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Average of Non-EEA Active"/>
    <pivotHierarchy dragToData="1" caption="Average of EEA Active"/>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3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mbined2021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E4F3A9-E425-402E-A0F5-BFE8BC0EFC4A}" name="Draaitabel1" cacheId="5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4:E121" firstHeaderRow="0" firstDataRow="1" firstDataCol="1" rowPageCount="1" colPageCount="1"/>
  <pivotFields count="18">
    <pivotField showAll="0"/>
    <pivotField axis="axisRow" showAll="0" measureFilter="1" sortType="ascending">
      <items count="143">
        <item x="41"/>
        <item x="36"/>
        <item x="56"/>
        <item x="24"/>
        <item x="77"/>
        <item x="139"/>
        <item x="42"/>
        <item x="57"/>
        <item x="137"/>
        <item x="43"/>
        <item x="58"/>
        <item x="59"/>
        <item x="78"/>
        <item x="60"/>
        <item x="79"/>
        <item x="98"/>
        <item x="44"/>
        <item x="40"/>
        <item x="113"/>
        <item x="0"/>
        <item x="37"/>
        <item x="141"/>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140"/>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5"/>
        <item x="26"/>
        <item x="120"/>
        <item x="27"/>
        <item x="32"/>
        <item x="136"/>
        <item x="102"/>
        <item x="97"/>
        <item x="93"/>
        <item x="28"/>
        <item x="111"/>
        <item x="125"/>
        <item x="132"/>
        <item x="29"/>
        <item x="30"/>
        <item x="112"/>
        <item x="31"/>
        <item t="default"/>
      </items>
    </pivotField>
    <pivotField axis="axisPage" multipleItemSelectionAllowed="1" showAll="0">
      <items count="3">
        <item x="0"/>
        <item x="1"/>
        <item t="default"/>
      </items>
    </pivotField>
    <pivotField showAll="0"/>
    <pivotField showAll="0"/>
    <pivotField axis="axisRow" showAll="0">
      <items count="8">
        <item x="0"/>
        <item x="5"/>
        <item x="4"/>
        <item x="1"/>
        <item x="3"/>
        <item x="6"/>
        <item x="2"/>
        <item t="default"/>
      </items>
    </pivotField>
    <pivotField dataField="1" showAll="0"/>
    <pivotField showAll="0"/>
    <pivotField showAll="0"/>
    <pivotField showAll="0"/>
    <pivotField dataField="1" showAll="0"/>
    <pivotField showAll="0"/>
    <pivotField showAll="0"/>
    <pivotField showAll="0"/>
    <pivotField showAll="0"/>
    <pivotField dragToRow="0" dragToCol="0" dragToPage="0" showAll="0" defaultSubtotal="0"/>
    <pivotField dataField="1" dragToRow="0" dragToCol="0" dragToPage="0" showAll="0" defaultSubtotal="0"/>
    <pivotField dataField="1" dragToRow="0" dragToCol="0" dragToPage="0" showAll="0" defaultSubtotal="0"/>
  </pivotFields>
  <rowFields count="2">
    <field x="5"/>
    <field x="1"/>
  </rowFields>
  <rowItems count="117">
    <i>
      <x/>
    </i>
    <i r="1">
      <x/>
    </i>
    <i r="1">
      <x v="9"/>
    </i>
    <i r="1">
      <x v="16"/>
    </i>
    <i r="1">
      <x v="19"/>
    </i>
    <i r="1">
      <x v="26"/>
    </i>
    <i r="1">
      <x v="55"/>
    </i>
    <i r="1">
      <x v="65"/>
    </i>
    <i r="1">
      <x v="76"/>
    </i>
    <i r="1">
      <x v="80"/>
    </i>
    <i r="1">
      <x v="81"/>
    </i>
    <i r="1">
      <x v="83"/>
    </i>
    <i r="1">
      <x v="87"/>
    </i>
    <i r="1">
      <x v="88"/>
    </i>
    <i r="1">
      <x v="94"/>
    </i>
    <i r="1">
      <x v="96"/>
    </i>
    <i r="1">
      <x v="114"/>
    </i>
    <i>
      <x v="1"/>
    </i>
    <i r="1">
      <x v="8"/>
    </i>
    <i r="1">
      <x v="15"/>
    </i>
    <i r="1">
      <x v="38"/>
    </i>
    <i r="1">
      <x v="41"/>
    </i>
    <i r="1">
      <x v="46"/>
    </i>
    <i r="1">
      <x v="56"/>
    </i>
    <i r="1">
      <x v="57"/>
    </i>
    <i r="1">
      <x v="61"/>
    </i>
    <i r="1">
      <x v="66"/>
    </i>
    <i r="1">
      <x v="72"/>
    </i>
    <i r="1">
      <x v="73"/>
    </i>
    <i r="1">
      <x v="100"/>
    </i>
    <i r="1">
      <x v="103"/>
    </i>
    <i r="1">
      <x v="105"/>
    </i>
    <i r="1">
      <x v="110"/>
    </i>
    <i r="1">
      <x v="111"/>
    </i>
    <i r="1">
      <x v="112"/>
    </i>
    <i r="1">
      <x v="115"/>
    </i>
    <i r="1">
      <x v="116"/>
    </i>
    <i r="1">
      <x v="117"/>
    </i>
    <i r="1">
      <x v="137"/>
    </i>
    <i r="1">
      <x v="140"/>
    </i>
    <i>
      <x v="2"/>
    </i>
    <i r="1">
      <x v="4"/>
    </i>
    <i r="1">
      <x v="12"/>
    </i>
    <i r="1">
      <x v="14"/>
    </i>
    <i r="1">
      <x v="25"/>
    </i>
    <i r="1">
      <x v="82"/>
    </i>
    <i r="1">
      <x v="86"/>
    </i>
    <i r="1">
      <x v="91"/>
    </i>
    <i r="1">
      <x v="102"/>
    </i>
    <i r="1">
      <x v="106"/>
    </i>
    <i r="1">
      <x v="127"/>
    </i>
    <i>
      <x v="3"/>
    </i>
    <i r="1">
      <x v="17"/>
    </i>
    <i r="1">
      <x v="28"/>
    </i>
    <i r="1">
      <x v="29"/>
    </i>
    <i r="1">
      <x v="30"/>
    </i>
    <i r="1">
      <x v="31"/>
    </i>
    <i r="1">
      <x v="32"/>
    </i>
    <i r="1">
      <x v="33"/>
    </i>
    <i r="1">
      <x v="39"/>
    </i>
    <i r="1">
      <x v="40"/>
    </i>
    <i r="1">
      <x v="42"/>
    </i>
    <i r="1">
      <x v="43"/>
    </i>
    <i r="1">
      <x v="44"/>
    </i>
    <i r="1">
      <x v="45"/>
    </i>
    <i r="1">
      <x v="47"/>
    </i>
    <i r="1">
      <x v="48"/>
    </i>
    <i r="1">
      <x v="49"/>
    </i>
    <i r="1">
      <x v="50"/>
    </i>
    <i r="1">
      <x v="52"/>
    </i>
    <i r="1">
      <x v="59"/>
    </i>
    <i r="1">
      <x v="74"/>
    </i>
    <i r="1">
      <x v="77"/>
    </i>
    <i r="1">
      <x v="78"/>
    </i>
    <i r="1">
      <x v="79"/>
    </i>
    <i r="1">
      <x v="85"/>
    </i>
    <i r="1">
      <x v="95"/>
    </i>
    <i r="1">
      <x v="98"/>
    </i>
    <i r="1">
      <x v="99"/>
    </i>
    <i r="1">
      <x v="101"/>
    </i>
    <i r="1">
      <x v="120"/>
    </i>
    <i r="1">
      <x v="125"/>
    </i>
    <i r="1">
      <x v="126"/>
    </i>
    <i r="1">
      <x v="128"/>
    </i>
    <i r="1">
      <x v="134"/>
    </i>
    <i r="1">
      <x v="138"/>
    </i>
    <i r="1">
      <x v="139"/>
    </i>
    <i r="1">
      <x v="141"/>
    </i>
    <i>
      <x v="4"/>
    </i>
    <i r="1">
      <x v="2"/>
    </i>
    <i r="1">
      <x v="7"/>
    </i>
    <i r="1">
      <x v="10"/>
    </i>
    <i r="1">
      <x v="11"/>
    </i>
    <i r="1">
      <x v="13"/>
    </i>
    <i r="1">
      <x v="22"/>
    </i>
    <i r="1">
      <x v="23"/>
    </i>
    <i r="1">
      <x v="27"/>
    </i>
    <i r="1">
      <x v="34"/>
    </i>
    <i r="1">
      <x v="58"/>
    </i>
    <i r="1">
      <x v="63"/>
    </i>
    <i r="1">
      <x v="67"/>
    </i>
    <i r="1">
      <x v="70"/>
    </i>
    <i r="1">
      <x v="75"/>
    </i>
    <i r="1">
      <x v="89"/>
    </i>
    <i r="1">
      <x v="93"/>
    </i>
    <i r="1">
      <x v="97"/>
    </i>
    <i r="1">
      <x v="113"/>
    </i>
    <i r="1">
      <x v="124"/>
    </i>
    <i r="1">
      <x v="136"/>
    </i>
    <i>
      <x v="5"/>
    </i>
    <i r="1">
      <x v="5"/>
    </i>
    <i r="1">
      <x v="54"/>
    </i>
    <i r="1">
      <x v="62"/>
    </i>
    <i r="1">
      <x v="121"/>
    </i>
    <i r="1">
      <x v="132"/>
    </i>
    <i r="1">
      <x v="133"/>
    </i>
    <i t="grand">
      <x/>
    </i>
  </rowItems>
  <colFields count="1">
    <field x="-2"/>
  </colFields>
  <colItems count="4">
    <i>
      <x/>
    </i>
    <i i="1">
      <x v="1"/>
    </i>
    <i i="2">
      <x v="2"/>
    </i>
    <i i="3">
      <x v="3"/>
    </i>
  </colItems>
  <pageFields count="1">
    <pageField fld="2" hier="-1"/>
  </pageFields>
  <dataFields count="4">
    <dataField name="Average of number_of_members" fld="6" subtotal="average" baseField="1" baseItem="0"/>
    <dataField name="Average of number_of_committee_board_members" fld="10" subtotal="average" baseField="0" baseItem="0"/>
    <dataField name="Number of Inactive Members" fld="16" baseField="0" baseItem="0"/>
    <dataField name="Percentage Active Members" fld="17" baseField="1" baseItem="2"/>
  </dataFields>
  <formats count="2">
    <format>
      <pivotArea collapsedLevelsAreSubtotals="1" fieldPosition="0">
        <references count="2">
          <reference field="4294967294" count="1" selected="0">
            <x v="1"/>
          </reference>
          <reference field="5" count="1">
            <x v="3"/>
          </reference>
        </references>
      </pivotArea>
    </format>
    <format dxfId="27">
      <pivotArea dataOnly="0" outline="0" fieldPosition="0">
        <references count="1">
          <reference field="4294967294" count="1">
            <x v="3"/>
          </reference>
        </references>
      </pivotArea>
    </format>
  </formats>
  <pivotTableStyleInfo name="PivotStyleLight16" showRowHeaders="1" showColHeaders="1" showRowStripes="0" showColStripes="0" showLastColumn="1"/>
  <filters count="1">
    <filter fld="1"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577CBF-CB1E-4FB0-AA9A-9869FB301227}" name="Draaitabel4" cacheId="5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
  <location ref="A4:G114" firstHeaderRow="0" firstDataRow="1" firstDataCol="1" rowPageCount="2"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x="0"/>
        <item x="4"/>
        <item x="3"/>
        <item x="1"/>
        <item x="2"/>
        <item x="5"/>
        <item t="default"/>
      </items>
    </pivotField>
    <pivotField axis="axisPage" multipleItemSelectionAllowed="1" showAll="0">
      <items count="3">
        <item x="0"/>
        <item h="1" x="1"/>
        <item t="default"/>
      </items>
    </pivotField>
    <pivotField axis="axisPage" multipleItemSelectionAllowed="1" showAll="0">
      <items count="93">
        <item x="69"/>
        <item x="90"/>
        <item x="75"/>
        <item x="71"/>
        <item x="73"/>
        <item x="78"/>
        <item x="87"/>
        <item x="83"/>
        <item x="41"/>
        <item x="33"/>
        <item x="8"/>
        <item x="39"/>
        <item x="15"/>
        <item x="21"/>
        <item x="12"/>
        <item x="30"/>
        <item x="42"/>
        <item x="16"/>
        <item x="6"/>
        <item x="91"/>
        <item x="28"/>
        <item x="46"/>
        <item x="10"/>
        <item x="0"/>
        <item x="3"/>
        <item x="4"/>
        <item x="5"/>
        <item x="18"/>
        <item x="20"/>
        <item x="23"/>
        <item x="25"/>
        <item x="26"/>
        <item x="27"/>
        <item x="61"/>
        <item x="38"/>
        <item x="31"/>
        <item x="35"/>
        <item x="36"/>
        <item x="48"/>
        <item x="49"/>
        <item x="51"/>
        <item x="52"/>
        <item x="60"/>
        <item x="62"/>
        <item x="66"/>
        <item x="67"/>
        <item x="68"/>
        <item x="79"/>
        <item x="82"/>
        <item x="89"/>
        <item x="1"/>
        <item x="2"/>
        <item x="7"/>
        <item x="9"/>
        <item x="11"/>
        <item x="13"/>
        <item x="14"/>
        <item x="17"/>
        <item x="19"/>
        <item x="22"/>
        <item x="24"/>
        <item x="29"/>
        <item x="32"/>
        <item x="34"/>
        <item x="37"/>
        <item x="40"/>
        <item x="43"/>
        <item x="44"/>
        <item x="45"/>
        <item x="47"/>
        <item x="50"/>
        <item x="53"/>
        <item x="54"/>
        <item x="55"/>
        <item x="56"/>
        <item x="57"/>
        <item x="58"/>
        <item x="59"/>
        <item x="63"/>
        <item x="64"/>
        <item x="65"/>
        <item x="70"/>
        <item x="72"/>
        <item x="74"/>
        <item x="76"/>
        <item x="77"/>
        <item x="80"/>
        <item x="81"/>
        <item x="84"/>
        <item x="85"/>
        <item x="86"/>
        <item x="88"/>
        <item t="default"/>
      </items>
    </pivotField>
    <pivotField showAll="0"/>
    <pivotField showAll="0"/>
    <pivotField showAll="0"/>
    <pivotField showAll="0"/>
    <pivotField showAll="0">
      <items count="7">
        <item x="2"/>
        <item x="0"/>
        <item x="1"/>
        <item x="4"/>
        <item x="3"/>
        <item x="5"/>
        <item t="default"/>
      </items>
    </pivotField>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0"/>
  </rowFields>
  <rowItems count="110">
    <i>
      <x/>
    </i>
    <i r="1">
      <x/>
    </i>
    <i r="1">
      <x v="5"/>
    </i>
    <i r="1">
      <x v="7"/>
    </i>
    <i r="1">
      <x v="14"/>
    </i>
    <i r="1">
      <x v="17"/>
    </i>
    <i r="1">
      <x v="21"/>
    </i>
    <i r="1">
      <x v="52"/>
    </i>
    <i r="1">
      <x v="72"/>
    </i>
    <i r="1">
      <x v="76"/>
    </i>
    <i r="1">
      <x v="77"/>
    </i>
    <i r="1">
      <x v="79"/>
    </i>
    <i r="1">
      <x v="83"/>
    </i>
    <i r="1">
      <x v="84"/>
    </i>
    <i r="1">
      <x v="90"/>
    </i>
    <i r="1">
      <x v="92"/>
    </i>
    <i r="1">
      <x v="110"/>
    </i>
    <i r="1">
      <x v="114"/>
    </i>
    <i>
      <x v="1"/>
    </i>
    <i r="1">
      <x v="43"/>
    </i>
    <i r="1">
      <x v="65"/>
    </i>
    <i r="1">
      <x v="69"/>
    </i>
    <i r="1">
      <x v="96"/>
    </i>
    <i r="1">
      <x v="112"/>
    </i>
    <i r="1">
      <x v="113"/>
    </i>
    <i r="1">
      <x v="115"/>
    </i>
    <i r="1">
      <x v="130"/>
    </i>
    <i r="1">
      <x v="132"/>
    </i>
    <i r="1">
      <x v="135"/>
    </i>
    <i r="1">
      <x v="138"/>
    </i>
    <i>
      <x v="2"/>
    </i>
    <i r="1">
      <x v="4"/>
    </i>
    <i r="1">
      <x v="10"/>
    </i>
    <i r="1">
      <x v="12"/>
    </i>
    <i r="1">
      <x v="22"/>
    </i>
    <i r="1">
      <x v="78"/>
    </i>
    <i r="1">
      <x v="87"/>
    </i>
    <i r="1">
      <x v="118"/>
    </i>
    <i>
      <x v="3"/>
    </i>
    <i r="1">
      <x v="1"/>
    </i>
    <i r="1">
      <x v="3"/>
    </i>
    <i r="1">
      <x v="15"/>
    </i>
    <i r="1">
      <x v="18"/>
    </i>
    <i r="1">
      <x v="25"/>
    </i>
    <i r="1">
      <x v="26"/>
    </i>
    <i r="1">
      <x v="27"/>
    </i>
    <i r="1">
      <x v="28"/>
    </i>
    <i r="1">
      <x v="30"/>
    </i>
    <i r="1">
      <x v="32"/>
    </i>
    <i r="1">
      <x v="33"/>
    </i>
    <i r="1">
      <x v="36"/>
    </i>
    <i r="1">
      <x v="37"/>
    </i>
    <i r="1">
      <x v="39"/>
    </i>
    <i r="1">
      <x v="40"/>
    </i>
    <i r="1">
      <x v="41"/>
    </i>
    <i r="1">
      <x v="42"/>
    </i>
    <i r="1">
      <x v="44"/>
    </i>
    <i r="1">
      <x v="45"/>
    </i>
    <i r="1">
      <x v="46"/>
    </i>
    <i r="1">
      <x v="47"/>
    </i>
    <i r="1">
      <x v="49"/>
    </i>
    <i r="1">
      <x v="56"/>
    </i>
    <i r="1">
      <x v="73"/>
    </i>
    <i r="1">
      <x v="74"/>
    </i>
    <i r="1">
      <x v="75"/>
    </i>
    <i r="1">
      <x v="81"/>
    </i>
    <i r="1">
      <x v="91"/>
    </i>
    <i r="1">
      <x v="94"/>
    </i>
    <i r="1">
      <x v="95"/>
    </i>
    <i r="1">
      <x v="119"/>
    </i>
    <i r="1">
      <x v="121"/>
    </i>
    <i r="1">
      <x v="123"/>
    </i>
    <i r="1">
      <x v="124"/>
    </i>
    <i r="1">
      <x v="125"/>
    </i>
    <i r="1">
      <x v="129"/>
    </i>
    <i r="1">
      <x v="133"/>
    </i>
    <i r="1">
      <x v="134"/>
    </i>
    <i r="1">
      <x v="136"/>
    </i>
    <i r="1">
      <x v="137"/>
    </i>
    <i>
      <x v="4"/>
    </i>
    <i r="1">
      <x v="2"/>
    </i>
    <i r="1">
      <x v="6"/>
    </i>
    <i r="1">
      <x v="8"/>
    </i>
    <i r="1">
      <x v="9"/>
    </i>
    <i r="1">
      <x v="11"/>
    </i>
    <i r="1">
      <x v="19"/>
    </i>
    <i r="1">
      <x v="20"/>
    </i>
    <i r="1">
      <x v="24"/>
    </i>
    <i r="1">
      <x v="31"/>
    </i>
    <i r="1">
      <x v="55"/>
    </i>
    <i r="1">
      <x v="60"/>
    </i>
    <i r="1">
      <x v="64"/>
    </i>
    <i r="1">
      <x v="67"/>
    </i>
    <i r="1">
      <x v="68"/>
    </i>
    <i r="1">
      <x v="71"/>
    </i>
    <i r="1">
      <x v="80"/>
    </i>
    <i r="1">
      <x v="85"/>
    </i>
    <i r="1">
      <x v="89"/>
    </i>
    <i r="1">
      <x v="93"/>
    </i>
    <i r="1">
      <x v="109"/>
    </i>
    <i r="1">
      <x v="120"/>
    </i>
    <i r="1">
      <x v="131"/>
    </i>
    <i>
      <x v="5"/>
    </i>
    <i r="1">
      <x v="51"/>
    </i>
    <i r="1">
      <x v="66"/>
    </i>
    <i r="1">
      <x v="86"/>
    </i>
    <i r="1">
      <x v="88"/>
    </i>
    <i r="1">
      <x v="117"/>
    </i>
    <i r="1">
      <x v="128"/>
    </i>
    <i t="grand">
      <x/>
    </i>
  </rowItems>
  <colFields count="1">
    <field x="-2"/>
  </colFields>
  <colItems count="6">
    <i>
      <x/>
    </i>
    <i i="1">
      <x v="1"/>
    </i>
    <i i="2">
      <x v="2"/>
    </i>
    <i i="3">
      <x v="3"/>
    </i>
    <i i="4">
      <x v="4"/>
    </i>
    <i i="5">
      <x v="5"/>
    </i>
  </colItems>
  <pageFields count="2">
    <pageField fld="2" hier="-1"/>
    <pageField fld="3" hier="-1"/>
  </pageFields>
  <dataFields count="6">
    <dataField name="Som van Non-EEA Total" fld="9" baseField="0" baseItem="0"/>
    <dataField name="Som van EEA total" fld="10" baseField="0" baseItem="0"/>
    <dataField name="Som van Dutch total" fld="11" baseField="0" baseItem="0"/>
    <dataField name="Som van Dutch Active" fld="14" baseField="1" baseItem="0"/>
    <dataField name="Som van Non-EEA Active " fld="12" baseField="0" baseItem="0"/>
    <dataField name="Som van EEA Active"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D0AB3CC-2606-4556-9E79-2373083079F6}" name="Draaitabel5" cacheId="5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7">
  <location ref="A1:B8" firstHeaderRow="1" firstDataRow="1" firstDataCol="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showAll="0"/>
    <pivotField showAll="0"/>
    <pivotField showAll="0"/>
    <pivotField showAll="0"/>
    <pivotField showAll="0"/>
    <pivotField showAll="0"/>
    <pivotField axis="axisRow" showAll="0">
      <items count="7">
        <item sd="0" x="2"/>
        <item sd="0" x="0"/>
        <item sd="0" x="3"/>
        <item sd="0" x="1"/>
        <item sd="0" x="4"/>
        <item sd="0" x="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3">
    <field x="1"/>
    <field x="8"/>
    <field x="0"/>
  </rowFields>
  <rowItems count="7">
    <i>
      <x/>
    </i>
    <i>
      <x v="1"/>
    </i>
    <i>
      <x v="2"/>
    </i>
    <i>
      <x v="3"/>
    </i>
    <i>
      <x v="4"/>
    </i>
    <i>
      <x v="5"/>
    </i>
    <i t="grand">
      <x/>
    </i>
  </rowItems>
  <colItems count="1">
    <i/>
  </colItems>
  <dataFields count="1">
    <dataField name="Som van Number of Comittees" fld="31" baseField="0" baseItem="112"/>
  </dataFields>
  <chartFormats count="1">
    <chartFormat chart="5"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98346B8-5259-45EF-9AEE-0B5688077DD6}" name="Draaitabel1" cacheId="51"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1:F72" firstHeaderRow="0" firstDataRow="1" firstDataCol="1"/>
  <pivotFields count="15">
    <pivotField showAll="0"/>
    <pivotField showAll="0"/>
    <pivotField showAll="0"/>
    <pivotField axis="axisRow" showAll="0">
      <items count="71">
        <item x="29"/>
        <item x="44"/>
        <item x="56"/>
        <item x="30"/>
        <item x="22"/>
        <item x="31"/>
        <item x="32"/>
        <item x="45"/>
        <item x="33"/>
        <item x="0"/>
        <item x="34"/>
        <item x="46"/>
        <item x="53"/>
        <item x="35"/>
        <item x="1"/>
        <item x="6"/>
        <item x="7"/>
        <item x="36"/>
        <item x="66"/>
        <item x="8"/>
        <item x="2"/>
        <item x="3"/>
        <item x="4"/>
        <item x="5"/>
        <item x="9"/>
        <item x="10"/>
        <item x="11"/>
        <item x="49"/>
        <item x="69"/>
        <item x="23"/>
        <item x="12"/>
        <item x="59"/>
        <item x="50"/>
        <item x="28"/>
        <item x="57"/>
        <item x="37"/>
        <item x="38"/>
        <item x="58"/>
        <item x="39"/>
        <item x="13"/>
        <item x="24"/>
        <item x="47"/>
        <item x="25"/>
        <item x="54"/>
        <item x="21"/>
        <item x="26"/>
        <item x="40"/>
        <item x="41"/>
        <item x="27"/>
        <item x="15"/>
        <item x="42"/>
        <item x="14"/>
        <item x="61"/>
        <item x="60"/>
        <item x="64"/>
        <item x="62"/>
        <item x="68"/>
        <item x="48"/>
        <item x="63"/>
        <item x="52"/>
        <item x="43"/>
        <item x="65"/>
        <item x="16"/>
        <item x="55"/>
        <item x="51"/>
        <item x="17"/>
        <item x="67"/>
        <item x="18"/>
        <item x="19"/>
        <item x="20"/>
        <item t="default"/>
      </items>
    </pivotField>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s>
  <rowFields count="1">
    <field x="3"/>
  </rowFields>
  <rowItems count="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i>
  </rowItems>
  <colFields count="1">
    <field x="-2"/>
  </colFields>
  <colItems count="5">
    <i>
      <x/>
    </i>
    <i i="1">
      <x v="1"/>
    </i>
    <i i="2">
      <x v="2"/>
    </i>
    <i i="3">
      <x v="3"/>
    </i>
    <i i="4">
      <x v="4"/>
    </i>
  </colItems>
  <dataFields count="5">
    <dataField name="Som van 1st_years" fld="6" baseField="0" baseItem="0"/>
    <dataField name="Som van 2nd_years" fld="7" baseField="0" baseItem="0"/>
    <dataField name="Som van 3rd_years" fld="8" baseField="0" baseItem="0"/>
    <dataField name="Som van 4th_years" fld="9" baseField="0" baseItem="0"/>
    <dataField name="Som van 4th_plus_year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1EBAF78-1F7F-42FA-9B77-0E7807237783}" name="Draaitabel2" cacheId="51"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40">
  <location ref="A3:B9" firstHeaderRow="1" firstDataRow="1" firstDataCol="1" rowPageCount="1" colPageCount="1"/>
  <pivotFields count="15">
    <pivotField showAll="0"/>
    <pivotField axis="axisPage" multipleItemSelectionAllowed="1" showAll="0">
      <items count="3">
        <item x="1"/>
        <item h="1" x="0"/>
        <item t="default"/>
      </items>
    </pivotField>
    <pivotField showAll="0"/>
    <pivotField axis="axisRow" showAll="0">
      <items count="71">
        <item sd="0" x="29"/>
        <item sd="0" x="44"/>
        <item sd="0" x="56"/>
        <item sd="0" x="30"/>
        <item sd="0" x="22"/>
        <item sd="0" x="31"/>
        <item sd="0" x="32"/>
        <item sd="0" x="45"/>
        <item sd="0" x="33"/>
        <item sd="0" x="0"/>
        <item sd="0" x="34"/>
        <item sd="0" x="46"/>
        <item sd="0" x="53"/>
        <item sd="0" x="35"/>
        <item sd="0" x="1"/>
        <item sd="0" x="6"/>
        <item sd="0" x="7"/>
        <item sd="0" x="36"/>
        <item sd="0" x="66"/>
        <item sd="0" x="8"/>
        <item sd="0" x="2"/>
        <item sd="0" x="3"/>
        <item sd="0" x="4"/>
        <item sd="0" x="5"/>
        <item sd="0" x="9"/>
        <item sd="0" x="10"/>
        <item sd="0" x="11"/>
        <item sd="0" x="49"/>
        <item sd="0" x="69"/>
        <item sd="0" x="23"/>
        <item sd="0" x="12"/>
        <item sd="0" x="59"/>
        <item sd="0" x="50"/>
        <item sd="0" x="28"/>
        <item sd="0" x="57"/>
        <item sd="0" x="37"/>
        <item sd="0" x="38"/>
        <item sd="0" x="58"/>
        <item sd="0" x="39"/>
        <item sd="0" x="13"/>
        <item sd="0" x="24"/>
        <item sd="0" x="47"/>
        <item sd="0" x="25"/>
        <item sd="0" x="54"/>
        <item sd="0" x="21"/>
        <item sd="0" x="26"/>
        <item sd="0" x="40"/>
        <item sd="0" x="41"/>
        <item sd="0" x="27"/>
        <item sd="0" x="15"/>
        <item sd="0" x="42"/>
        <item sd="0" x="14"/>
        <item sd="0" x="61"/>
        <item sd="0" x="60"/>
        <item sd="0" x="64"/>
        <item sd="0" x="62"/>
        <item sd="0" x="68"/>
        <item sd="0" x="48"/>
        <item sd="0" x="63"/>
        <item sd="0" x="52"/>
        <item sd="0" x="43"/>
        <item sd="0" x="65"/>
        <item sd="0" x="16"/>
        <item sd="0" x="55"/>
        <item sd="0" x="51"/>
        <item sd="0" x="17"/>
        <item sd="0" x="67"/>
        <item sd="0" x="18"/>
        <item sd="0" x="19"/>
        <item sd="0" x="20"/>
        <item t="default" sd="0"/>
      </items>
    </pivotField>
    <pivotField showAll="0"/>
    <pivotField showAll="0"/>
    <pivotField showAll="0"/>
    <pivotField showAll="0"/>
    <pivotField showAll="0"/>
    <pivotField showAll="0"/>
    <pivotField showAll="0"/>
    <pivotField showAll="0"/>
    <pivotField showAll="0"/>
    <pivotField showAll="0"/>
    <pivotField axis="axisRow" dataField="1" multipleItemSelectionAllowed="1" showAll="0">
      <items count="7">
        <item sd="0" x="0"/>
        <item sd="0" x="5"/>
        <item sd="0" x="4"/>
        <item sd="0" x="2"/>
        <item sd="0" x="3"/>
        <item sd="0" x="1"/>
        <item t="default" sd="0"/>
      </items>
    </pivotField>
  </pivotFields>
  <rowFields count="2">
    <field x="14"/>
    <field x="3"/>
  </rowFields>
  <rowItems count="6">
    <i>
      <x v="1"/>
    </i>
    <i>
      <x v="2"/>
    </i>
    <i>
      <x v="3"/>
    </i>
    <i>
      <x v="4"/>
    </i>
    <i>
      <x v="5"/>
    </i>
    <i t="grand">
      <x/>
    </i>
  </rowItems>
  <colItems count="1">
    <i/>
  </colItems>
  <pageFields count="1">
    <pageField fld="1" hier="-1"/>
  </pageFields>
  <dataFields count="1">
    <dataField name="Aantal van covid_impact" fld="14" subtotal="count" baseField="0" baseItem="0"/>
  </dataFields>
  <chartFormats count="38">
    <chartFormat chart="0" format="0"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 chart="12" format="3"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0"/>
          </reference>
        </references>
      </pivotArea>
    </chartFormat>
    <chartFormat chart="17" format="3"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9" format="3" series="1">
      <pivotArea type="data" outline="0" fieldPosition="0">
        <references count="1">
          <reference field="4294967294" count="1" selected="0">
            <x v="0"/>
          </reference>
        </references>
      </pivotArea>
    </chartFormat>
    <chartFormat chart="20" format="3" series="1">
      <pivotArea type="data" outline="0" fieldPosition="0">
        <references count="1">
          <reference field="4294967294" count="1" selected="0">
            <x v="0"/>
          </reference>
        </references>
      </pivotArea>
    </chartFormat>
    <chartFormat chart="21" format="3" series="1">
      <pivotArea type="data" outline="0" fieldPosition="0">
        <references count="1">
          <reference field="4294967294" count="1" selected="0">
            <x v="0"/>
          </reference>
        </references>
      </pivotArea>
    </chartFormat>
    <chartFormat chart="22" format="3" series="1">
      <pivotArea type="data" outline="0" fieldPosition="0">
        <references count="1">
          <reference field="4294967294" count="1" selected="0">
            <x v="0"/>
          </reference>
        </references>
      </pivotArea>
    </chartFormat>
    <chartFormat chart="23" format="3"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6" format="3"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0"/>
          </reference>
        </references>
      </pivotArea>
    </chartFormat>
    <chartFormat chart="28" format="3" series="1">
      <pivotArea type="data" outline="0" fieldPosition="0">
        <references count="1">
          <reference field="4294967294" count="1" selected="0">
            <x v="0"/>
          </reference>
        </references>
      </pivotArea>
    </chartFormat>
    <chartFormat chart="29" format="3" series="1">
      <pivotArea type="data" outline="0" fieldPosition="0">
        <references count="1">
          <reference field="4294967294" count="1" selected="0">
            <x v="0"/>
          </reference>
        </references>
      </pivotArea>
    </chartFormat>
    <chartFormat chart="30" format="3" series="1">
      <pivotArea type="data" outline="0" fieldPosition="0">
        <references count="1">
          <reference field="4294967294" count="1" selected="0">
            <x v="0"/>
          </reference>
        </references>
      </pivotArea>
    </chartFormat>
    <chartFormat chart="31" format="3" series="1">
      <pivotArea type="data" outline="0" fieldPosition="0">
        <references count="1">
          <reference field="4294967294" count="1" selected="0">
            <x v="0"/>
          </reference>
        </references>
      </pivotArea>
    </chartFormat>
    <chartFormat chart="32" format="3" series="1">
      <pivotArea type="data" outline="0" fieldPosition="0">
        <references count="1">
          <reference field="4294967294" count="1" selected="0">
            <x v="0"/>
          </reference>
        </references>
      </pivotArea>
    </chartFormat>
    <chartFormat chart="33" format="3" series="1">
      <pivotArea type="data" outline="0" fieldPosition="0">
        <references count="1">
          <reference field="4294967294" count="1" selected="0">
            <x v="0"/>
          </reference>
        </references>
      </pivotArea>
    </chartFormat>
    <chartFormat chart="34" format="3" series="1">
      <pivotArea type="data" outline="0" fieldPosition="0">
        <references count="1">
          <reference field="4294967294" count="1" selected="0">
            <x v="0"/>
          </reference>
        </references>
      </pivotArea>
    </chartFormat>
    <chartFormat chart="35" format="3" series="1">
      <pivotArea type="data" outline="0" fieldPosition="0">
        <references count="1">
          <reference field="4294967294" count="1" selected="0">
            <x v="0"/>
          </reference>
        </references>
      </pivotArea>
    </chartFormat>
    <chartFormat chart="36" format="3" series="1">
      <pivotArea type="data" outline="0" fieldPosition="0">
        <references count="1">
          <reference field="4294967294" count="1" selected="0">
            <x v="0"/>
          </reference>
        </references>
      </pivotArea>
    </chartFormat>
    <chartFormat chart="37" format="3" series="1">
      <pivotArea type="data" outline="0" fieldPosition="0">
        <references count="1">
          <reference field="4294967294" count="1" selected="0">
            <x v="0"/>
          </reference>
        </references>
      </pivotArea>
    </chartFormat>
    <chartFormat chart="38" format="3"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456753A-83CC-4660-B9CE-C73A1537C169}" name="Draaitabel27" cacheId="5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4">
  <location ref="A5:C11" firstHeaderRow="0" firstDataRow="1" firstDataCol="1" rowPageCount="3"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axis="axisPage" multipleItemSelectionAllowed="1" showAll="0">
      <items count="3">
        <item x="0"/>
        <item h="1" x="1"/>
        <item t="default"/>
      </items>
    </pivotField>
    <pivotField axis="axisPage" multipleItemSelectionAllowed="1" showAll="0">
      <items count="93">
        <item x="69"/>
        <item x="90"/>
        <item x="75"/>
        <item x="71"/>
        <item x="73"/>
        <item x="78"/>
        <item x="87"/>
        <item x="83"/>
        <item x="41"/>
        <item x="33"/>
        <item x="8"/>
        <item x="39"/>
        <item x="15"/>
        <item x="21"/>
        <item x="12"/>
        <item x="30"/>
        <item x="42"/>
        <item x="16"/>
        <item x="6"/>
        <item x="91"/>
        <item x="28"/>
        <item x="46"/>
        <item x="10"/>
        <item x="0"/>
        <item x="3"/>
        <item x="4"/>
        <item x="5"/>
        <item x="18"/>
        <item x="20"/>
        <item x="23"/>
        <item x="25"/>
        <item x="26"/>
        <item x="27"/>
        <item x="61"/>
        <item x="38"/>
        <item x="31"/>
        <item x="35"/>
        <item x="36"/>
        <item x="48"/>
        <item x="49"/>
        <item x="51"/>
        <item x="52"/>
        <item x="60"/>
        <item x="62"/>
        <item x="66"/>
        <item x="67"/>
        <item x="68"/>
        <item x="79"/>
        <item x="82"/>
        <item x="89"/>
        <item x="1"/>
        <item x="2"/>
        <item x="7"/>
        <item x="9"/>
        <item x="11"/>
        <item x="13"/>
        <item x="14"/>
        <item x="17"/>
        <item x="19"/>
        <item x="22"/>
        <item x="24"/>
        <item x="29"/>
        <item x="32"/>
        <item x="34"/>
        <item x="37"/>
        <item x="40"/>
        <item x="43"/>
        <item x="44"/>
        <item x="45"/>
        <item x="47"/>
        <item x="50"/>
        <item x="53"/>
        <item x="54"/>
        <item x="55"/>
        <item x="56"/>
        <item x="57"/>
        <item x="58"/>
        <item x="59"/>
        <item x="63"/>
        <item x="64"/>
        <item x="65"/>
        <item x="70"/>
        <item x="72"/>
        <item x="74"/>
        <item x="76"/>
        <item x="77"/>
        <item x="80"/>
        <item x="81"/>
        <item x="84"/>
        <item x="85"/>
        <item x="86"/>
        <item x="88"/>
        <item t="default"/>
      </items>
    </pivotField>
    <pivotField showAll="0"/>
    <pivotField showAll="0"/>
    <pivotField dataField="1" showAll="0"/>
    <pivotField dataField="1" showAll="0"/>
    <pivotField axis="axisRow" showAll="0">
      <items count="7">
        <item sd="0" x="2"/>
        <item h="1" sd="0" x="0"/>
        <item h="1" sd="0" x="1"/>
        <item h="1" sd="0" x="4"/>
        <item h="1" sd="0" x="3"/>
        <item h="1" sd="0" x="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x="0"/>
        <item x="3"/>
        <item x="2"/>
        <item t="default"/>
      </items>
    </pivotField>
    <pivotField showAll="0"/>
    <pivotField showAll="0"/>
    <pivotField showAll="0"/>
    <pivotField showAll="0"/>
    <pivotField showAll="0"/>
    <pivotField showAll="0"/>
    <pivotField showAll="0"/>
    <pivotField showAll="0"/>
  </pivotFields>
  <rowFields count="3">
    <field x="1"/>
    <field x="8"/>
    <field x="0"/>
  </rowFields>
  <rowItems count="6">
    <i>
      <x/>
    </i>
    <i>
      <x v="1"/>
    </i>
    <i>
      <x v="3"/>
    </i>
    <i>
      <x v="4"/>
    </i>
    <i>
      <x v="5"/>
    </i>
    <i t="grand">
      <x/>
    </i>
  </rowItems>
  <colFields count="1">
    <field x="-2"/>
  </colFields>
  <colItems count="2">
    <i>
      <x/>
    </i>
    <i i="1">
      <x v="1"/>
    </i>
  </colItems>
  <pageFields count="3">
    <pageField fld="2" hier="-1"/>
    <pageField fld="3" hier="-1"/>
    <pageField fld="24" hier="-1"/>
  </pageFields>
  <dataFields count="2">
    <dataField name="Average of Percentage active members" fld="6" subtotal="average" baseField="1" baseItem="0"/>
    <dataField name="Average of Percentage inactive members" fld="7" subtotal="average" baseField="1" baseItem="0"/>
  </dataFields>
  <formats count="2">
    <format dxfId="26">
      <pivotArea dataOnly="0" outline="0" fieldPosition="0">
        <references count="1">
          <reference field="4294967294" count="1">
            <x v="0"/>
          </reference>
        </references>
      </pivotArea>
    </format>
    <format dxfId="25">
      <pivotArea dataOnly="0" outline="0" fieldPosition="0">
        <references count="1">
          <reference field="4294967294" count="1">
            <x v="1"/>
          </reference>
        </references>
      </pivotArea>
    </format>
  </formats>
  <chartFormats count="2">
    <chartFormat chart="11" format="14" series="1">
      <pivotArea type="data" outline="0" fieldPosition="0">
        <references count="1">
          <reference field="4294967294" count="1" selected="0">
            <x v="0"/>
          </reference>
        </references>
      </pivotArea>
    </chartFormat>
    <chartFormat chart="11"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E0AF58D-E184-4532-A991-38F75B2A63F1}" name="Draaitabel1" cacheId="5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6">
  <location ref="A4:D10" firstHeaderRow="0" firstDataRow="1" firstDataCol="1" rowPageCount="2"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showAll="0"/>
    <pivotField axis="axisPage" multipleItemSelectionAllowed="1" showAll="0">
      <items count="93">
        <item x="69"/>
        <item x="90"/>
        <item x="75"/>
        <item x="71"/>
        <item x="73"/>
        <item x="78"/>
        <item x="87"/>
        <item x="83"/>
        <item x="41"/>
        <item x="33"/>
        <item x="8"/>
        <item x="39"/>
        <item x="15"/>
        <item x="21"/>
        <item x="12"/>
        <item x="30"/>
        <item x="42"/>
        <item x="16"/>
        <item x="6"/>
        <item x="91"/>
        <item x="28"/>
        <item x="46"/>
        <item x="10"/>
        <item x="0"/>
        <item x="3"/>
        <item x="4"/>
        <item x="5"/>
        <item x="18"/>
        <item x="20"/>
        <item x="23"/>
        <item x="25"/>
        <item x="26"/>
        <item x="27"/>
        <item x="61"/>
        <item x="38"/>
        <item x="31"/>
        <item x="35"/>
        <item x="36"/>
        <item x="48"/>
        <item x="49"/>
        <item x="51"/>
        <item x="52"/>
        <item x="60"/>
        <item x="62"/>
        <item x="66"/>
        <item x="67"/>
        <item x="68"/>
        <item x="79"/>
        <item x="82"/>
        <item x="89"/>
        <item x="1"/>
        <item x="2"/>
        <item x="7"/>
        <item x="9"/>
        <item x="11"/>
        <item x="13"/>
        <item x="14"/>
        <item x="17"/>
        <item x="19"/>
        <item x="22"/>
        <item x="24"/>
        <item x="29"/>
        <item x="32"/>
        <item x="34"/>
        <item x="37"/>
        <item x="40"/>
        <item x="43"/>
        <item x="44"/>
        <item x="45"/>
        <item x="47"/>
        <item x="50"/>
        <item x="53"/>
        <item x="54"/>
        <item x="55"/>
        <item x="56"/>
        <item x="57"/>
        <item x="58"/>
        <item x="59"/>
        <item x="63"/>
        <item x="64"/>
        <item x="65"/>
        <item x="70"/>
        <item x="72"/>
        <item x="74"/>
        <item x="76"/>
        <item x="77"/>
        <item x="80"/>
        <item x="81"/>
        <item x="84"/>
        <item x="85"/>
        <item x="86"/>
        <item x="88"/>
        <item t="default"/>
      </items>
    </pivotField>
    <pivotField showAll="0"/>
    <pivotField showAll="0"/>
    <pivotField showAll="0"/>
    <pivotField showAll="0"/>
    <pivotField axis="axisRow" showAll="0">
      <items count="7">
        <item sd="0" x="2"/>
        <item sd="0" x="0"/>
        <item sd="0" x="3"/>
        <item sd="0" x="1"/>
        <item sd="0" x="4"/>
        <item sd="0" x="5"/>
        <item t="default" sd="0"/>
      </items>
    </pivotField>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s>
  <rowFields count="3">
    <field x="1"/>
    <field x="8"/>
    <field x="0"/>
  </rowFields>
  <rowItems count="6">
    <i>
      <x/>
    </i>
    <i>
      <x v="1"/>
    </i>
    <i>
      <x v="2"/>
    </i>
    <i>
      <x v="3"/>
    </i>
    <i>
      <x v="4"/>
    </i>
    <i t="grand">
      <x/>
    </i>
  </rowItems>
  <colFields count="1">
    <field x="-2"/>
  </colFields>
  <colItems count="3">
    <i>
      <x/>
    </i>
    <i i="1">
      <x v="1"/>
    </i>
    <i i="2">
      <x v="2"/>
    </i>
  </colItems>
  <pageFields count="2">
    <pageField fld="3" hier="-1"/>
    <pageField fld="24" hier="-1"/>
  </pageFields>
  <dataFields count="3">
    <dataField name="Average of Ratio Active Non-EEA" fld="15" subtotal="average" baseField="0" baseItem="0"/>
    <dataField name="Average of Ratio Active EEA" fld="16" subtotal="average" baseField="0" baseItem="0"/>
    <dataField name="Average of Ratio Active Dutch" fld="17" subtotal="average" baseField="0" baseItem="0"/>
  </dataFields>
  <formats count="3">
    <format dxfId="24">
      <pivotArea dataOnly="0" outline="0" fieldPosition="0">
        <references count="1">
          <reference field="4294967294" count="1">
            <x v="0"/>
          </reference>
        </references>
      </pivotArea>
    </format>
    <format dxfId="23">
      <pivotArea dataOnly="0" outline="0" fieldPosition="0">
        <references count="1">
          <reference field="4294967294" count="1">
            <x v="1"/>
          </reference>
        </references>
      </pivotArea>
    </format>
    <format dxfId="22">
      <pivotArea dataOnly="0" outline="0" fieldPosition="0">
        <references count="1">
          <reference field="4294967294" count="1">
            <x v="2"/>
          </reference>
        </references>
      </pivotArea>
    </format>
  </formats>
  <chartFormats count="3">
    <chartFormat chart="5" format="12" series="1">
      <pivotArea type="data" outline="0" fieldPosition="0">
        <references count="1">
          <reference field="4294967294" count="1" selected="0">
            <x v="0"/>
          </reference>
        </references>
      </pivotArea>
    </chartFormat>
    <chartFormat chart="5" format="13" series="1">
      <pivotArea type="data" outline="0" fieldPosition="0">
        <references count="1">
          <reference field="4294967294" count="1" selected="0">
            <x v="1"/>
          </reference>
        </references>
      </pivotArea>
    </chartFormat>
    <chartFormat chart="5"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37CFD33-CFC9-4119-B0F2-136C6BD1B3D3}" name="Draaitabel4" cacheId="5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2">
  <location ref="A4:F11" firstHeaderRow="0" firstDataRow="1" firstDataCol="1" rowPageCount="2" colPageCount="1"/>
  <pivotFields count="33">
    <pivotField axis="axisRow" showAll="0">
      <items count="140">
        <item x="41"/>
        <item x="36"/>
        <item x="56"/>
        <item x="24"/>
        <item x="77"/>
        <item x="42"/>
        <item x="57"/>
        <item x="43"/>
        <item x="58"/>
        <item x="59"/>
        <item x="78"/>
        <item x="60"/>
        <item x="79"/>
        <item x="98"/>
        <item x="44"/>
        <item x="40"/>
        <item x="113"/>
        <item x="0"/>
        <item x="37"/>
        <item x="61"/>
        <item x="62"/>
        <item x="45"/>
        <item x="80"/>
        <item x="95"/>
        <item x="63"/>
        <item x="1"/>
        <item x="2"/>
        <item x="9"/>
        <item x="8"/>
        <item x="119"/>
        <item x="10"/>
        <item x="64"/>
        <item x="39"/>
        <item x="11"/>
        <item x="124"/>
        <item x="121"/>
        <item x="12"/>
        <item x="13"/>
        <item x="103"/>
        <item x="14"/>
        <item x="3"/>
        <item x="4"/>
        <item x="5"/>
        <item x="99"/>
        <item x="6"/>
        <item x="7"/>
        <item x="15"/>
        <item x="16"/>
        <item x="134"/>
        <item x="17"/>
        <item x="88"/>
        <item x="135"/>
        <item x="46"/>
        <item x="105"/>
        <item x="104"/>
        <item x="76"/>
        <item x="18"/>
        <item x="138"/>
        <item x="106"/>
        <item x="89"/>
        <item x="65"/>
        <item x="115"/>
        <item x="54"/>
        <item x="100"/>
        <item x="66"/>
        <item x="126"/>
        <item x="85"/>
        <item x="67"/>
        <item x="75"/>
        <item x="84"/>
        <item x="101"/>
        <item x="68"/>
        <item x="87"/>
        <item x="19"/>
        <item x="20"/>
        <item x="21"/>
        <item x="47"/>
        <item x="48"/>
        <item x="83"/>
        <item x="49"/>
        <item x="69"/>
        <item x="34"/>
        <item x="96"/>
        <item x="33"/>
        <item x="50"/>
        <item x="70"/>
        <item x="90"/>
        <item x="81"/>
        <item x="92"/>
        <item x="71"/>
        <item x="51"/>
        <item x="23"/>
        <item x="52"/>
        <item x="72"/>
        <item x="35"/>
        <item x="22"/>
        <item x="123"/>
        <item x="108"/>
        <item x="107"/>
        <item x="118"/>
        <item x="131"/>
        <item x="117"/>
        <item x="127"/>
        <item x="130"/>
        <item x="129"/>
        <item x="128"/>
        <item x="116"/>
        <item x="109"/>
        <item x="133"/>
        <item x="73"/>
        <item x="53"/>
        <item x="86"/>
        <item x="110"/>
        <item x="114"/>
        <item x="55"/>
        <item x="122"/>
        <item x="94"/>
        <item x="91"/>
        <item x="82"/>
        <item x="38"/>
        <item x="74"/>
        <item x="26"/>
        <item x="120"/>
        <item x="27"/>
        <item x="32"/>
        <item x="136"/>
        <item x="102"/>
        <item x="97"/>
        <item x="93"/>
        <item x="28"/>
        <item x="111"/>
        <item x="125"/>
        <item x="132"/>
        <item x="29"/>
        <item x="30"/>
        <item x="112"/>
        <item x="31"/>
        <item x="25"/>
        <item x="137"/>
        <item t="default"/>
      </items>
    </pivotField>
    <pivotField axis="axisRow" showAll="0">
      <items count="7">
        <item sd="0" x="0"/>
        <item sd="0" x="4"/>
        <item sd="0" x="3"/>
        <item sd="0" x="1"/>
        <item sd="0" x="2"/>
        <item sd="0" x="5"/>
        <item t="default" sd="0"/>
      </items>
    </pivotField>
    <pivotField axis="axisPage" multipleItemSelectionAllowed="1" showAll="0">
      <items count="3">
        <item x="0"/>
        <item x="1"/>
        <item t="default"/>
      </items>
    </pivotField>
    <pivotField axis="axisPage" multipleItemSelectionAllowed="1" showAll="0">
      <items count="93">
        <item x="69"/>
        <item x="90"/>
        <item x="75"/>
        <item x="71"/>
        <item x="73"/>
        <item x="78"/>
        <item x="87"/>
        <item x="83"/>
        <item x="41"/>
        <item x="33"/>
        <item x="8"/>
        <item x="39"/>
        <item x="15"/>
        <item x="21"/>
        <item x="12"/>
        <item x="30"/>
        <item x="42"/>
        <item x="16"/>
        <item x="6"/>
        <item x="91"/>
        <item x="28"/>
        <item x="46"/>
        <item x="10"/>
        <item x="0"/>
        <item x="3"/>
        <item x="4"/>
        <item x="5"/>
        <item x="18"/>
        <item x="20"/>
        <item x="23"/>
        <item x="25"/>
        <item x="26"/>
        <item x="27"/>
        <item x="61"/>
        <item x="38"/>
        <item x="31"/>
        <item x="35"/>
        <item x="36"/>
        <item x="48"/>
        <item x="49"/>
        <item x="51"/>
        <item x="52"/>
        <item x="60"/>
        <item x="62"/>
        <item x="66"/>
        <item x="67"/>
        <item x="68"/>
        <item x="79"/>
        <item x="82"/>
        <item x="89"/>
        <item x="1"/>
        <item x="2"/>
        <item x="7"/>
        <item x="9"/>
        <item x="11"/>
        <item x="13"/>
        <item x="14"/>
        <item x="17"/>
        <item x="19"/>
        <item x="22"/>
        <item x="24"/>
        <item x="29"/>
        <item x="32"/>
        <item x="34"/>
        <item x="37"/>
        <item x="40"/>
        <item x="43"/>
        <item x="44"/>
        <item x="45"/>
        <item x="47"/>
        <item x="50"/>
        <item x="53"/>
        <item x="54"/>
        <item x="55"/>
        <item x="56"/>
        <item x="57"/>
        <item x="58"/>
        <item x="59"/>
        <item x="63"/>
        <item x="64"/>
        <item x="65"/>
        <item x="70"/>
        <item x="72"/>
        <item x="74"/>
        <item x="76"/>
        <item x="77"/>
        <item x="80"/>
        <item x="81"/>
        <item x="84"/>
        <item x="85"/>
        <item x="86"/>
        <item x="88"/>
        <item t="default"/>
      </items>
    </pivotField>
    <pivotField showAll="0"/>
    <pivotField showAll="0"/>
    <pivotField showAll="0"/>
    <pivotField showAll="0"/>
    <pivotField axis="axisRow" showAll="0">
      <items count="7">
        <item sd="0" x="2"/>
        <item sd="0" x="0"/>
        <item sd="0" x="3"/>
        <item sd="0" x="1"/>
        <item sd="0" x="4"/>
        <item sd="0" x="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s>
  <rowFields count="3">
    <field x="1"/>
    <field x="8"/>
    <field x="0"/>
  </rowFields>
  <rowItems count="7">
    <i>
      <x/>
    </i>
    <i>
      <x v="1"/>
    </i>
    <i>
      <x v="2"/>
    </i>
    <i>
      <x v="3"/>
    </i>
    <i>
      <x v="4"/>
    </i>
    <i>
      <x v="5"/>
    </i>
    <i t="grand">
      <x/>
    </i>
  </rowItems>
  <colFields count="1">
    <field x="-2"/>
  </colFields>
  <colItems count="5">
    <i>
      <x/>
    </i>
    <i i="1">
      <x v="1"/>
    </i>
    <i i="2">
      <x v="2"/>
    </i>
    <i i="3">
      <x v="3"/>
    </i>
    <i i="4">
      <x v="4"/>
    </i>
  </colItems>
  <pageFields count="2">
    <pageField fld="2" hier="-1"/>
    <pageField fld="3" hier="-1"/>
  </pageFields>
  <dataFields count="5">
    <dataField name="Sum of Number of first year comittee members" fld="25" baseField="8" baseItem="0"/>
    <dataField name="Sum of Number of second year comittee members" fld="26" baseField="8" baseItem="0"/>
    <dataField name="Sum of Number of third year comittee members" fld="27" baseField="8" baseItem="0"/>
    <dataField name="Sum of Number of fourth year comittee members" fld="28" baseField="8" baseItem="0"/>
    <dataField name="Sum of Number of 4+ year comittee members" fld="29" baseField="8" baseItem="0"/>
  </dataFields>
  <chartFormats count="5">
    <chartFormat chart="10" format="29" series="1">
      <pivotArea type="data" outline="0" fieldPosition="0">
        <references count="1">
          <reference field="4294967294" count="1" selected="0">
            <x v="0"/>
          </reference>
        </references>
      </pivotArea>
    </chartFormat>
    <chartFormat chart="10" format="30" series="1">
      <pivotArea type="data" outline="0" fieldPosition="0">
        <references count="1">
          <reference field="4294967294" count="1" selected="0">
            <x v="1"/>
          </reference>
        </references>
      </pivotArea>
    </chartFormat>
    <chartFormat chart="10" format="31" series="1">
      <pivotArea type="data" outline="0" fieldPosition="0">
        <references count="1">
          <reference field="4294967294" count="1" selected="0">
            <x v="2"/>
          </reference>
        </references>
      </pivotArea>
    </chartFormat>
    <chartFormat chart="10" format="32" series="1">
      <pivotArea type="data" outline="0" fieldPosition="0">
        <references count="1">
          <reference field="4294967294" count="1" selected="0">
            <x v="3"/>
          </reference>
        </references>
      </pivotArea>
    </chartFormat>
    <chartFormat chart="10" format="33"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6D936A9F-0B16-4725-9C0C-50D27F202591}" autoFormatId="16" applyNumberFormats="0" applyBorderFormats="0" applyFontFormats="0" applyPatternFormats="0" applyAlignmentFormats="0" applyWidthHeightFormats="0">
  <queryTableRefresh nextId="39">
    <queryTableFields count="38">
      <queryTableField id="1" name="organisation_name" tableColumnId="1"/>
      <queryTableField id="2" name="Sector " tableColumnId="2"/>
      <queryTableField id="3" name="type " tableColumnId="3"/>
      <queryTableField id="4" name="Number of members" tableColumnId="4"/>
      <queryTableField id="5" name="Number of active members" tableColumnId="5"/>
      <queryTableField id="6" name="Number of  inactive members" tableColumnId="6"/>
      <queryTableField id="7" name="Percentage active members" tableColumnId="7"/>
      <queryTableField id="8" name="Percentage inactive members" tableColumnId="8"/>
      <queryTableField id="9" name="Interval number of members" tableColumnId="9"/>
      <queryTableField id="10" name="Non-EEA Total" tableColumnId="10"/>
      <queryTableField id="11" name="EEA total" tableColumnId="11"/>
      <queryTableField id="12" name="Dutch total" tableColumnId="12"/>
      <queryTableField id="13" name="Non-EEA Active " tableColumnId="13"/>
      <queryTableField id="14" name="EEA Active" tableColumnId="14"/>
      <queryTableField id="15" name="Dutch Active" tableColumnId="15"/>
      <queryTableField id="16" name="Ratio Active Non-EEA" tableColumnId="16"/>
      <queryTableField id="17" name="Ratio Active EEA" tableColumnId="17"/>
      <queryTableField id="18" name="Ratio Active Dutch" tableColumnId="18"/>
      <queryTableField id="19" name="Test total number of members" tableColumnId="19"/>
      <queryTableField id="20" name="Test total number of active members" tableColumnId="20"/>
      <queryTableField id="21" name="Test total number inactive members" tableColumnId="21"/>
      <queryTableField id="22" name="Test max EEA active" tableColumnId="22"/>
      <queryTableField id="23" name="Test max Dutch active" tableColumnId="23"/>
      <queryTableField id="24" name="Test max non-EEA active" tableColumnId="24"/>
      <queryTableField id="25" name="Fullfill all requirements?" tableColumnId="25"/>
      <queryTableField id="26" name="Number of first year comittee members" tableColumnId="26"/>
      <queryTableField id="27" name="Number of second year comittee members" tableColumnId="27"/>
      <queryTableField id="28" name="Number of third year comittee members" tableColumnId="28"/>
      <queryTableField id="29" name="Number of fourth year comittee members" tableColumnId="29"/>
      <queryTableField id="30" name="Number of 4+ year comittee members" tableColumnId="30"/>
      <queryTableField id="31" name="Total committee members" tableColumnId="31"/>
      <queryTableField id="32" name="Number of Comittees" tableColumnId="32"/>
      <queryTableField id="33" name="Number of covid strong decrease" tableColumnId="33"/>
      <queryTableField id="34" name="Number of covid slight decrease" tableColumnId="34"/>
      <queryTableField id="35" name="Number of covid no influence" tableColumnId="35"/>
      <queryTableField id="36" name="Number ofcovid slicht increase" tableColumnId="36"/>
      <queryTableField id="37" name="Number of covid strong increase" tableColumnId="37"/>
      <queryTableField id="38" name="Year" tableColumnId="3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anisation_type" xr10:uid="{F0B20686-0349-4C0E-84E8-CC0471256803}" sourceName="organisation_type">
  <pivotTables>
    <pivotTable tabId="18" name="Draaitabel1"/>
  </pivotTables>
  <data>
    <tabular pivotCacheId="2103571073">
      <items count="2">
        <i x="0" s="1"/>
        <i x="1"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7" xr10:uid="{F5C909FD-FEE3-4F4E-ACE1-F252F2E12BB8}" sourceName="Sector">
  <pivotTables>
    <pivotTable tabId="16" name="Draaitabel11"/>
  </pivotTables>
  <data>
    <tabular pivotCacheId="1449631055">
      <items count="6">
        <i x="0" s="1"/>
        <i x="5" s="1"/>
        <i x="3" s="1"/>
        <i x="1" s="1"/>
        <i x="2" s="1"/>
        <i x="4"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3" xr10:uid="{E7C0EC74-3018-4835-AF43-A655F655B186}" sourceName="Interval number of members">
  <pivotTables>
    <pivotTable tabId="29" name="Draaitabel1"/>
  </pivotTables>
  <data>
    <tabular pivotCacheId="684119453">
      <items count="6">
        <i x="2" s="1"/>
        <i x="0" s="1"/>
        <i x="1" s="1"/>
        <i x="4" s="1"/>
        <i x="3" s="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8" xr10:uid="{86F5C633-45E8-4144-B78B-725B7632ED00}" sourceName="Sector ">
  <pivotTables>
    <pivotTable tabId="36" name="Draaitabel5"/>
  </pivotTables>
  <data>
    <tabular pivotCacheId="684119453">
      <items count="6">
        <i x="0" s="1"/>
        <i x="4" s="1"/>
        <i x="3" s="1"/>
        <i x="1" s="1"/>
        <i x="2" s="1"/>
        <i x="5"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4" xr10:uid="{A5AF1311-23F1-4AFD-B67D-56CB679289C5}" sourceName="Interval number of members">
  <pivotTables>
    <pivotTable tabId="36" name="Draaitabel5"/>
  </pivotTables>
  <data>
    <tabular pivotCacheId="684119453">
      <items count="6">
        <i x="2" s="1"/>
        <i x="0" s="1"/>
        <i x="1" s="1"/>
        <i x="4" s="1"/>
        <i x="3" s="1"/>
        <i x="5" s="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2" xr10:uid="{CF8AE19E-C86D-4158-AA46-2141FD8DA55E}" sourceName="Sector ">
  <pivotTables>
    <pivotTable tabId="22" name="Draaitabel27"/>
  </pivotTables>
  <data>
    <tabular pivotCacheId="684119453">
      <items count="6">
        <i x="0" s="1"/>
        <i x="4" s="1"/>
        <i x="1" s="1"/>
        <i x="2" s="1"/>
        <i x="5" s="1"/>
        <i x="3"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id_impact" xr10:uid="{689EB179-75DA-4FCB-A055-84C212DCF062}" sourceName="covid_impact">
  <pivotTables>
    <pivotTable tabId="37" name="Draaitabel2"/>
  </pivotTables>
  <data>
    <tabular pivotCacheId="1322810364">
      <items count="6">
        <i x="2" s="1"/>
        <i x="4" s="1"/>
        <i x="3" s="1"/>
        <i x="5" s="1"/>
        <i x="1" s="1"/>
        <i x="0"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9" xr10:uid="{65AC0286-108A-493D-9701-276169DCB24A}" sourceName="Sector ">
  <pivotTables>
    <pivotTable tabId="28" name="Draaitabel4"/>
  </pivotTables>
  <data>
    <tabular pivotCacheId="684119453">
      <items count="6">
        <i x="0" s="1"/>
        <i x="4" s="1"/>
        <i x="3" s="1"/>
        <i x="1" s="1"/>
        <i x="2" s="1"/>
        <i x="5"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5" xr10:uid="{1C7D6D2C-49CD-4370-90CB-2AF24C290FB3}" sourceName="Interval number of members">
  <pivotTables>
    <pivotTable tabId="28" name="Draaitabel4"/>
  </pivotTables>
  <data>
    <tabular pivotCacheId="684119453">
      <items count="6">
        <i x="2" s="1"/>
        <i x="0" s="1"/>
        <i x="1" s="1"/>
        <i x="4" s="1"/>
        <i x="3" s="1"/>
        <i x="5"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6" xr10:uid="{7E6AC5F1-BAA4-42BC-BEDC-B71CDC480FA6}" sourceName="Interval number of members">
  <pivotTables>
    <pivotTable tabId="49" name="Draaitabel1"/>
  </pivotTables>
  <data>
    <tabular pivotCacheId="684119453">
      <items count="6">
        <i x="2" s="1"/>
        <i x="0" s="1"/>
        <i x="1" s="1"/>
        <i x="4" s="1"/>
        <i x="3" s="1"/>
        <i x="5"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0" xr10:uid="{FEA29036-E686-44F0-B5FE-7C0570C5304D}" sourceName="Sector ">
  <pivotTables>
    <pivotTable tabId="49" name="Draaitabel1"/>
  </pivotTables>
  <data>
    <tabular pivotCacheId="684119453">
      <items count="6">
        <i x="0" s="1"/>
        <i x="4" s="1"/>
        <i x="3" s="1"/>
        <i x="1" s="1"/>
        <i x="2" s="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56238261-D4BF-4A7C-BDAA-5160E195D257}" sourceName="sector">
  <pivotTables>
    <pivotTable tabId="18" name="Draaitabel1"/>
  </pivotTables>
  <data>
    <tabular pivotCacheId="2103571073">
      <items count="7">
        <i x="0" s="1"/>
        <i x="5" s="1"/>
        <i x="4" s="1"/>
        <i x="1" s="1"/>
        <i x="3" s="1"/>
        <i x="6" s="1"/>
        <i x="2" s="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2800521D-551B-44E7-8503-17143394278E}" sourceName="Sector">
  <extLst>
    <x:ext xmlns:x15="http://schemas.microsoft.com/office/spreadsheetml/2010/11/main" uri="{2F2917AC-EB37-4324-AD4E-5DD8C200BD13}">
      <x15:tableSlicerCache tableId="12"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3" xr10:uid="{232A8215-BCF4-4B88-A557-710705C24922}" sourceName="Sector ">
  <pivotTables>
    <pivotTable tabId="25" name="Draaitabel3"/>
  </pivotTables>
  <data>
    <tabular pivotCacheId="1107679555">
      <items count="6">
        <i x="0" s="1"/>
        <i x="4" s="1"/>
        <i x="3" s="1"/>
        <i x="1" s="1"/>
        <i x="2" s="1"/>
        <i x="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4" xr10:uid="{7E79617A-5919-4FA2-815A-22F4685D7C7A}" sourceName="Sector ">
  <pivotTables>
    <pivotTable tabId="29" name="Draaitabel1"/>
  </pivotTables>
  <data>
    <tabular pivotCacheId="684119453">
      <items count="6">
        <i x="0" s="1"/>
        <i x="4" s="1"/>
        <i x="3" s="1"/>
        <i x="1" s="1"/>
        <i x="2" s="1"/>
        <i x="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5" xr10:uid="{006A5553-F33E-4E4C-92C0-ACBFA06D35FE}" sourceName="Sector ">
  <pivotTables>
    <pivotTable tabId="35" name="Draaitabel4"/>
  </pivotTables>
  <data>
    <tabular pivotCacheId="684119453">
      <items count="6">
        <i x="0" s="1"/>
        <i x="4" s="1"/>
        <i x="3" s="1"/>
        <i x="1" s="1"/>
        <i x="2" s="1"/>
        <i x="5"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 xr10:uid="{E9B0F533-5FF6-492B-A179-E686A3E612C7}" sourceName="Interval number of members">
  <pivotTables>
    <pivotTable tabId="35" name="Draaitabel4"/>
  </pivotTables>
  <data>
    <tabular pivotCacheId="684119453">
      <items count="6">
        <i x="2" s="1"/>
        <i x="0" s="1"/>
        <i x="1" s="1"/>
        <i x="4" s="1"/>
        <i x="3" s="1"/>
        <i x="5"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6" xr10:uid="{6BAC76B7-C13B-4C50-A65F-9859C131202A}" sourceName="Sector ">
  <pivotTables>
    <pivotTable tabId="38" name="Draaitabel7"/>
  </pivotTables>
  <data>
    <tabular pivotCacheId="1107679555">
      <items count="6">
        <i x="0" s="1"/>
        <i x="4" s="1"/>
        <i x="3" s="1"/>
        <i x="1" s="1"/>
        <i x="2" s="1"/>
        <i x="5"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1" xr10:uid="{AF3A05B7-D815-4C86-8EF5-876C68C4861E}" sourceName="Interval number of members">
  <pivotTables>
    <pivotTable tabId="38" name="Draaitabel7"/>
  </pivotTables>
  <data>
    <tabular pivotCacheId="1107679555">
      <items count="6">
        <i x="1" s="1"/>
        <i x="0" s="1"/>
        <i x="2" s="1"/>
        <i x="4" s="1"/>
        <i x="3" s="1"/>
        <i x="5"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val_number_of_members2" xr10:uid="{0A720C44-6CBF-4B7A-BDA2-0EACB7C94E5F}" sourceName="Interval number of members">
  <pivotTables>
    <pivotTable tabId="22" name="Draaitabel27"/>
  </pivotTables>
  <data>
    <tabular pivotCacheId="684119453">
      <items count="6">
        <i x="2" s="1"/>
        <i x="0"/>
        <i x="1"/>
        <i x="4"/>
        <i x="3"/>
        <i x="5"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2" xr10:uid="{D7E3C15E-AAC2-4244-8D56-44F6F2B5E41B}" cache="Slicer_Sector7" caption="Sector"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vid_impact 1" xr10:uid="{332C206C-B794-4444-9A4C-DCA09024FD76}" cache="Slicer_covid_impact" caption="covid_impact"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1" xr10:uid="{A7A078D7-053C-41FA-B77C-2BCFCDBE56BD}" cache="Slicer_Sector3" caption="Sector "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val number of members 8" xr10:uid="{827C860E-6BAB-4F9D-8CEE-A29BE0159808}" cache="Slicer_Interval_number_of_members6" caption="Interval number of members" rowHeight="234950"/>
  <slicer name="Sector  10" xr10:uid="{B915B152-E1E4-405A-AD1E-44167F0DA391}" cache="Slicer_Sector10" caption="Sector "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val number of members 2" xr10:uid="{817304FE-F09A-4EC6-A504-307739E80785}" cache="Slicer_Interval_number_of_members2" caption="Interval number of members" rowHeight="234950"/>
  <slicer name="Sector  2" xr10:uid="{9972B6C0-BEDF-47C5-8115-B4F8F7C2D7DE}" cache="Slicer_Sector2" caption="Sector "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 xr10:uid="{08AA0071-1B0C-4C0E-AC85-6304482D2CC6}" cache="Slicer_Sector4" caption="Sector " rowHeight="234950"/>
  <slicer name="Interval number of members 3" xr10:uid="{B1A6D01F-0D8C-4F42-94AA-0C12809BD39D}" cache="Slicer_Interval_number_of_members3" caption="Interval number of members" rowHeight="234950"/>
  <slicer name="Interval number of members 7" xr10:uid="{BCD4A33A-4B2F-4C15-B6B1-B7D73268315B}" cache="Slicer_Interval_number_of_members6" caption="Interval number of members" rowHeight="234950"/>
  <slicer name="Sector  9" xr10:uid="{F2D7EB89-3124-4AEE-9696-0C222E9BCF5C}" cache="Slicer_Sector10" caption="Sector "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3" xr10:uid="{81306A65-DDF9-4D0A-B5B2-01EC3E4EDE73}" cache="Slicer_Sector5" caption="Sector " rowHeight="234950"/>
  <slicer name="Interval number of members" xr10:uid="{E76B113D-280B-406C-BDC7-42DC0AC7FC10}" cache="Slicer_Interval_number_of_members" caption="Interval number of members" rowHeight="234950"/>
  <slicer name="Sector  5" xr10:uid="{6F052F04-FF64-411D-BAEC-A662291EED55}" cache="Slicer_Sector8" caption="Sector " rowHeight="234950"/>
  <slicer name="Interval number of members 4" xr10:uid="{93336AB3-88FA-4D18-B796-45977551E4C7}" cache="Slicer_Interval_number_of_members4" caption="Interval number of members"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4" xr10:uid="{64621375-1251-469B-B2CF-8FB067769325}" cache="Slicer_Sector6" caption="Sector " rowHeight="234950"/>
  <slicer name="Interval number of members 1" xr10:uid="{928CEDA3-4632-4CB9-BC96-1268756A7E4C}" cache="Slicer_Interval_number_of_members1" caption="Interval number of members" rowHeight="234950"/>
  <slicer name="covid_impact" xr10:uid="{2F7EFBB6-B432-4F40-A979-EC1B39AF9D26}" cache="Slicer_covid_impact" caption="covid_impact"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EB51F9F3-2BFF-48A1-B09F-8AFB5914B80E}" cache="Slicer_Sector" caption="Sector" rowHeight="2349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rganisation_type" xr10:uid="{CED7774A-D115-4641-8E66-83E78B742C1E}" cache="Slicer_organisation_type" caption="organisation_type" rowHeight="234950"/>
  <slicer name="sector 1" xr10:uid="{CB78A2D1-C039-4F6C-A3CF-CEFFC2E05612}" cache="Slicer_sector1" caption="sector" rowHeight="2349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7" xr10:uid="{A53233E3-986C-4FB1-BBF6-2A3E2B62EB37}" cache="Slicer_Sector9" caption="Sector " rowHeight="234950"/>
  <slicer name="Interval number of members 5" xr10:uid="{5A307E74-0E9F-43AF-A569-74F1F1BF0C71}" cache="Slicer_Interval_number_of_members5" caption="Interval number of members"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8" xr10:uid="{D944B7DC-ED34-453C-B054-A2ABEF4B4A90}" cache="Slicer_Sector8" caption="Sector " rowHeight="234950"/>
  <slicer name="Interval number of members 6" xr10:uid="{7161D578-A737-4278-B1AF-DE4DD48C56D6}" cache="Slicer_Interval_number_of_members4" caption="Interval number of members" rowHeight="234950"/>
</slicers>
</file>

<file path=xl/tables/_rels/table1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096C06-5FC3-430F-824D-430C6DD4C816}" name="Tabel12" displayName="Tabel12" ref="A1:D140" totalsRowShown="0" dataDxfId="32">
  <autoFilter ref="A1:D140" xr:uid="{EC0A6499-E2E2-4E4D-ACA1-DFCA40136E1C}"/>
  <tableColumns count="4">
    <tableColumn id="1" xr3:uid="{99326934-C17A-47A4-BF88-205D4B4AA9DA}" name="Organisation" dataDxfId="31">
      <calculatedColumnFormula>General2023[[#This Row],[organisation_name]]</calculatedColumnFormula>
    </tableColumn>
    <tableColumn id="2" xr3:uid="{766DDD61-3C2E-4FEA-A5E9-461001E544F5}" name="Responded" dataDxfId="30">
      <calculatedColumnFormula>IF(General2023[[#This Row],[sector]]="", 0, 1)</calculatedColumnFormula>
    </tableColumn>
    <tableColumn id="3" xr3:uid="{9B19AD55-81F6-4352-865B-A80A41C2887E}" name="Sector" dataDxfId="29"/>
    <tableColumn id="4" xr3:uid="{8A3C7B75-8E50-4DA4-A958-94D453B9BCE1}" name="organisation_type2" dataDxfId="28">
      <calculatedColumnFormula>VLOOKUP(Tabel12[[#This Row],[Organisation]],General2021!B2:C140,2,FALSE)</calculatedColumnFormula>
    </tableColumn>
  </tableColumns>
  <tableStyleInfo name="TableStyleMedium4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70F6E5-1FB0-4F77-87AA-A7FE1A6A00A6}" name="Committee2022" displayName="Committee2022" ref="A1:XFD1048576" totalsRowShown="0">
  <autoFilter ref="A1:XFD1048576" xr:uid="{B9F913E3-9C78-4E90-B9F9-F500DB986863}"/>
  <tableColumns count="16384">
    <tableColumn id="1" xr3:uid="{0433F03F-9105-4D44-9B04-90072147F72A}" name="submission_id"/>
    <tableColumn id="2" xr3:uid="{180C408F-83EA-48E0-A213-258A6FEFBC3C}" name="submission_status"/>
    <tableColumn id="3" xr3:uid="{B243C329-FAC3-44A0-8B4B-E0662EBC98FD}" name="organisation_id"/>
    <tableColumn id="4" xr3:uid="{CAF6D608-63CE-40E4-8C6C-292F72B449D6}" name="organisation_name"/>
    <tableColumn id="5" xr3:uid="{B976594C-44AC-4389-A6FF-FF3D41B2CDBB}" name="committee_id"/>
    <tableColumn id="6" xr3:uid="{88889A2E-F9B4-4AE9-8C30-CA94D3EAA3D9}" name="committee_name"/>
    <tableColumn id="7" xr3:uid="{1B397E73-1D70-4A1F-903E-050F0FB782A5}" name="1st_years"/>
    <tableColumn id="8" xr3:uid="{C613CD58-044E-4701-ADF6-7C986B55233E}" name="2nd_years"/>
    <tableColumn id="9" xr3:uid="{BE511109-FFB3-44CD-9372-470DCCEDA891}" name="3rd_years"/>
    <tableColumn id="10" xr3:uid="{7505AD62-A0CF-452D-A2F1-857D798DB633}" name="4th_years"/>
    <tableColumn id="11" xr3:uid="{5407E21A-5AFE-4E94-92D6-9805F541AFF0}" name="4th_plus_years"/>
    <tableColumn id="12" xr3:uid="{751FE0AE-9ACE-4045-ABF5-4815DD5832F0}" name="unknown"/>
    <tableColumn id="13" xr3:uid="{C4B69329-004A-42EC-B1CA-1BE3215C9039}" name="workload_per_member_per_week"/>
    <tableColumn id="14" xr3:uid="{2263CFFB-5DA5-40C8-828C-2DAA37138C9A}" name="duration_of_committee_in_weeks"/>
    <tableColumn id="15" xr3:uid="{3FFFF671-B0A1-412C-BF2F-721AFB242EA4}" name="Column1"/>
    <tableColumn id="16" xr3:uid="{504FC616-44E8-4D1C-834D-8A1C1169FCE9}" name="Column2"/>
    <tableColumn id="17" xr3:uid="{85513CC9-28D5-418E-A429-9CD26443CC09}" name="Column3"/>
    <tableColumn id="18" xr3:uid="{9A3F7DF7-C683-4293-8DF3-A9F499BB5259}" name="Column4"/>
    <tableColumn id="19" xr3:uid="{8AB5FD1C-3C42-4EDE-B4E4-1C97B4131988}" name="Column5"/>
    <tableColumn id="20" xr3:uid="{998AE45C-AF37-4F1C-BDA8-F44776D5DB28}" name="Column6"/>
    <tableColumn id="21" xr3:uid="{E1ACA5B5-ED0C-46A6-9B08-22F1A7F1A24E}" name="Column7"/>
    <tableColumn id="22" xr3:uid="{6EB7CEE1-2EA9-4E4D-A410-BEF93F65EDBF}" name="Column8"/>
    <tableColumn id="23" xr3:uid="{35F96DEE-C219-4173-8F8D-338B07B9EFD8}" name="Column9"/>
    <tableColumn id="24" xr3:uid="{352C57A6-1081-4FF7-84AA-1354F59FB10A}" name="Column10"/>
    <tableColumn id="25" xr3:uid="{C1DF7B03-3BA7-4CA1-9EDF-21C1AA19EAF5}" name="Column11"/>
    <tableColumn id="26" xr3:uid="{FB960FC9-2DD4-4DF9-AA1F-5A8197DEF5C4}" name="Column12"/>
    <tableColumn id="27" xr3:uid="{8770EF06-3273-4C8B-95A7-5BB0842D61AE}" name="Column13"/>
    <tableColumn id="28" xr3:uid="{DCDF2F5B-49BC-477B-A620-892C90493C0E}" name="Column14"/>
    <tableColumn id="29" xr3:uid="{95ED5D1D-6976-4535-81FA-C82DCF7A09D5}" name="Column15"/>
    <tableColumn id="30" xr3:uid="{C09AFC85-F7A2-4BA1-A699-925F3E4AD057}" name="Column16"/>
    <tableColumn id="31" xr3:uid="{AA20719D-EB72-42F5-8321-0042A09AA8C0}" name="Column17"/>
    <tableColumn id="32" xr3:uid="{5506E348-4BFE-4803-9643-B57146430867}" name="Column18"/>
    <tableColumn id="33" xr3:uid="{D753273C-4D24-4F76-AEB6-4AA499B48F3C}" name="Column19"/>
    <tableColumn id="34" xr3:uid="{ACD82F9C-093C-455F-96EE-E5E0A849F631}" name="Column20"/>
    <tableColumn id="35" xr3:uid="{D85BBDF9-1831-4A28-970B-CC44AAF14DFC}" name="Column21"/>
    <tableColumn id="36" xr3:uid="{188D36E4-8D69-4AC7-B01F-4BD991B98111}" name="Column22"/>
    <tableColumn id="37" xr3:uid="{002B1304-CF28-40ED-A2AC-28F40B5523A5}" name="Column23"/>
    <tableColumn id="38" xr3:uid="{09019A95-9385-4AF2-9F64-250FFFB52F48}" name="Column24"/>
    <tableColumn id="39" xr3:uid="{043732A1-4EB8-4288-904B-906F09C3A099}" name="Column25"/>
    <tableColumn id="40" xr3:uid="{57C6F329-2C79-4BC3-A92D-5293C5CEB9C3}" name="Column26"/>
    <tableColumn id="41" xr3:uid="{07FED16D-A1EA-405D-9B4B-FBC6CBB15F54}" name="Column27"/>
    <tableColumn id="42" xr3:uid="{80A2DBD3-67B9-46CA-AF60-8F243097400B}" name="Column28"/>
    <tableColumn id="43" xr3:uid="{7BF9D489-04D3-4974-81AB-CBF3F14FDE5B}" name="Column29"/>
    <tableColumn id="44" xr3:uid="{D98DA862-CA57-43AA-A7CF-35205E3FB9A0}" name="Column30"/>
    <tableColumn id="45" xr3:uid="{180E4190-E735-47AB-B984-36177B44F1E9}" name="Column31"/>
    <tableColumn id="46" xr3:uid="{8FF76413-51F7-48B1-8E4E-F9005508BB0E}" name="Column32"/>
    <tableColumn id="47" xr3:uid="{63A34E4D-89BB-4567-9358-26B2253158BF}" name="Column33"/>
    <tableColumn id="48" xr3:uid="{75ACB70F-8B69-4354-BB31-EF0248C04329}" name="Column34"/>
    <tableColumn id="49" xr3:uid="{D98CEABE-9426-43E8-A868-4B79EFB0D394}" name="Column35"/>
    <tableColumn id="50" xr3:uid="{6D42D1D0-8D40-4975-9C1C-B120DE92FBBB}" name="Column36"/>
    <tableColumn id="51" xr3:uid="{60964BA7-C877-4F02-9E62-F3280EFDC544}" name="Column37"/>
    <tableColumn id="52" xr3:uid="{EE28CA43-D1E2-496E-A21E-EB487B4D469B}" name="Column38"/>
    <tableColumn id="53" xr3:uid="{9CC26DCC-1FDB-4AD1-8CF6-829FB1ACDA74}" name="Column39"/>
    <tableColumn id="54" xr3:uid="{A41CDA76-CE52-444A-89C0-A65EB707538C}" name="Column40"/>
    <tableColumn id="55" xr3:uid="{A6EA9F51-9B9F-4DD1-BB50-42DEF6728231}" name="Column41"/>
    <tableColumn id="56" xr3:uid="{C7554894-C896-460B-A749-3EC6F8E8D0AB}" name="Column42"/>
    <tableColumn id="57" xr3:uid="{5E51041C-1E73-462F-AA55-42A2E6798B20}" name="Column43"/>
    <tableColumn id="58" xr3:uid="{6338C48F-722E-44B4-833E-1459D8D3E93E}" name="Column44"/>
    <tableColumn id="59" xr3:uid="{D0CAA03F-B3FA-450B-9AB0-C1685BDE810C}" name="Column45"/>
    <tableColumn id="60" xr3:uid="{31B1438F-25E0-4614-B8C0-DA9C2626ABE0}" name="Column46"/>
    <tableColumn id="61" xr3:uid="{BE299302-99D9-44F0-8247-9217CA223404}" name="Column47"/>
    <tableColumn id="62" xr3:uid="{3AFF2B7A-3ADE-4B82-9E67-13A97E746650}" name="Column48"/>
    <tableColumn id="63" xr3:uid="{2B562E7C-9D4B-4F1E-B978-DC0E3FB95A43}" name="Column49"/>
    <tableColumn id="64" xr3:uid="{37ADBAB5-A4AC-45FE-A455-3447975D96B0}" name="Column50"/>
    <tableColumn id="65" xr3:uid="{FEC7BB96-32AA-4512-A2A3-FBCA56F60788}" name="Column51"/>
    <tableColumn id="66" xr3:uid="{6C89E0E5-82D7-4BAD-A509-DD815DC35DB4}" name="Column52"/>
    <tableColumn id="67" xr3:uid="{6A35F0B2-5B4D-4530-B14A-EDD55D0993B7}" name="Column53"/>
    <tableColumn id="68" xr3:uid="{3BEFD6E1-D5EF-4C89-8476-CC60632410E1}" name="Column54"/>
    <tableColumn id="69" xr3:uid="{34ACA14C-0FCE-4DBE-812D-01B07E8EBE92}" name="Column55"/>
    <tableColumn id="70" xr3:uid="{0658D8C2-8A89-4D85-A066-CD4FDE497CF1}" name="Column56"/>
    <tableColumn id="71" xr3:uid="{7586B813-0A41-4F66-B8DB-0DC1967DAD9E}" name="Column57"/>
    <tableColumn id="72" xr3:uid="{0B72FD04-9A49-489A-A1FD-AEE92748D45E}" name="Column58"/>
    <tableColumn id="73" xr3:uid="{5048A5DC-1396-4745-813B-24E36A755AB4}" name="Column59"/>
    <tableColumn id="74" xr3:uid="{ADF32014-2221-4C3D-9303-962D8303B29D}" name="Column60"/>
    <tableColumn id="75" xr3:uid="{0518A83E-9E9A-4CCD-B8BB-3DA4CC9ED60C}" name="Column61"/>
    <tableColumn id="76" xr3:uid="{F72C1A93-59CE-490C-8363-4C3D3F830412}" name="Column62"/>
    <tableColumn id="77" xr3:uid="{D9471836-C87C-4A4E-BDD0-9BB883D286E5}" name="Column63"/>
    <tableColumn id="78" xr3:uid="{2B9506D1-E639-499B-99B9-E591927F6384}" name="Column64"/>
    <tableColumn id="79" xr3:uid="{B02C9044-86D3-4C8A-8AFD-2099AFCAF669}" name="Column65"/>
    <tableColumn id="80" xr3:uid="{A4BC87C1-7110-483E-979A-A0459016CB50}" name="Column66"/>
    <tableColumn id="81" xr3:uid="{F316C733-5B22-4511-8FF7-96688BC13271}" name="Column67"/>
    <tableColumn id="82" xr3:uid="{6D10FB45-D290-4D10-8261-48BE5FDC3530}" name="Column68"/>
    <tableColumn id="83" xr3:uid="{015E3D0B-54DD-449C-8B53-BFE43E4688D1}" name="Column69"/>
    <tableColumn id="84" xr3:uid="{B3DFC676-CDF0-4A92-B870-1F150E348821}" name="Column70"/>
    <tableColumn id="85" xr3:uid="{90AEC3EA-374F-4C7E-8CDB-058436B9F1E1}" name="Column71"/>
    <tableColumn id="86" xr3:uid="{49CC19C4-18CB-4BD5-90E2-7F7F3A5E3448}" name="Column72"/>
    <tableColumn id="87" xr3:uid="{17BE88AB-C02B-4717-98A3-45FED3B371CC}" name="Column73"/>
    <tableColumn id="88" xr3:uid="{17A7D541-028A-446F-AB43-C2DB21E0D4E2}" name="Column74"/>
    <tableColumn id="89" xr3:uid="{1C805652-11AB-4341-AF01-D22986429067}" name="Column75"/>
    <tableColumn id="90" xr3:uid="{5F32D665-103D-4E42-8739-D9F58A488160}" name="Column76"/>
    <tableColumn id="91" xr3:uid="{779BB0BF-3B4E-47BE-A2CF-0809DB0CF7BC}" name="Column77"/>
    <tableColumn id="92" xr3:uid="{257600D8-BD16-4812-B398-1F875E7995AB}" name="Column78"/>
    <tableColumn id="93" xr3:uid="{F75C2C0B-5610-4CF0-9A3C-EEB64FB3733E}" name="Column79"/>
    <tableColumn id="94" xr3:uid="{5587A137-6497-4403-9A48-7000D6D3CE4E}" name="Column80"/>
    <tableColumn id="95" xr3:uid="{03FB3CFA-8348-4760-A722-754F812A7C24}" name="Column81"/>
    <tableColumn id="96" xr3:uid="{2DB281E4-D1A4-417A-BD40-FD533B64D04F}" name="Column82"/>
    <tableColumn id="97" xr3:uid="{61FEC0D4-AC8D-4798-9365-9A22A56EE231}" name="Column83"/>
    <tableColumn id="98" xr3:uid="{46F06AB3-3EEE-4218-90DB-9985F4032291}" name="Column84"/>
    <tableColumn id="99" xr3:uid="{E390C40C-A1CC-494C-BFFD-515B39D43805}" name="Column85"/>
    <tableColumn id="100" xr3:uid="{08053C73-65BA-4B03-8A57-27B01C619103}" name="Column86"/>
    <tableColumn id="101" xr3:uid="{0AA11375-DE75-4CD8-9075-8577BFF9E857}" name="Column87"/>
    <tableColumn id="102" xr3:uid="{76C16188-48E7-4C9F-B37A-2A09D576A5C3}" name="Column88"/>
    <tableColumn id="103" xr3:uid="{E5677970-88B5-4D3F-88EE-2E23A22C8100}" name="Column89"/>
    <tableColumn id="104" xr3:uid="{AF30E216-82C4-46C6-9A1F-CE8B6A0BE192}" name="Column90"/>
    <tableColumn id="105" xr3:uid="{72855D79-160D-40D0-9BE8-590347921765}" name="Column91"/>
    <tableColumn id="106" xr3:uid="{A03916C4-7A60-4538-B3A7-EC4C044FFB71}" name="Column92"/>
    <tableColumn id="107" xr3:uid="{7035A3F4-54FD-4656-83C6-58FCEB70018D}" name="Column93"/>
    <tableColumn id="108" xr3:uid="{876C77EB-5D39-4BA6-A130-4F515AD63047}" name="Column94"/>
    <tableColumn id="109" xr3:uid="{A63EFDED-8754-4D81-A254-746904416FCD}" name="Column95"/>
    <tableColumn id="110" xr3:uid="{9249A6F1-B8F9-45BA-A36F-68BF3031A0B2}" name="Column96"/>
    <tableColumn id="111" xr3:uid="{37F407A1-0D3A-4309-A577-BFFC72015217}" name="Column97"/>
    <tableColumn id="112" xr3:uid="{6A820DAF-C27F-46D0-8201-D0D657190A19}" name="Column98"/>
    <tableColumn id="113" xr3:uid="{8CC5E804-7E9B-4E28-B8EA-2FF06ED43CE4}" name="Column99"/>
    <tableColumn id="114" xr3:uid="{3044A901-54EB-4307-95C2-6605EFFF3E1E}" name="Column100"/>
    <tableColumn id="115" xr3:uid="{94629122-AB66-4E74-83B4-F3CB3A69D4AD}" name="Column101"/>
    <tableColumn id="116" xr3:uid="{ADFB340A-2E29-475C-BA7C-8BFC8B4B9858}" name="Column102"/>
    <tableColumn id="117" xr3:uid="{60EA5975-958C-4861-B04E-004B2717AA37}" name="Column103"/>
    <tableColumn id="118" xr3:uid="{DF85EB8B-79BC-4439-AF50-0F319B122948}" name="Column104"/>
    <tableColumn id="119" xr3:uid="{4C663AF3-E2C2-4B14-8000-76F21BEB0E82}" name="Column105"/>
    <tableColumn id="120" xr3:uid="{F02AFB27-8493-42D1-8A1E-76BBE1B196EC}" name="Column106"/>
    <tableColumn id="121" xr3:uid="{EDA56834-0724-46D1-B84B-204E630060D5}" name="Column107"/>
    <tableColumn id="122" xr3:uid="{157CE131-E99A-4591-B9FE-1EF39262ED6D}" name="Column108"/>
    <tableColumn id="123" xr3:uid="{9D0D3CBD-58B3-43C5-BC4A-7C76EE247065}" name="Column109"/>
    <tableColumn id="124" xr3:uid="{AD1B879D-B6E5-4753-95F9-6C95B6DAD31F}" name="Column110"/>
    <tableColumn id="125" xr3:uid="{BD395939-CE23-4B14-A99F-CCC94B9D8A58}" name="Column111"/>
    <tableColumn id="126" xr3:uid="{D3663FB9-ABB7-4D16-A803-06ADD842E5C8}" name="Column112"/>
    <tableColumn id="127" xr3:uid="{E387E7FE-987C-4790-8730-3BF7AD3D93AC}" name="Column113"/>
    <tableColumn id="128" xr3:uid="{3FE1D2B3-5057-42BC-826B-776C97014F13}" name="Column114"/>
    <tableColumn id="129" xr3:uid="{7012EE3A-2733-4A90-B471-16F9D7B79988}" name="Column115"/>
    <tableColumn id="130" xr3:uid="{BB30BAA9-ACAE-452D-91A5-D365E719A922}" name="Column116"/>
    <tableColumn id="131" xr3:uid="{9AC4303A-E0F2-4AF6-BBA5-02745000DC73}" name="Column117"/>
    <tableColumn id="132" xr3:uid="{DD2708FB-3236-4F30-BC07-F5C36B3ACD32}" name="Column118"/>
    <tableColumn id="133" xr3:uid="{9252B51F-94CB-4D73-BF22-89B375919C37}" name="Column119"/>
    <tableColumn id="134" xr3:uid="{481A4B1A-6C64-4A22-A710-EE7ABA25ACDD}" name="Column120"/>
    <tableColumn id="135" xr3:uid="{BA52ED34-B0A2-4372-81ED-FCCD41618A17}" name="Column121"/>
    <tableColumn id="136" xr3:uid="{3F82C145-67EB-4609-83D3-BF0FFA8778A9}" name="Column122"/>
    <tableColumn id="137" xr3:uid="{5620319D-3FFB-4AFC-8033-752B4BACE2B2}" name="Column123"/>
    <tableColumn id="138" xr3:uid="{3A221987-DA89-4559-BD75-E7159C72187F}" name="Column124"/>
    <tableColumn id="139" xr3:uid="{0100884D-3983-42CF-AE9C-67EB87FC5CDA}" name="Column125"/>
    <tableColumn id="140" xr3:uid="{8AC1E287-2A28-4C65-AE7C-292B43154E8D}" name="Column126"/>
    <tableColumn id="141" xr3:uid="{71E382B3-7E70-49F7-977D-6DFCDF711DD8}" name="Column127"/>
    <tableColumn id="142" xr3:uid="{1D015A51-A013-4D5D-8CD2-B243642CB13B}" name="Column128"/>
    <tableColumn id="143" xr3:uid="{8F8663E9-AFCD-45E2-B066-C37CBF1BD2AF}" name="Column129"/>
    <tableColumn id="144" xr3:uid="{D3182F18-1B93-4EDF-9CA7-B9BA72B9F15A}" name="Column130"/>
    <tableColumn id="145" xr3:uid="{43DDD57F-0C72-4EBC-9262-411704E1CF32}" name="Column131"/>
    <tableColumn id="146" xr3:uid="{51C61E61-A6F4-4128-90ED-F4C5ECB0A845}" name="Column132"/>
    <tableColumn id="147" xr3:uid="{3AE681EC-5D5F-4791-A42C-C2D464677FD0}" name="Column133"/>
    <tableColumn id="148" xr3:uid="{276CF1A0-44C6-466B-B0C3-886B02B08740}" name="Column134"/>
    <tableColumn id="149" xr3:uid="{34C62417-C7AE-4DBD-B833-7911FEF2B422}" name="Column135"/>
    <tableColumn id="150" xr3:uid="{A4AA3552-7F6E-4440-9604-AF6742DD38B0}" name="Column136"/>
    <tableColumn id="151" xr3:uid="{1CFBCF03-EFE6-46CD-988A-A179C5312169}" name="Column137"/>
    <tableColumn id="152" xr3:uid="{F5819DCD-FF14-4103-BD0D-CF76C493BEC0}" name="Column138"/>
    <tableColumn id="153" xr3:uid="{713BD0A2-0699-498A-82ED-73856F214F7F}" name="Column139"/>
    <tableColumn id="154" xr3:uid="{0A0F32DC-828E-49CC-9325-B8331D308A46}" name="Column140"/>
    <tableColumn id="155" xr3:uid="{CE6E6333-FF8C-413D-9519-D55923EAD778}" name="Column141"/>
    <tableColumn id="156" xr3:uid="{8838930B-A265-4BDE-8BA5-37C5C85683AF}" name="Column142"/>
    <tableColumn id="157" xr3:uid="{1045439F-EBDF-40C9-9D03-32A1727DEC5A}" name="Column143"/>
    <tableColumn id="158" xr3:uid="{95DD126C-6AB1-44A9-B50E-0DDE9729E63E}" name="Column144"/>
    <tableColumn id="159" xr3:uid="{7B26EB97-FD3C-4923-B273-5F429D839962}" name="Column145"/>
    <tableColumn id="160" xr3:uid="{7FA4FE1C-FA69-4006-BD1B-9EC966D83305}" name="Column146"/>
    <tableColumn id="161" xr3:uid="{379DF75C-0ED0-49DF-BC60-D29AF71F0A5D}" name="Column147"/>
    <tableColumn id="162" xr3:uid="{ECEEDC2A-FCB9-435D-A702-B47DA1AAD30A}" name="Column148"/>
    <tableColumn id="163" xr3:uid="{B9F49C75-3AD0-430D-AC10-B1562CA1B613}" name="Column149"/>
    <tableColumn id="164" xr3:uid="{6E20793C-1E3B-45F4-BA0A-D9631FF56CDF}" name="Column150"/>
    <tableColumn id="165" xr3:uid="{B244F911-F66C-4D2C-A4D8-ED82AE566064}" name="Column151"/>
    <tableColumn id="166" xr3:uid="{E5200C8C-453E-4CAF-893C-691C076C9FFA}" name="Column152"/>
    <tableColumn id="167" xr3:uid="{7DA6DA9E-EA55-4F56-998A-15A573B729A3}" name="Column153"/>
    <tableColumn id="168" xr3:uid="{A1ED4FF5-DCFA-4C2F-A58C-F2FE9900040E}" name="Column154"/>
    <tableColumn id="169" xr3:uid="{737A1EEC-AA2E-4457-A968-185DF30538B0}" name="Column155"/>
    <tableColumn id="170" xr3:uid="{A4786C0E-9A14-4E67-8CD9-3481D4959F3E}" name="Column156"/>
    <tableColumn id="171" xr3:uid="{1BFD0CC7-F82C-4D12-AE09-C1F440D0123D}" name="Column157"/>
    <tableColumn id="172" xr3:uid="{7C3C4F1A-8875-4211-86D5-B5FFE3CCF3ED}" name="Column158"/>
    <tableColumn id="173" xr3:uid="{C647DACF-4885-43A1-A2EF-864538DB5C9E}" name="Column159"/>
    <tableColumn id="174" xr3:uid="{DABE09B2-0C8B-4559-A7F1-A0F5B217509F}" name="Column160"/>
    <tableColumn id="175" xr3:uid="{1A5E81EC-132F-4D7C-A97B-0CE4A789C550}" name="Column161"/>
    <tableColumn id="176" xr3:uid="{95CDED5C-73CC-4B04-B3F2-815E696E3A47}" name="Column162"/>
    <tableColumn id="177" xr3:uid="{D5547B1E-A1C0-4156-8236-84B93ABDBCD3}" name="Column163"/>
    <tableColumn id="178" xr3:uid="{F1810A7D-09F3-429C-91A0-0DC014F9AEAA}" name="Column164"/>
    <tableColumn id="179" xr3:uid="{19756BB4-6A3C-41E2-8776-61DC0E2D6B54}" name="Column165"/>
    <tableColumn id="180" xr3:uid="{15CF0AFF-FDC8-4D7C-9FF0-1D9CB114F501}" name="Column166"/>
    <tableColumn id="181" xr3:uid="{418D5365-D55C-4991-8244-9A552FA3E691}" name="Column167"/>
    <tableColumn id="182" xr3:uid="{258A3CB4-752D-457C-B5E0-CDC3410E60C8}" name="Column168"/>
    <tableColumn id="183" xr3:uid="{89DAEA80-CC7A-4330-A326-E3EADBD0E6D4}" name="Column169"/>
    <tableColumn id="184" xr3:uid="{80868C65-CD5F-44DA-816A-20F90281E9EA}" name="Column170"/>
    <tableColumn id="185" xr3:uid="{031BA66C-19B2-43D4-B47E-5ECA8C95F0BB}" name="Column171"/>
    <tableColumn id="186" xr3:uid="{6456DEE4-9D34-40A5-8E6C-365EF93AAB38}" name="Column172"/>
    <tableColumn id="187" xr3:uid="{22213AFB-24E0-4053-AF5D-A05ABB693FCA}" name="Column173"/>
    <tableColumn id="188" xr3:uid="{9AF8A280-9FA2-4792-A2C4-045CBCB120EF}" name="Column174"/>
    <tableColumn id="189" xr3:uid="{AD3C7098-E1D3-48FD-A580-BF2D332F8B51}" name="Column175"/>
    <tableColumn id="190" xr3:uid="{919ABADE-F8C2-477F-9DC8-2B788E600BBC}" name="Column176"/>
    <tableColumn id="191" xr3:uid="{294886C3-ACEB-4729-B27C-A7049A3E96C9}" name="Column177"/>
    <tableColumn id="192" xr3:uid="{688DC7E0-F8DC-49BE-AA52-5FE44B097B51}" name="Column178"/>
    <tableColumn id="193" xr3:uid="{DA9B88C3-8A2F-4ED3-9A60-BAC176729A3B}" name="Column179"/>
    <tableColumn id="194" xr3:uid="{EDADD7DC-48A0-423E-9B6D-3DD2BEAF589B}" name="Column180"/>
    <tableColumn id="195" xr3:uid="{5CF73829-657D-40A2-8790-89DFC5935B0B}" name="Column181"/>
    <tableColumn id="196" xr3:uid="{AD9744FE-9D01-46FD-AB86-CCF3F9A23C56}" name="Column182"/>
    <tableColumn id="197" xr3:uid="{89CD0734-FB66-4A89-AC4D-2F62489FEE84}" name="Column183"/>
    <tableColumn id="198" xr3:uid="{C9BFBF73-A3F6-49B8-B1F8-D11EB0C15713}" name="Column184"/>
    <tableColumn id="199" xr3:uid="{F4B7094E-8B52-4390-B53C-E1E872C9880A}" name="Column185"/>
    <tableColumn id="200" xr3:uid="{C2FA82D3-9CD3-4EB7-9EBC-CDA42C9A008B}" name="Column186"/>
    <tableColumn id="201" xr3:uid="{BC58C3E7-06AD-4E2B-A636-A55E1209CFC2}" name="Column187"/>
    <tableColumn id="202" xr3:uid="{BCE5EA92-3405-427C-B19D-3FB12A29CA60}" name="Column188"/>
    <tableColumn id="203" xr3:uid="{133ADCDE-F47E-4C28-AC7F-39BAF9B614F0}" name="Column189"/>
    <tableColumn id="204" xr3:uid="{97F76E6C-F6A1-4239-A729-C0FB0442F0AD}" name="Column190"/>
    <tableColumn id="205" xr3:uid="{325173BE-E040-41EC-8A5E-AE4E74547AA0}" name="Column191"/>
    <tableColumn id="206" xr3:uid="{FB46C81E-B376-4DBF-9B6D-B165E1560322}" name="Column192"/>
    <tableColumn id="207" xr3:uid="{6EDA1E6C-85EF-474C-8C4D-B8124036FC4A}" name="Column193"/>
    <tableColumn id="208" xr3:uid="{9F9B6F44-CC90-4D6C-B388-E608DF26031D}" name="Column194"/>
    <tableColumn id="209" xr3:uid="{1DF1FAB7-7143-4931-A716-0CA336BF48DD}" name="Column195"/>
    <tableColumn id="210" xr3:uid="{A176BDF2-4B58-48F0-90F9-DC29D76E7679}" name="Column196"/>
    <tableColumn id="211" xr3:uid="{0FCD0940-0437-46BE-AC74-24201B89EB19}" name="Column197"/>
    <tableColumn id="212" xr3:uid="{B00C6CBB-69E3-478A-BB1D-CAC946A303E6}" name="Column198"/>
    <tableColumn id="213" xr3:uid="{1811F280-0175-4144-A42E-E17D98FC7CE9}" name="Column199"/>
    <tableColumn id="214" xr3:uid="{A726C9ED-0D61-4A25-A1DB-D79BC6548A0E}" name="Column200"/>
    <tableColumn id="215" xr3:uid="{A5826256-FE30-49B0-AADB-591895E6CBB2}" name="Column201"/>
    <tableColumn id="216" xr3:uid="{E97000FA-1429-4D7C-90A1-826E0B16C3BF}" name="Column202"/>
    <tableColumn id="217" xr3:uid="{72B3C8EB-325B-4A94-A4C7-F978F70232DE}" name="Column203"/>
    <tableColumn id="218" xr3:uid="{31E5DF31-0FD7-445E-AE1E-87D818E838AE}" name="Column204"/>
    <tableColumn id="219" xr3:uid="{402A48E7-5D1C-44FB-A30D-406788E429ED}" name="Column205"/>
    <tableColumn id="220" xr3:uid="{12DA3E10-DD19-4FF5-BA4B-89593984124F}" name="Column206"/>
    <tableColumn id="221" xr3:uid="{F0FA43DE-95CA-42C4-BE44-E6E6545C3E19}" name="Column207"/>
    <tableColumn id="222" xr3:uid="{0A622287-8D10-4FA5-A6B7-D9D4CE8670D2}" name="Column208"/>
    <tableColumn id="223" xr3:uid="{C0F5D5D6-D04F-4EBA-BA4F-2C8C113ABAF2}" name="Column209"/>
    <tableColumn id="224" xr3:uid="{B6BF736A-35FE-4D15-BB0C-40440FD8D0CF}" name="Column210"/>
    <tableColumn id="225" xr3:uid="{BF6BD2C2-04B7-4E97-A4E5-4C5131B804FB}" name="Column211"/>
    <tableColumn id="226" xr3:uid="{F716CFE6-D362-4026-9691-D9B7AD4714EB}" name="Column212"/>
    <tableColumn id="227" xr3:uid="{C3D73342-3534-41C7-A92F-81F3A4391950}" name="Column213"/>
    <tableColumn id="228" xr3:uid="{0B244429-871E-4464-B182-5F78FD395704}" name="Column214"/>
    <tableColumn id="229" xr3:uid="{DD7A8010-9EFF-45A9-90E6-7C50056326A1}" name="Column215"/>
    <tableColumn id="230" xr3:uid="{4B61D820-C31D-44B0-878E-E9D09FF77A5B}" name="Column216"/>
    <tableColumn id="231" xr3:uid="{174ED927-99E6-4EDF-8E0A-1B0F7D122E15}" name="Column217"/>
    <tableColumn id="232" xr3:uid="{49212AA0-0DB3-4AAD-BAAE-C93B4C42C9CB}" name="Column218"/>
    <tableColumn id="233" xr3:uid="{4E73D302-C869-4D0D-860F-C6C5E52E61A6}" name="Column219"/>
    <tableColumn id="234" xr3:uid="{582A5637-A759-42CC-965E-3DFB9F7F0E46}" name="Column220"/>
    <tableColumn id="235" xr3:uid="{4EFAAEAD-3844-4698-9958-D502CBFC708C}" name="Column221"/>
    <tableColumn id="236" xr3:uid="{E94EF7A0-F34F-4FD6-8A7B-CDFDAF9D6418}" name="Column222"/>
    <tableColumn id="237" xr3:uid="{F52A02CF-6D90-48D6-A6C3-AE0BC6FCD382}" name="Column223"/>
    <tableColumn id="238" xr3:uid="{FDA04492-4BD3-4381-93A7-F7CEA1DE4B56}" name="Column224"/>
    <tableColumn id="239" xr3:uid="{1033DBC8-18C6-4849-A0A6-93BB8F73D4DB}" name="Column225"/>
    <tableColumn id="240" xr3:uid="{B2E3A656-4362-42ED-B228-4535FCCD410F}" name="Column226"/>
    <tableColumn id="241" xr3:uid="{753B2D6A-4EDE-419D-B5E6-A65EFC633D53}" name="Column227"/>
    <tableColumn id="242" xr3:uid="{349D686A-686F-4FAF-A933-DBE515593CB8}" name="Column228"/>
    <tableColumn id="243" xr3:uid="{F3D7FF30-6E55-4961-A4AB-055476D5B240}" name="Column229"/>
    <tableColumn id="244" xr3:uid="{62AA9F16-F164-43E4-9E85-CEBE1304F8C6}" name="Column230"/>
    <tableColumn id="245" xr3:uid="{1E7E53FD-92DA-48D8-9019-1F0B8CDC40AA}" name="Column231"/>
    <tableColumn id="246" xr3:uid="{D8F60451-F06C-4877-A98C-B05D41ADC42C}" name="Column232"/>
    <tableColumn id="247" xr3:uid="{F7F96A6B-C84D-4076-AE52-3520D9F4897F}" name="Column233"/>
    <tableColumn id="248" xr3:uid="{D3E807D8-AC6F-4D48-AC04-7AE96E52D699}" name="Column234"/>
    <tableColumn id="249" xr3:uid="{2D5C88A9-F1EE-428F-98AB-B23D72D3E243}" name="Column235"/>
    <tableColumn id="250" xr3:uid="{8385CCE7-F7BA-4EE5-BD0D-546D6BF8F69A}" name="Column236"/>
    <tableColumn id="251" xr3:uid="{E1D4B628-343F-4A6D-A573-FA3DECCF849B}" name="Column237"/>
    <tableColumn id="252" xr3:uid="{7AE7244E-379C-4D4A-9A83-BC6219881354}" name="Column238"/>
    <tableColumn id="253" xr3:uid="{D0D67C9B-ACCE-40D6-9CDF-B173A9940FD8}" name="Column239"/>
    <tableColumn id="254" xr3:uid="{8394F11B-E483-476F-8112-6BA3E02F87F3}" name="Column240"/>
    <tableColumn id="255" xr3:uid="{622BF96E-FA04-4F89-B557-A1038EBF9995}" name="Column241"/>
    <tableColumn id="256" xr3:uid="{01F0D6E3-A470-448D-AFB2-4DC2D1CC7E6F}" name="Column242"/>
    <tableColumn id="257" xr3:uid="{18249A1A-5BAD-465F-9D1C-EF5AF1B2614D}" name="Column243"/>
    <tableColumn id="258" xr3:uid="{F8D0A9F9-5D26-45C9-AD2C-5DFAFCD56899}" name="Column244"/>
    <tableColumn id="259" xr3:uid="{AC34AC22-34FA-454F-A24B-EF8986A88A22}" name="Column245"/>
    <tableColumn id="260" xr3:uid="{9A0AB545-11E8-485C-AAA3-76810F96E35F}" name="Column246"/>
    <tableColumn id="261" xr3:uid="{F9C7FD71-BA32-44BA-B6C9-4FC7480E39CF}" name="Column247"/>
    <tableColumn id="262" xr3:uid="{82935734-C985-42AE-B434-17ECB1690F36}" name="Column248"/>
    <tableColumn id="263" xr3:uid="{E5C6D164-9105-4485-A978-1264FC207C8F}" name="Column249"/>
    <tableColumn id="264" xr3:uid="{E9AD9E8A-EB2C-4415-B32F-B3FC19D0583E}" name="Column250"/>
    <tableColumn id="265" xr3:uid="{32BBE608-71E8-47DC-A1DF-70AB2BFF391B}" name="Column251"/>
    <tableColumn id="266" xr3:uid="{921ABFA0-B0B5-4F44-8937-105B474B5A9B}" name="Column252"/>
    <tableColumn id="267" xr3:uid="{7344EB90-80AE-4CDC-930E-1942F5AD7296}" name="Column253"/>
    <tableColumn id="268" xr3:uid="{F4E06573-F624-4048-A8BC-349978CD7D12}" name="Column254"/>
    <tableColumn id="269" xr3:uid="{F2CF0A59-9A5A-4D0B-8436-AA3CE9C6A425}" name="Column255"/>
    <tableColumn id="270" xr3:uid="{69548BAF-85A6-45B3-B900-F92A2C24F112}" name="Column256"/>
    <tableColumn id="271" xr3:uid="{4A40183C-E2B1-42F9-98DE-0A8C74BD6AAD}" name="Column257"/>
    <tableColumn id="272" xr3:uid="{F6F79552-7888-4DC1-835E-9B9D10407694}" name="Column258"/>
    <tableColumn id="273" xr3:uid="{8857A879-5750-4551-ABD0-DF004F2F6E7F}" name="Column259"/>
    <tableColumn id="274" xr3:uid="{6799FF4E-F151-4BF9-9695-DD2987BA55A0}" name="Column260"/>
    <tableColumn id="275" xr3:uid="{80E8E198-616E-4477-90E6-050102437414}" name="Column261"/>
    <tableColumn id="276" xr3:uid="{09F5BCF8-BB9A-46FD-AD77-D3CD19D896AE}" name="Column262"/>
    <tableColumn id="277" xr3:uid="{15806772-782A-4A16-A457-EECABBDFB7D2}" name="Column263"/>
    <tableColumn id="278" xr3:uid="{B732B9E9-AF11-4F4E-A530-1360E8200848}" name="Column264"/>
    <tableColumn id="279" xr3:uid="{3660A21E-235E-4761-914D-1B249C5AD857}" name="Column265"/>
    <tableColumn id="280" xr3:uid="{7B32BC4B-B9EE-44B9-8B7D-A9873B99C376}" name="Column266"/>
    <tableColumn id="281" xr3:uid="{EBBB3C72-E56E-4B43-A71F-74808C124112}" name="Column267"/>
    <tableColumn id="282" xr3:uid="{14C2F38A-5E81-4C21-9421-E63CFA9ADE2F}" name="Column268"/>
    <tableColumn id="283" xr3:uid="{E89262E5-D94B-4845-988B-3D5C47743BA2}" name="Column269"/>
    <tableColumn id="284" xr3:uid="{C6C42806-75CA-4C1F-8559-B76599412AB2}" name="Column270"/>
    <tableColumn id="285" xr3:uid="{A6665B32-6D9D-4D46-9990-2032B704449B}" name="Column271"/>
    <tableColumn id="286" xr3:uid="{63B77605-9357-4BD7-B71C-11BA74C9E1DD}" name="Column272"/>
    <tableColumn id="287" xr3:uid="{DD47ACEB-4975-47C6-A5B3-DB94ABAD85B1}" name="Column273"/>
    <tableColumn id="288" xr3:uid="{64681846-4BF1-498A-86A5-DC363A235BDB}" name="Column274"/>
    <tableColumn id="289" xr3:uid="{30939169-919A-43D4-8C4E-2B7D94AD9355}" name="Column275"/>
    <tableColumn id="290" xr3:uid="{79D0A127-5120-456C-A7C1-041D0EC021D7}" name="Column276"/>
    <tableColumn id="291" xr3:uid="{00A290B7-0970-488F-BF2D-45B75BD1982A}" name="Column277"/>
    <tableColumn id="292" xr3:uid="{966E723A-CF72-46DE-A9BC-2839792AD7BA}" name="Column278"/>
    <tableColumn id="293" xr3:uid="{BE835C43-AA42-46DC-9C99-427653C9DDB2}" name="Column279"/>
    <tableColumn id="294" xr3:uid="{CBD9CEBE-B46E-486A-AB05-8BE276575BCA}" name="Column280"/>
    <tableColumn id="295" xr3:uid="{77CEBF3D-DCCA-4140-B42E-2B5F115E0574}" name="Column281"/>
    <tableColumn id="296" xr3:uid="{E9ED1E28-5D3A-45F4-8744-FD03E923A692}" name="Column282"/>
    <tableColumn id="297" xr3:uid="{AF27E14B-05FA-4A00-9D5F-3CBA08A2CB71}" name="Column283"/>
    <tableColumn id="298" xr3:uid="{46649437-1E11-482C-B2AC-6C827292F08A}" name="Column284"/>
    <tableColumn id="299" xr3:uid="{BD64B881-9E06-40FF-8999-4F99D55DE188}" name="Column285"/>
    <tableColumn id="300" xr3:uid="{35E9E4D7-5BC9-43BA-BB69-83DE8140575F}" name="Column286"/>
    <tableColumn id="301" xr3:uid="{DBAAF335-F22A-4FB6-A15A-1B83E6B3FC51}" name="Column287"/>
    <tableColumn id="302" xr3:uid="{CFAC9D8B-A9A2-40E8-99B4-20BE33630710}" name="Column288"/>
    <tableColumn id="303" xr3:uid="{DFD74CFD-1422-43ED-98D1-0FF8A73FBB55}" name="Column289"/>
    <tableColumn id="304" xr3:uid="{4931E32F-A5AC-4AE9-946F-294908527167}" name="Column290"/>
    <tableColumn id="305" xr3:uid="{4C6AA6F6-C5DA-4A20-8374-02A0847BF084}" name="Column291"/>
    <tableColumn id="306" xr3:uid="{85D57B12-17C0-413B-AEA9-7EFC79C6659D}" name="Column292"/>
    <tableColumn id="307" xr3:uid="{EF474577-1597-4787-A210-3061EE2F9D61}" name="Column293"/>
    <tableColumn id="308" xr3:uid="{489B0A83-9C25-49B5-9F5D-D92922E94A8B}" name="Column294"/>
    <tableColumn id="309" xr3:uid="{A1891C3C-4039-4BCC-AB40-B4AFA4CAFBAA}" name="Column295"/>
    <tableColumn id="310" xr3:uid="{AA3D626A-AFB4-4917-9EF6-7D7AB528536B}" name="Column296"/>
    <tableColumn id="311" xr3:uid="{E0956E12-9E0B-4FD0-AB94-C97C7FC651FC}" name="Column297"/>
    <tableColumn id="312" xr3:uid="{652B861F-FE03-4708-A601-FB7A962535EB}" name="Column298"/>
    <tableColumn id="313" xr3:uid="{FF9AB38C-B851-46D3-8B0C-2E9C5598C7BC}" name="Column299"/>
    <tableColumn id="314" xr3:uid="{7BEDE8A8-910A-4F63-904B-484B7FC91DA6}" name="Column300"/>
    <tableColumn id="315" xr3:uid="{61F02C12-5040-470A-8139-F450B5E61DE5}" name="Column301"/>
    <tableColumn id="316" xr3:uid="{AB427C03-00F9-4514-91FA-3C0FD0DEC85E}" name="Column302"/>
    <tableColumn id="317" xr3:uid="{8B58A635-9071-4674-A62A-7D07C411BEE2}" name="Column303"/>
    <tableColumn id="318" xr3:uid="{6F15252F-5553-4762-90DB-521B365A10D7}" name="Column304"/>
    <tableColumn id="319" xr3:uid="{DFB658CA-B7F3-4E02-B30F-C3F0AF84251B}" name="Column305"/>
    <tableColumn id="320" xr3:uid="{501F7110-E201-406F-A242-A90666B88CBA}" name="Column306"/>
    <tableColumn id="321" xr3:uid="{C2A886CB-920B-421B-AED3-92B00C89ED1E}" name="Column307"/>
    <tableColumn id="322" xr3:uid="{A58D5D97-C600-4080-9FC3-89EBDF4CD86A}" name="Column308"/>
    <tableColumn id="323" xr3:uid="{65F92A28-C510-4D35-B011-7B6F612AF876}" name="Column309"/>
    <tableColumn id="324" xr3:uid="{C2882CAE-BF41-4341-9B58-E2B67DAE68AF}" name="Column310"/>
    <tableColumn id="325" xr3:uid="{1563C747-2F3A-4892-8D20-5DBF2BAB5A82}" name="Column311"/>
    <tableColumn id="326" xr3:uid="{14B5109E-040D-4752-8AE7-40367FF4EB72}" name="Column312"/>
    <tableColumn id="327" xr3:uid="{DB7A2973-FA38-4A08-ADA4-0E1C91D73565}" name="Column313"/>
    <tableColumn id="328" xr3:uid="{D4661EC7-51B9-462C-AEBF-CF50E34DD171}" name="Column314"/>
    <tableColumn id="329" xr3:uid="{8CD15055-2D93-467E-BF4F-DE379D519E5A}" name="Column315"/>
    <tableColumn id="330" xr3:uid="{125A580C-30E6-4F6A-AC89-910DDD56E5C9}" name="Column316"/>
    <tableColumn id="331" xr3:uid="{978D4D1C-C4E7-408B-8C65-3BD67E53BC57}" name="Column317"/>
    <tableColumn id="332" xr3:uid="{6E7ACB2D-F863-4966-A3FC-F4DC49249A7E}" name="Column318"/>
    <tableColumn id="333" xr3:uid="{652EB871-9CCE-460B-9395-239CFC3671DF}" name="Column319"/>
    <tableColumn id="334" xr3:uid="{4372C559-098A-44B0-9BBD-4D6FCA20A4F8}" name="Column320"/>
    <tableColumn id="335" xr3:uid="{A2C0057A-AAA5-4689-9697-59A1DB970A5C}" name="Column321"/>
    <tableColumn id="336" xr3:uid="{42B3EDC6-77BD-4992-B8B1-50A0E1E190EA}" name="Column322"/>
    <tableColumn id="337" xr3:uid="{B253194B-4CE7-49C3-AE23-89C0F5426CD7}" name="Column323"/>
    <tableColumn id="338" xr3:uid="{D125A083-2BC2-4F19-9849-ED1E3B54D0D7}" name="Column324"/>
    <tableColumn id="339" xr3:uid="{9B8DCC05-60CB-467E-B1F3-4C842BD2F923}" name="Column325"/>
    <tableColumn id="340" xr3:uid="{4370297D-A502-456A-8D04-6074A621BAD4}" name="Column326"/>
    <tableColumn id="341" xr3:uid="{B2ED11CD-53D3-4AB3-B28E-357DA4A86230}" name="Column327"/>
    <tableColumn id="342" xr3:uid="{DE356234-26B0-4065-8AEF-14878055FAF7}" name="Column328"/>
    <tableColumn id="343" xr3:uid="{FE6B214A-7CC1-4968-ADC6-485DE432EF2E}" name="Column329"/>
    <tableColumn id="344" xr3:uid="{49C37937-2673-4DEB-BE1A-BF853E0BBDF7}" name="Column330"/>
    <tableColumn id="345" xr3:uid="{97F019AB-7E95-49B0-9572-F260D185B21C}" name="Column331"/>
    <tableColumn id="346" xr3:uid="{078CC4A5-29D7-42CB-A5ED-E5270D4B8E1D}" name="Column332"/>
    <tableColumn id="347" xr3:uid="{C347E956-E898-4F96-9069-C99E3CF1220A}" name="Column333"/>
    <tableColumn id="348" xr3:uid="{BE377907-DDA9-475E-AF33-B62B68201826}" name="Column334"/>
    <tableColumn id="349" xr3:uid="{787003BF-5252-497C-A2B1-277A1C53B338}" name="Column335"/>
    <tableColumn id="350" xr3:uid="{CF7D5BD8-B454-446B-8FDF-2BD0FECFD990}" name="Column336"/>
    <tableColumn id="351" xr3:uid="{A70BF133-5D57-44B2-AACB-085E62FADA33}" name="Column337"/>
    <tableColumn id="352" xr3:uid="{2353C6AF-FAA8-4BC6-9186-13792DB4591A}" name="Column338"/>
    <tableColumn id="353" xr3:uid="{005C2D3D-17A4-4F06-9FA5-29039CB1BC9E}" name="Column339"/>
    <tableColumn id="354" xr3:uid="{3E3BDC11-4825-4CA0-9041-0440D3DEF22B}" name="Column340"/>
    <tableColumn id="355" xr3:uid="{83BD30CC-5162-4D62-B895-E38DBA006FBC}" name="Column341"/>
    <tableColumn id="356" xr3:uid="{D02AF0CD-679B-4CC4-B28E-895DF5BB1F71}" name="Column342"/>
    <tableColumn id="357" xr3:uid="{7A66A098-7082-4D5F-9D76-986E2B441DE8}" name="Column343"/>
    <tableColumn id="358" xr3:uid="{57783F2B-758E-4450-8A13-9CC746765527}" name="Column344"/>
    <tableColumn id="359" xr3:uid="{37A107A9-EF49-4659-BC95-7642D70ACFEC}" name="Column345"/>
    <tableColumn id="360" xr3:uid="{D01DBE6D-E8E8-41E3-BD59-8AEDCADAD2C6}" name="Column346"/>
    <tableColumn id="361" xr3:uid="{8411871D-C560-4F27-9827-BB6205282C5F}" name="Column347"/>
    <tableColumn id="362" xr3:uid="{C273D910-FAEC-4C05-A668-EA3925F8EE3D}" name="Column348"/>
    <tableColumn id="363" xr3:uid="{05C7A09E-FA07-4BFE-9DB7-A992ACEAC5AF}" name="Column349"/>
    <tableColumn id="364" xr3:uid="{27182F89-066C-4DC3-BC05-3A7B0610DF26}" name="Column350"/>
    <tableColumn id="365" xr3:uid="{DFA27491-BC08-4F72-A17C-863DFFEDB282}" name="Column351"/>
    <tableColumn id="366" xr3:uid="{E45C76D5-EE4B-4D39-83AC-D67D5E45341D}" name="Column352"/>
    <tableColumn id="367" xr3:uid="{9CD6B065-DAF5-44AC-B7E8-3FD0FF145EC9}" name="Column353"/>
    <tableColumn id="368" xr3:uid="{76B8CCD6-07C9-49B0-B29D-ABCEED8DE00D}" name="Column354"/>
    <tableColumn id="369" xr3:uid="{AB75AF64-40B3-47D8-8775-D2D9A56B5D2B}" name="Column355"/>
    <tableColumn id="370" xr3:uid="{341D7FE0-5CF8-4F97-B246-E63A9735E7F1}" name="Column356"/>
    <tableColumn id="371" xr3:uid="{63603BDA-A3C6-44FC-9F07-C212A7C41CA8}" name="Column357"/>
    <tableColumn id="372" xr3:uid="{BD08F926-7C52-4B55-B88D-F10312B75DA7}" name="Column358"/>
    <tableColumn id="373" xr3:uid="{3763047A-A0A1-420C-B766-8B873E68EDEF}" name="Column359"/>
    <tableColumn id="374" xr3:uid="{0EA3B709-F1FE-40D8-AD4E-2D4061B4CB07}" name="Column360"/>
    <tableColumn id="375" xr3:uid="{0DE7DD73-AFE9-40EB-B50C-CB35307E7C52}" name="Column361"/>
    <tableColumn id="376" xr3:uid="{C858444C-AD33-417B-897D-1F774E2E9EB9}" name="Column362"/>
    <tableColumn id="377" xr3:uid="{C68B364F-9501-4B08-ADDB-D4E4997EAF8B}" name="Column363"/>
    <tableColumn id="378" xr3:uid="{8F26246B-DC45-41B2-9CA6-37AAAFF68B11}" name="Column364"/>
    <tableColumn id="379" xr3:uid="{03B73FEE-B790-415A-B86F-290040976B67}" name="Column365"/>
    <tableColumn id="380" xr3:uid="{A40A48D9-ACB1-4F58-9B74-C8E5A5A4B31F}" name="Column366"/>
    <tableColumn id="381" xr3:uid="{FAF5E15C-4102-4BE0-B8EC-417A8C691944}" name="Column367"/>
    <tableColumn id="382" xr3:uid="{40A92980-26F6-45DC-BD32-870CC515C505}" name="Column368"/>
    <tableColumn id="383" xr3:uid="{2648656A-2A13-4365-9DAE-CD27D6DAFCB7}" name="Column369"/>
    <tableColumn id="384" xr3:uid="{70DC6CE8-8F3A-48E9-B230-CF53E27FE648}" name="Column370"/>
    <tableColumn id="385" xr3:uid="{9C63220C-2D01-47F4-8E51-007384BE3BC8}" name="Column371"/>
    <tableColumn id="386" xr3:uid="{E9C53861-60DE-4AAE-9495-B00EAA33AC5F}" name="Column372"/>
    <tableColumn id="387" xr3:uid="{6EE8A48D-0A81-43BF-8E29-17471C45E6E3}" name="Column373"/>
    <tableColumn id="388" xr3:uid="{86E99781-9F7C-4046-9CFD-CB4117EC8367}" name="Column374"/>
    <tableColumn id="389" xr3:uid="{7548EB3F-D79E-4B3C-B905-FF91FA85267A}" name="Column375"/>
    <tableColumn id="390" xr3:uid="{55F2AD52-BAD5-4F7B-AC44-70AF86076CB9}" name="Column376"/>
    <tableColumn id="391" xr3:uid="{9697F2FE-5225-41AE-8823-7B880B95B0E3}" name="Column377"/>
    <tableColumn id="392" xr3:uid="{61D01F26-AE69-404B-A804-46953A1AD708}" name="Column378"/>
    <tableColumn id="393" xr3:uid="{A3EB4E01-9004-465D-BCAA-2B92778E5CEC}" name="Column379"/>
    <tableColumn id="394" xr3:uid="{5FC5C7B1-2322-4DFA-9D4F-65EB8BAAAC88}" name="Column380"/>
    <tableColumn id="395" xr3:uid="{2FBAFE18-2B9C-4D58-8465-7F4F41853F24}" name="Column381"/>
    <tableColumn id="396" xr3:uid="{69772F72-A141-40B0-BA8E-37098ED5559F}" name="Column382"/>
    <tableColumn id="397" xr3:uid="{BD84CA51-E145-4E89-87D1-3189C1E54C3F}" name="Column383"/>
    <tableColumn id="398" xr3:uid="{BE595DA3-F223-493B-A828-099CC686443C}" name="Column384"/>
    <tableColumn id="399" xr3:uid="{249ADB9B-F6F9-4B81-94D8-DB20913E7AEE}" name="Column385"/>
    <tableColumn id="400" xr3:uid="{EBB60693-8958-433C-8DC8-0042C233910E}" name="Column386"/>
    <tableColumn id="401" xr3:uid="{1781F4FC-1510-427C-9DB8-FB788C2D0412}" name="Column387"/>
    <tableColumn id="402" xr3:uid="{760F4022-7C84-425C-B570-0C6FA74A7B01}" name="Column388"/>
    <tableColumn id="403" xr3:uid="{6E19A0D5-CDC8-479A-AAE1-6BA54BE12333}" name="Column389"/>
    <tableColumn id="404" xr3:uid="{29A166A2-20E6-4469-B04E-94F2B2E5EC1E}" name="Column390"/>
    <tableColumn id="405" xr3:uid="{5CED8FA2-46A4-4D86-8F7E-CE2348777ECB}" name="Column391"/>
    <tableColumn id="406" xr3:uid="{B27E9E1C-A52B-43CA-BBB0-8359293EDD80}" name="Column392"/>
    <tableColumn id="407" xr3:uid="{0456BE15-14CB-422E-9101-56FF4866EB22}" name="Column393"/>
    <tableColumn id="408" xr3:uid="{32E28CC5-70F4-4634-B3AE-F839F93888C7}" name="Column394"/>
    <tableColumn id="409" xr3:uid="{7DC8216E-9F68-46B9-BC63-4447C7FD310A}" name="Column395"/>
    <tableColumn id="410" xr3:uid="{EBEE59C9-269C-4861-974F-FE10C01814F5}" name="Column396"/>
    <tableColumn id="411" xr3:uid="{27015D78-5DF3-4AD0-B1FC-E954ACF7472D}" name="Column397"/>
    <tableColumn id="412" xr3:uid="{872D4962-9AB8-44A1-9C26-A519B2FC9732}" name="Column398"/>
    <tableColumn id="413" xr3:uid="{383584FC-CE5C-45A7-9A09-91757E5BD240}" name="Column399"/>
    <tableColumn id="414" xr3:uid="{9886CD43-B0F9-4949-BA65-5B558D16CE78}" name="Column400"/>
    <tableColumn id="415" xr3:uid="{6D3BC2D1-97B4-47F4-8EC2-BE5D9609E8D6}" name="Column401"/>
    <tableColumn id="416" xr3:uid="{1819593B-5EEA-4CFD-998D-8F4BC23B06E6}" name="Column402"/>
    <tableColumn id="417" xr3:uid="{F0FB4663-25BA-4FF0-A388-3DE4FB146104}" name="Column403"/>
    <tableColumn id="418" xr3:uid="{7D38F1D4-065E-410B-9732-A6F4C648E720}" name="Column404"/>
    <tableColumn id="419" xr3:uid="{CFED98C3-76A5-411E-893F-130BBED43E3F}" name="Column405"/>
    <tableColumn id="420" xr3:uid="{29701DCC-EA2B-48B9-A4D5-4A239085310B}" name="Column406"/>
    <tableColumn id="421" xr3:uid="{146279D8-C4C7-4CAC-92AD-086D05FEE21D}" name="Column407"/>
    <tableColumn id="422" xr3:uid="{6DCF1490-7BF8-472A-81C0-54E52C89B536}" name="Column408"/>
    <tableColumn id="423" xr3:uid="{727EE5FF-1B40-456D-8478-7FD6DF77C757}" name="Column409"/>
    <tableColumn id="424" xr3:uid="{5A6E298F-4396-4A2E-B663-CB5ED8211DF7}" name="Column410"/>
    <tableColumn id="425" xr3:uid="{6ADF10BD-023B-4D34-81A6-8D036B7E5FA5}" name="Column411"/>
    <tableColumn id="426" xr3:uid="{280FECC0-97D7-4249-B356-7A04DE404471}" name="Column412"/>
    <tableColumn id="427" xr3:uid="{DF1175B1-CF88-4BB2-96E4-030DD4CDDF5D}" name="Column413"/>
    <tableColumn id="428" xr3:uid="{80350B4B-119F-4F55-8B05-D4EDE380AC8B}" name="Column414"/>
    <tableColumn id="429" xr3:uid="{A8A7B040-6078-4FC6-BB34-BF71DD8D40DF}" name="Column415"/>
    <tableColumn id="430" xr3:uid="{4BAD760A-B850-4B0C-9E55-C302891A21E8}" name="Column416"/>
    <tableColumn id="431" xr3:uid="{D2E81A1E-6DCD-42DC-824B-879425C6AE8A}" name="Column417"/>
    <tableColumn id="432" xr3:uid="{1FBE1596-0607-47AB-8A22-51E58B67F99C}" name="Column418"/>
    <tableColumn id="433" xr3:uid="{1B30BEFC-0121-43EA-8DAE-0DACCC15FDA4}" name="Column419"/>
    <tableColumn id="434" xr3:uid="{87D36524-4599-40B2-8299-6D5F7CAA18BC}" name="Column420"/>
    <tableColumn id="435" xr3:uid="{FAED842B-D914-4E7B-ACBE-958511DECF24}" name="Column421"/>
    <tableColumn id="436" xr3:uid="{6E7F5510-49B1-4C60-9522-F5F25E395D00}" name="Column422"/>
    <tableColumn id="437" xr3:uid="{86AFC7ED-4B56-4F9D-94C2-B95FA851D5BA}" name="Column423"/>
    <tableColumn id="438" xr3:uid="{30B4825E-1070-4F34-A0CF-3C7B3824D687}" name="Column424"/>
    <tableColumn id="439" xr3:uid="{ADBDBB07-C427-4B62-9748-745071CFD2C5}" name="Column425"/>
    <tableColumn id="440" xr3:uid="{D767BCB9-50B6-4675-890B-445A3D0FF4F6}" name="Column426"/>
    <tableColumn id="441" xr3:uid="{6BCA2982-2130-46BD-A41E-85278A698487}" name="Column427"/>
    <tableColumn id="442" xr3:uid="{387B968E-DE32-4C41-8E17-E64587724A4B}" name="Column428"/>
    <tableColumn id="443" xr3:uid="{E31958A8-2CA8-4A49-9497-DBDA38F0CC2E}" name="Column429"/>
    <tableColumn id="444" xr3:uid="{BBADEA8F-AEAE-43D1-9721-429C36A107DD}" name="Column430"/>
    <tableColumn id="445" xr3:uid="{014EF38C-A781-4FA1-A547-CE87D2C12F63}" name="Column431"/>
    <tableColumn id="446" xr3:uid="{D944E353-4EAC-421F-AC23-9104D91F763B}" name="Column432"/>
    <tableColumn id="447" xr3:uid="{C7760E89-805E-42DD-95EE-5DF2576050E7}" name="Column433"/>
    <tableColumn id="448" xr3:uid="{B0CC94F9-F916-4298-9A4D-066BE4D11518}" name="Column434"/>
    <tableColumn id="449" xr3:uid="{D65C8144-F148-4AEF-B0CB-CDC7E4BC4768}" name="Column435"/>
    <tableColumn id="450" xr3:uid="{342809C2-7281-4A5B-9C2A-5118D7569D94}" name="Column436"/>
    <tableColumn id="451" xr3:uid="{28BDC828-8B4C-42AB-A5CF-9C062B6A9B8F}" name="Column437"/>
    <tableColumn id="452" xr3:uid="{5BAB3542-6B10-4294-85A8-9A168A4C37A1}" name="Column438"/>
    <tableColumn id="453" xr3:uid="{2D1D2AD7-A2F3-4323-8701-CA637B77F00A}" name="Column439"/>
    <tableColumn id="454" xr3:uid="{35315F2C-B75A-42D8-B2DE-B69713C1C4E5}" name="Column440"/>
    <tableColumn id="455" xr3:uid="{86B6FDA1-764C-4103-AD99-CCEBB77E661B}" name="Column441"/>
    <tableColumn id="456" xr3:uid="{5E3B18BB-80B4-4EF6-82F6-14322B0248F3}" name="Column442"/>
    <tableColumn id="457" xr3:uid="{E187FA40-4A8D-459B-92B4-CEEFC1581980}" name="Column443"/>
    <tableColumn id="458" xr3:uid="{CC5D61E7-2428-46A3-812C-2B1D8EFF4001}" name="Column444"/>
    <tableColumn id="459" xr3:uid="{B3E88EC9-95DD-47A7-8115-16CBDF2D46C4}" name="Column445"/>
    <tableColumn id="460" xr3:uid="{DFB3420C-AE25-4A68-9A92-17D79E51EB76}" name="Column446"/>
    <tableColumn id="461" xr3:uid="{70CCD524-0B8F-4C98-9A83-1A966EAC2472}" name="Column447"/>
    <tableColumn id="462" xr3:uid="{724E2E4E-2A7A-4C55-A4F0-94608964EA08}" name="Column448"/>
    <tableColumn id="463" xr3:uid="{1229B776-0A5C-4E1A-8EFE-6DD6D537F8DB}" name="Column449"/>
    <tableColumn id="464" xr3:uid="{D4A584D6-5C13-44BB-B234-0C37C9F7C9F9}" name="Column450"/>
    <tableColumn id="465" xr3:uid="{55813A1D-3C64-497E-A8C8-79FF3990C9A4}" name="Column451"/>
    <tableColumn id="466" xr3:uid="{DC9234CB-58C8-4218-AF4F-999E10B942C6}" name="Column452"/>
    <tableColumn id="467" xr3:uid="{401A6803-7854-43F4-8EA4-891172926445}" name="Column453"/>
    <tableColumn id="468" xr3:uid="{45DB0044-9470-42E7-85AF-3822FE51D122}" name="Column454"/>
    <tableColumn id="469" xr3:uid="{4B2C6FDD-0E47-42AE-81D9-9AE6AC8D78F1}" name="Column455"/>
    <tableColumn id="470" xr3:uid="{BD2B2560-FE52-424F-96A8-103B10359739}" name="Column456"/>
    <tableColumn id="471" xr3:uid="{14945B74-663D-4224-9C24-DD4BFCBAC148}" name="Column457"/>
    <tableColumn id="472" xr3:uid="{C9A9A0C5-9A4F-497A-9FB1-1FD37E727768}" name="Column458"/>
    <tableColumn id="473" xr3:uid="{C78E1843-EF4A-46BB-9C3C-DBBB439589EC}" name="Column459"/>
    <tableColumn id="474" xr3:uid="{A4CC9627-CCD4-42C3-B204-A86E36B24223}" name="Column460"/>
    <tableColumn id="475" xr3:uid="{C9EFA574-3022-411D-A911-211B620776E7}" name="Column461"/>
    <tableColumn id="476" xr3:uid="{39B3B315-3338-43FF-80AB-8FE39AC7F8FB}" name="Column462"/>
    <tableColumn id="477" xr3:uid="{D9A85382-3BDB-4C6F-913F-1DAF11A514CD}" name="Column463"/>
    <tableColumn id="478" xr3:uid="{B5CC698A-1E79-4617-8B08-875C0471A457}" name="Column464"/>
    <tableColumn id="479" xr3:uid="{9B5D2B62-12DE-4140-BADE-867B9B036151}" name="Column465"/>
    <tableColumn id="480" xr3:uid="{A83B74B7-2466-495A-856F-04CF5C5B5AEB}" name="Column466"/>
    <tableColumn id="481" xr3:uid="{7B419DE8-E33B-4206-A05A-D0873ED49CCE}" name="Column467"/>
    <tableColumn id="482" xr3:uid="{C2B0D37D-65D6-49CF-9D4A-52A26723B9BC}" name="Column468"/>
    <tableColumn id="483" xr3:uid="{5F0FBC13-E9AB-46DD-A64A-F422FF829B0A}" name="Column469"/>
    <tableColumn id="484" xr3:uid="{C85D18A2-A96F-4937-8362-DEA7BBD1E826}" name="Column470"/>
    <tableColumn id="485" xr3:uid="{8F281F35-56EC-4CE2-A63A-5C8357B2A197}" name="Column471"/>
    <tableColumn id="486" xr3:uid="{8CC04383-B7AD-4D61-9C20-09BFDA1EE8C0}" name="Column472"/>
    <tableColumn id="487" xr3:uid="{9B8D4AA1-1802-4DFF-92D0-CF20E611F88A}" name="Column473"/>
    <tableColumn id="488" xr3:uid="{5B262E7C-F2E2-4DFC-9DC3-1E02610A9D6E}" name="Column474"/>
    <tableColumn id="489" xr3:uid="{950D2648-499B-4EE0-99ED-3C68CAEED7AE}" name="Column475"/>
    <tableColumn id="490" xr3:uid="{E1493AE3-377F-4533-B7E8-F7CB488A5425}" name="Column476"/>
    <tableColumn id="491" xr3:uid="{DC99B646-73AC-4F63-B67F-9FB1E9CB79B1}" name="Column477"/>
    <tableColumn id="492" xr3:uid="{F290FEC4-A9CF-40AB-8B5D-C311235C470F}" name="Column478"/>
    <tableColumn id="493" xr3:uid="{1A3375E3-DE12-4DA1-A50C-C9EFD945C369}" name="Column479"/>
    <tableColumn id="494" xr3:uid="{750EFD86-DA8B-4056-903A-CCA6DEFFA1B4}" name="Column480"/>
    <tableColumn id="495" xr3:uid="{23AF1B34-DB04-48D4-8A7E-BC54B25A36E1}" name="Column481"/>
    <tableColumn id="496" xr3:uid="{18566C1A-A235-45F8-B2BF-257F75A1DDD5}" name="Column482"/>
    <tableColumn id="497" xr3:uid="{C8A69466-960F-4FC1-BEB3-56C511369E1A}" name="Column483"/>
    <tableColumn id="498" xr3:uid="{49273E3C-9C05-4BFD-B5D6-637B06C760E6}" name="Column484"/>
    <tableColumn id="499" xr3:uid="{1DA19BF5-DCE9-407A-9451-801DA168443B}" name="Column485"/>
    <tableColumn id="500" xr3:uid="{16F5A2FE-BB2C-410C-B041-08F0C22AAB59}" name="Column486"/>
    <tableColumn id="501" xr3:uid="{4BC9A1A6-7199-4230-A5AE-85CA83278E08}" name="Column487"/>
    <tableColumn id="502" xr3:uid="{161C5796-D910-42C2-9AD7-9257B1DBB68F}" name="Column488"/>
    <tableColumn id="503" xr3:uid="{A930D4AE-E04B-4CBC-BE62-06FCDF0BE40D}" name="Column489"/>
    <tableColumn id="504" xr3:uid="{4EFC5DA1-B736-4877-8FC1-DA10C50AAF6E}" name="Column490"/>
    <tableColumn id="505" xr3:uid="{16C66691-2944-4A5A-A690-D38300E80D72}" name="Column491"/>
    <tableColumn id="506" xr3:uid="{481F0D67-A0DE-4ADF-A9DB-93662BC5BB28}" name="Column492"/>
    <tableColumn id="507" xr3:uid="{F0831A01-B65B-46D4-BF94-EC32A942E9B6}" name="Column493"/>
    <tableColumn id="508" xr3:uid="{E40B3CFE-E296-4889-AA18-71EE7A3F0765}" name="Column494"/>
    <tableColumn id="509" xr3:uid="{4E0A28A3-A890-4D25-9F0B-885F6AE455B3}" name="Column495"/>
    <tableColumn id="510" xr3:uid="{D30BF266-6700-4EC8-A8BD-9814E3CC9F9D}" name="Column496"/>
    <tableColumn id="511" xr3:uid="{BB941831-EBDD-4F10-9646-BF48E7CDA5C3}" name="Column497"/>
    <tableColumn id="512" xr3:uid="{8784F341-0F0A-489C-8B3D-EE34D4FB828D}" name="Column498"/>
    <tableColumn id="513" xr3:uid="{9DBADE0D-6856-48A5-BB59-F4AB61591892}" name="Column499"/>
    <tableColumn id="514" xr3:uid="{77AEFF1B-33CF-46D6-BFC5-64F4DA7A0C4E}" name="Column500"/>
    <tableColumn id="515" xr3:uid="{1DAA32E5-D35F-49BA-BC3C-A4ADEDBFFE9C}" name="Column501"/>
    <tableColumn id="516" xr3:uid="{E6BB9DF1-CE21-41C4-9FA2-4B92544F2385}" name="Column502"/>
    <tableColumn id="517" xr3:uid="{BE5C34E4-085B-4645-8B52-30C3C78AC8EF}" name="Column503"/>
    <tableColumn id="518" xr3:uid="{AADB6DFF-4F33-4AA7-ADFC-30EA5829C008}" name="Column504"/>
    <tableColumn id="519" xr3:uid="{FFA888B2-2101-43A1-B6E2-20C38EB6C563}" name="Column505"/>
    <tableColumn id="520" xr3:uid="{8A213E3B-7344-4D11-B953-912412D9863E}" name="Column506"/>
    <tableColumn id="521" xr3:uid="{56649090-741F-4688-BA34-FD53ABAFDFEE}" name="Column507"/>
    <tableColumn id="522" xr3:uid="{1ECF7086-33BD-491B-BADF-52E808A52669}" name="Column508"/>
    <tableColumn id="523" xr3:uid="{D153F020-567A-42E8-9BF3-AC0A36EEEB61}" name="Column509"/>
    <tableColumn id="524" xr3:uid="{A3F5DE58-D052-465B-ADA5-8513B0FBEE72}" name="Column510"/>
    <tableColumn id="525" xr3:uid="{079AAFA7-E152-4936-A199-E53AC16CC432}" name="Column511"/>
    <tableColumn id="526" xr3:uid="{10249665-24FB-468B-985B-8C8A75AA6474}" name="Column512"/>
    <tableColumn id="527" xr3:uid="{F57F1AF7-8CB7-4E36-A62B-DB1581F472E4}" name="Column513"/>
    <tableColumn id="528" xr3:uid="{82A84F9C-5B16-4504-938C-EDA13F18F52E}" name="Column514"/>
    <tableColumn id="529" xr3:uid="{889E835D-5D18-4056-ACA9-134CA4B3D096}" name="Column515"/>
    <tableColumn id="530" xr3:uid="{0AC37111-6F5B-4108-8677-BFCDB6B81805}" name="Column516"/>
    <tableColumn id="531" xr3:uid="{A345FFB8-7701-4B88-A0E5-3B1DF3D89D18}" name="Column517"/>
    <tableColumn id="532" xr3:uid="{42B887D0-B0C1-48EE-9467-49B5DAD459F4}" name="Column518"/>
    <tableColumn id="533" xr3:uid="{35578A6F-1069-481B-984E-B5C694224CE4}" name="Column519"/>
    <tableColumn id="534" xr3:uid="{2B42D7E5-7585-4508-A767-305A90005124}" name="Column520"/>
    <tableColumn id="535" xr3:uid="{725FF339-8FFC-48E5-82AF-F6B077ADF6D5}" name="Column521"/>
    <tableColumn id="536" xr3:uid="{800BFDDF-ED29-4EC6-819F-8F0284D5608F}" name="Column522"/>
    <tableColumn id="537" xr3:uid="{04B3DDB0-89DD-4069-8EC2-1FA9A661E0F6}" name="Column523"/>
    <tableColumn id="538" xr3:uid="{2FB4AD9E-D0AC-4079-958B-A2641F0CC584}" name="Column524"/>
    <tableColumn id="539" xr3:uid="{E105C8B1-E5BC-4384-8E01-0ECCC92A6BCF}" name="Column525"/>
    <tableColumn id="540" xr3:uid="{794222AF-7AFB-4328-9A06-78223E00AEEC}" name="Column526"/>
    <tableColumn id="541" xr3:uid="{6C476B0D-82AA-4BFC-AEF2-11CEB840B5F7}" name="Column527"/>
    <tableColumn id="542" xr3:uid="{2754013A-A7E2-44D9-A18F-B74CE86ADF4E}" name="Column528"/>
    <tableColumn id="543" xr3:uid="{A04065A8-FE8E-40F1-801C-44EE76B49792}" name="Column529"/>
    <tableColumn id="544" xr3:uid="{D359BC9A-E754-4A77-B85C-2255293416F1}" name="Column530"/>
    <tableColumn id="545" xr3:uid="{0189C3EE-A591-4355-A43D-BB3BFC105CC0}" name="Column531"/>
    <tableColumn id="546" xr3:uid="{D223B2C7-B533-4194-AA83-8FB72D1E801D}" name="Column532"/>
    <tableColumn id="547" xr3:uid="{589CC40C-3860-4655-8F52-1533B20859D9}" name="Column533"/>
    <tableColumn id="548" xr3:uid="{3D8DE2CD-4404-4B83-B578-63BEADA98D74}" name="Column534"/>
    <tableColumn id="549" xr3:uid="{515B7617-B1B1-4BFC-8D07-08263030E8F5}" name="Column535"/>
    <tableColumn id="550" xr3:uid="{08281395-2C14-480E-B062-921549944096}" name="Column536"/>
    <tableColumn id="551" xr3:uid="{18339957-521D-43B4-BD1C-C6E27B044D81}" name="Column537"/>
    <tableColumn id="552" xr3:uid="{C452BA99-0B5D-4A7D-90E9-0A632A905FDE}" name="Column538"/>
    <tableColumn id="553" xr3:uid="{95C13010-6922-421A-B971-2D4F9854084C}" name="Column539"/>
    <tableColumn id="554" xr3:uid="{3F48C03A-2692-47EF-A581-EFAFEF9805AC}" name="Column540"/>
    <tableColumn id="555" xr3:uid="{9F0B571C-46B7-45D9-AE30-DFF50F3A01EC}" name="Column541"/>
    <tableColumn id="556" xr3:uid="{CE0E80C0-9656-439A-9BC1-46C291BC471F}" name="Column542"/>
    <tableColumn id="557" xr3:uid="{744A1A10-3F51-4451-8B73-02E42E3D262C}" name="Column543"/>
    <tableColumn id="558" xr3:uid="{CD3A2155-58B1-4374-B4D4-8F79D6FCC8D7}" name="Column544"/>
    <tableColumn id="559" xr3:uid="{AB227B98-2805-4A28-A44E-031D37BBFB2C}" name="Column545"/>
    <tableColumn id="560" xr3:uid="{A0562570-B246-4490-BFCA-B4BB8B4A5487}" name="Column546"/>
    <tableColumn id="561" xr3:uid="{8E9A2D53-EC32-4206-BF0A-BB61E682FB72}" name="Column547"/>
    <tableColumn id="562" xr3:uid="{EB2F3165-0635-44FF-BD37-2D337493FC5F}" name="Column548"/>
    <tableColumn id="563" xr3:uid="{11758AB5-C534-4242-8EA3-43607967F676}" name="Column549"/>
    <tableColumn id="564" xr3:uid="{557BB01F-73CD-484B-AFE3-3464E97FCCEA}" name="Column550"/>
    <tableColumn id="565" xr3:uid="{BB4B739C-4E46-4722-808C-D732B8B70C25}" name="Column551"/>
    <tableColumn id="566" xr3:uid="{FD5915B2-6162-4D7E-969E-9EE9432449CC}" name="Column552"/>
    <tableColumn id="567" xr3:uid="{FC3CF471-00A1-4F39-9186-B5B0303F4F6F}" name="Column553"/>
    <tableColumn id="568" xr3:uid="{EAADEA48-906C-485C-BEC4-9EDD3805F1BB}" name="Column554"/>
    <tableColumn id="569" xr3:uid="{B2F5C917-4D2B-4BA8-9F19-BFBE0B5BE0BC}" name="Column555"/>
    <tableColumn id="570" xr3:uid="{6387631F-7619-43DB-9E6A-9CBEF7419E82}" name="Column556"/>
    <tableColumn id="571" xr3:uid="{51B27C3E-19AF-4D08-ACB9-F4462A11DDA7}" name="Column557"/>
    <tableColumn id="572" xr3:uid="{50EA2B2F-9554-4F1F-9953-3C0E5D420C58}" name="Column558"/>
    <tableColumn id="573" xr3:uid="{21DFE4D0-C268-4256-AAA9-C3687197F07D}" name="Column559"/>
    <tableColumn id="574" xr3:uid="{0C3D60E9-5884-4A41-A01E-F87DB46A778E}" name="Column560"/>
    <tableColumn id="575" xr3:uid="{3A85A81A-F990-46B4-AD48-E31E7B9D4CC6}" name="Column561"/>
    <tableColumn id="576" xr3:uid="{AD5A225E-43FE-4836-925C-6D08E3D85F0D}" name="Column562"/>
    <tableColumn id="577" xr3:uid="{B969C816-3C06-4298-8E09-A7A39E3B11AF}" name="Column563"/>
    <tableColumn id="578" xr3:uid="{475ED1D4-B6D5-4E25-9678-574F5954841A}" name="Column564"/>
    <tableColumn id="579" xr3:uid="{0DF7BCBC-D2FE-4508-8101-FD9760611BD3}" name="Column565"/>
    <tableColumn id="580" xr3:uid="{FAE3E6DF-AA94-4004-9877-E481B60D9C4E}" name="Column566"/>
    <tableColumn id="581" xr3:uid="{BDFC4EB4-7994-4619-9742-C16B942C4EEC}" name="Column567"/>
    <tableColumn id="582" xr3:uid="{04915BE4-68B3-4F7B-B299-243E38079E85}" name="Column568"/>
    <tableColumn id="583" xr3:uid="{9B5A156A-0F5E-438F-813F-003D4AC87326}" name="Column569"/>
    <tableColumn id="584" xr3:uid="{D6D65AC3-42CA-4CAC-BBA7-97E8A7651863}" name="Column570"/>
    <tableColumn id="585" xr3:uid="{C38010D0-D64A-49D4-A458-93237415B675}" name="Column571"/>
    <tableColumn id="586" xr3:uid="{A71CBFD3-AC17-4D41-9FBA-BDE8FC5FAF7F}" name="Column572"/>
    <tableColumn id="587" xr3:uid="{C84C02BB-8A5D-4B37-84B9-1B1724745CD6}" name="Column573"/>
    <tableColumn id="588" xr3:uid="{D72262A3-37EC-4D03-B6B1-B4CEA7018580}" name="Column574"/>
    <tableColumn id="589" xr3:uid="{B184A629-83A2-40CD-B079-07F681DD086D}" name="Column575"/>
    <tableColumn id="590" xr3:uid="{C211F561-7D90-4643-88DE-85BCFE420C33}" name="Column576"/>
    <tableColumn id="591" xr3:uid="{73F34EB9-D052-4456-91BB-9B6B8CBC2A36}" name="Column577"/>
    <tableColumn id="592" xr3:uid="{F889204E-31F4-4359-B9F3-EF1BBF9E86F7}" name="Column578"/>
    <tableColumn id="593" xr3:uid="{1F00880B-144D-4383-9838-74D701E840DE}" name="Column579"/>
    <tableColumn id="594" xr3:uid="{7202B2BD-1052-4FFB-BE3C-C9CBCCEFCD78}" name="Column580"/>
    <tableColumn id="595" xr3:uid="{D6667501-BE03-46F0-A31E-03C94C7876E4}" name="Column581"/>
    <tableColumn id="596" xr3:uid="{F383CB6F-B01C-48C6-A7EE-676453AD676F}" name="Column582"/>
    <tableColumn id="597" xr3:uid="{7FBCEA1D-3154-4062-A13C-6FCB51850571}" name="Column583"/>
    <tableColumn id="598" xr3:uid="{409C45C1-3D94-4E93-B86B-6D816D5101EA}" name="Column584"/>
    <tableColumn id="599" xr3:uid="{4D294B2D-757E-43E0-82E4-DAE3C59F1B40}" name="Column585"/>
    <tableColumn id="600" xr3:uid="{49FBD38D-CEF0-4737-AE27-4D18F5821F06}" name="Column586"/>
    <tableColumn id="601" xr3:uid="{7F77CB1A-E986-4370-8EB7-EC8838BAF0AF}" name="Column587"/>
    <tableColumn id="602" xr3:uid="{06700F7B-828D-4AF5-871D-14E0E4A7F6C8}" name="Column588"/>
    <tableColumn id="603" xr3:uid="{6394D6DF-4CFC-409D-83A1-EA2A86BBB93B}" name="Column589"/>
    <tableColumn id="604" xr3:uid="{CDFA8B43-8B3A-4BA2-BE09-52D286841D07}" name="Column590"/>
    <tableColumn id="605" xr3:uid="{2D0187B0-2ADC-4BC3-84D0-FC1BD1994357}" name="Column591"/>
    <tableColumn id="606" xr3:uid="{918E060E-9998-4073-ADC3-65C11072D798}" name="Column592"/>
    <tableColumn id="607" xr3:uid="{DDC0054B-3C30-44E2-A8FF-72DFE2D77556}" name="Column593"/>
    <tableColumn id="608" xr3:uid="{13E6D1FF-4ECE-41D9-B046-B740B2D5DB53}" name="Column594"/>
    <tableColumn id="609" xr3:uid="{28C0C3EE-78DB-4B19-9836-90DC22EC5981}" name="Column595"/>
    <tableColumn id="610" xr3:uid="{C1D59F5F-F010-47EB-8D8F-C93F8308A32B}" name="Column596"/>
    <tableColumn id="611" xr3:uid="{41664451-9720-44F6-AE3E-A3B42E708E0C}" name="Column597"/>
    <tableColumn id="612" xr3:uid="{6AEE3FC1-DFC1-4CA2-A712-ECF13D7C69DD}" name="Column598"/>
    <tableColumn id="613" xr3:uid="{4B08038D-0F27-4832-A266-F62174AF2AD3}" name="Column599"/>
    <tableColumn id="614" xr3:uid="{82479817-025E-4B27-B440-A4188C87AFA5}" name="Column600"/>
    <tableColumn id="615" xr3:uid="{8DEDFABE-8F15-43D7-8470-99AB4301330F}" name="Column601"/>
    <tableColumn id="616" xr3:uid="{66A408E0-5123-4377-BE88-C2832A0151BD}" name="Column602"/>
    <tableColumn id="617" xr3:uid="{B366A9AA-DB61-4201-87FE-825B8E31E231}" name="Column603"/>
    <tableColumn id="618" xr3:uid="{D8420F4F-857F-4F75-9833-FA85C3CB8160}" name="Column604"/>
    <tableColumn id="619" xr3:uid="{CB75C180-9840-44E9-9212-90A17FD0FC28}" name="Column605"/>
    <tableColumn id="620" xr3:uid="{EF1E9F85-FF2B-40C3-8C71-8D8F2809A852}" name="Column606"/>
    <tableColumn id="621" xr3:uid="{CD1780EE-3B31-4B90-A3C3-E70EEEC32996}" name="Column607"/>
    <tableColumn id="622" xr3:uid="{6CCECB9F-9021-4420-BEE7-8035BE041ED0}" name="Column608"/>
    <tableColumn id="623" xr3:uid="{AAE8C79F-A857-4E29-9274-CD60792E6749}" name="Column609"/>
    <tableColumn id="624" xr3:uid="{FB409F5E-78B4-4CCF-A972-549C7B3589B0}" name="Column610"/>
    <tableColumn id="625" xr3:uid="{88BF4A50-C2B2-4B76-BFCC-759BD6F84534}" name="Column611"/>
    <tableColumn id="626" xr3:uid="{45FFA514-2A07-49B5-8A2D-90E7EDD90B97}" name="Column612"/>
    <tableColumn id="627" xr3:uid="{A5DB5FFF-8BF4-4503-B15F-6C691E3B65EB}" name="Column613"/>
    <tableColumn id="628" xr3:uid="{B2FBABF3-2BDB-4312-A0B6-08FC5C0634FE}" name="Column614"/>
    <tableColumn id="629" xr3:uid="{1802A58B-07A7-4160-A54C-42A424F009A0}" name="Column615"/>
    <tableColumn id="630" xr3:uid="{9A00CE63-A3EA-4734-9CAF-2B4DF4E337D4}" name="Column616"/>
    <tableColumn id="631" xr3:uid="{58B3730A-91F9-4A35-BC40-402C7B602B62}" name="Column617"/>
    <tableColumn id="632" xr3:uid="{8FC9A51C-5E1C-4B5D-A6C9-14CE7607EE98}" name="Column618"/>
    <tableColumn id="633" xr3:uid="{BB5DB386-CB39-4DEA-A04A-4B6107CA4E0B}" name="Column619"/>
    <tableColumn id="634" xr3:uid="{E3C7A7EA-32D9-4995-B881-FBDE29170190}" name="Column620"/>
    <tableColumn id="635" xr3:uid="{E2DEB1FE-423F-436B-84C9-37DEFE6645FA}" name="Column621"/>
    <tableColumn id="636" xr3:uid="{0D026D7B-A62F-47A1-BA91-1C5269D6B570}" name="Column622"/>
    <tableColumn id="637" xr3:uid="{DC8FF01A-9D02-4141-BD2B-D0E281487E23}" name="Column623"/>
    <tableColumn id="638" xr3:uid="{5209B022-DE83-4446-AB08-420236B7D021}" name="Column624"/>
    <tableColumn id="639" xr3:uid="{1ADDFBB7-5F91-4427-9857-548210095561}" name="Column625"/>
    <tableColumn id="640" xr3:uid="{10B82076-1016-49B2-878A-08061D5A0D0F}" name="Column626"/>
    <tableColumn id="641" xr3:uid="{0453BE9E-593C-424C-AD95-B208AD360219}" name="Column627"/>
    <tableColumn id="642" xr3:uid="{ADFBD1D5-862C-4F14-A4D3-F79B3D5C01C9}" name="Column628"/>
    <tableColumn id="643" xr3:uid="{C9EFBEE5-1CE3-4251-BB68-E5160CB9293E}" name="Column629"/>
    <tableColumn id="644" xr3:uid="{930F9AFB-BA14-49F4-9A87-71D7272D0032}" name="Column630"/>
    <tableColumn id="645" xr3:uid="{3686E238-4FFC-4A13-A81B-53F1545B2780}" name="Column631"/>
    <tableColumn id="646" xr3:uid="{5EC3F4C6-2B1F-4643-ADD5-D73EDF4CDD4B}" name="Column632"/>
    <tableColumn id="647" xr3:uid="{8068E584-9CFE-46DA-832E-4D3D1448624C}" name="Column633"/>
    <tableColumn id="648" xr3:uid="{298C840C-01A0-4A8E-810E-B84A86310895}" name="Column634"/>
    <tableColumn id="649" xr3:uid="{B15BA268-D2B4-45F7-8FA2-21A4378E1AB9}" name="Column635"/>
    <tableColumn id="650" xr3:uid="{BD58BBC9-D8F6-4BD9-A2F8-0EF4BC00CA5B}" name="Column636"/>
    <tableColumn id="651" xr3:uid="{F39D5566-89C0-46D8-AA80-C74761755D33}" name="Column637"/>
    <tableColumn id="652" xr3:uid="{8C007DFF-1B6C-4774-81EB-C9A1E39B997C}" name="Column638"/>
    <tableColumn id="653" xr3:uid="{BEE6FA40-9461-4445-A5EC-E8DDD0E8B3C3}" name="Column639"/>
    <tableColumn id="654" xr3:uid="{96A98A63-AB28-4846-8670-EE77494C27B3}" name="Column640"/>
    <tableColumn id="655" xr3:uid="{613530B2-F88C-44DF-B560-A46468A2DE07}" name="Column641"/>
    <tableColumn id="656" xr3:uid="{9113914C-512B-40BD-B8DB-3C9EE29AEB6E}" name="Column642"/>
    <tableColumn id="657" xr3:uid="{FF138149-A436-4EE7-938C-161055EA1DC0}" name="Column643"/>
    <tableColumn id="658" xr3:uid="{00619848-9FA9-4D7C-8B1A-33FA9AF247C2}" name="Column644"/>
    <tableColumn id="659" xr3:uid="{6C53F1AC-9797-42B8-8BAA-B24BE44FF208}" name="Column645"/>
    <tableColumn id="660" xr3:uid="{FB85D10D-BEE2-4196-B3AC-B6611A478758}" name="Column646"/>
    <tableColumn id="661" xr3:uid="{A874AB4F-E41E-43D9-AE3E-8AF99332BDA5}" name="Column647"/>
    <tableColumn id="662" xr3:uid="{4E3BC97F-7AC8-492F-A846-5E13F81531BF}" name="Column648"/>
    <tableColumn id="663" xr3:uid="{856408BD-7304-49CB-AB57-4BCA3F369704}" name="Column649"/>
    <tableColumn id="664" xr3:uid="{70F613EE-B852-48A8-BBB2-8ABFCE90E932}" name="Column650"/>
    <tableColumn id="665" xr3:uid="{954016DC-1F3E-45DE-ADA5-00E255726732}" name="Column651"/>
    <tableColumn id="666" xr3:uid="{7F04844B-3635-4408-9929-0C9AFEBC991B}" name="Column652"/>
    <tableColumn id="667" xr3:uid="{4A77D422-F1A3-48E5-B922-49D2BA330500}" name="Column653"/>
    <tableColumn id="668" xr3:uid="{C4C6483A-D9DA-491C-A95A-EDB905A2750D}" name="Column654"/>
    <tableColumn id="669" xr3:uid="{AE897BF3-7EB4-4033-8D7E-6D92382AA7EE}" name="Column655"/>
    <tableColumn id="670" xr3:uid="{4CE98FD7-DA1A-4CC4-AE34-99FA272F6AD8}" name="Column656"/>
    <tableColumn id="671" xr3:uid="{CFDDD040-B3D4-4F5B-9936-C8A580C1A500}" name="Column657"/>
    <tableColumn id="672" xr3:uid="{C3F0FBE7-63A6-4051-94AF-09F61ADF2B87}" name="Column658"/>
    <tableColumn id="673" xr3:uid="{1A4DF2D0-035F-4342-909D-5176924F08C4}" name="Column659"/>
    <tableColumn id="674" xr3:uid="{7888A190-7AAD-4151-83B3-5AFD1D9ED39F}" name="Column660"/>
    <tableColumn id="675" xr3:uid="{40C3B990-D2E2-4A39-B6FA-2AE38466B921}" name="Column661"/>
    <tableColumn id="676" xr3:uid="{F6B919F0-70A1-4C53-9A2D-C8DDD3324472}" name="Column662"/>
    <tableColumn id="677" xr3:uid="{F2673D6F-F952-419F-BF71-69D35FF94413}" name="Column663"/>
    <tableColumn id="678" xr3:uid="{79788081-962C-49E4-9582-7AC43ED6535F}" name="Column664"/>
    <tableColumn id="679" xr3:uid="{2EF73012-4C99-4747-BF92-8CB4731C1216}" name="Column665"/>
    <tableColumn id="680" xr3:uid="{FEFFA533-EFBA-43E5-AB69-91B75CFB7676}" name="Column666"/>
    <tableColumn id="681" xr3:uid="{2B8EA019-40D8-4866-B274-D9025706A020}" name="Column667"/>
    <tableColumn id="682" xr3:uid="{B0D32DE3-BD9B-4C4F-B8A7-48DBAD6D5771}" name="Column668"/>
    <tableColumn id="683" xr3:uid="{EFD229E9-0463-421B-9088-A95FC1B2A56A}" name="Column669"/>
    <tableColumn id="684" xr3:uid="{6C4CD324-203A-4B01-8206-F9D93B6EDE63}" name="Column670"/>
    <tableColumn id="685" xr3:uid="{E99533CC-4BC3-4979-9F53-5604982F41B3}" name="Column671"/>
    <tableColumn id="686" xr3:uid="{F4D16A9E-4FA9-43A4-9C83-81467D0F55F2}" name="Column672"/>
    <tableColumn id="687" xr3:uid="{1B6522E9-2473-4E4B-83E3-8B7E484E8037}" name="Column673"/>
    <tableColumn id="688" xr3:uid="{7C279F8C-B97D-46AB-8ACA-6763AD3CFE7B}" name="Column674"/>
    <tableColumn id="689" xr3:uid="{388BD296-D7C4-405B-9B2F-82975ED181F8}" name="Column675"/>
    <tableColumn id="690" xr3:uid="{2A14987C-AB64-404B-869F-D88BAE85E8BC}" name="Column676"/>
    <tableColumn id="691" xr3:uid="{136838FF-D200-4B53-BCF1-E3B096EA2A02}" name="Column677"/>
    <tableColumn id="692" xr3:uid="{F6C924BA-7EDC-4418-A369-F81121CFE4D5}" name="Column678"/>
    <tableColumn id="693" xr3:uid="{BAF57835-7DC8-4B73-B8F9-4279F2AE878D}" name="Column679"/>
    <tableColumn id="694" xr3:uid="{488DF7D0-5F0D-4F35-9548-93ABCA722F9F}" name="Column680"/>
    <tableColumn id="695" xr3:uid="{EFCF299A-AF7A-4F2A-8223-8D9498CA4148}" name="Column681"/>
    <tableColumn id="696" xr3:uid="{EEF81F92-3D7B-4A24-88B8-46D8176D2F46}" name="Column682"/>
    <tableColumn id="697" xr3:uid="{A1D79F88-B064-4F61-A298-CC53813F48AD}" name="Column683"/>
    <tableColumn id="698" xr3:uid="{7B462309-CA3B-425D-B1D2-72D563D4C432}" name="Column684"/>
    <tableColumn id="699" xr3:uid="{FC09B004-BA68-4179-BB0E-7030113C90A0}" name="Column685"/>
    <tableColumn id="700" xr3:uid="{BEF24AAE-E060-428C-AA21-376EABC8376A}" name="Column686"/>
    <tableColumn id="701" xr3:uid="{0AABFA40-34CF-4DA9-A6EE-70C6F0CD4FB4}" name="Column687"/>
    <tableColumn id="702" xr3:uid="{C0422D5E-02A8-4B5A-A6A7-9510654EE904}" name="Column688"/>
    <tableColumn id="703" xr3:uid="{4D240B70-A175-4604-BCD4-30E7ADB1975F}" name="Column689"/>
    <tableColumn id="704" xr3:uid="{9013F6A7-E54D-44B9-B1B0-8C6948085737}" name="Column690"/>
    <tableColumn id="705" xr3:uid="{BE923D9F-9C2F-4D3D-90FB-AFE7ABA61266}" name="Column691"/>
    <tableColumn id="706" xr3:uid="{35735A8B-873D-4710-B10D-F967DFA35DD5}" name="Column692"/>
    <tableColumn id="707" xr3:uid="{D2CDC4FF-9BA5-4D19-B40C-FF72B9AF2F4E}" name="Column693"/>
    <tableColumn id="708" xr3:uid="{F3C6FB7D-C65A-4462-910C-71F784968E57}" name="Column694"/>
    <tableColumn id="709" xr3:uid="{AFF32D62-4336-4EDF-9AF7-9776A320E17F}" name="Column695"/>
    <tableColumn id="710" xr3:uid="{9D687699-FDE0-46A2-8BAE-B40A91AACB7F}" name="Column696"/>
    <tableColumn id="711" xr3:uid="{FF09ECF7-EF0E-478E-8E51-D108ACA0944E}" name="Column697"/>
    <tableColumn id="712" xr3:uid="{4FD2D3FF-B7EB-4BBF-B94E-220BF85E4ADA}" name="Column698"/>
    <tableColumn id="713" xr3:uid="{3DC60B4F-41F9-4851-B0F7-3A47F4BFE42E}" name="Column699"/>
    <tableColumn id="714" xr3:uid="{0702C95F-693D-4B6D-B7B3-52E3E4A50ACA}" name="Column700"/>
    <tableColumn id="715" xr3:uid="{4ADA4292-6F5F-4F8F-9283-70E79FCDE346}" name="Column701"/>
    <tableColumn id="716" xr3:uid="{6392F002-2AE2-431A-AEF2-8F3888876A14}" name="Column702"/>
    <tableColumn id="717" xr3:uid="{CF9E11C5-F7E5-4F1E-AD7A-1F268CE785AD}" name="Column703"/>
    <tableColumn id="718" xr3:uid="{505C89A5-5306-4458-B2C4-614C6B7A6ED7}" name="Column704"/>
    <tableColumn id="719" xr3:uid="{D48B931F-CE9D-4B02-AACD-FAB1A98AD13D}" name="Column705"/>
    <tableColumn id="720" xr3:uid="{664663DA-6F1B-4F25-8545-B1BAB8B1E449}" name="Column706"/>
    <tableColumn id="721" xr3:uid="{E34D7E65-5B05-484E-B9AE-892EDE5A110E}" name="Column707"/>
    <tableColumn id="722" xr3:uid="{B189B8B2-F1B9-4F7A-BE5B-E4F47D5E656A}" name="Column708"/>
    <tableColumn id="723" xr3:uid="{77E3A84A-DB65-42AE-B487-CB456EA622CE}" name="Column709"/>
    <tableColumn id="724" xr3:uid="{67964C6E-9A7E-4EBB-AC0F-6EFCFA6C4058}" name="Column710"/>
    <tableColumn id="725" xr3:uid="{6B60841C-73A0-45DB-A374-C1AF26D60BA9}" name="Column711"/>
    <tableColumn id="726" xr3:uid="{2E7E6AA1-1B86-4243-A8B1-A011D26CEBE9}" name="Column712"/>
    <tableColumn id="727" xr3:uid="{77EE9773-999C-42FF-974F-95E01FBB51FF}" name="Column713"/>
    <tableColumn id="728" xr3:uid="{96F4FD57-7FC7-4862-AA85-E4E6913AA095}" name="Column714"/>
    <tableColumn id="729" xr3:uid="{D51B432A-7B0A-452E-8294-F64C74A53D20}" name="Column715"/>
    <tableColumn id="730" xr3:uid="{7D19A265-7894-4536-A8BA-E925530994DB}" name="Column716"/>
    <tableColumn id="731" xr3:uid="{C531322F-D687-4AC7-B46A-A6BBC28F0C49}" name="Column717"/>
    <tableColumn id="732" xr3:uid="{6C235296-607E-4034-B34D-503B897FA3A6}" name="Column718"/>
    <tableColumn id="733" xr3:uid="{07842BAA-B37F-43F5-8734-AA038F36D854}" name="Column719"/>
    <tableColumn id="734" xr3:uid="{C50BA65A-982F-4CE4-B900-E50E1B153C51}" name="Column720"/>
    <tableColumn id="735" xr3:uid="{E33810B9-E33D-45FE-8B95-8510D4E49CFA}" name="Column721"/>
    <tableColumn id="736" xr3:uid="{30859208-E873-4619-97AB-E65657AC9A79}" name="Column722"/>
    <tableColumn id="737" xr3:uid="{F5B4EF9C-C547-4AAC-A547-D6430113BF6C}" name="Column723"/>
    <tableColumn id="738" xr3:uid="{4311ACD6-00CC-41A8-A72B-18C874A0E9BF}" name="Column724"/>
    <tableColumn id="739" xr3:uid="{45605C2B-372E-49D4-B8E0-DFE8EFFE4D25}" name="Column725"/>
    <tableColumn id="740" xr3:uid="{C5991904-511B-4C40-8CC1-9E729D2E7CAA}" name="Column726"/>
    <tableColumn id="741" xr3:uid="{DD1A6E46-02CC-4693-9DA0-5C685328C1FB}" name="Column727"/>
    <tableColumn id="742" xr3:uid="{E7A527C0-2C48-43F9-8D42-53AF30372D8E}" name="Column728"/>
    <tableColumn id="743" xr3:uid="{64810F6E-4833-45C2-9C2C-6602D5E9C6D6}" name="Column729"/>
    <tableColumn id="744" xr3:uid="{76D6B3F8-B866-4A97-9EAD-4C87D8D2B0ED}" name="Column730"/>
    <tableColumn id="745" xr3:uid="{7A236140-80FE-4086-AD2D-8E2D3F2144A9}" name="Column731"/>
    <tableColumn id="746" xr3:uid="{397702FA-9E5C-44C1-AACE-F27C4FBAD2E6}" name="Column732"/>
    <tableColumn id="747" xr3:uid="{3907C096-F921-41D4-985A-1FBBBEDCCB0E}" name="Column733"/>
    <tableColumn id="748" xr3:uid="{4782470F-228A-42FF-B656-1128D4595276}" name="Column734"/>
    <tableColumn id="749" xr3:uid="{90A74C30-C9E7-4434-B805-F11435E8F85E}" name="Column735"/>
    <tableColumn id="750" xr3:uid="{FFE2FD3D-EC21-4328-89E2-9331B1F58E6F}" name="Column736"/>
    <tableColumn id="751" xr3:uid="{9A537BF3-1FD5-4C2E-B4AA-FF6096B44B11}" name="Column737"/>
    <tableColumn id="752" xr3:uid="{59C81FDC-CCE0-48AD-A3F5-3D3E6F81201C}" name="Column738"/>
    <tableColumn id="753" xr3:uid="{EC6888E2-5294-434A-9F94-EF6D8EA367F9}" name="Column739"/>
    <tableColumn id="754" xr3:uid="{737340D5-3528-48FA-AA27-B41D54AE6930}" name="Column740"/>
    <tableColumn id="755" xr3:uid="{4D50CE9D-F01B-4457-BE55-2376E4B10E15}" name="Column741"/>
    <tableColumn id="756" xr3:uid="{3C502F7E-8B52-4DEE-AA32-6DB10BCB6C54}" name="Column742"/>
    <tableColumn id="757" xr3:uid="{FA55F53B-D3E9-4AD2-8C77-5748AE19794A}" name="Column743"/>
    <tableColumn id="758" xr3:uid="{1E9890C4-5796-410B-A510-422F98DCD4DF}" name="Column744"/>
    <tableColumn id="759" xr3:uid="{EF0435BC-3B95-4831-9DC9-AB04F8BBC393}" name="Column745"/>
    <tableColumn id="760" xr3:uid="{910D33C6-7E90-4D83-9946-13FE145D593A}" name="Column746"/>
    <tableColumn id="761" xr3:uid="{6B1933EB-7060-45C9-8A85-2A9DEF4AC5BE}" name="Column747"/>
    <tableColumn id="762" xr3:uid="{BC59FDAD-E078-43E3-8487-F82ECA69FCA1}" name="Column748"/>
    <tableColumn id="763" xr3:uid="{4F4024C0-DD6A-4C13-8650-AF557A84E322}" name="Column749"/>
    <tableColumn id="764" xr3:uid="{EA603846-A813-433A-9341-B6F7C03EACB2}" name="Column750"/>
    <tableColumn id="765" xr3:uid="{51E280F8-8C9D-4768-9745-76FD7C10BC4C}" name="Column751"/>
    <tableColumn id="766" xr3:uid="{F1F56B84-EF5D-45E6-B962-3F27A6C5DB6C}" name="Column752"/>
    <tableColumn id="767" xr3:uid="{2E67C5B6-738B-4FB9-BBC4-512293BAD1CC}" name="Column753"/>
    <tableColumn id="768" xr3:uid="{CE06DF87-C7E1-4FD7-BF21-6A978B3367D6}" name="Column754"/>
    <tableColumn id="769" xr3:uid="{A003234E-3238-4F5F-8E34-C52516E15BDC}" name="Column755"/>
    <tableColumn id="770" xr3:uid="{742CCEFA-8528-4E63-96B3-8EB32045E4D5}" name="Column756"/>
    <tableColumn id="771" xr3:uid="{188A996A-8E51-4E74-B9B0-273E860C79D2}" name="Column757"/>
    <tableColumn id="772" xr3:uid="{01940ED9-7841-4D13-A505-45D9B9CC4C9E}" name="Column758"/>
    <tableColumn id="773" xr3:uid="{C70F4D19-11ED-474A-AD8A-6A13A08E6804}" name="Column759"/>
    <tableColumn id="774" xr3:uid="{43DE5811-CC4C-4C05-90BC-3CF42D8D3FF3}" name="Column760"/>
    <tableColumn id="775" xr3:uid="{E09AB772-9025-48FD-9E8F-14FE8B4C5FA2}" name="Column761"/>
    <tableColumn id="776" xr3:uid="{020932BE-115C-4A44-AA74-7FBC1FAF22F5}" name="Column762"/>
    <tableColumn id="777" xr3:uid="{250E6897-581D-403B-A38B-9C6751282657}" name="Column763"/>
    <tableColumn id="778" xr3:uid="{17297201-0C97-47A2-B0D1-6A97E7BD3E5A}" name="Column764"/>
    <tableColumn id="779" xr3:uid="{1DFA84B6-C1C1-492D-BBF7-AF07DA7A519A}" name="Column765"/>
    <tableColumn id="780" xr3:uid="{8A590D8A-6C02-44FB-988E-CB751AF28995}" name="Column766"/>
    <tableColumn id="781" xr3:uid="{E98EAB4F-166B-4B43-92A3-4CB4CC4A37C8}" name="Column767"/>
    <tableColumn id="782" xr3:uid="{0C8C81F0-19AA-4363-B61B-A9ECBDB6A431}" name="Column768"/>
    <tableColumn id="783" xr3:uid="{F9EB9B4F-90C9-4AFF-AC17-35CF38A955F8}" name="Column769"/>
    <tableColumn id="784" xr3:uid="{83AB4B2F-AD87-447B-8B1C-F0AC99E5C0C9}" name="Column770"/>
    <tableColumn id="785" xr3:uid="{1D277215-57DF-4D6F-AD5E-45BA41127B0A}" name="Column771"/>
    <tableColumn id="786" xr3:uid="{7D85E30C-F997-4BC0-A056-3CAF7036FA92}" name="Column772"/>
    <tableColumn id="787" xr3:uid="{7A1CF153-5A68-45DE-B93D-44968CC3C809}" name="Column773"/>
    <tableColumn id="788" xr3:uid="{3B79D3C9-768A-423C-AC63-0648F7E03283}" name="Column774"/>
    <tableColumn id="789" xr3:uid="{E6B60FE4-DCCB-48D8-91F4-2D197A7ADE57}" name="Column775"/>
    <tableColumn id="790" xr3:uid="{E25DCAB7-06B1-4429-AB1F-AFFF9F835324}" name="Column776"/>
    <tableColumn id="791" xr3:uid="{5356B3DC-C69D-42EB-AFA0-C9136E4A529C}" name="Column777"/>
    <tableColumn id="792" xr3:uid="{C93441CC-0435-4101-86BD-5D068242B138}" name="Column778"/>
    <tableColumn id="793" xr3:uid="{70E24FA0-8673-4009-9A82-14E942C9894D}" name="Column779"/>
    <tableColumn id="794" xr3:uid="{27DD1E2F-A9BC-4609-94C6-4643A50BC349}" name="Column780"/>
    <tableColumn id="795" xr3:uid="{0E9C5D80-9619-4B4A-9A43-0F9FEBF8850E}" name="Column781"/>
    <tableColumn id="796" xr3:uid="{54D10F08-B982-45B5-8B6B-B4D57B804F6B}" name="Column782"/>
    <tableColumn id="797" xr3:uid="{B0DC9ABB-9FF1-467B-8800-3FEBF17302FE}" name="Column783"/>
    <tableColumn id="798" xr3:uid="{232CAC9B-A602-4E51-A146-2ACFC0058B82}" name="Column784"/>
    <tableColumn id="799" xr3:uid="{4CC38357-8DD7-4785-8ED6-349B8A7F819D}" name="Column785"/>
    <tableColumn id="800" xr3:uid="{C7209617-A958-4E36-A084-11517C9AB727}" name="Column786"/>
    <tableColumn id="801" xr3:uid="{9A9C8B60-A41A-4322-A9D4-A6946DA7C401}" name="Column787"/>
    <tableColumn id="802" xr3:uid="{E10900E5-9731-477A-B1E9-73ABFEA5E9F2}" name="Column788"/>
    <tableColumn id="803" xr3:uid="{A8F17513-C4D8-4BE2-965B-6CE63F04A282}" name="Column789"/>
    <tableColumn id="804" xr3:uid="{C7F52A57-2F51-4F5C-AD3B-7F5183427D4F}" name="Column790"/>
    <tableColumn id="805" xr3:uid="{DFEA91E6-6C33-4594-8A43-DF874D4E9480}" name="Column791"/>
    <tableColumn id="806" xr3:uid="{61AE05E5-51D7-4605-B6DD-169AA4EB2A56}" name="Column792"/>
    <tableColumn id="807" xr3:uid="{ACBDA109-2F1C-4113-80F4-531E4F406AEE}" name="Column793"/>
    <tableColumn id="808" xr3:uid="{95554213-EF9A-4A55-9BF3-4B00D1E91343}" name="Column794"/>
    <tableColumn id="809" xr3:uid="{45124298-74DC-45E9-BD4B-490928EB84D7}" name="Column795"/>
    <tableColumn id="810" xr3:uid="{B161B2F1-8B31-4292-B525-957DC72B37AD}" name="Column796"/>
    <tableColumn id="811" xr3:uid="{25BA515C-2857-4CC1-AFF0-0EADE5332E01}" name="Column797"/>
    <tableColumn id="812" xr3:uid="{2AEF2561-90B6-4B5A-BEB3-D4D7B2E6BDC6}" name="Column798"/>
    <tableColumn id="813" xr3:uid="{BD64AF00-EB08-4F18-B20B-E1348BFAF4BE}" name="Column799"/>
    <tableColumn id="814" xr3:uid="{E383FD8B-943C-4E5B-ADE2-96F1E941A91F}" name="Column800"/>
    <tableColumn id="815" xr3:uid="{9BF07258-7F40-4EB9-88AC-4DB2688396D0}" name="Column801"/>
    <tableColumn id="816" xr3:uid="{26053A2F-C63A-4077-830E-D339F95B6AE7}" name="Column802"/>
    <tableColumn id="817" xr3:uid="{CB91058B-AA46-4598-BEF7-0C24D34FA162}" name="Column803"/>
    <tableColumn id="818" xr3:uid="{1DFEA9E1-6336-421D-BFE3-3AB4EC2BF287}" name="Column804"/>
    <tableColumn id="819" xr3:uid="{CADC28A9-7BF8-4AA8-8318-C7C95614E8D9}" name="Column805"/>
    <tableColumn id="820" xr3:uid="{965C68EF-B16A-471E-9E91-44270215EC5A}" name="Column806"/>
    <tableColumn id="821" xr3:uid="{B8258F8E-20CD-4AD5-9E36-10274BA97EFE}" name="Column807"/>
    <tableColumn id="822" xr3:uid="{A4A11178-2BA3-4709-B7DE-C85EAD234F5D}" name="Column808"/>
    <tableColumn id="823" xr3:uid="{A04DE1BA-F160-44F0-96D4-97FBD2F54766}" name="Column809"/>
    <tableColumn id="824" xr3:uid="{C00A9972-19C3-4AB2-BB74-D60F5FB2591C}" name="Column810"/>
    <tableColumn id="825" xr3:uid="{CBFB294A-D427-4C36-957F-5F9D99B0190B}" name="Column811"/>
    <tableColumn id="826" xr3:uid="{C6C01C44-ACA7-45CE-86B2-1F18420A85D8}" name="Column812"/>
    <tableColumn id="827" xr3:uid="{99EA233B-D31F-4231-AAD1-FA8255248F02}" name="Column813"/>
    <tableColumn id="828" xr3:uid="{3C272E7D-9DF3-4678-92CF-21CE84B4E61C}" name="Column814"/>
    <tableColumn id="829" xr3:uid="{5F1EB6E8-3495-43CB-8369-709BBE190B6F}" name="Column815"/>
    <tableColumn id="830" xr3:uid="{1B346AEA-CA59-4C06-BCF0-868C61CA238C}" name="Column816"/>
    <tableColumn id="831" xr3:uid="{A5775722-8DDC-4EFF-8C38-FDB652841B39}" name="Column817"/>
    <tableColumn id="832" xr3:uid="{F9447784-9A21-4D8A-AB3B-38871E3B7739}" name="Column818"/>
    <tableColumn id="833" xr3:uid="{8206C7AF-EA46-4EF3-A9CD-1375065E0424}" name="Column819"/>
    <tableColumn id="834" xr3:uid="{85B7D296-8E00-48C7-BFA4-B9109E4AAD56}" name="Column820"/>
    <tableColumn id="835" xr3:uid="{C42D798E-CB2C-4228-9625-D24E21036E13}" name="Column821"/>
    <tableColumn id="836" xr3:uid="{9FE33BA2-B158-4A69-AFAA-B0610FA5F1B7}" name="Column822"/>
    <tableColumn id="837" xr3:uid="{2C449269-1685-4A32-8546-14D1A07395A3}" name="Column823"/>
    <tableColumn id="838" xr3:uid="{E03EEF64-4E4F-48DC-821E-E67F4EFF97F1}" name="Column824"/>
    <tableColumn id="839" xr3:uid="{B6C1ED2D-53BF-4622-A3BD-2F2EA10AF91F}" name="Column825"/>
    <tableColumn id="840" xr3:uid="{6E307F0B-F9A6-496E-8266-45D671D935DB}" name="Column826"/>
    <tableColumn id="841" xr3:uid="{FEAFC5FE-B190-4315-A4FE-4A113E40DD5B}" name="Column827"/>
    <tableColumn id="842" xr3:uid="{C1051506-3A98-4AF1-8E5E-D82B0EB631BF}" name="Column828"/>
    <tableColumn id="843" xr3:uid="{DF7AA6F8-9C53-4FCF-8A9F-54BF66C714A2}" name="Column829"/>
    <tableColumn id="844" xr3:uid="{F0EB94F1-C28D-4431-B754-83E92108FFA6}" name="Column830"/>
    <tableColumn id="845" xr3:uid="{D1A0AC7E-B0D8-43BE-AD2B-1B6EC80632AE}" name="Column831"/>
    <tableColumn id="846" xr3:uid="{CBD0115B-6960-4A14-A632-6F52A25CA359}" name="Column832"/>
    <tableColumn id="847" xr3:uid="{C9ECC692-ED62-4AEC-9CF7-C20E516FB4A0}" name="Column833"/>
    <tableColumn id="848" xr3:uid="{706B6AA7-D346-4F2E-8894-B6DA01DA48A2}" name="Column834"/>
    <tableColumn id="849" xr3:uid="{81A760C4-3851-4886-90A4-ECD2DA3A402B}" name="Column835"/>
    <tableColumn id="850" xr3:uid="{DF28582E-7428-4814-9CE8-D5325B710CAF}" name="Column836"/>
    <tableColumn id="851" xr3:uid="{BDD3DC3B-5CBC-4CE4-84FE-72B081F14631}" name="Column837"/>
    <tableColumn id="852" xr3:uid="{D4E7D9FF-7F19-472F-8319-2A41C1DDA601}" name="Column838"/>
    <tableColumn id="853" xr3:uid="{CA09C098-603A-48EC-9647-B2CC32183601}" name="Column839"/>
    <tableColumn id="854" xr3:uid="{ADA426CC-369B-4102-8355-1E440EA712CC}" name="Column840"/>
    <tableColumn id="855" xr3:uid="{353119A2-6532-4686-BC62-5744F3574BFB}" name="Column841"/>
    <tableColumn id="856" xr3:uid="{77E5F0CE-5563-4B5A-B78C-2FB503F6CA9F}" name="Column842"/>
    <tableColumn id="857" xr3:uid="{1DB962FE-4EC4-4FC6-93DB-948D86BACE67}" name="Column843"/>
    <tableColumn id="858" xr3:uid="{A438538C-354C-4DE7-B403-D9D99990FD2F}" name="Column844"/>
    <tableColumn id="859" xr3:uid="{C1AD35EF-EDD2-4981-A603-B826AB0F18E7}" name="Column845"/>
    <tableColumn id="860" xr3:uid="{7380FB1C-8B8E-4EE4-8267-11BF03683CEC}" name="Column846"/>
    <tableColumn id="861" xr3:uid="{C5983F54-56DD-4D4F-AEC1-6815F0882555}" name="Column847"/>
    <tableColumn id="862" xr3:uid="{CFBA7B59-4AC0-4171-8838-78CCDDC92C14}" name="Column848"/>
    <tableColumn id="863" xr3:uid="{8645C463-24AE-4CE5-AE69-0B283FA8790B}" name="Column849"/>
    <tableColumn id="864" xr3:uid="{08AEAE69-531B-44E1-A1D7-96DD3EE2D7C9}" name="Column850"/>
    <tableColumn id="865" xr3:uid="{EE3EF172-81BB-48BC-90BA-8B5C5EC7D4BE}" name="Column851"/>
    <tableColumn id="866" xr3:uid="{B10295F5-B8FC-4A69-9113-1DB2C48D57E8}" name="Column852"/>
    <tableColumn id="867" xr3:uid="{B8A9F5F7-F24F-473E-928E-30349D9DF254}" name="Column853"/>
    <tableColumn id="868" xr3:uid="{A8B296DF-DCB9-4D0D-9129-79A925A7E55D}" name="Column854"/>
    <tableColumn id="869" xr3:uid="{8BD2E273-11C0-4537-B141-3B97616A3293}" name="Column855"/>
    <tableColumn id="870" xr3:uid="{672B933D-5853-47AD-85D3-9619227439F3}" name="Column856"/>
    <tableColumn id="871" xr3:uid="{12790321-A351-4E60-A6EA-B1C6AAE726CF}" name="Column857"/>
    <tableColumn id="872" xr3:uid="{BF793C72-5167-4F5E-A82D-1858892E6296}" name="Column858"/>
    <tableColumn id="873" xr3:uid="{88A6296B-E3A0-4A9C-ADDE-495E2FDFB8AB}" name="Column859"/>
    <tableColumn id="874" xr3:uid="{F5645A5F-3B17-4E50-BE4F-C8264B40C1F1}" name="Column860"/>
    <tableColumn id="875" xr3:uid="{B32FAD40-83E2-4586-A314-0292522F12A4}" name="Column861"/>
    <tableColumn id="876" xr3:uid="{4B6428B6-CD39-4AD8-9C8B-6D46665A7686}" name="Column862"/>
    <tableColumn id="877" xr3:uid="{EAC0E908-7817-4576-A459-FED76C05294E}" name="Column863"/>
    <tableColumn id="878" xr3:uid="{A7FB5529-5934-4483-BCE8-9769AE39673E}" name="Column864"/>
    <tableColumn id="879" xr3:uid="{BB992E01-B9FC-422E-BE00-66F151AE4FCB}" name="Column865"/>
    <tableColumn id="880" xr3:uid="{E49757F3-D43C-4F0D-8B20-470BF9B022F3}" name="Column866"/>
    <tableColumn id="881" xr3:uid="{74C48A29-8A87-4B5D-BEA7-D3D58ABE2817}" name="Column867"/>
    <tableColumn id="882" xr3:uid="{A5BA07B5-632F-40C8-824F-5AF8A1398EE8}" name="Column868"/>
    <tableColumn id="883" xr3:uid="{D655972B-33E8-4ADA-9B24-C47D168C49BD}" name="Column869"/>
    <tableColumn id="884" xr3:uid="{C38EFFAB-042A-4197-B2C0-A2823A1F3930}" name="Column870"/>
    <tableColumn id="885" xr3:uid="{5C7F0728-9A1C-4968-8272-401F1001E14F}" name="Column871"/>
    <tableColumn id="886" xr3:uid="{A18252E1-B664-4982-BE1D-56C5704B7E12}" name="Column872"/>
    <tableColumn id="887" xr3:uid="{DAAE419B-1B1B-44CD-BC5A-98F652ADDD38}" name="Column873"/>
    <tableColumn id="888" xr3:uid="{F54D8A31-949E-491C-AC6A-9BF70A716E43}" name="Column874"/>
    <tableColumn id="889" xr3:uid="{B026F5CA-EBF3-4816-8B7F-E371BB741D74}" name="Column875"/>
    <tableColumn id="890" xr3:uid="{D4B71CA9-A6C5-4FF0-8F93-AFEFF96234CF}" name="Column876"/>
    <tableColumn id="891" xr3:uid="{D8FA0880-4571-4C11-9482-C1BDF4B7D1EC}" name="Column877"/>
    <tableColumn id="892" xr3:uid="{00FDA809-6F22-4FD9-9888-287890C33084}" name="Column878"/>
    <tableColumn id="893" xr3:uid="{923319B7-2418-49B9-97F7-CF6E699C15F5}" name="Column879"/>
    <tableColumn id="894" xr3:uid="{017C32D5-12CE-43BA-BE89-0DC340A867BA}" name="Column880"/>
    <tableColumn id="895" xr3:uid="{C8837938-9DF0-4146-A896-676882038113}" name="Column881"/>
    <tableColumn id="896" xr3:uid="{2A15C034-4E43-4BF2-B60C-11A917CCF91D}" name="Column882"/>
    <tableColumn id="897" xr3:uid="{DB2DC296-C2DC-4814-A6C3-EB4C6639CE11}" name="Column883"/>
    <tableColumn id="898" xr3:uid="{CACE543C-51EA-406D-BFC5-C9E83D4A51EC}" name="Column884"/>
    <tableColumn id="899" xr3:uid="{768EFA75-422F-467C-AA6D-AC3C41BC44CB}" name="Column885"/>
    <tableColumn id="900" xr3:uid="{AEB8AD50-0513-4796-B521-694ED6B81564}" name="Column886"/>
    <tableColumn id="901" xr3:uid="{B3935CCA-A7E4-4DCA-AA77-77A97125C75D}" name="Column887"/>
    <tableColumn id="902" xr3:uid="{213383D4-D687-4146-A7C0-60B0B9768385}" name="Column888"/>
    <tableColumn id="903" xr3:uid="{0B8AFB72-996E-4411-894E-F07D6DCDD156}" name="Column889"/>
    <tableColumn id="904" xr3:uid="{B6FE3F80-1047-4ECC-8DF8-AC20438B4AA6}" name="Column890"/>
    <tableColumn id="905" xr3:uid="{3A807848-08AA-403B-824B-0923BA10615E}" name="Column891"/>
    <tableColumn id="906" xr3:uid="{11EBA19E-BB80-4471-9F2A-D4CFB207EAAB}" name="Column892"/>
    <tableColumn id="907" xr3:uid="{DA1D0DC6-17FD-4A3E-A9DE-CA9D4D46900F}" name="Column893"/>
    <tableColumn id="908" xr3:uid="{08DE22CD-20B4-4494-AE5F-548180180B38}" name="Column894"/>
    <tableColumn id="909" xr3:uid="{B214F015-4526-4BAE-8A77-BF962559A79E}" name="Column895"/>
    <tableColumn id="910" xr3:uid="{6187514C-9B63-4721-994E-AAACADEC9BFF}" name="Column896"/>
    <tableColumn id="911" xr3:uid="{49796CD7-A0F7-4844-AD85-D0F296F8E826}" name="Column897"/>
    <tableColumn id="912" xr3:uid="{8306C2BB-6074-4BE6-8AAB-F3DBDA49C5A0}" name="Column898"/>
    <tableColumn id="913" xr3:uid="{F77072F0-AB3D-4187-B83E-EDB58335892E}" name="Column899"/>
    <tableColumn id="914" xr3:uid="{C964BD22-A10A-4A9E-8544-1A0CD5A1E345}" name="Column900"/>
    <tableColumn id="915" xr3:uid="{5D8B6FFD-FEE6-43D8-944B-7955E71EC4FD}" name="Column901"/>
    <tableColumn id="916" xr3:uid="{52B5D9DB-2C76-42C8-AB24-5EAD376BA8CC}" name="Column902"/>
    <tableColumn id="917" xr3:uid="{4500E72E-F63F-4C27-94BB-30429C408FA4}" name="Column903"/>
    <tableColumn id="918" xr3:uid="{FDA989E9-C33C-403B-A2C4-C0A29B3FEC18}" name="Column904"/>
    <tableColumn id="919" xr3:uid="{DB343C39-8652-4B1D-A70B-471E409A9930}" name="Column905"/>
    <tableColumn id="920" xr3:uid="{4F9F1203-A687-485F-985B-C83EABB64C58}" name="Column906"/>
    <tableColumn id="921" xr3:uid="{A35716C5-EB03-47E4-AA1E-10DDC183906A}" name="Column907"/>
    <tableColumn id="922" xr3:uid="{C5AF9668-8648-460E-A6F4-6B15395069C4}" name="Column908"/>
    <tableColumn id="923" xr3:uid="{D338A986-E488-4C80-A2AB-293E28F9FA27}" name="Column909"/>
    <tableColumn id="924" xr3:uid="{D02167E0-8811-44BF-A588-511C97C36556}" name="Column910"/>
    <tableColumn id="925" xr3:uid="{9FF44FB5-85DC-4682-83B8-D89061B1B820}" name="Column911"/>
    <tableColumn id="926" xr3:uid="{6894AAE1-A5A1-4B17-B6AE-CC9374A86143}" name="Column912"/>
    <tableColumn id="927" xr3:uid="{0060629C-6A93-41BD-8F87-57294DBCCBBB}" name="Column913"/>
    <tableColumn id="928" xr3:uid="{B789288A-DAD4-4EE9-AC07-259866BEB396}" name="Column914"/>
    <tableColumn id="929" xr3:uid="{61CC94EB-0970-4276-BC06-A1762DD44EF9}" name="Column915"/>
    <tableColumn id="930" xr3:uid="{F4CE88DD-5FBD-4EB0-A39D-1DBCFB49E1F7}" name="Column916"/>
    <tableColumn id="931" xr3:uid="{88B616FB-47A5-4B8D-9E4F-22EA59B47741}" name="Column917"/>
    <tableColumn id="932" xr3:uid="{2EDE6AFC-2B3C-4916-BCF9-B8063A389E27}" name="Column918"/>
    <tableColumn id="933" xr3:uid="{28CBB59C-E2AC-434B-BB88-F2D04DBB56B2}" name="Column919"/>
    <tableColumn id="934" xr3:uid="{8F6EA5DC-8C53-4902-993B-D592CDC55465}" name="Column920"/>
    <tableColumn id="935" xr3:uid="{C34C6F39-54F9-495F-B158-BB9AA95FC79C}" name="Column921"/>
    <tableColumn id="936" xr3:uid="{C4223949-4854-4A1D-ACAA-286FB5BAF30E}" name="Column922"/>
    <tableColumn id="937" xr3:uid="{5756D54C-AB01-4F9A-BFED-85CA70609729}" name="Column923"/>
    <tableColumn id="938" xr3:uid="{27F6C3D4-DFD7-4C16-A26B-BB6FF7E97141}" name="Column924"/>
    <tableColumn id="939" xr3:uid="{AF2B2FEE-75AE-4BE7-BAB7-A465CB395C91}" name="Column925"/>
    <tableColumn id="940" xr3:uid="{9688E9B9-6FA4-4ACF-BBB3-AB7405BE54B2}" name="Column926"/>
    <tableColumn id="941" xr3:uid="{43DF6E03-E80D-4DF9-B5CE-1320C44BB4B4}" name="Column927"/>
    <tableColumn id="942" xr3:uid="{608B5740-AFBF-4639-A8DB-AE700AF72D55}" name="Column928"/>
    <tableColumn id="943" xr3:uid="{0FA045BC-1190-421D-953E-C5150BEAAFC1}" name="Column929"/>
    <tableColumn id="944" xr3:uid="{84ED8EC2-1704-4701-B70A-A66FCA2EB52D}" name="Column930"/>
    <tableColumn id="945" xr3:uid="{45495FA4-B901-4B06-8D78-3EDA7C10E348}" name="Column931"/>
    <tableColumn id="946" xr3:uid="{3226E105-48FB-48E7-BD51-892E3977A271}" name="Column932"/>
    <tableColumn id="947" xr3:uid="{3B5A8B0A-45C1-4487-977E-1E5F038F3DF1}" name="Column933"/>
    <tableColumn id="948" xr3:uid="{5432D6AD-9B42-44CF-A1B2-B2DCFD9F2650}" name="Column934"/>
    <tableColumn id="949" xr3:uid="{B11F4A65-D3F8-4205-ACFF-360C74B675B6}" name="Column935"/>
    <tableColumn id="950" xr3:uid="{5D5CE5A6-96D6-4C3B-B181-EB698FB7F633}" name="Column936"/>
    <tableColumn id="951" xr3:uid="{2D390191-5BFE-4C04-A44D-D2F97FE6CF01}" name="Column937"/>
    <tableColumn id="952" xr3:uid="{F66329EF-A87C-42F7-BEBC-E1778B7C4A10}" name="Column938"/>
    <tableColumn id="953" xr3:uid="{3061D215-8DCF-4B50-A99F-3D2823F16F89}" name="Column939"/>
    <tableColumn id="954" xr3:uid="{C4D67089-A743-4859-854E-10E300ADB08D}" name="Column940"/>
    <tableColumn id="955" xr3:uid="{CAB57D14-03EE-4DC9-B89E-1C5446C3FBA4}" name="Column941"/>
    <tableColumn id="956" xr3:uid="{3B665317-20D0-451F-AD43-D2271E307ACB}" name="Column942"/>
    <tableColumn id="957" xr3:uid="{25E7F48E-B4CE-45B4-A6F2-FD94D2CAE5C8}" name="Column943"/>
    <tableColumn id="958" xr3:uid="{B122E198-764C-4263-95A4-0ACE68BF9E44}" name="Column944"/>
    <tableColumn id="959" xr3:uid="{D8E5C98D-78F9-4481-A998-DEA2DBE92B37}" name="Column945"/>
    <tableColumn id="960" xr3:uid="{4E4A5D9E-FF12-4075-B651-7A0F834E5F33}" name="Column946"/>
    <tableColumn id="961" xr3:uid="{3BE50590-34A5-4D0D-B378-7E9EAB129F63}" name="Column947"/>
    <tableColumn id="962" xr3:uid="{12BF0996-9F78-4F2E-9D02-66DF2CDF56D8}" name="Column948"/>
    <tableColumn id="963" xr3:uid="{8473A76E-1DC8-4197-80D7-618C8DEA83E2}" name="Column949"/>
    <tableColumn id="964" xr3:uid="{C69ADA4A-30CE-43F5-AB5A-B6B15050D6CA}" name="Column950"/>
    <tableColumn id="965" xr3:uid="{EA763D08-EF9B-4FB8-845E-451B3602673D}" name="Column951"/>
    <tableColumn id="966" xr3:uid="{99CE80CC-0044-46ED-A73B-FB6764A8D21F}" name="Column952"/>
    <tableColumn id="967" xr3:uid="{66EDEFA5-86E6-4EE5-987A-0D92306CB46E}" name="Column953"/>
    <tableColumn id="968" xr3:uid="{CA034B87-8ECD-4347-8F25-CF21E98D9779}" name="Column954"/>
    <tableColumn id="969" xr3:uid="{918D496F-D927-4C16-8F23-D0702C4D5708}" name="Column955"/>
    <tableColumn id="970" xr3:uid="{0C9003DB-2BDF-41FC-8209-F8CD99FD1D82}" name="Column956"/>
    <tableColumn id="971" xr3:uid="{B030D35D-0211-48B6-82DF-4BC9B0B25523}" name="Column957"/>
    <tableColumn id="972" xr3:uid="{1D79AFAF-4B94-432B-94B2-06010E8D33A5}" name="Column958"/>
    <tableColumn id="973" xr3:uid="{5478235D-384D-4460-B2B9-ECC8C9F31C3F}" name="Column959"/>
    <tableColumn id="974" xr3:uid="{C156C320-7297-455B-BB1C-0C212B3C3B2F}" name="Column960"/>
    <tableColumn id="975" xr3:uid="{E3A982F4-C98E-484C-A864-08D63F484139}" name="Column961"/>
    <tableColumn id="976" xr3:uid="{CFC0F184-1389-48F1-AFE1-385C1AA60EB7}" name="Column962"/>
    <tableColumn id="977" xr3:uid="{E0D01A24-6AEB-40D8-B0EF-4BBA652ECBD0}" name="Column963"/>
    <tableColumn id="978" xr3:uid="{DEE7047A-1D50-42DB-B5B7-DDE75DBC93A3}" name="Column964"/>
    <tableColumn id="979" xr3:uid="{6BC172D7-7C21-443A-AA14-279732A74014}" name="Column965"/>
    <tableColumn id="980" xr3:uid="{FC70CAF8-4D3B-4C4A-9C68-A092C4460B34}" name="Column966"/>
    <tableColumn id="981" xr3:uid="{1349481C-CE5F-45BE-BDB4-D4765CF7427B}" name="Column967"/>
    <tableColumn id="982" xr3:uid="{820F84D8-6159-4A3D-AEEC-03F299C7C04A}" name="Column968"/>
    <tableColumn id="983" xr3:uid="{B2285A4D-369E-4130-9A0C-0B14A4D5F20F}" name="Column969"/>
    <tableColumn id="984" xr3:uid="{75865BE5-547B-4AF0-B3D0-AE428A8C8C55}" name="Column970"/>
    <tableColumn id="985" xr3:uid="{D36BEB10-0D44-4EDB-83C1-B3323DB4E702}" name="Column971"/>
    <tableColumn id="986" xr3:uid="{EBE63E82-4CF5-4BEF-BBFE-BDC8BF4EA8AE}" name="Column972"/>
    <tableColumn id="987" xr3:uid="{AF8889CF-E5B7-41D5-BF4C-16CEFECC1BCD}" name="Column973"/>
    <tableColumn id="988" xr3:uid="{132D60C4-1911-42BD-B90C-E8721BF9619D}" name="Column974"/>
    <tableColumn id="989" xr3:uid="{0EC97348-3473-4E86-B087-89E7D655D519}" name="Column975"/>
    <tableColumn id="990" xr3:uid="{8888CC28-249E-4B5C-9BB6-807F0D247AFC}" name="Column976"/>
    <tableColumn id="991" xr3:uid="{6441E1AE-ADAF-408B-9383-18C599E8592E}" name="Column977"/>
    <tableColumn id="992" xr3:uid="{04838328-455F-4794-ACC0-94B9CAB95A3A}" name="Column978"/>
    <tableColumn id="993" xr3:uid="{58463908-9B78-48B7-973D-C98C670EB6D0}" name="Column979"/>
    <tableColumn id="994" xr3:uid="{00D8D5C8-B3B3-4E23-B50B-E3854E9F5171}" name="Column980"/>
    <tableColumn id="995" xr3:uid="{EAAFECBB-9BEA-4529-BC2C-0384A3E4EAD1}" name="Column981"/>
    <tableColumn id="996" xr3:uid="{BE31DB35-631E-4919-9F33-A57A4A1D7D84}" name="Column982"/>
    <tableColumn id="997" xr3:uid="{30B59622-23DE-499F-927C-F2F08A10A34F}" name="Column983"/>
    <tableColumn id="998" xr3:uid="{638D7075-3D8D-4693-8737-38B68C3367DD}" name="Column984"/>
    <tableColumn id="999" xr3:uid="{2F5430FC-079A-4ADD-B180-72969696A2FF}" name="Column985"/>
    <tableColumn id="1000" xr3:uid="{EA218857-6CC7-459B-B120-250EB7AF387F}" name="Column986"/>
    <tableColumn id="1001" xr3:uid="{78FDA853-0273-45A8-B92A-FF6BC06C0855}" name="Column987"/>
    <tableColumn id="1002" xr3:uid="{14B7BB28-5484-4AAC-ADCA-B173F0960D07}" name="Column988"/>
    <tableColumn id="1003" xr3:uid="{FC5D80C6-4AD4-40C0-95F5-4D64B3BD7E88}" name="Column989"/>
    <tableColumn id="1004" xr3:uid="{466F3F60-B669-42EB-A7A3-4299221E860D}" name="Column990"/>
    <tableColumn id="1005" xr3:uid="{848D5DD7-9AB4-4702-AF0D-E71BDE89750F}" name="Column991"/>
    <tableColumn id="1006" xr3:uid="{C1420F7E-701A-4230-98E3-6DFC740DFB38}" name="Column992"/>
    <tableColumn id="1007" xr3:uid="{2EAC461F-68FE-4C4F-B4D5-A96EEDD47EA5}" name="Column993"/>
    <tableColumn id="1008" xr3:uid="{CFD3C2C9-8618-446C-8611-33108D93C0EA}" name="Column994"/>
    <tableColumn id="1009" xr3:uid="{E333278F-3C00-4EF2-AFA4-6B822151A42B}" name="Column995"/>
    <tableColumn id="1010" xr3:uid="{A1FF2950-4F46-49F2-8344-3C1AE452B79B}" name="Column996"/>
    <tableColumn id="1011" xr3:uid="{7BA08C7E-1014-4316-AC1B-320A8E228FB9}" name="Column997"/>
    <tableColumn id="1012" xr3:uid="{C7E56E65-9DBE-477B-8CC0-76A612EEBEF6}" name="Column998"/>
    <tableColumn id="1013" xr3:uid="{7BD93ABA-44FD-47A8-9EFD-6B0239FA25A2}" name="Column999"/>
    <tableColumn id="1014" xr3:uid="{6671AC2C-1C8E-4010-B8FE-E4B53F9D279F}" name="Column1000"/>
    <tableColumn id="1015" xr3:uid="{09972877-9237-4F95-A68D-6D85FDD5898D}" name="Column1001"/>
    <tableColumn id="1016" xr3:uid="{5935D11A-706D-4BC5-A498-DBA9DBD381C1}" name="Column1002"/>
    <tableColumn id="1017" xr3:uid="{4CE1F7D1-9357-4881-B942-FA3EAA71E6CF}" name="Column1003"/>
    <tableColumn id="1018" xr3:uid="{8434F4BF-CC57-4A64-8FD4-C81E5F32B6B5}" name="Column1004"/>
    <tableColumn id="1019" xr3:uid="{269854C1-1265-4F62-88C8-F21E8193482F}" name="Column1005"/>
    <tableColumn id="1020" xr3:uid="{90BA15E9-6BD2-4A3D-8B6A-5BB1F0F08891}" name="Column1006"/>
    <tableColumn id="1021" xr3:uid="{9B5E1994-979B-4A1C-BF6F-AB9041B4B180}" name="Column1007"/>
    <tableColumn id="1022" xr3:uid="{1974ADAD-0CE2-4FF5-910D-738BF50922CB}" name="Column1008"/>
    <tableColumn id="1023" xr3:uid="{B7B9E45A-D8EB-4A7B-AB8D-5C79BFA8804B}" name="Column1009"/>
    <tableColumn id="1024" xr3:uid="{F9BEBF04-7665-4D30-AEDB-88AF9F7497A3}" name="Column1010"/>
    <tableColumn id="1025" xr3:uid="{4DEFCC01-A30A-441C-BC11-3F5F06A0E8E6}" name="Column1011"/>
    <tableColumn id="1026" xr3:uid="{74688DED-BFCE-4AE2-8BA0-281AA7CF5E0A}" name="Column1012"/>
    <tableColumn id="1027" xr3:uid="{F71F743C-6206-4770-9F90-30FB429B2E59}" name="Column1013"/>
    <tableColumn id="1028" xr3:uid="{96F6746E-DB09-478F-8875-4BA0D51531D8}" name="Column1014"/>
    <tableColumn id="1029" xr3:uid="{53C9F8A2-7579-48FE-8737-1F9E98F5CF55}" name="Column1015"/>
    <tableColumn id="1030" xr3:uid="{00B6F78A-B033-4B24-B520-D54F4A848898}" name="Column1016"/>
    <tableColumn id="1031" xr3:uid="{C4E7AEEB-C2C9-4E26-8E90-1ED217F5770F}" name="Column1017"/>
    <tableColumn id="1032" xr3:uid="{7D8BBE2C-FBD8-4555-971E-B8514843A0AB}" name="Column1018"/>
    <tableColumn id="1033" xr3:uid="{755EA482-5B1D-427D-A922-2767B354AC21}" name="Column1019"/>
    <tableColumn id="1034" xr3:uid="{1317C526-4303-4BF7-A0D9-A1DE1B22B597}" name="Column1020"/>
    <tableColumn id="1035" xr3:uid="{6F40819E-788E-4368-B771-CA467182953B}" name="Column1021"/>
    <tableColumn id="1036" xr3:uid="{F23E1BC9-035D-488A-81B7-39D56F737CF2}" name="Column1022"/>
    <tableColumn id="1037" xr3:uid="{1FA10976-5062-4AEB-A224-A11AFBE67E65}" name="Column1023"/>
    <tableColumn id="1038" xr3:uid="{C293149E-D604-4716-98B1-3336AF8E2BAD}" name="Column1024"/>
    <tableColumn id="1039" xr3:uid="{7D4FB769-F033-4683-AE82-D19FDD201A97}" name="Column1025"/>
    <tableColumn id="1040" xr3:uid="{1584C894-5464-463A-B57B-236824ACD9F0}" name="Column1026"/>
    <tableColumn id="1041" xr3:uid="{ED3E1F0F-4000-4CCA-A5C2-35CE367030D8}" name="Column1027"/>
    <tableColumn id="1042" xr3:uid="{E434F47D-9789-4B91-B494-DE47B612F3DB}" name="Column1028"/>
    <tableColumn id="1043" xr3:uid="{92C8916D-6DDF-4D03-8EDA-A170D6BC0538}" name="Column1029"/>
    <tableColumn id="1044" xr3:uid="{C1942219-71FB-4DE0-9DB5-092F47B45950}" name="Column1030"/>
    <tableColumn id="1045" xr3:uid="{DA8C3CE5-66D1-4265-AC99-480DAAA72946}" name="Column1031"/>
    <tableColumn id="1046" xr3:uid="{4A0BA807-4B29-4E24-ACBF-EA9368C7236C}" name="Column1032"/>
    <tableColumn id="1047" xr3:uid="{1D4CAC9B-4E29-4EF3-87CB-AE9948E5E491}" name="Column1033"/>
    <tableColumn id="1048" xr3:uid="{CDB28B63-59FF-4F84-913B-49FADFF757E8}" name="Column1034"/>
    <tableColumn id="1049" xr3:uid="{97325BE2-9DD1-41FC-B2C5-735F7C87B884}" name="Column1035"/>
    <tableColumn id="1050" xr3:uid="{294EF33C-9AFC-4505-B8A3-2CC608B8D9BD}" name="Column1036"/>
    <tableColumn id="1051" xr3:uid="{FC875657-EB27-4CB2-A343-134055B367E7}" name="Column1037"/>
    <tableColumn id="1052" xr3:uid="{D1BC7039-4920-42EB-9B48-688AE10A3CB1}" name="Column1038"/>
    <tableColumn id="1053" xr3:uid="{6308F18B-2EB8-4774-BFEF-A777E7EC2D1D}" name="Column1039"/>
    <tableColumn id="1054" xr3:uid="{D2B7762E-410D-4E2B-AC81-1A2CB3E5FA1F}" name="Column1040"/>
    <tableColumn id="1055" xr3:uid="{99642C12-66DF-4A68-80B2-5F8DF0C4D63D}" name="Column1041"/>
    <tableColumn id="1056" xr3:uid="{05BD526B-1193-41FD-AE58-883F587A9DF6}" name="Column1042"/>
    <tableColumn id="1057" xr3:uid="{1D082E58-FCD1-4D50-91CF-678E6E2133E1}" name="Column1043"/>
    <tableColumn id="1058" xr3:uid="{551DC4F6-0DBE-4206-A62A-49D1759330F8}" name="Column1044"/>
    <tableColumn id="1059" xr3:uid="{6183D125-2520-4551-854E-8AC347F3FDDA}" name="Column1045"/>
    <tableColumn id="1060" xr3:uid="{D90257FC-81AC-4616-AB43-3B87B43A72E2}" name="Column1046"/>
    <tableColumn id="1061" xr3:uid="{3C7653AD-257A-4ED0-9DD0-9390C0383405}" name="Column1047"/>
    <tableColumn id="1062" xr3:uid="{AD5413D7-4399-4CB2-B34E-0C9F7446D23B}" name="Column1048"/>
    <tableColumn id="1063" xr3:uid="{7EAFF3CF-8C8D-49EC-A112-F5AE551C0C83}" name="Column1049"/>
    <tableColumn id="1064" xr3:uid="{7E97414A-1005-41B9-9081-7CAD01D25DBC}" name="Column1050"/>
    <tableColumn id="1065" xr3:uid="{7D289FC2-CC61-40B0-9C73-A88F841C89CD}" name="Column1051"/>
    <tableColumn id="1066" xr3:uid="{61912DB5-31E6-4055-ADB0-D6ED26876827}" name="Column1052"/>
    <tableColumn id="1067" xr3:uid="{28E007FB-E8CC-4F1B-9653-E8B7AA8B4BD0}" name="Column1053"/>
    <tableColumn id="1068" xr3:uid="{28E34E97-94C0-466F-802D-5830BBDE7AF4}" name="Column1054"/>
    <tableColumn id="1069" xr3:uid="{46A99429-0A03-4D17-A53C-1A1593126881}" name="Column1055"/>
    <tableColumn id="1070" xr3:uid="{A762FFC3-5CDE-4985-9B5A-18BEAA3BC474}" name="Column1056"/>
    <tableColumn id="1071" xr3:uid="{64B80FDF-8D00-4900-9692-C8D6A271B3E4}" name="Column1057"/>
    <tableColumn id="1072" xr3:uid="{C0DB7D33-60DA-44DC-8847-67C4569207F7}" name="Column1058"/>
    <tableColumn id="1073" xr3:uid="{43FD0B33-A47A-4F53-B7B6-62E29DABC5ED}" name="Column1059"/>
    <tableColumn id="1074" xr3:uid="{A05E1176-495C-4581-9C1B-A9ACB29886CB}" name="Column1060"/>
    <tableColumn id="1075" xr3:uid="{64C0CF30-99C5-4CA8-A058-CC73B8B8CD68}" name="Column1061"/>
    <tableColumn id="1076" xr3:uid="{4984DDB2-8ED1-40CF-BE78-358763CC1763}" name="Column1062"/>
    <tableColumn id="1077" xr3:uid="{75816C73-0911-406E-8C0E-5A6A9A48E537}" name="Column1063"/>
    <tableColumn id="1078" xr3:uid="{2FB4333F-1DEB-4026-A551-C91E5CDCFE95}" name="Column1064"/>
    <tableColumn id="1079" xr3:uid="{C7DD78F0-5EF5-45CB-AD4F-CDE782101B18}" name="Column1065"/>
    <tableColumn id="1080" xr3:uid="{52949F0F-1D1E-4A12-BF09-EA16CFCB04B3}" name="Column1066"/>
    <tableColumn id="1081" xr3:uid="{CC446A3D-25B8-468B-B658-16BCB22A6174}" name="Column1067"/>
    <tableColumn id="1082" xr3:uid="{69D3B9D8-E004-419E-9DA7-74C2EB9972D8}" name="Column1068"/>
    <tableColumn id="1083" xr3:uid="{29C6D128-6407-4BCB-AD11-730C02CA0953}" name="Column1069"/>
    <tableColumn id="1084" xr3:uid="{FBC7FA5C-007F-4922-B53B-140E01C0A117}" name="Column1070"/>
    <tableColumn id="1085" xr3:uid="{C526336C-8714-4A5C-A29F-2F771EF3500F}" name="Column1071"/>
    <tableColumn id="1086" xr3:uid="{A2FBADB7-224A-46B0-A625-DF5F0AF734CF}" name="Column1072"/>
    <tableColumn id="1087" xr3:uid="{07B66985-9790-4629-8E45-D28B2CB133F7}" name="Column1073"/>
    <tableColumn id="1088" xr3:uid="{90BDCDF7-7F5C-4B9F-A5EC-72C1DF6EBD44}" name="Column1074"/>
    <tableColumn id="1089" xr3:uid="{3CCFDFDD-987D-4472-AF5C-CBB5E64BA2FE}" name="Column1075"/>
    <tableColumn id="1090" xr3:uid="{8F4EBC9F-EAC7-4C4B-94F0-370661518CB6}" name="Column1076"/>
    <tableColumn id="1091" xr3:uid="{6DDDCCA0-1AAE-4B8F-9CCB-3ACF0D306486}" name="Column1077"/>
    <tableColumn id="1092" xr3:uid="{EC2BC25B-E198-42FB-8548-F036C6B47D8C}" name="Column1078"/>
    <tableColumn id="1093" xr3:uid="{A318C3BA-6444-410B-9D88-62CBF0BB5795}" name="Column1079"/>
    <tableColumn id="1094" xr3:uid="{B165E0BA-4AAF-4AD0-9AFE-7418E3C460AE}" name="Column1080"/>
    <tableColumn id="1095" xr3:uid="{430A1B9E-B6DC-46A4-8DE7-58F9E75F1880}" name="Column1081"/>
    <tableColumn id="1096" xr3:uid="{9154D1E7-8B6C-4A01-9638-3CE5A34606FB}" name="Column1082"/>
    <tableColumn id="1097" xr3:uid="{B349052B-4105-4D96-9240-22E881F018B2}" name="Column1083"/>
    <tableColumn id="1098" xr3:uid="{BEEA7B2D-4E07-4F99-B807-935DE004FDD1}" name="Column1084"/>
    <tableColumn id="1099" xr3:uid="{EF5019F5-C665-41EA-8023-A1C8055F2AE2}" name="Column1085"/>
    <tableColumn id="1100" xr3:uid="{D64729A0-B073-46B5-86D9-6B7D55910B62}" name="Column1086"/>
    <tableColumn id="1101" xr3:uid="{B1361120-E13E-495F-807E-DC69D49C0735}" name="Column1087"/>
    <tableColumn id="1102" xr3:uid="{AF8CA2CE-EC23-4207-830F-564F5EFCC4D8}" name="Column1088"/>
    <tableColumn id="1103" xr3:uid="{4769F45E-8C54-40F8-946F-FE187A67B140}" name="Column1089"/>
    <tableColumn id="1104" xr3:uid="{125E87A4-C01F-4BF2-8BD2-2FD8C9F63DB3}" name="Column1090"/>
    <tableColumn id="1105" xr3:uid="{9949E1CF-7C22-4F03-B585-A39E22A9DCE9}" name="Column1091"/>
    <tableColumn id="1106" xr3:uid="{41397256-7347-423D-8E2D-8B365C1AF25A}" name="Column1092"/>
    <tableColumn id="1107" xr3:uid="{84C96885-3E45-42BF-B82C-80AAE4AE0736}" name="Column1093"/>
    <tableColumn id="1108" xr3:uid="{2CBF5FB9-585A-4BC1-8988-8BED3A3C6ECF}" name="Column1094"/>
    <tableColumn id="1109" xr3:uid="{3287D2BF-29E9-4C6C-A9A2-0303BE6FE073}" name="Column1095"/>
    <tableColumn id="1110" xr3:uid="{275534F4-785E-4262-9EDA-2C21B66CA926}" name="Column1096"/>
    <tableColumn id="1111" xr3:uid="{EAD96248-A53E-4E39-96DC-45345DB56198}" name="Column1097"/>
    <tableColumn id="1112" xr3:uid="{E89F943D-BB08-4642-A420-13995DE5D210}" name="Column1098"/>
    <tableColumn id="1113" xr3:uid="{F1BB486F-B52E-4CFE-BCD0-DAB653180588}" name="Column1099"/>
    <tableColumn id="1114" xr3:uid="{12AD3F04-8709-43E4-ABCC-702508FE2179}" name="Column1100"/>
    <tableColumn id="1115" xr3:uid="{BA28E397-9CE7-4C32-96A4-614F4DD24E9D}" name="Column1101"/>
    <tableColumn id="1116" xr3:uid="{E5D33182-C434-491A-81B8-2A70E3FAA60B}" name="Column1102"/>
    <tableColumn id="1117" xr3:uid="{C5302A15-C894-4BC5-85B0-9A9A44D15601}" name="Column1103"/>
    <tableColumn id="1118" xr3:uid="{0C679BF8-7B39-4E4A-80FD-A1461AE35DD9}" name="Column1104"/>
    <tableColumn id="1119" xr3:uid="{42E8214E-9DBB-40C3-A86B-31F56075A1DD}" name="Column1105"/>
    <tableColumn id="1120" xr3:uid="{C765D303-F579-426A-8817-6418AA5C385A}" name="Column1106"/>
    <tableColumn id="1121" xr3:uid="{5C0E6F62-06EA-4FBE-855D-35F923C4BD78}" name="Column1107"/>
    <tableColumn id="1122" xr3:uid="{D0E8CD0A-A6A8-4BBD-AD1B-955272404020}" name="Column1108"/>
    <tableColumn id="1123" xr3:uid="{290CF2E0-62CF-4F2F-B8C4-E9988185FE32}" name="Column1109"/>
    <tableColumn id="1124" xr3:uid="{7EC8B773-6C81-4BA3-8025-80817FE04D0D}" name="Column1110"/>
    <tableColumn id="1125" xr3:uid="{8BB780AE-3C5D-48C6-8001-2DF19D9FD5EE}" name="Column1111"/>
    <tableColumn id="1126" xr3:uid="{37D6E897-C22D-48DC-931B-0ED9A693DD51}" name="Column1112"/>
    <tableColumn id="1127" xr3:uid="{BA3A77E9-0C7A-4CCA-B6C1-8D8DB9CCE8FE}" name="Column1113"/>
    <tableColumn id="1128" xr3:uid="{4A131844-B9A9-45CA-BBE5-029E299A4E67}" name="Column1114"/>
    <tableColumn id="1129" xr3:uid="{2A81B9ED-A931-4A53-AF77-EB6DDCCDDF98}" name="Column1115"/>
    <tableColumn id="1130" xr3:uid="{01AD7B2F-D22A-4534-9517-A324393B2075}" name="Column1116"/>
    <tableColumn id="1131" xr3:uid="{85E656D6-C605-4FDB-AE05-B5ABD932EA4E}" name="Column1117"/>
    <tableColumn id="1132" xr3:uid="{BCC70FA8-029A-4F53-911E-669900B382F0}" name="Column1118"/>
    <tableColumn id="1133" xr3:uid="{519B09C1-E812-4C6B-A141-CD47A98AA2DB}" name="Column1119"/>
    <tableColumn id="1134" xr3:uid="{5386DF7B-01FC-4C04-BFE2-2498BD0D396E}" name="Column1120"/>
    <tableColumn id="1135" xr3:uid="{3C19394D-AE81-45AC-8FA2-8F2367744BE1}" name="Column1121"/>
    <tableColumn id="1136" xr3:uid="{F97212A5-E3BA-4214-B36C-F5480893809A}" name="Column1122"/>
    <tableColumn id="1137" xr3:uid="{C8159B9F-6BFA-435E-9083-2C7F4D7A8360}" name="Column1123"/>
    <tableColumn id="1138" xr3:uid="{6EB324F6-BC1E-48A3-939D-407B29BEB60F}" name="Column1124"/>
    <tableColumn id="1139" xr3:uid="{426EC1B4-0A6C-40E1-A955-FE7387F8AEBE}" name="Column1125"/>
    <tableColumn id="1140" xr3:uid="{40FA99AC-AB6C-4090-B21A-F4A90E60BC1E}" name="Column1126"/>
    <tableColumn id="1141" xr3:uid="{49E36E35-8568-4A55-9057-CC84438F08F4}" name="Column1127"/>
    <tableColumn id="1142" xr3:uid="{C2E0A4B8-B83A-4651-8CA9-853D6CB50423}" name="Column1128"/>
    <tableColumn id="1143" xr3:uid="{F68F4A2C-DEA6-4A6D-95E6-39E21D7F2412}" name="Column1129"/>
    <tableColumn id="1144" xr3:uid="{6E7A2957-56E4-4703-A4AA-C4529F714F80}" name="Column1130"/>
    <tableColumn id="1145" xr3:uid="{72FDDB69-D082-49E0-9FE1-FEDCD268BEDD}" name="Column1131"/>
    <tableColumn id="1146" xr3:uid="{3E0FB108-F144-44ED-B730-121069D50E3E}" name="Column1132"/>
    <tableColumn id="1147" xr3:uid="{52EFF425-A70C-4EEB-ADF4-4ACC2E6D43F8}" name="Column1133"/>
    <tableColumn id="1148" xr3:uid="{913FE69F-6FEF-4B27-99C2-6CA5688DC7C5}" name="Column1134"/>
    <tableColumn id="1149" xr3:uid="{51B4C44B-1839-474A-990C-7FB007720F91}" name="Column1135"/>
    <tableColumn id="1150" xr3:uid="{997FD4DA-8382-485C-A80E-D00CF21654BF}" name="Column1136"/>
    <tableColumn id="1151" xr3:uid="{9338A87F-784A-4F41-8314-2CB3EF52623D}" name="Column1137"/>
    <tableColumn id="1152" xr3:uid="{82F50E16-97EE-481F-9B87-9DCEEBDB3AC0}" name="Column1138"/>
    <tableColumn id="1153" xr3:uid="{5D515EDB-9A9A-4865-96A5-FE6D5831F361}" name="Column1139"/>
    <tableColumn id="1154" xr3:uid="{81CF0DB9-80AB-478A-A4A6-A6ABC194A430}" name="Column1140"/>
    <tableColumn id="1155" xr3:uid="{F2E241CE-A2F1-4687-8770-4D9F08F4EF91}" name="Column1141"/>
    <tableColumn id="1156" xr3:uid="{A624C401-CA7B-4236-896B-D933B3405872}" name="Column1142"/>
    <tableColumn id="1157" xr3:uid="{695539EA-D204-466C-85A7-AE0A08017A3C}" name="Column1143"/>
    <tableColumn id="1158" xr3:uid="{4CAD2525-1F3B-44E6-89A4-AB14035A2E95}" name="Column1144"/>
    <tableColumn id="1159" xr3:uid="{DC2DFB74-ACF0-4F56-98E8-7F15DA359244}" name="Column1145"/>
    <tableColumn id="1160" xr3:uid="{696A212E-8A14-4405-930D-54A77DAF6BE0}" name="Column1146"/>
    <tableColumn id="1161" xr3:uid="{94DCD9F4-E367-4234-97B4-2E9B54E83CB2}" name="Column1147"/>
    <tableColumn id="1162" xr3:uid="{0C39A594-86C1-4889-88B9-B9C11AD38B73}" name="Column1148"/>
    <tableColumn id="1163" xr3:uid="{BA41D512-B660-473B-9958-9FD50AF27216}" name="Column1149"/>
    <tableColumn id="1164" xr3:uid="{199BA71E-CF61-4B26-8938-266C09900B2F}" name="Column1150"/>
    <tableColumn id="1165" xr3:uid="{1173CDEA-6054-4F1E-A2F5-376CDF1101D7}" name="Column1151"/>
    <tableColumn id="1166" xr3:uid="{C9B4A06B-9AA3-42B4-816C-C8520AFE2BB6}" name="Column1152"/>
    <tableColumn id="1167" xr3:uid="{0E738B7B-8117-4AE2-AA5C-011CC71782C5}" name="Column1153"/>
    <tableColumn id="1168" xr3:uid="{8CB2ECBC-7D43-42BA-8AF6-6CCED2B6CB93}" name="Column1154"/>
    <tableColumn id="1169" xr3:uid="{D0ABC411-6CEB-42CE-A76D-FDC771112651}" name="Column1155"/>
    <tableColumn id="1170" xr3:uid="{F837B8BF-7FB3-4894-A182-08E77CCF6BCD}" name="Column1156"/>
    <tableColumn id="1171" xr3:uid="{4722CC09-ED8F-4166-80AB-94424321533B}" name="Column1157"/>
    <tableColumn id="1172" xr3:uid="{85B4E81B-13CD-4CAC-B65A-401CF4A5C19A}" name="Column1158"/>
    <tableColumn id="1173" xr3:uid="{B9D674A8-D517-4C75-AB9C-97145EB5DAE7}" name="Column1159"/>
    <tableColumn id="1174" xr3:uid="{B8F14EDA-F7E6-4EB1-8B99-5E44BEBE0785}" name="Column1160"/>
    <tableColumn id="1175" xr3:uid="{9DA51336-EEF2-4551-BFEC-6087B0FA73A2}" name="Column1161"/>
    <tableColumn id="1176" xr3:uid="{D9823B49-C956-49C3-B8D8-D6FA183387BC}" name="Column1162"/>
    <tableColumn id="1177" xr3:uid="{42FFCFAA-5D59-4C1B-A37A-5E9000C82017}" name="Column1163"/>
    <tableColumn id="1178" xr3:uid="{0CB4835C-1630-4C81-9F43-84A0039F094C}" name="Column1164"/>
    <tableColumn id="1179" xr3:uid="{D2B2619D-D59A-47FB-81A4-5D18902BEAED}" name="Column1165"/>
    <tableColumn id="1180" xr3:uid="{652887C5-1EFC-470E-9068-19FAF30DBFF4}" name="Column1166"/>
    <tableColumn id="1181" xr3:uid="{8292AA3A-A2D1-408F-8D22-C7CCDF2225D5}" name="Column1167"/>
    <tableColumn id="1182" xr3:uid="{D7A7505C-0062-40E6-B698-53D51DCE64E7}" name="Column1168"/>
    <tableColumn id="1183" xr3:uid="{B0830EEC-4C63-4450-8E1C-C1DC0A90813F}" name="Column1169"/>
    <tableColumn id="1184" xr3:uid="{FB4DDA94-3034-4D7B-9922-4F80CD35DD14}" name="Column1170"/>
    <tableColumn id="1185" xr3:uid="{D2035045-B3A2-44D7-86AF-155F35C6642B}" name="Column1171"/>
    <tableColumn id="1186" xr3:uid="{CAD3CFE7-DEE8-4F87-A23E-5DCDF5F250B7}" name="Column1172"/>
    <tableColumn id="1187" xr3:uid="{73ED2630-5B50-4C50-A3EB-6F970386974A}" name="Column1173"/>
    <tableColumn id="1188" xr3:uid="{4E39E72B-15FA-4A5F-A1FD-70385A3FE79C}" name="Column1174"/>
    <tableColumn id="1189" xr3:uid="{B634EDFB-B7D7-4F0E-AE2F-01DEAC6AD23C}" name="Column1175"/>
    <tableColumn id="1190" xr3:uid="{213340A1-082B-42DF-9795-EB2E66CB5CAD}" name="Column1176"/>
    <tableColumn id="1191" xr3:uid="{54149129-5C28-4418-B4C8-FD96282396D7}" name="Column1177"/>
    <tableColumn id="1192" xr3:uid="{A0B83400-9B6C-491A-8770-227E54445CA2}" name="Column1178"/>
    <tableColumn id="1193" xr3:uid="{DDA296BE-E380-458A-9031-E0ED3FDDD572}" name="Column1179"/>
    <tableColumn id="1194" xr3:uid="{F7B3F7E1-8BC3-4B22-94F7-BBA9CB38F47C}" name="Column1180"/>
    <tableColumn id="1195" xr3:uid="{6FB531C3-26FF-4A91-82E6-E5AF7A77E385}" name="Column1181"/>
    <tableColumn id="1196" xr3:uid="{872045A5-83F8-4A10-B5AE-10739776B1E2}" name="Column1182"/>
    <tableColumn id="1197" xr3:uid="{3052A2E3-0BE6-4145-A711-92F6E4795A01}" name="Column1183"/>
    <tableColumn id="1198" xr3:uid="{8535CED7-CB89-403A-8CC6-94C50F1BC1BD}" name="Column1184"/>
    <tableColumn id="1199" xr3:uid="{3CC458F8-7A15-4A9C-A3D5-EA60413A96DD}" name="Column1185"/>
    <tableColumn id="1200" xr3:uid="{8BFCAF86-8F2D-4F89-A311-0273EC903EFA}" name="Column1186"/>
    <tableColumn id="1201" xr3:uid="{6E8E22CF-7F5A-4BE2-9CF2-A1132B26C69C}" name="Column1187"/>
    <tableColumn id="1202" xr3:uid="{2F11E029-3D62-47D6-ABA1-C01F0632BC9F}" name="Column1188"/>
    <tableColumn id="1203" xr3:uid="{DFFD89CC-412F-4644-B891-5002F0CF65B5}" name="Column1189"/>
    <tableColumn id="1204" xr3:uid="{B9C54A12-078C-494E-97AF-88942F7E8E54}" name="Column1190"/>
    <tableColumn id="1205" xr3:uid="{14F0C70B-AA40-46ED-B17D-08EA79B0D538}" name="Column1191"/>
    <tableColumn id="1206" xr3:uid="{2C9A2678-257C-438E-A952-5714E70207F5}" name="Column1192"/>
    <tableColumn id="1207" xr3:uid="{D1E2D817-DEBF-4EDF-B661-1839127F3EE3}" name="Column1193"/>
    <tableColumn id="1208" xr3:uid="{446FD550-223D-4CF7-B0FB-9EC649E881FB}" name="Column1194"/>
    <tableColumn id="1209" xr3:uid="{A0FE43BD-B07C-46F2-9B8E-1B2DC69F77EE}" name="Column1195"/>
    <tableColumn id="1210" xr3:uid="{466E9867-A72B-4E46-BD52-3D30780CEDC9}" name="Column1196"/>
    <tableColumn id="1211" xr3:uid="{26E3E06C-0292-4471-A07E-60F2B886626E}" name="Column1197"/>
    <tableColumn id="1212" xr3:uid="{152A530C-FD44-494E-ABF5-4446C23D8E20}" name="Column1198"/>
    <tableColumn id="1213" xr3:uid="{BD89E31B-0E86-4CF0-ABB2-502EC9672BD4}" name="Column1199"/>
    <tableColumn id="1214" xr3:uid="{6ED6E4B7-9441-4749-A6C5-334F98B76654}" name="Column1200"/>
    <tableColumn id="1215" xr3:uid="{99A0D894-E844-4657-B43C-266A1DD8ECD8}" name="Column1201"/>
    <tableColumn id="1216" xr3:uid="{531D3C99-D22F-4121-90A6-CDB41B77A50C}" name="Column1202"/>
    <tableColumn id="1217" xr3:uid="{0D5C4240-48B4-4AAE-BE92-1A8863970FC5}" name="Column1203"/>
    <tableColumn id="1218" xr3:uid="{10837B86-6938-4E27-B4CB-9887BC416EB7}" name="Column1204"/>
    <tableColumn id="1219" xr3:uid="{33573BC5-76BA-44B2-BB1E-BD4007EA1820}" name="Column1205"/>
    <tableColumn id="1220" xr3:uid="{2C0986EF-CE8E-401F-81B1-7E05AA59B542}" name="Column1206"/>
    <tableColumn id="1221" xr3:uid="{5E947FDC-697E-4390-8327-9487EEE48B74}" name="Column1207"/>
    <tableColumn id="1222" xr3:uid="{77F1E537-DD11-438A-B56F-DA28480B56B5}" name="Column1208"/>
    <tableColumn id="1223" xr3:uid="{2C0A1701-E810-4102-9320-FD08F8CB77A6}" name="Column1209"/>
    <tableColumn id="1224" xr3:uid="{CC1D4601-E987-4388-9432-ECDF392E020A}" name="Column1210"/>
    <tableColumn id="1225" xr3:uid="{7BCF5156-D4D3-4141-9641-77700211550F}" name="Column1211"/>
    <tableColumn id="1226" xr3:uid="{4F8D5E5E-836E-4DCB-A5AE-E7CBD192341A}" name="Column1212"/>
    <tableColumn id="1227" xr3:uid="{9CA3B285-B8BD-48CA-BFDE-EFD24F4F53E6}" name="Column1213"/>
    <tableColumn id="1228" xr3:uid="{C70255F4-7D81-421C-A0C7-95BCCDB9399D}" name="Column1214"/>
    <tableColumn id="1229" xr3:uid="{DF9DAFFE-401A-4D2E-AC45-EED4470245E2}" name="Column1215"/>
    <tableColumn id="1230" xr3:uid="{D076F5FF-EB9D-454C-8460-FC8A6FCEC7A5}" name="Column1216"/>
    <tableColumn id="1231" xr3:uid="{5F825AD5-0F2D-44EB-A3C2-707EF2752CF4}" name="Column1217"/>
    <tableColumn id="1232" xr3:uid="{320B355D-35A8-4747-A210-6D761805370B}" name="Column1218"/>
    <tableColumn id="1233" xr3:uid="{167F7E65-3C35-4165-8D79-704417E96395}" name="Column1219"/>
    <tableColumn id="1234" xr3:uid="{45BC9F77-E407-42D3-9467-E24BD23E5A42}" name="Column1220"/>
    <tableColumn id="1235" xr3:uid="{45CAD13E-0DCB-46CF-A371-5295B445B617}" name="Column1221"/>
    <tableColumn id="1236" xr3:uid="{D5C31A7B-536C-4AF7-A30C-69F66C4CBE44}" name="Column1222"/>
    <tableColumn id="1237" xr3:uid="{203FBBE9-CE34-4777-953C-99B26F2D4ABB}" name="Column1223"/>
    <tableColumn id="1238" xr3:uid="{A4275DD9-81FF-4B6A-9C2B-D423772AF2B6}" name="Column1224"/>
    <tableColumn id="1239" xr3:uid="{A5BF0507-11D7-49B9-A41B-80A39B91E613}" name="Column1225"/>
    <tableColumn id="1240" xr3:uid="{B9613355-424B-4C0A-8C33-2AE7BA108ACC}" name="Column1226"/>
    <tableColumn id="1241" xr3:uid="{31192018-A679-4D09-9C27-B8A7322512E1}" name="Column1227"/>
    <tableColumn id="1242" xr3:uid="{D57F7E2B-D50B-4562-B199-45503929E404}" name="Column1228"/>
    <tableColumn id="1243" xr3:uid="{3E7ADBB4-76D6-4E9C-A6B3-5EAA82EC8B56}" name="Column1229"/>
    <tableColumn id="1244" xr3:uid="{BFB6F8E9-3AF7-47DD-9C68-9792BC572667}" name="Column1230"/>
    <tableColumn id="1245" xr3:uid="{BCDC2C22-D77E-4E18-982F-242F093A379E}" name="Column1231"/>
    <tableColumn id="1246" xr3:uid="{F9C269FC-185F-4BDE-9F83-C6D4C5B06AF9}" name="Column1232"/>
    <tableColumn id="1247" xr3:uid="{E3849F98-7A39-4024-839B-2A479569F94F}" name="Column1233"/>
    <tableColumn id="1248" xr3:uid="{E56A0E59-0DA3-4059-8F3D-0A047FF07F53}" name="Column1234"/>
    <tableColumn id="1249" xr3:uid="{A295489B-2FE5-4BA6-B8C0-818C192593DD}" name="Column1235"/>
    <tableColumn id="1250" xr3:uid="{C4FFDC85-453C-44E6-B591-E75A9CD7A5AA}" name="Column1236"/>
    <tableColumn id="1251" xr3:uid="{967D2872-BB9A-443D-98F6-FB1466FCD54D}" name="Column1237"/>
    <tableColumn id="1252" xr3:uid="{FA1EAA5A-E0E0-4DD2-B4CF-B27DA5620BE7}" name="Column1238"/>
    <tableColumn id="1253" xr3:uid="{9C0876C0-0AA7-4A77-8441-3162FAB61424}" name="Column1239"/>
    <tableColumn id="1254" xr3:uid="{DB934D7A-8B45-4983-9649-7072C6417934}" name="Column1240"/>
    <tableColumn id="1255" xr3:uid="{FE239D1C-8EB2-412A-B4AB-E032CE4DFDC1}" name="Column1241"/>
    <tableColumn id="1256" xr3:uid="{46ED6341-0619-4DEA-8977-912BAB8228CB}" name="Column1242"/>
    <tableColumn id="1257" xr3:uid="{73E96AE8-B8CD-4BE6-8629-DBB97CA2BB26}" name="Column1243"/>
    <tableColumn id="1258" xr3:uid="{2F4C12BE-B0B5-43E9-964E-1A5EC93D16F0}" name="Column1244"/>
    <tableColumn id="1259" xr3:uid="{E7C52180-C087-41BD-9438-3708C82AD9F8}" name="Column1245"/>
    <tableColumn id="1260" xr3:uid="{309A2C85-FB30-42AF-8F45-38FD226664C2}" name="Column1246"/>
    <tableColumn id="1261" xr3:uid="{62713CFC-D846-49FE-9D74-3AEB2094DCCD}" name="Column1247"/>
    <tableColumn id="1262" xr3:uid="{B218484A-59C8-4825-956F-057E6C9D3739}" name="Column1248"/>
    <tableColumn id="1263" xr3:uid="{A9C2F68B-4111-44B3-B433-9E4128A75BA1}" name="Column1249"/>
    <tableColumn id="1264" xr3:uid="{76CBFE8D-A3DD-4CB5-AEB1-E80E20C52B34}" name="Column1250"/>
    <tableColumn id="1265" xr3:uid="{BE59576A-B025-4C14-B87B-E029B84BC24B}" name="Column1251"/>
    <tableColumn id="1266" xr3:uid="{C1DF645A-E7B4-4520-857F-0F744843B32A}" name="Column1252"/>
    <tableColumn id="1267" xr3:uid="{40A171E6-3CDD-49D4-88A7-1B577D8A1388}" name="Column1253"/>
    <tableColumn id="1268" xr3:uid="{522E1815-A113-417D-9905-5B8730053A3E}" name="Column1254"/>
    <tableColumn id="1269" xr3:uid="{CD5D61DB-E659-4CA4-898C-7E64BF99F373}" name="Column1255"/>
    <tableColumn id="1270" xr3:uid="{A5C627C7-B577-4D75-B603-AAE3B02C360B}" name="Column1256"/>
    <tableColumn id="1271" xr3:uid="{97441591-6BF7-4A03-841D-378401719C1F}" name="Column1257"/>
    <tableColumn id="1272" xr3:uid="{369F3553-ADB9-498F-8BED-ABCE75100292}" name="Column1258"/>
    <tableColumn id="1273" xr3:uid="{7B7331F6-D312-40D1-9F1C-05C046CCDE5E}" name="Column1259"/>
    <tableColumn id="1274" xr3:uid="{9DF6FB88-6C9D-4328-807D-42F486D5953A}" name="Column1260"/>
    <tableColumn id="1275" xr3:uid="{C4911308-162D-4365-9438-B5F18ED2BC4F}" name="Column1261"/>
    <tableColumn id="1276" xr3:uid="{4FB543BA-E6AF-404F-AB51-A47CE176F176}" name="Column1262"/>
    <tableColumn id="1277" xr3:uid="{9459BBB4-F289-4C5B-B4FF-10D43B0CCB27}" name="Column1263"/>
    <tableColumn id="1278" xr3:uid="{57647A61-FC08-4D90-B3CD-331349065156}" name="Column1264"/>
    <tableColumn id="1279" xr3:uid="{A497E747-972E-43B5-BA18-A4DCF84798A8}" name="Column1265"/>
    <tableColumn id="1280" xr3:uid="{C11BE2F4-B8BD-4197-A0AA-B37BE896BC94}" name="Column1266"/>
    <tableColumn id="1281" xr3:uid="{9D5D8ED1-7372-4ACD-AA76-DBD39E56507C}" name="Column1267"/>
    <tableColumn id="1282" xr3:uid="{DBB61942-61ED-4938-810A-16E3D27896CF}" name="Column1268"/>
    <tableColumn id="1283" xr3:uid="{4DE2C5F8-E3B6-402F-B819-1EC835807282}" name="Column1269"/>
    <tableColumn id="1284" xr3:uid="{F8997426-10DC-4A81-A522-A190B73C120E}" name="Column1270"/>
    <tableColumn id="1285" xr3:uid="{D011E529-9FF0-4FA1-BB63-875556FEB11B}" name="Column1271"/>
    <tableColumn id="1286" xr3:uid="{706D1606-E150-4FB5-9BEF-7818EA92E993}" name="Column1272"/>
    <tableColumn id="1287" xr3:uid="{52EB8632-3FF7-4934-A8F2-99BB21D83AC8}" name="Column1273"/>
    <tableColumn id="1288" xr3:uid="{A5FDF0E9-E636-45C3-AD80-497CA1336A94}" name="Column1274"/>
    <tableColumn id="1289" xr3:uid="{55C723B3-B38D-47F2-B411-16C9EA9B6E59}" name="Column1275"/>
    <tableColumn id="1290" xr3:uid="{C56111C1-728E-4CE9-947E-888FE9AFCDC4}" name="Column1276"/>
    <tableColumn id="1291" xr3:uid="{D2BE354D-6140-4642-AB0B-4BA29D71ACCD}" name="Column1277"/>
    <tableColumn id="1292" xr3:uid="{0A221220-AAEE-40CC-914A-D1DEDF407D7D}" name="Column1278"/>
    <tableColumn id="1293" xr3:uid="{4B4C576D-0792-4997-A18C-DA14E3D78D1C}" name="Column1279"/>
    <tableColumn id="1294" xr3:uid="{EBCA7565-475E-4DE3-903E-AEE0E04877F7}" name="Column1280"/>
    <tableColumn id="1295" xr3:uid="{F0A5E4A0-80B5-4EC4-9962-667C8C761CAA}" name="Column1281"/>
    <tableColumn id="1296" xr3:uid="{4CE2E9B6-47FC-42C2-911B-F99D96A3C1D4}" name="Column1282"/>
    <tableColumn id="1297" xr3:uid="{50E1B85E-0D79-4DD4-BBAC-69ED58D996BE}" name="Column1283"/>
    <tableColumn id="1298" xr3:uid="{86FEB468-3219-4014-B928-C5BAE95101EB}" name="Column1284"/>
    <tableColumn id="1299" xr3:uid="{3BCB02BA-ACA4-4C37-A191-FA8424618A7A}" name="Column1285"/>
    <tableColumn id="1300" xr3:uid="{5D7F2082-8236-4B2C-8B0F-ABD3066A750E}" name="Column1286"/>
    <tableColumn id="1301" xr3:uid="{6019E38D-D667-41F1-A3C2-EB7F058D838E}" name="Column1287"/>
    <tableColumn id="1302" xr3:uid="{EDC13ACB-4D11-4157-904B-C87C01F48133}" name="Column1288"/>
    <tableColumn id="1303" xr3:uid="{23654396-3B1E-4960-8C65-E21100982E55}" name="Column1289"/>
    <tableColumn id="1304" xr3:uid="{E8FD9664-3854-4D2C-BC8C-92DB4A4F7581}" name="Column1290"/>
    <tableColumn id="1305" xr3:uid="{8D76F89C-8D99-41EA-B413-0E6E03593627}" name="Column1291"/>
    <tableColumn id="1306" xr3:uid="{3215D193-8F4A-445D-87DB-EBB800039DED}" name="Column1292"/>
    <tableColumn id="1307" xr3:uid="{00B768A7-DF9F-48EA-AE81-63A14DD02841}" name="Column1293"/>
    <tableColumn id="1308" xr3:uid="{07C3FE04-168A-48B9-BE82-75B3E855A445}" name="Column1294"/>
    <tableColumn id="1309" xr3:uid="{C8FBD5C9-9FB9-4EFE-9B13-D154A69086DA}" name="Column1295"/>
    <tableColumn id="1310" xr3:uid="{082B2613-81DE-4162-BC73-F72D92A0B321}" name="Column1296"/>
    <tableColumn id="1311" xr3:uid="{2F05047B-3A61-4ED0-A0E4-ED8073299F11}" name="Column1297"/>
    <tableColumn id="1312" xr3:uid="{F7F31DBA-B4C5-48E9-A848-EFE5DD67A025}" name="Column1298"/>
    <tableColumn id="1313" xr3:uid="{99F41292-E5DD-42BE-8CB1-F09866A0EE3C}" name="Column1299"/>
    <tableColumn id="1314" xr3:uid="{B063E1C2-FB64-49A0-BB29-38E581643EC2}" name="Column1300"/>
    <tableColumn id="1315" xr3:uid="{22328090-1A39-455E-88C1-B12D0B8CB10B}" name="Column1301"/>
    <tableColumn id="1316" xr3:uid="{0C9C32C1-39DA-4418-9433-3A4067457AAC}" name="Column1302"/>
    <tableColumn id="1317" xr3:uid="{02F5D9F9-0397-4F02-9092-551FB4B3496B}" name="Column1303"/>
    <tableColumn id="1318" xr3:uid="{E3937C29-5493-4283-A89E-DE640E9330E7}" name="Column1304"/>
    <tableColumn id="1319" xr3:uid="{774141E0-9B03-44AE-8E66-D79AB18EF828}" name="Column1305"/>
    <tableColumn id="1320" xr3:uid="{8449B237-ED9D-4EF7-A2B0-D19A7B03FBF6}" name="Column1306"/>
    <tableColumn id="1321" xr3:uid="{8D50AE7B-51F3-43EB-B061-86CF0B72CFD0}" name="Column1307"/>
    <tableColumn id="1322" xr3:uid="{2B98F333-3005-499C-8491-3F30D87BBBC0}" name="Column1308"/>
    <tableColumn id="1323" xr3:uid="{C4663ED3-53A9-4B3B-8363-68D2E27E2D2F}" name="Column1309"/>
    <tableColumn id="1324" xr3:uid="{1A5281C9-6434-4C74-914D-BD24908D0E1B}" name="Column1310"/>
    <tableColumn id="1325" xr3:uid="{52E2C55B-9257-4FEF-8E4A-003ACC7B36E3}" name="Column1311"/>
    <tableColumn id="1326" xr3:uid="{79034A1D-EF84-407C-832B-345B19F3A0C2}" name="Column1312"/>
    <tableColumn id="1327" xr3:uid="{88A51C8C-6D3C-4AB4-B4EF-FBFA89EC87AC}" name="Column1313"/>
    <tableColumn id="1328" xr3:uid="{6BEABF50-A09F-4944-9FC2-ECB20C1B9B18}" name="Column1314"/>
    <tableColumn id="1329" xr3:uid="{C4D01277-1B70-45CB-96F4-0404BC685259}" name="Column1315"/>
    <tableColumn id="1330" xr3:uid="{55774F53-18FC-40B8-B7F1-F132D07A00AF}" name="Column1316"/>
    <tableColumn id="1331" xr3:uid="{16E90DE3-7277-44A2-BC04-0D08FF4226B6}" name="Column1317"/>
    <tableColumn id="1332" xr3:uid="{951F3B01-9774-47E9-8D06-0BDB335DF69F}" name="Column1318"/>
    <tableColumn id="1333" xr3:uid="{338BB4E2-A534-4AC3-88B1-2B637763E10F}" name="Column1319"/>
    <tableColumn id="1334" xr3:uid="{AC125253-0ED0-41E7-8BB1-70E7556B40D7}" name="Column1320"/>
    <tableColumn id="1335" xr3:uid="{CB4B89CC-4E16-412C-9100-3EC706DE565D}" name="Column1321"/>
    <tableColumn id="1336" xr3:uid="{3B9FBD84-A4DF-4255-8628-C940FE60A3FD}" name="Column1322"/>
    <tableColumn id="1337" xr3:uid="{B7389018-588A-4C21-957F-C82AC8834145}" name="Column1323"/>
    <tableColumn id="1338" xr3:uid="{1FC4D0BA-4118-45D8-9AA9-7A3C81150372}" name="Column1324"/>
    <tableColumn id="1339" xr3:uid="{92F2A7B0-B6E7-4621-937D-9AB77D27D3CB}" name="Column1325"/>
    <tableColumn id="1340" xr3:uid="{7B40EFB8-5542-4CF6-9123-9755E034F058}" name="Column1326"/>
    <tableColumn id="1341" xr3:uid="{FF190608-5667-4C08-97B2-9D3267E900D2}" name="Column1327"/>
    <tableColumn id="1342" xr3:uid="{6BD89E11-A07F-4DFC-99CE-DD6008B8E224}" name="Column1328"/>
    <tableColumn id="1343" xr3:uid="{67B11161-07EC-4E16-B7E6-491A2A076EFA}" name="Column1329"/>
    <tableColumn id="1344" xr3:uid="{51389151-97D7-4324-AFCD-3261735C20F2}" name="Column1330"/>
    <tableColumn id="1345" xr3:uid="{5B0DE6E7-6861-4FD6-877C-5489B11D72F8}" name="Column1331"/>
    <tableColumn id="1346" xr3:uid="{71735A16-FCF6-4BEB-8F9F-9FA752BD7C3B}" name="Column1332"/>
    <tableColumn id="1347" xr3:uid="{9B4BA8CA-5740-4EF6-9EA6-27C583A92838}" name="Column1333"/>
    <tableColumn id="1348" xr3:uid="{DA2677FF-EF3B-4688-9034-060C85F54861}" name="Column1334"/>
    <tableColumn id="1349" xr3:uid="{ABD5AA8E-18C8-459E-98D4-C75CD74287F6}" name="Column1335"/>
    <tableColumn id="1350" xr3:uid="{16DDC8A6-3D59-4B44-B387-94C5427698EC}" name="Column1336"/>
    <tableColumn id="1351" xr3:uid="{D1124FC8-3FB5-44E9-A432-21CBB0A686A8}" name="Column1337"/>
    <tableColumn id="1352" xr3:uid="{569B4219-A88E-4F40-9F1A-3209918A2804}" name="Column1338"/>
    <tableColumn id="1353" xr3:uid="{96960E57-58FF-4529-91A8-8C42BC2F5993}" name="Column1339"/>
    <tableColumn id="1354" xr3:uid="{DAFD9528-B60A-4A13-AF2F-119EF6110EEB}" name="Column1340"/>
    <tableColumn id="1355" xr3:uid="{BFA5FF60-92E7-4E24-8CF2-616E9652B025}" name="Column1341"/>
    <tableColumn id="1356" xr3:uid="{4AA1D932-D3F5-4A5C-9081-03F4D01DA4F3}" name="Column1342"/>
    <tableColumn id="1357" xr3:uid="{E90E89F4-2F01-4B08-B207-DD7E0A323440}" name="Column1343"/>
    <tableColumn id="1358" xr3:uid="{E3D8A7ED-B4C1-4564-9023-8DD86EBC07CA}" name="Column1344"/>
    <tableColumn id="1359" xr3:uid="{8DB26C1E-0648-4B0E-8C68-85CB04B18E44}" name="Column1345"/>
    <tableColumn id="1360" xr3:uid="{63A557F6-002E-452C-BC11-839432C34B88}" name="Column1346"/>
    <tableColumn id="1361" xr3:uid="{8387FBCA-59EE-4EA1-AEDC-FD46BC090BC8}" name="Column1347"/>
    <tableColumn id="1362" xr3:uid="{A05340B5-E661-49FF-BEA4-6773541974D5}" name="Column1348"/>
    <tableColumn id="1363" xr3:uid="{71AB36C2-8589-45F5-8B57-476EF4B9DFE8}" name="Column1349"/>
    <tableColumn id="1364" xr3:uid="{7BA8468F-36EF-4654-8A91-651287D69CB9}" name="Column1350"/>
    <tableColumn id="1365" xr3:uid="{E20A8028-6C6B-454F-BBA3-BDC57B5F6879}" name="Column1351"/>
    <tableColumn id="1366" xr3:uid="{B4635151-0575-450B-909C-10FDC946760F}" name="Column1352"/>
    <tableColumn id="1367" xr3:uid="{7AC1EA31-3D0A-49BC-9A6F-A2E3F156CADD}" name="Column1353"/>
    <tableColumn id="1368" xr3:uid="{1AFC45C9-88B2-46BA-99DE-A0B65A917F1F}" name="Column1354"/>
    <tableColumn id="1369" xr3:uid="{5A22D5D6-A7DB-42E2-8B8C-D03FEFF3238B}" name="Column1355"/>
    <tableColumn id="1370" xr3:uid="{4B9FE4AB-1B20-4DF3-A48E-20EB282DED36}" name="Column1356"/>
    <tableColumn id="1371" xr3:uid="{AAE225C1-6050-435C-B156-559D9B98E208}" name="Column1357"/>
    <tableColumn id="1372" xr3:uid="{61A3F8A6-536C-4F6D-9711-51725AC773C3}" name="Column1358"/>
    <tableColumn id="1373" xr3:uid="{F2642999-A40A-4BFC-A96A-AE2645A3832E}" name="Column1359"/>
    <tableColumn id="1374" xr3:uid="{580176F9-DF4A-4378-849C-D0DFC57ACD9B}" name="Column1360"/>
    <tableColumn id="1375" xr3:uid="{1F9BED58-2343-4066-BEFB-CB5A1A3E840A}" name="Column1361"/>
    <tableColumn id="1376" xr3:uid="{141DC123-763B-4B05-94AF-532CEF2B9E07}" name="Column1362"/>
    <tableColumn id="1377" xr3:uid="{BCA89310-BDE5-4A35-B056-7AADAAB1D08B}" name="Column1363"/>
    <tableColumn id="1378" xr3:uid="{7844A2F4-4849-4514-A015-305973CCA8E6}" name="Column1364"/>
    <tableColumn id="1379" xr3:uid="{D1790606-F8B7-4C85-B466-7A2E405B73F1}" name="Column1365"/>
    <tableColumn id="1380" xr3:uid="{03597949-6EC4-4100-99AF-C02A19AE7559}" name="Column1366"/>
    <tableColumn id="1381" xr3:uid="{D4743619-A3CA-4C66-B9CD-E7E9B4FD2F90}" name="Column1367"/>
    <tableColumn id="1382" xr3:uid="{C24C9C4C-92B9-4EE2-9A9C-A8526FB4159E}" name="Column1368"/>
    <tableColumn id="1383" xr3:uid="{7F0E710A-482C-4EF7-B7B1-BE7F60D4B0C6}" name="Column1369"/>
    <tableColumn id="1384" xr3:uid="{6B8EE058-5F87-47CC-BC68-9070FC63FAE0}" name="Column1370"/>
    <tableColumn id="1385" xr3:uid="{515818AD-F069-4C4E-A5A3-7D2C7033D955}" name="Column1371"/>
    <tableColumn id="1386" xr3:uid="{D6AD7577-E021-4FFE-91B0-41852FAD9A46}" name="Column1372"/>
    <tableColumn id="1387" xr3:uid="{0A6B851C-D37F-431D-9C0C-791FE32077AC}" name="Column1373"/>
    <tableColumn id="1388" xr3:uid="{3CC056AA-AA59-4324-BBE8-C2B55AEF3917}" name="Column1374"/>
    <tableColumn id="1389" xr3:uid="{B4099C49-F58B-4B93-9205-CFCFF3273EEB}" name="Column1375"/>
    <tableColumn id="1390" xr3:uid="{167435F9-EAD6-47B9-80A8-FA2B7019B90A}" name="Column1376"/>
    <tableColumn id="1391" xr3:uid="{276BBFE7-8944-432E-985F-10B0E58F6FB0}" name="Column1377"/>
    <tableColumn id="1392" xr3:uid="{9B216511-443B-498C-BD9B-3A68E4801228}" name="Column1378"/>
    <tableColumn id="1393" xr3:uid="{F5ECB390-DC9F-452C-A7DD-C52C3D624C5D}" name="Column1379"/>
    <tableColumn id="1394" xr3:uid="{96650813-50D7-4786-A075-E5209040ED7C}" name="Column1380"/>
    <tableColumn id="1395" xr3:uid="{F051CC74-A791-4383-9E30-24685C92DE86}" name="Column1381"/>
    <tableColumn id="1396" xr3:uid="{D6670EE2-EF47-4E4D-90F4-A047B45A65E1}" name="Column1382"/>
    <tableColumn id="1397" xr3:uid="{0351E744-BBBB-4764-85EC-CC620D2F34F4}" name="Column1383"/>
    <tableColumn id="1398" xr3:uid="{E91EF9C6-E866-46E6-B8BF-3DC598E9463D}" name="Column1384"/>
    <tableColumn id="1399" xr3:uid="{FD381659-2106-4848-8E2F-0F8FA7E7658E}" name="Column1385"/>
    <tableColumn id="1400" xr3:uid="{048821A1-D217-43C4-BD3A-26CA3508B963}" name="Column1386"/>
    <tableColumn id="1401" xr3:uid="{B52376AE-D4E9-40FB-8AD5-EB2193107BA4}" name="Column1387"/>
    <tableColumn id="1402" xr3:uid="{CF16C71F-DD25-43C4-874F-64B53F3C4A07}" name="Column1388"/>
    <tableColumn id="1403" xr3:uid="{25F7AB22-688D-4D8D-95BD-1B509D1D8F83}" name="Column1389"/>
    <tableColumn id="1404" xr3:uid="{57610E90-6C22-47A9-A895-D3830B6C35AA}" name="Column1390"/>
    <tableColumn id="1405" xr3:uid="{45B4B6C7-266E-4EC5-A7E0-A6B23854BD28}" name="Column1391"/>
    <tableColumn id="1406" xr3:uid="{B5DFF80A-6335-4B50-9725-764265DC2F93}" name="Column1392"/>
    <tableColumn id="1407" xr3:uid="{1D29368F-DD9D-40CA-8BB8-D9A0F4322439}" name="Column1393"/>
    <tableColumn id="1408" xr3:uid="{63148E1C-09BF-4759-A60D-F4484A7D9E3E}" name="Column1394"/>
    <tableColumn id="1409" xr3:uid="{4AC86B68-90BD-4689-BF1C-0D31850A5FA5}" name="Column1395"/>
    <tableColumn id="1410" xr3:uid="{E5AB4470-FBEB-493B-AE14-547FB1D8A824}" name="Column1396"/>
    <tableColumn id="1411" xr3:uid="{35AA015E-C7CC-467B-ADD6-09282C9E87DC}" name="Column1397"/>
    <tableColumn id="1412" xr3:uid="{D99E5637-B629-4AA4-8E61-463330EE616D}" name="Column1398"/>
    <tableColumn id="1413" xr3:uid="{743D3B2D-F72A-426C-83D5-51F8FF4FF0F6}" name="Column1399"/>
    <tableColumn id="1414" xr3:uid="{08FA86CF-18FB-467D-8740-FA9FBC9EA074}" name="Column1400"/>
    <tableColumn id="1415" xr3:uid="{66803114-327D-49E0-95AC-C6F4CA4F495F}" name="Column1401"/>
    <tableColumn id="1416" xr3:uid="{6FD3A7B4-05CD-4256-B492-A242B4FCF458}" name="Column1402"/>
    <tableColumn id="1417" xr3:uid="{C01D9B1C-F070-4FCC-B6A6-FCBB747820BE}" name="Column1403"/>
    <tableColumn id="1418" xr3:uid="{DA9C2520-EFA8-4C5F-BC13-BCCB4C68A63E}" name="Column1404"/>
    <tableColumn id="1419" xr3:uid="{40899B85-4977-405B-AAB3-8378A1FD00D2}" name="Column1405"/>
    <tableColumn id="1420" xr3:uid="{030FB153-63CF-45DA-A6A3-4A6489506F1B}" name="Column1406"/>
    <tableColumn id="1421" xr3:uid="{01019A99-80F6-4651-BD6C-E2656B3AE8A9}" name="Column1407"/>
    <tableColumn id="1422" xr3:uid="{FEFF2ED3-268E-4EDA-BF14-6AB56B1AE79F}" name="Column1408"/>
    <tableColumn id="1423" xr3:uid="{4FF1B830-604F-4439-AD09-B6ED9BB23773}" name="Column1409"/>
    <tableColumn id="1424" xr3:uid="{015E647F-B628-4C6E-ACF0-D9E937CE2E62}" name="Column1410"/>
    <tableColumn id="1425" xr3:uid="{81690BCC-BDA4-4DF5-85FD-6D5114FB4B99}" name="Column1411"/>
    <tableColumn id="1426" xr3:uid="{0BAF065F-CC61-4E24-86DB-FCC37F4826DE}" name="Column1412"/>
    <tableColumn id="1427" xr3:uid="{895F1087-4746-4853-9934-F329C2A12538}" name="Column1413"/>
    <tableColumn id="1428" xr3:uid="{A0985377-B9DE-4442-9F1F-56342FE1396F}" name="Column1414"/>
    <tableColumn id="1429" xr3:uid="{77184BAD-7E7D-42DB-8C68-AABE5B30795B}" name="Column1415"/>
    <tableColumn id="1430" xr3:uid="{87C21EEF-9D57-4D69-80B4-13D00B957FB1}" name="Column1416"/>
    <tableColumn id="1431" xr3:uid="{E8326FEC-EBCD-4A04-BACE-A470DDD2040F}" name="Column1417"/>
    <tableColumn id="1432" xr3:uid="{57CEDE1C-2565-495C-8E10-F48C08E62CE3}" name="Column1418"/>
    <tableColumn id="1433" xr3:uid="{2F28E998-8AC1-47A2-A9D6-D17E3EC18266}" name="Column1419"/>
    <tableColumn id="1434" xr3:uid="{52134786-B776-4B6A-9F73-0FFA5544A037}" name="Column1420"/>
    <tableColumn id="1435" xr3:uid="{C29D95A7-7CCF-484F-AF60-0FCDBD738610}" name="Column1421"/>
    <tableColumn id="1436" xr3:uid="{D73AD986-A043-4507-8A25-8AEF08951382}" name="Column1422"/>
    <tableColumn id="1437" xr3:uid="{BD3869B4-AE9B-4C82-A7C9-EDB50796C710}" name="Column1423"/>
    <tableColumn id="1438" xr3:uid="{6F1CAC50-B467-4B93-9A33-5EC640E0AC3A}" name="Column1424"/>
    <tableColumn id="1439" xr3:uid="{0329BE8C-AAC4-4C7C-8E6F-6F4ABF8E89E8}" name="Column1425"/>
    <tableColumn id="1440" xr3:uid="{C5AB1037-DF58-4CB0-AD8B-E86713B14DAA}" name="Column1426"/>
    <tableColumn id="1441" xr3:uid="{46718B47-2299-4DD3-8E37-21B3920E6B05}" name="Column1427"/>
    <tableColumn id="1442" xr3:uid="{D7F0B5EA-817B-4173-B352-B547C93566E3}" name="Column1428"/>
    <tableColumn id="1443" xr3:uid="{52F684A9-8C9D-4DF5-8AC7-D1C4255F2B5D}" name="Column1429"/>
    <tableColumn id="1444" xr3:uid="{08BAB7D9-5817-4899-9954-A5F9E834B4EF}" name="Column1430"/>
    <tableColumn id="1445" xr3:uid="{2C486CB0-551E-4899-9DBE-811A4A3A4867}" name="Column1431"/>
    <tableColumn id="1446" xr3:uid="{7EF468DE-1726-41CA-9EF3-AF944415C472}" name="Column1432"/>
    <tableColumn id="1447" xr3:uid="{9D07872B-DB68-47A2-8D66-E7241BEF0F46}" name="Column1433"/>
    <tableColumn id="1448" xr3:uid="{6819A293-D89D-4359-8DD2-567ED137F718}" name="Column1434"/>
    <tableColumn id="1449" xr3:uid="{C6D8614A-C13F-4055-A315-8C4533953813}" name="Column1435"/>
    <tableColumn id="1450" xr3:uid="{1D2409EB-92F4-4A99-977E-CC0321400E81}" name="Column1436"/>
    <tableColumn id="1451" xr3:uid="{BF479AF7-4617-406A-A940-C19A5D96F63D}" name="Column1437"/>
    <tableColumn id="1452" xr3:uid="{01EFE52D-8FC7-418F-B97E-A2E6CF277356}" name="Column1438"/>
    <tableColumn id="1453" xr3:uid="{A38A3640-E84A-4534-943D-960000F81495}" name="Column1439"/>
    <tableColumn id="1454" xr3:uid="{86BBADE4-45DE-44FD-A8DF-48F62EA7A52F}" name="Column1440"/>
    <tableColumn id="1455" xr3:uid="{90FFCF12-C573-4887-8DB3-F67B765681DA}" name="Column1441"/>
    <tableColumn id="1456" xr3:uid="{0EA1AC2A-9BA5-4704-8916-BD132D49B892}" name="Column1442"/>
    <tableColumn id="1457" xr3:uid="{D60A0658-0980-4E8C-81E9-55A4B9095C68}" name="Column1443"/>
    <tableColumn id="1458" xr3:uid="{688CC078-E03B-4240-A67D-5E5B0B5D7DC1}" name="Column1444"/>
    <tableColumn id="1459" xr3:uid="{DAEA6BCB-02F7-45D2-BDA9-793DA499A5D5}" name="Column1445"/>
    <tableColumn id="1460" xr3:uid="{11347D96-6E40-4678-BC61-905497B389E4}" name="Column1446"/>
    <tableColumn id="1461" xr3:uid="{8D1C440D-F656-4B55-BE16-C595E6D8BE38}" name="Column1447"/>
    <tableColumn id="1462" xr3:uid="{B8F976B5-F81A-41E7-9C35-1058DA62FEE0}" name="Column1448"/>
    <tableColumn id="1463" xr3:uid="{955B108D-1BF9-4957-8975-2C06A7DA527D}" name="Column1449"/>
    <tableColumn id="1464" xr3:uid="{C2A9D785-D538-4486-B556-D8B37484659B}" name="Column1450"/>
    <tableColumn id="1465" xr3:uid="{3CF54272-BA6F-4DEB-8ECA-82A5E370A7F4}" name="Column1451"/>
    <tableColumn id="1466" xr3:uid="{44C19C5C-DCBB-4ECE-B72E-85B790458D07}" name="Column1452"/>
    <tableColumn id="1467" xr3:uid="{0BFA9C9D-240F-414C-95CC-C8A736935848}" name="Column1453"/>
    <tableColumn id="1468" xr3:uid="{CC9B8EC4-13F0-49E5-9CFE-7B59891BE437}" name="Column1454"/>
    <tableColumn id="1469" xr3:uid="{EE6629AE-DE27-413F-9A66-0B2E84DACAC5}" name="Column1455"/>
    <tableColumn id="1470" xr3:uid="{4FFC9EBD-F4EB-480E-825C-146FA886CF32}" name="Column1456"/>
    <tableColumn id="1471" xr3:uid="{B3FF8115-3A59-4E07-8A00-D183A76442B1}" name="Column1457"/>
    <tableColumn id="1472" xr3:uid="{D9A3DD94-DC0F-4C4B-818B-A8C42E65F5D5}" name="Column1458"/>
    <tableColumn id="1473" xr3:uid="{3B2567B5-105E-4611-B7D9-91FB649ADF71}" name="Column1459"/>
    <tableColumn id="1474" xr3:uid="{9BB82D34-0124-41EE-8B6B-0F60C427E176}" name="Column1460"/>
    <tableColumn id="1475" xr3:uid="{798FD70C-D48B-4D63-8D0F-95EB92127E26}" name="Column1461"/>
    <tableColumn id="1476" xr3:uid="{451A8449-65C2-4950-A892-3F95CEAD56E9}" name="Column1462"/>
    <tableColumn id="1477" xr3:uid="{E7963D04-AA24-457F-B6FE-0C41ED946625}" name="Column1463"/>
    <tableColumn id="1478" xr3:uid="{F8D3229E-76B9-4F54-8C3D-C3E107A7E7CE}" name="Column1464"/>
    <tableColumn id="1479" xr3:uid="{E893C259-788A-4089-8458-F70C78D3F511}" name="Column1465"/>
    <tableColumn id="1480" xr3:uid="{77F2A8DC-AC0E-44D8-8F39-F2793399312B}" name="Column1466"/>
    <tableColumn id="1481" xr3:uid="{137ECE0E-8013-4A17-9234-D16561F7AF61}" name="Column1467"/>
    <tableColumn id="1482" xr3:uid="{F86365E8-E7D7-4C19-A45B-9D22616CFD2E}" name="Column1468"/>
    <tableColumn id="1483" xr3:uid="{49B7FB09-0959-4578-B3DB-21E915E6EA03}" name="Column1469"/>
    <tableColumn id="1484" xr3:uid="{A1AC4F51-962D-464E-A735-5F7D81710C46}" name="Column1470"/>
    <tableColumn id="1485" xr3:uid="{D1621749-C453-4C4C-A55B-C4AC6E04CDF6}" name="Column1471"/>
    <tableColumn id="1486" xr3:uid="{7039E326-C490-4845-82D8-9423F3F8D802}" name="Column1472"/>
    <tableColumn id="1487" xr3:uid="{FA78699A-23BF-4E59-AC36-0A0EAB0E1300}" name="Column1473"/>
    <tableColumn id="1488" xr3:uid="{411BD111-FCA7-41B7-897E-27A7FEC98D58}" name="Column1474"/>
    <tableColumn id="1489" xr3:uid="{261BDA6D-6716-4C7A-98E5-687A57954FB2}" name="Column1475"/>
    <tableColumn id="1490" xr3:uid="{188407B7-A306-41E4-AC9D-A2D477DA8FF9}" name="Column1476"/>
    <tableColumn id="1491" xr3:uid="{45F16570-6473-457C-B9CD-97915D4C0598}" name="Column1477"/>
    <tableColumn id="1492" xr3:uid="{A213BA23-D434-4AA4-9291-4F056C18C263}" name="Column1478"/>
    <tableColumn id="1493" xr3:uid="{6E4F99D1-1871-4080-AE7F-CF843B571DA2}" name="Column1479"/>
    <tableColumn id="1494" xr3:uid="{F859EC8E-460F-4490-9C4B-60379B64A97C}" name="Column1480"/>
    <tableColumn id="1495" xr3:uid="{50DA8B55-60A2-4F09-94D1-A77592E1221A}" name="Column1481"/>
    <tableColumn id="1496" xr3:uid="{E1BDF416-E0B4-4150-B545-7FFD2E4D5A63}" name="Column1482"/>
    <tableColumn id="1497" xr3:uid="{CDA96D93-E2B5-4D74-94B9-B7F9EEA73972}" name="Column1483"/>
    <tableColumn id="1498" xr3:uid="{A3437188-FC4C-4E7A-9DBC-773B0A90EF53}" name="Column1484"/>
    <tableColumn id="1499" xr3:uid="{5D1D2877-59B8-443C-8ACF-8DD4E65F682A}" name="Column1485"/>
    <tableColumn id="1500" xr3:uid="{7083119C-45E8-42ED-8808-31A0151BCB0F}" name="Column1486"/>
    <tableColumn id="1501" xr3:uid="{DF2B3A06-6F46-4D5E-89EF-38C3E6AC5A45}" name="Column1487"/>
    <tableColumn id="1502" xr3:uid="{3F4216FB-2A34-4CCF-99D8-3D51E6F01EE4}" name="Column1488"/>
    <tableColumn id="1503" xr3:uid="{6334163B-4A6F-4A0F-A5BB-646CB9B25DCF}" name="Column1489"/>
    <tableColumn id="1504" xr3:uid="{6AA537A7-2AA1-49A9-9AFB-B004002676DF}" name="Column1490"/>
    <tableColumn id="1505" xr3:uid="{59AD7462-C9A5-493D-8106-14A347B756CB}" name="Column1491"/>
    <tableColumn id="1506" xr3:uid="{F19F9FBA-E34E-48C2-89A1-510250FFB359}" name="Column1492"/>
    <tableColumn id="1507" xr3:uid="{2D06264B-1B34-4174-91D8-688020EBD3B6}" name="Column1493"/>
    <tableColumn id="1508" xr3:uid="{46082137-77AA-49DC-99E6-81D107212747}" name="Column1494"/>
    <tableColumn id="1509" xr3:uid="{94F1A872-D271-4B62-9BB7-7D742EAB516C}" name="Column1495"/>
    <tableColumn id="1510" xr3:uid="{D2872808-EDDC-48CB-97B5-93858EFB97A2}" name="Column1496"/>
    <tableColumn id="1511" xr3:uid="{6781AB27-257F-4471-8851-97CA1DCFA0A8}" name="Column1497"/>
    <tableColumn id="1512" xr3:uid="{7BFCF05C-1A1E-494E-800F-C28E77DE22CD}" name="Column1498"/>
    <tableColumn id="1513" xr3:uid="{7142CD3D-F3C8-49DA-B02C-6AE5476B76C5}" name="Column1499"/>
    <tableColumn id="1514" xr3:uid="{46B88E17-0ACC-4973-8D87-92CC66392E6E}" name="Column1500"/>
    <tableColumn id="1515" xr3:uid="{FECE9058-47A1-4EDC-9D1E-6CAD20482BDA}" name="Column1501"/>
    <tableColumn id="1516" xr3:uid="{39875099-27A5-42DC-A279-686E8E427A00}" name="Column1502"/>
    <tableColumn id="1517" xr3:uid="{256E53D3-6705-471C-8381-0DAA1C2F1287}" name="Column1503"/>
    <tableColumn id="1518" xr3:uid="{34415DD3-C4AD-4E24-B0F2-D70AB9A2164D}" name="Column1504"/>
    <tableColumn id="1519" xr3:uid="{9FC9AD9D-DE76-43DD-B1EF-5FB793BFC4BE}" name="Column1505"/>
    <tableColumn id="1520" xr3:uid="{AD3540BA-845D-4833-9E1F-4D6A045E1C8F}" name="Column1506"/>
    <tableColumn id="1521" xr3:uid="{B822930F-0338-4F59-942B-251282B84DEA}" name="Column1507"/>
    <tableColumn id="1522" xr3:uid="{9C2479A3-A583-4C0C-B2C9-14FDF5200BE4}" name="Column1508"/>
    <tableColumn id="1523" xr3:uid="{539E2447-3B27-423B-8577-812331762E12}" name="Column1509"/>
    <tableColumn id="1524" xr3:uid="{9D6ABC0C-0B8E-45FA-A358-65FFDA4786EE}" name="Column1510"/>
    <tableColumn id="1525" xr3:uid="{F6C4A002-990F-4177-8649-9D9EF4509B63}" name="Column1511"/>
    <tableColumn id="1526" xr3:uid="{ED96F402-952F-4B0D-B030-107862E114FF}" name="Column1512"/>
    <tableColumn id="1527" xr3:uid="{254C2ADA-A427-4724-8C58-27C183691054}" name="Column1513"/>
    <tableColumn id="1528" xr3:uid="{3B1B1A22-B102-438A-A9A2-87A03A3BB25E}" name="Column1514"/>
    <tableColumn id="1529" xr3:uid="{8D89F840-0122-45B2-8EA8-C72C7F1F9919}" name="Column1515"/>
    <tableColumn id="1530" xr3:uid="{A017D8BB-4C4F-4EE2-93AE-C199FB5DBC10}" name="Column1516"/>
    <tableColumn id="1531" xr3:uid="{8C82DF9D-C405-48DF-8FCC-7C3AD040E12E}" name="Column1517"/>
    <tableColumn id="1532" xr3:uid="{E536FE37-4862-4BD6-BF01-443309F9AC66}" name="Column1518"/>
    <tableColumn id="1533" xr3:uid="{7EEA46F3-C732-43A6-86BB-9AF71094B03A}" name="Column1519"/>
    <tableColumn id="1534" xr3:uid="{FBD54796-603A-4784-9F32-0790E106F12D}" name="Column1520"/>
    <tableColumn id="1535" xr3:uid="{96ACE1D0-0AE1-4BD6-BE49-85FF3174E529}" name="Column1521"/>
    <tableColumn id="1536" xr3:uid="{23239469-DB79-4883-927D-5589343988BA}" name="Column1522"/>
    <tableColumn id="1537" xr3:uid="{57F033EB-D68C-42E6-97A1-37665BB9A94C}" name="Column1523"/>
    <tableColumn id="1538" xr3:uid="{EA0D4060-645F-46A6-83C0-85F127ED6ECC}" name="Column1524"/>
    <tableColumn id="1539" xr3:uid="{8502C3A6-36A7-4E78-B51A-AB27BFE1D3C1}" name="Column1525"/>
    <tableColumn id="1540" xr3:uid="{B2A0332B-280A-45BA-A9DC-C7C0E51F3E3E}" name="Column1526"/>
    <tableColumn id="1541" xr3:uid="{49F7D554-11C9-467F-9B5C-B715B3F40215}" name="Column1527"/>
    <tableColumn id="1542" xr3:uid="{E1273DFD-EBE6-4BA7-BC6A-C6C25B832C34}" name="Column1528"/>
    <tableColumn id="1543" xr3:uid="{39DC66EE-7348-41CF-8FB1-44383C3B043C}" name="Column1529"/>
    <tableColumn id="1544" xr3:uid="{82423BB0-854C-4E51-BBFB-FDF777AB5752}" name="Column1530"/>
    <tableColumn id="1545" xr3:uid="{0246CCDB-F1E1-4F8C-8546-0C177DF5F5FD}" name="Column1531"/>
    <tableColumn id="1546" xr3:uid="{783EA89D-A9DC-4C08-BB28-2012F9350BC1}" name="Column1532"/>
    <tableColumn id="1547" xr3:uid="{E202EABE-ED3C-4F76-A6DC-50F757E80B8E}" name="Column1533"/>
    <tableColumn id="1548" xr3:uid="{1C195654-D64F-45FD-95AF-97578A13960F}" name="Column1534"/>
    <tableColumn id="1549" xr3:uid="{E2CB9F99-F3AC-4B90-99BA-FF21087C8BB2}" name="Column1535"/>
    <tableColumn id="1550" xr3:uid="{5957E120-CE2D-498E-BE6A-432374298CFF}" name="Column1536"/>
    <tableColumn id="1551" xr3:uid="{8216EB4E-5CF2-4806-8204-9928A52BA54E}" name="Column1537"/>
    <tableColumn id="1552" xr3:uid="{03BB4BB2-8AB8-46EB-8458-65E872A92439}" name="Column1538"/>
    <tableColumn id="1553" xr3:uid="{C651EC02-4136-4303-978F-3F242BA6BF00}" name="Column1539"/>
    <tableColumn id="1554" xr3:uid="{82330F15-BC34-4533-85D3-0E11244C6726}" name="Column1540"/>
    <tableColumn id="1555" xr3:uid="{CCC6337F-78E3-4515-BD52-309141225875}" name="Column1541"/>
    <tableColumn id="1556" xr3:uid="{8B95B598-3B92-4C1B-9523-C9CE7F7AD647}" name="Column1542"/>
    <tableColumn id="1557" xr3:uid="{8F6A3DAD-3075-462C-8DFC-63BB02834EEE}" name="Column1543"/>
    <tableColumn id="1558" xr3:uid="{7F53BD5B-A268-466A-9471-0AB3BE7F00AC}" name="Column1544"/>
    <tableColumn id="1559" xr3:uid="{98EDCA20-D6D2-4C2C-B1D7-E6474D69EE50}" name="Column1545"/>
    <tableColumn id="1560" xr3:uid="{4DE18B18-F674-4B8A-93BA-9EC16273B481}" name="Column1546"/>
    <tableColumn id="1561" xr3:uid="{03F0A3E3-E8A4-40CD-B1B8-B93DD37A8082}" name="Column1547"/>
    <tableColumn id="1562" xr3:uid="{00D4310E-6889-42F4-8998-0E1974313B6E}" name="Column1548"/>
    <tableColumn id="1563" xr3:uid="{9EF7A873-87CA-4034-9A06-72254D298DFE}" name="Column1549"/>
    <tableColumn id="1564" xr3:uid="{9B30E94A-E1B0-4A33-A0B2-D3520637AFA0}" name="Column1550"/>
    <tableColumn id="1565" xr3:uid="{BDB6835D-64DA-41F4-8082-8BB267F24C99}" name="Column1551"/>
    <tableColumn id="1566" xr3:uid="{BA8A153F-4925-4BE4-B579-4B41F82F3176}" name="Column1552"/>
    <tableColumn id="1567" xr3:uid="{7B485F75-BF2B-4992-9FB5-F80C3B4E7A94}" name="Column1553"/>
    <tableColumn id="1568" xr3:uid="{E7DD385F-0400-483C-AF79-4031A70A4FAE}" name="Column1554"/>
    <tableColumn id="1569" xr3:uid="{EAFDC465-9C43-4854-AA28-FA65D7FDDF46}" name="Column1555"/>
    <tableColumn id="1570" xr3:uid="{D7F5BAD8-8814-475D-A77A-87C44909E897}" name="Column1556"/>
    <tableColumn id="1571" xr3:uid="{6CAF4316-2052-46A0-9D17-9D7F447EB091}" name="Column1557"/>
    <tableColumn id="1572" xr3:uid="{F9AD06A2-19ED-4DB3-9A00-E4E37B11170B}" name="Column1558"/>
    <tableColumn id="1573" xr3:uid="{403015D3-5710-40B7-8201-C5032AAA40F2}" name="Column1559"/>
    <tableColumn id="1574" xr3:uid="{6F588A86-901F-4F7C-8287-C0478880ECBA}" name="Column1560"/>
    <tableColumn id="1575" xr3:uid="{50ACD9D7-4397-48F8-9E8D-42E28AD8046B}" name="Column1561"/>
    <tableColumn id="1576" xr3:uid="{87D86261-041D-4DD2-AE74-3E6B0CA29897}" name="Column1562"/>
    <tableColumn id="1577" xr3:uid="{590984B2-1A70-4011-874F-0C334516D254}" name="Column1563"/>
    <tableColumn id="1578" xr3:uid="{16C58AB0-F258-48F5-BEC7-0DF5353C9F0A}" name="Column1564"/>
    <tableColumn id="1579" xr3:uid="{E7E7F699-E4B4-4AD5-9C10-94B3C037D883}" name="Column1565"/>
    <tableColumn id="1580" xr3:uid="{F37B9B81-8957-4EF0-BE21-FAEB45E8FB40}" name="Column1566"/>
    <tableColumn id="1581" xr3:uid="{E0B4BE1E-4344-487C-BB80-B58A8B3936E5}" name="Column1567"/>
    <tableColumn id="1582" xr3:uid="{4E4434E9-E28D-4FD3-A8B7-F05E2F0E7AFB}" name="Column1568"/>
    <tableColumn id="1583" xr3:uid="{AEB7AD1B-4973-4259-AAAB-792050D7CD24}" name="Column1569"/>
    <tableColumn id="1584" xr3:uid="{016B71DB-1F75-4E37-B3BA-041B680A31B9}" name="Column1570"/>
    <tableColumn id="1585" xr3:uid="{5AA54293-D7A9-4581-A645-2C01ECFEF573}" name="Column1571"/>
    <tableColumn id="1586" xr3:uid="{05C16C55-2D6C-4AA2-81D6-39483BB68F14}" name="Column1572"/>
    <tableColumn id="1587" xr3:uid="{6012EC78-6EAE-4B00-8127-E88B7B61159B}" name="Column1573"/>
    <tableColumn id="1588" xr3:uid="{D5D79A58-785C-4533-A465-F20B0603457F}" name="Column1574"/>
    <tableColumn id="1589" xr3:uid="{0CCD7934-2F1F-4670-8B9B-642A73AD9551}" name="Column1575"/>
    <tableColumn id="1590" xr3:uid="{992E11DB-3779-4F62-A99E-B763265E0476}" name="Column1576"/>
    <tableColumn id="1591" xr3:uid="{8671107C-AC35-48D6-B3A3-59F274922D91}" name="Column1577"/>
    <tableColumn id="1592" xr3:uid="{C07E8EE4-FA5A-4CFC-BEA1-908D1A1C0403}" name="Column1578"/>
    <tableColumn id="1593" xr3:uid="{78146137-0D13-42C9-9128-26926A8D5745}" name="Column1579"/>
    <tableColumn id="1594" xr3:uid="{6BA5B1C4-E1EB-49D1-867E-9EC015F21178}" name="Column1580"/>
    <tableColumn id="1595" xr3:uid="{E43A3A30-5DB7-45CF-BED0-34DF37A9DEF3}" name="Column1581"/>
    <tableColumn id="1596" xr3:uid="{EF31CF1C-C2D2-4143-801E-1A53B52A6836}" name="Column1582"/>
    <tableColumn id="1597" xr3:uid="{CC76B6A5-73BB-46B1-A9DA-9F56A5E8A3D5}" name="Column1583"/>
    <tableColumn id="1598" xr3:uid="{DAF1D3CA-D7D6-4973-8F13-32CC3B309CDA}" name="Column1584"/>
    <tableColumn id="1599" xr3:uid="{0956141E-DFDD-4540-AD6E-98768096123F}" name="Column1585"/>
    <tableColumn id="1600" xr3:uid="{4B529C14-12BD-4BBD-88F6-8D994D80E391}" name="Column1586"/>
    <tableColumn id="1601" xr3:uid="{8A38F3E6-64FA-4E4D-ACB1-3BF967506870}" name="Column1587"/>
    <tableColumn id="1602" xr3:uid="{C2A64B66-DFA2-4955-8025-D8A4A18D770C}" name="Column1588"/>
    <tableColumn id="1603" xr3:uid="{01E256C8-BBB4-427D-B97A-7B3AE25CE7CD}" name="Column1589"/>
    <tableColumn id="1604" xr3:uid="{6CB0B379-04F2-4B78-AC28-E2CB2E67161C}" name="Column1590"/>
    <tableColumn id="1605" xr3:uid="{61E4D7D7-58D4-439F-A7A6-2A05C2E8D1F6}" name="Column1591"/>
    <tableColumn id="1606" xr3:uid="{A4E82CD1-09AA-4295-81E0-4957D17CF09F}" name="Column1592"/>
    <tableColumn id="1607" xr3:uid="{94F484A1-7A61-4FAC-8802-1D7D0A212869}" name="Column1593"/>
    <tableColumn id="1608" xr3:uid="{F0326ADE-A1D9-4A1E-836E-B3695AD5EFB6}" name="Column1594"/>
    <tableColumn id="1609" xr3:uid="{5307DD9E-5C12-478C-9961-1B2C68FC6BD7}" name="Column1595"/>
    <tableColumn id="1610" xr3:uid="{A8E87325-5CD4-4BF1-87F0-82F5259446B1}" name="Column1596"/>
    <tableColumn id="1611" xr3:uid="{A7261B79-2B69-4BB4-A465-C8C0882E21B0}" name="Column1597"/>
    <tableColumn id="1612" xr3:uid="{AB6AE05F-5EE4-44AA-B9F6-2FC8BEE8B614}" name="Column1598"/>
    <tableColumn id="1613" xr3:uid="{76B1B782-06CB-4D74-B273-80632AB1C493}" name="Column1599"/>
    <tableColumn id="1614" xr3:uid="{F7D6942A-8E98-4375-A9E7-077A668E87C8}" name="Column1600"/>
    <tableColumn id="1615" xr3:uid="{3F042123-6093-4979-94EE-AFDBF2DDA537}" name="Column1601"/>
    <tableColumn id="1616" xr3:uid="{325D908D-3719-4F07-9998-FBC5405E7AE6}" name="Column1602"/>
    <tableColumn id="1617" xr3:uid="{F02C9ECA-A731-46EE-BEC2-5E6DDAADC1A0}" name="Column1603"/>
    <tableColumn id="1618" xr3:uid="{8F557F17-3255-4D03-ADCE-58F56B8412FC}" name="Column1604"/>
    <tableColumn id="1619" xr3:uid="{885B5F77-DE49-41AD-86F5-095A10AD350D}" name="Column1605"/>
    <tableColumn id="1620" xr3:uid="{DD237564-74D5-475D-9224-89133F39603E}" name="Column1606"/>
    <tableColumn id="1621" xr3:uid="{94883EA8-57ED-4845-BBDD-727F7F508263}" name="Column1607"/>
    <tableColumn id="1622" xr3:uid="{813BAB71-49D8-4DD7-9A71-F92585291248}" name="Column1608"/>
    <tableColumn id="1623" xr3:uid="{EA1F2314-181E-45FC-8989-6E693D9348C9}" name="Column1609"/>
    <tableColumn id="1624" xr3:uid="{5F78C994-2A4B-4932-B900-F47EFAF03F0B}" name="Column1610"/>
    <tableColumn id="1625" xr3:uid="{BF17C426-CA39-4F0E-A26E-C59C82D193FD}" name="Column1611"/>
    <tableColumn id="1626" xr3:uid="{92A76515-CC62-4BEC-A777-FAE1D65B3A51}" name="Column1612"/>
    <tableColumn id="1627" xr3:uid="{983B26EE-A833-4DBE-8DE0-C8383F581C43}" name="Column1613"/>
    <tableColumn id="1628" xr3:uid="{35485CBB-9B18-491A-8397-CEDD499A8926}" name="Column1614"/>
    <tableColumn id="1629" xr3:uid="{D1C4E824-C8BC-47C3-90CE-DF26970D538A}" name="Column1615"/>
    <tableColumn id="1630" xr3:uid="{982CA11C-813C-4F4E-97BB-ABA980A45F5A}" name="Column1616"/>
    <tableColumn id="1631" xr3:uid="{C5F20EEF-C087-4C5E-81F2-5B3109BD1C48}" name="Column1617"/>
    <tableColumn id="1632" xr3:uid="{D0334612-180F-4321-A9DA-CFC95D07BBE3}" name="Column1618"/>
    <tableColumn id="1633" xr3:uid="{3E82D46F-55D3-4F1D-A665-C6E1C1CAA036}" name="Column1619"/>
    <tableColumn id="1634" xr3:uid="{057BED84-5C89-4BE7-930A-EAA535D18C12}" name="Column1620"/>
    <tableColumn id="1635" xr3:uid="{6534A798-BD52-45BA-B74E-A5CF449CF316}" name="Column1621"/>
    <tableColumn id="1636" xr3:uid="{440A1F03-3A5B-474D-8DB0-A3CD024DC9B1}" name="Column1622"/>
    <tableColumn id="1637" xr3:uid="{D2E55D2D-D385-4D8C-990C-712CDADDFBA2}" name="Column1623"/>
    <tableColumn id="1638" xr3:uid="{A6DC89B6-5C8A-4BCD-B61A-DF1C7C614D74}" name="Column1624"/>
    <tableColumn id="1639" xr3:uid="{220C197B-1859-4242-BF14-27C57974F6DF}" name="Column1625"/>
    <tableColumn id="1640" xr3:uid="{0D257B6E-0A8B-453E-A3E3-C9D8E5EC87BC}" name="Column1626"/>
    <tableColumn id="1641" xr3:uid="{B8A669B2-2A7C-4C21-805F-3900DDD1CE31}" name="Column1627"/>
    <tableColumn id="1642" xr3:uid="{F67B2939-74D6-4BE4-9157-465D7BB880A5}" name="Column1628"/>
    <tableColumn id="1643" xr3:uid="{00E1CE95-6E9D-4E6E-8A1A-DB86FE20BBFB}" name="Column1629"/>
    <tableColumn id="1644" xr3:uid="{84C76190-249B-4881-8291-318D2FA8D428}" name="Column1630"/>
    <tableColumn id="1645" xr3:uid="{A76CE41F-23CC-45E5-A6BB-31818B5F2BCC}" name="Column1631"/>
    <tableColumn id="1646" xr3:uid="{4C2EB4A4-A972-4147-A6F8-8A471D1F84FF}" name="Column1632"/>
    <tableColumn id="1647" xr3:uid="{56C5A40D-9B36-47AD-970C-524B321F110A}" name="Column1633"/>
    <tableColumn id="1648" xr3:uid="{0FC9DE21-F2D1-4BCA-A873-1C3A40A8B884}" name="Column1634"/>
    <tableColumn id="1649" xr3:uid="{064A4FB9-AAFE-4F40-B445-871AE7559BB4}" name="Column1635"/>
    <tableColumn id="1650" xr3:uid="{9EDE2432-F64B-449C-88FB-D622CE0EDE5F}" name="Column1636"/>
    <tableColumn id="1651" xr3:uid="{7EDA001D-3D2E-443A-96C8-F06A69C6D62E}" name="Column1637"/>
    <tableColumn id="1652" xr3:uid="{0EAD7324-E851-4E05-8A44-8C8D793A769A}" name="Column1638"/>
    <tableColumn id="1653" xr3:uid="{7A79A9A8-02C2-4008-AE75-55EE7A8960B0}" name="Column1639"/>
    <tableColumn id="1654" xr3:uid="{F1DF715D-D2F1-47D0-9B98-9E25DFC0AA47}" name="Column1640"/>
    <tableColumn id="1655" xr3:uid="{3CB0107A-74E0-481F-BA82-72E3E76074F4}" name="Column1641"/>
    <tableColumn id="1656" xr3:uid="{83D0E33F-6D7B-4217-B27B-BE2276709D71}" name="Column1642"/>
    <tableColumn id="1657" xr3:uid="{11527915-21F9-480C-9BD9-8AFC975134C8}" name="Column1643"/>
    <tableColumn id="1658" xr3:uid="{83CE9B52-AC03-4140-8B62-9681B9B72ED2}" name="Column1644"/>
    <tableColumn id="1659" xr3:uid="{B9C298E4-46A7-4B71-9248-3F7DB8DD866E}" name="Column1645"/>
    <tableColumn id="1660" xr3:uid="{F72BBDF3-6463-4769-93F0-5D38D565A040}" name="Column1646"/>
    <tableColumn id="1661" xr3:uid="{8E782E2B-EAD4-4FB5-8743-5A2F7C611E69}" name="Column1647"/>
    <tableColumn id="1662" xr3:uid="{7FE4C0D3-9040-4193-B8CA-F34F9081546B}" name="Column1648"/>
    <tableColumn id="1663" xr3:uid="{0B26C457-D3EB-456A-ADFA-78154A35CA55}" name="Column1649"/>
    <tableColumn id="1664" xr3:uid="{5B109507-157D-4253-9F4A-D11EB614DA47}" name="Column1650"/>
    <tableColumn id="1665" xr3:uid="{C0AD538E-F79A-49E1-8399-9894864928D3}" name="Column1651"/>
    <tableColumn id="1666" xr3:uid="{02FA1F4A-5CF2-406B-99E0-FE643C350C33}" name="Column1652"/>
    <tableColumn id="1667" xr3:uid="{D5A849D8-5247-4968-B531-2316D90D4D4A}" name="Column1653"/>
    <tableColumn id="1668" xr3:uid="{F6311F9C-CC9F-421B-B31A-1F06BF116F6B}" name="Column1654"/>
    <tableColumn id="1669" xr3:uid="{35A2C817-54C7-4DE9-8E32-B27EA6D6E553}" name="Column1655"/>
    <tableColumn id="1670" xr3:uid="{5BD29C22-D82E-4018-A57B-25A85E3F041F}" name="Column1656"/>
    <tableColumn id="1671" xr3:uid="{9ED087B9-87A7-4684-BBE4-16A9545DA9AC}" name="Column1657"/>
    <tableColumn id="1672" xr3:uid="{0C5EDCA6-641C-4EDA-8D2F-7A92D60493C2}" name="Column1658"/>
    <tableColumn id="1673" xr3:uid="{DDBA2BA0-D910-42DC-8913-A7EAFA1D9026}" name="Column1659"/>
    <tableColumn id="1674" xr3:uid="{EB165755-A405-44E8-925E-130228FDA24E}" name="Column1660"/>
    <tableColumn id="1675" xr3:uid="{563E1D97-B636-4F03-BD16-B718C81C2051}" name="Column1661"/>
    <tableColumn id="1676" xr3:uid="{CC5BC157-159B-4638-BDF0-D7C06592B2F1}" name="Column1662"/>
    <tableColumn id="1677" xr3:uid="{31AF8E51-61AF-48E7-8283-383581F4307D}" name="Column1663"/>
    <tableColumn id="1678" xr3:uid="{63F28E99-EE15-42F7-BE14-08BFAFA6572D}" name="Column1664"/>
    <tableColumn id="1679" xr3:uid="{0EED50D8-0F8D-4EE4-9519-268B6487868B}" name="Column1665"/>
    <tableColumn id="1680" xr3:uid="{EACF70B4-BC9D-4E78-AB81-ECE9BEC37659}" name="Column1666"/>
    <tableColumn id="1681" xr3:uid="{A1838FA0-6598-45CF-A85B-9E7C729260D0}" name="Column1667"/>
    <tableColumn id="1682" xr3:uid="{DC548AF9-C6A1-4B0A-B789-8E0DD4E1FCC5}" name="Column1668"/>
    <tableColumn id="1683" xr3:uid="{DB6AD088-C1D7-4ABB-BF0A-189E0BAA8751}" name="Column1669"/>
    <tableColumn id="1684" xr3:uid="{3C07A076-95BC-4D11-9509-215E6798B900}" name="Column1670"/>
    <tableColumn id="1685" xr3:uid="{F5CE43FB-16E4-4E45-8495-C05D97DCC0E1}" name="Column1671"/>
    <tableColumn id="1686" xr3:uid="{E343E265-D878-4C5A-B1FB-B61E7EB897F9}" name="Column1672"/>
    <tableColumn id="1687" xr3:uid="{B457FE6F-C9E8-4996-BAC4-9E584C865AC9}" name="Column1673"/>
    <tableColumn id="1688" xr3:uid="{0EC26E8F-D6B6-4236-A437-1882BBC05F0A}" name="Column1674"/>
    <tableColumn id="1689" xr3:uid="{A8F1827D-0659-480E-B75B-CED3F3EFD154}" name="Column1675"/>
    <tableColumn id="1690" xr3:uid="{F60D01DC-ACC3-429F-8826-ECEB701720A4}" name="Column1676"/>
    <tableColumn id="1691" xr3:uid="{31A9AF7C-7D91-48AA-AEE9-45680E18D227}" name="Column1677"/>
    <tableColumn id="1692" xr3:uid="{54BC93E0-17DE-42D7-918C-75130E0A6605}" name="Column1678"/>
    <tableColumn id="1693" xr3:uid="{A6C68EFA-D30C-4264-A78B-F4B65BFC53E6}" name="Column1679"/>
    <tableColumn id="1694" xr3:uid="{EF6431A2-185E-46C7-BA50-CA59DFE0F417}" name="Column1680"/>
    <tableColumn id="1695" xr3:uid="{9E62CFDC-105F-48AA-B8BA-9BCC23FA3B47}" name="Column1681"/>
    <tableColumn id="1696" xr3:uid="{075CD109-ECD4-4239-A36B-536452167234}" name="Column1682"/>
    <tableColumn id="1697" xr3:uid="{23B3E4BF-55F1-4EFD-8453-ACACB11ADECF}" name="Column1683"/>
    <tableColumn id="1698" xr3:uid="{DAE18A2A-DF27-414B-B8F8-DE85DEB33BB3}" name="Column1684"/>
    <tableColumn id="1699" xr3:uid="{89D1E6F2-C0B6-4589-B828-DF56180DFC55}" name="Column1685"/>
    <tableColumn id="1700" xr3:uid="{56D3894A-6027-4172-9267-B4F35944AF49}" name="Column1686"/>
    <tableColumn id="1701" xr3:uid="{25A83F55-3406-4810-92DC-0F100B751D79}" name="Column1687"/>
    <tableColumn id="1702" xr3:uid="{B16C8744-D4A4-4648-A801-84DC097BB319}" name="Column1688"/>
    <tableColumn id="1703" xr3:uid="{DD532932-E9BE-4DD7-9A31-C8E16CA149BC}" name="Column1689"/>
    <tableColumn id="1704" xr3:uid="{F2C7A557-09E5-4C98-9C2A-250A8F34B3D9}" name="Column1690"/>
    <tableColumn id="1705" xr3:uid="{5A4051D8-AF91-43D2-8912-EEBECD9EDD59}" name="Column1691"/>
    <tableColumn id="1706" xr3:uid="{181985E4-3213-4814-8D87-A608FE8D1CC1}" name="Column1692"/>
    <tableColumn id="1707" xr3:uid="{C1D37A33-AB45-4F58-8199-9252FCFB66E4}" name="Column1693"/>
    <tableColumn id="1708" xr3:uid="{95EE670C-D4CE-40BA-B76B-F9D716A5B545}" name="Column1694"/>
    <tableColumn id="1709" xr3:uid="{70DA30F4-A983-4277-B9FC-D828601909B2}" name="Column1695"/>
    <tableColumn id="1710" xr3:uid="{6660932B-24D3-40C1-BCD1-790C3A777F8A}" name="Column1696"/>
    <tableColumn id="1711" xr3:uid="{F398559F-DCA8-426A-892E-BDE8CC1F1F48}" name="Column1697"/>
    <tableColumn id="1712" xr3:uid="{0510C46E-6877-4E4E-ABC7-6B2EE89C6D3A}" name="Column1698"/>
    <tableColumn id="1713" xr3:uid="{9DAEEB3B-FDDE-43A6-91E6-D6BE63965361}" name="Column1699"/>
    <tableColumn id="1714" xr3:uid="{FF8CCD74-4105-44E7-8DA6-FE9AD7F7F2B2}" name="Column1700"/>
    <tableColumn id="1715" xr3:uid="{4022CD4C-95E6-4787-966A-4FC8D11CA59B}" name="Column1701"/>
    <tableColumn id="1716" xr3:uid="{B1488E52-23EE-4880-99F4-44F0BC467CD5}" name="Column1702"/>
    <tableColumn id="1717" xr3:uid="{A50230A9-5A39-4A96-ABFB-A27B9CA6E1B9}" name="Column1703"/>
    <tableColumn id="1718" xr3:uid="{FF113542-3ED5-4318-9E64-05DC7B55B2FC}" name="Column1704"/>
    <tableColumn id="1719" xr3:uid="{63750299-F309-4B07-AC71-3926EC996BA8}" name="Column1705"/>
    <tableColumn id="1720" xr3:uid="{39798A71-FEC2-4343-BD0C-BDC4F11E8374}" name="Column1706"/>
    <tableColumn id="1721" xr3:uid="{19983E38-B554-4FD2-BA8C-D2206DDC1D37}" name="Column1707"/>
    <tableColumn id="1722" xr3:uid="{CFEC77B8-17FA-4091-B8A7-2DFDB97A2CDF}" name="Column1708"/>
    <tableColumn id="1723" xr3:uid="{72DE4FD1-8781-4670-B1A4-2B03AC116C1A}" name="Column1709"/>
    <tableColumn id="1724" xr3:uid="{20D2CC86-F7AA-40CF-9674-608197F0A5B9}" name="Column1710"/>
    <tableColumn id="1725" xr3:uid="{71DF48B8-F973-4882-8604-FF496769BD9E}" name="Column1711"/>
    <tableColumn id="1726" xr3:uid="{4869B7BF-EA31-409A-BD65-FF55200429C0}" name="Column1712"/>
    <tableColumn id="1727" xr3:uid="{DCB2C0B4-4908-4BD3-9D8B-A7BE44FC0901}" name="Column1713"/>
    <tableColumn id="1728" xr3:uid="{3F04D2EB-717E-4FE6-95F7-C6A4AAF3ADC0}" name="Column1714"/>
    <tableColumn id="1729" xr3:uid="{263A7526-F1C7-4112-AEA6-C30398B04534}" name="Column1715"/>
    <tableColumn id="1730" xr3:uid="{45DB7CD9-2F20-4342-A2BB-629A787C0E3F}" name="Column1716"/>
    <tableColumn id="1731" xr3:uid="{72ABE582-A298-465F-B247-851245416DAE}" name="Column1717"/>
    <tableColumn id="1732" xr3:uid="{E2C5AE0E-73CC-4CD6-BD16-5D9F677C97F6}" name="Column1718"/>
    <tableColumn id="1733" xr3:uid="{79FBC925-3E1D-4BC1-B768-FCAFC8F55966}" name="Column1719"/>
    <tableColumn id="1734" xr3:uid="{F0F6A47D-ED4F-4B0C-8F42-4060D130420D}" name="Column1720"/>
    <tableColumn id="1735" xr3:uid="{D3A3D1D8-4ECD-4ED0-9365-FE5821EB0DF2}" name="Column1721"/>
    <tableColumn id="1736" xr3:uid="{CCB178D3-062F-413E-B0AD-49E0139B6286}" name="Column1722"/>
    <tableColumn id="1737" xr3:uid="{832A3901-27FB-42D6-92F6-18030032F993}" name="Column1723"/>
    <tableColumn id="1738" xr3:uid="{B6B691B1-016D-472C-8683-0DDF54605091}" name="Column1724"/>
    <tableColumn id="1739" xr3:uid="{B19829FA-8069-4727-ACAD-A86F10841E85}" name="Column1725"/>
    <tableColumn id="1740" xr3:uid="{0CDF30AF-0850-462C-9659-67FFF8A13003}" name="Column1726"/>
    <tableColumn id="1741" xr3:uid="{D17C41F1-9A07-4CAB-8D2B-C4CE6F597FC7}" name="Column1727"/>
    <tableColumn id="1742" xr3:uid="{14A25C50-C569-4A33-8713-D899F749482F}" name="Column1728"/>
    <tableColumn id="1743" xr3:uid="{5CDE4A2C-6792-4550-89F7-84D5AD15B1D3}" name="Column1729"/>
    <tableColumn id="1744" xr3:uid="{455F9FF5-2D91-42F9-8F6B-EAA6C2218DF7}" name="Column1730"/>
    <tableColumn id="1745" xr3:uid="{E2A43569-3192-4B8B-881F-DCE5F8152562}" name="Column1731"/>
    <tableColumn id="1746" xr3:uid="{DF5D59BF-EA07-4977-A1BB-7730393AA061}" name="Column1732"/>
    <tableColumn id="1747" xr3:uid="{CE0448B7-E7AE-49E7-9FF5-4489002CAFCF}" name="Column1733"/>
    <tableColumn id="1748" xr3:uid="{ABCF2735-1F00-4BC7-9368-C7D5F5D5A1DD}" name="Column1734"/>
    <tableColumn id="1749" xr3:uid="{2184A8DB-0DC0-47E1-8F4F-BEC10A27FB23}" name="Column1735"/>
    <tableColumn id="1750" xr3:uid="{F82854D8-BC48-4527-9CEF-174B1A724BC9}" name="Column1736"/>
    <tableColumn id="1751" xr3:uid="{FA9FDEB1-6BD9-48BE-8AF8-17DD7F4D79CA}" name="Column1737"/>
    <tableColumn id="1752" xr3:uid="{795FCC71-A053-4D0F-8E00-B60E203535F2}" name="Column1738"/>
    <tableColumn id="1753" xr3:uid="{42C009A1-5F8A-4508-AF01-20C7CA4E308C}" name="Column1739"/>
    <tableColumn id="1754" xr3:uid="{BA9C52C8-D6E2-4170-BCF8-25FAD0DB5B38}" name="Column1740"/>
    <tableColumn id="1755" xr3:uid="{DA1958C6-C61B-41D2-81EA-152656E57476}" name="Column1741"/>
    <tableColumn id="1756" xr3:uid="{42E44586-BDC4-4AA5-9F42-C532E1134231}" name="Column1742"/>
    <tableColumn id="1757" xr3:uid="{D291E82A-165D-4E2A-A15C-4611EDFE0478}" name="Column1743"/>
    <tableColumn id="1758" xr3:uid="{B0D2AFDB-9726-4C14-A921-3149C0038BD9}" name="Column1744"/>
    <tableColumn id="1759" xr3:uid="{B8DE710B-7057-4270-9D8E-9B3A66DCF570}" name="Column1745"/>
    <tableColumn id="1760" xr3:uid="{F0B64A89-37E6-4690-B579-C10E02B72DC1}" name="Column1746"/>
    <tableColumn id="1761" xr3:uid="{B711BAA1-337E-4639-A699-744DE1138787}" name="Column1747"/>
    <tableColumn id="1762" xr3:uid="{1AB38FB3-51EF-4CA5-8615-7D291905B0EF}" name="Column1748"/>
    <tableColumn id="1763" xr3:uid="{DD7FF2AC-C532-420B-BDC0-668B0A44876C}" name="Column1749"/>
    <tableColumn id="1764" xr3:uid="{267B8B37-4B23-4EBA-A12C-6CCBE700E28E}" name="Column1750"/>
    <tableColumn id="1765" xr3:uid="{08F70E5F-99B0-41F2-86CF-5DE16973BE98}" name="Column1751"/>
    <tableColumn id="1766" xr3:uid="{5DA358A0-D21B-4279-9FAF-1E4455CF2A4F}" name="Column1752"/>
    <tableColumn id="1767" xr3:uid="{F7CDBB40-FCD8-4F6E-A6AF-299919F4ED49}" name="Column1753"/>
    <tableColumn id="1768" xr3:uid="{DDE4EA4D-935D-4A39-811B-6BDD0EC37EE0}" name="Column1754"/>
    <tableColumn id="1769" xr3:uid="{9F48FB3F-9BA3-4746-A59F-267DE7E4B6BB}" name="Column1755"/>
    <tableColumn id="1770" xr3:uid="{E53A6AA4-09D6-4365-B49F-02B654BD27C8}" name="Column1756"/>
    <tableColumn id="1771" xr3:uid="{AA5BF6DB-0060-4A22-97B2-04C92006C0C9}" name="Column1757"/>
    <tableColumn id="1772" xr3:uid="{853E41F1-7D39-4AE2-987C-9A41498916AA}" name="Column1758"/>
    <tableColumn id="1773" xr3:uid="{7165E040-A174-4512-A7C5-8941C3BF8493}" name="Column1759"/>
    <tableColumn id="1774" xr3:uid="{71111767-690D-4A22-AD3A-294D6AF43332}" name="Column1760"/>
    <tableColumn id="1775" xr3:uid="{87FEB216-A658-455F-BC88-0E8482842F0F}" name="Column1761"/>
    <tableColumn id="1776" xr3:uid="{DBAD8CE1-BD7E-40FA-9B6F-A20D68762CD9}" name="Column1762"/>
    <tableColumn id="1777" xr3:uid="{16273531-319B-451C-B36D-673C0530E3A8}" name="Column1763"/>
    <tableColumn id="1778" xr3:uid="{A0393FCA-9CB3-406B-A650-EAD1E0DF9045}" name="Column1764"/>
    <tableColumn id="1779" xr3:uid="{72D414A4-7921-46B7-9AB0-8AE2A276325F}" name="Column1765"/>
    <tableColumn id="1780" xr3:uid="{52781AEC-2CEF-4C74-9471-45AF5786F739}" name="Column1766"/>
    <tableColumn id="1781" xr3:uid="{22BD5A18-531A-4DA2-81B7-D949CCFCA4C8}" name="Column1767"/>
    <tableColumn id="1782" xr3:uid="{CD03EA45-D074-4742-B07E-2D2019600A91}" name="Column1768"/>
    <tableColumn id="1783" xr3:uid="{2786F3C8-6EC5-471C-B063-2CFD2EA58DDF}" name="Column1769"/>
    <tableColumn id="1784" xr3:uid="{984EB418-20BB-459F-95C6-AAC6C09BDDFD}" name="Column1770"/>
    <tableColumn id="1785" xr3:uid="{99DAA84E-0213-4A5D-95DD-28CEC3633848}" name="Column1771"/>
    <tableColumn id="1786" xr3:uid="{422E7595-6815-4187-A7D0-343A8CDD2B49}" name="Column1772"/>
    <tableColumn id="1787" xr3:uid="{AFABFAE8-9946-4D55-8E78-FEABE753C0E7}" name="Column1773"/>
    <tableColumn id="1788" xr3:uid="{ECD29B31-D5CC-4C05-8508-A353A89D948E}" name="Column1774"/>
    <tableColumn id="1789" xr3:uid="{21F3A51D-8693-423E-8421-3FAD5E6A329E}" name="Column1775"/>
    <tableColumn id="1790" xr3:uid="{B02102F8-7A55-4CCF-92BA-50A2EF92A583}" name="Column1776"/>
    <tableColumn id="1791" xr3:uid="{D5672827-9FF5-4470-9E97-773A257052A2}" name="Column1777"/>
    <tableColumn id="1792" xr3:uid="{2F4EF750-B93B-49CF-B796-434775C64367}" name="Column1778"/>
    <tableColumn id="1793" xr3:uid="{5CC64A2D-6A0A-4999-B289-2777146E4A8C}" name="Column1779"/>
    <tableColumn id="1794" xr3:uid="{0704C5EA-65FD-4A9F-A7B7-413A111487E6}" name="Column1780"/>
    <tableColumn id="1795" xr3:uid="{578F3A26-F234-41D3-975A-976455C4E992}" name="Column1781"/>
    <tableColumn id="1796" xr3:uid="{DDCDF6CA-8DFF-4B10-B0D3-CB5A25EE88E6}" name="Column1782"/>
    <tableColumn id="1797" xr3:uid="{E8EEE3C4-38AD-444A-A2F1-31B7AC86607C}" name="Column1783"/>
    <tableColumn id="1798" xr3:uid="{D106BC1B-F34B-497D-BA26-AF374182B9B4}" name="Column1784"/>
    <tableColumn id="1799" xr3:uid="{7F3A131E-E0B0-4077-BB20-B98A61772E16}" name="Column1785"/>
    <tableColumn id="1800" xr3:uid="{8933B429-56F6-4219-8046-CF745CCF7D40}" name="Column1786"/>
    <tableColumn id="1801" xr3:uid="{06CE9B1C-9F25-4325-BE43-579300FBBF75}" name="Column1787"/>
    <tableColumn id="1802" xr3:uid="{CF0311DB-A017-4546-A1F8-79247880B936}" name="Column1788"/>
    <tableColumn id="1803" xr3:uid="{0D8D68E2-5EA3-47C1-8DAD-03C224FD2775}" name="Column1789"/>
    <tableColumn id="1804" xr3:uid="{1D9F04B1-DEF6-4007-B2FD-99FD97FD8F42}" name="Column1790"/>
    <tableColumn id="1805" xr3:uid="{21913FA0-E88F-481B-8846-E3C271CF4F2D}" name="Column1791"/>
    <tableColumn id="1806" xr3:uid="{96158F16-12AD-4289-BE67-41B2CD803F9D}" name="Column1792"/>
    <tableColumn id="1807" xr3:uid="{C3B9379A-18FD-40ED-84F2-E98FE7332A17}" name="Column1793"/>
    <tableColumn id="1808" xr3:uid="{CC5ECB07-8606-4B41-A7C9-7B85ECA365D4}" name="Column1794"/>
    <tableColumn id="1809" xr3:uid="{B6ECD13C-0418-4871-BE56-D42A6295C74A}" name="Column1795"/>
    <tableColumn id="1810" xr3:uid="{77CBA67B-2786-42CA-8C80-9B2F36F0724C}" name="Column1796"/>
    <tableColumn id="1811" xr3:uid="{56616DB4-8CCD-406A-B087-8792A1177EA4}" name="Column1797"/>
    <tableColumn id="1812" xr3:uid="{78F92A98-3845-483E-A45A-37EED5D28000}" name="Column1798"/>
    <tableColumn id="1813" xr3:uid="{55A9E387-9A9A-4597-8AC0-42C8F7ECA82D}" name="Column1799"/>
    <tableColumn id="1814" xr3:uid="{57F51AF2-C903-47E5-B665-011253DFB412}" name="Column1800"/>
    <tableColumn id="1815" xr3:uid="{A063F639-2A5E-44B1-8181-60482EA9FD4C}" name="Column1801"/>
    <tableColumn id="1816" xr3:uid="{51FA112C-7840-4CDB-83CB-19E218B632D2}" name="Column1802"/>
    <tableColumn id="1817" xr3:uid="{D928E66C-64CD-41E1-859D-BFBD4EA9BBCB}" name="Column1803"/>
    <tableColumn id="1818" xr3:uid="{B9966A68-621E-45B2-8948-B97233A312D4}" name="Column1804"/>
    <tableColumn id="1819" xr3:uid="{D8F81D9A-B299-442C-8B3F-36AF6D784CDE}" name="Column1805"/>
    <tableColumn id="1820" xr3:uid="{46B35977-9E86-4ED9-AFE1-2B53C4E8452E}" name="Column1806"/>
    <tableColumn id="1821" xr3:uid="{20651A89-9847-4FAB-A5FB-11DBF984A8D8}" name="Column1807"/>
    <tableColumn id="1822" xr3:uid="{5E7C1D35-0AA1-40FF-9D46-7E476E9ADEA2}" name="Column1808"/>
    <tableColumn id="1823" xr3:uid="{6FA030B9-318F-41B3-9BFF-4AAF20330539}" name="Column1809"/>
    <tableColumn id="1824" xr3:uid="{2EEB011D-035C-47C8-A7DF-E002BC9BC173}" name="Column1810"/>
    <tableColumn id="1825" xr3:uid="{4B65D4C3-FBD3-4A57-A7B9-9690DB525BCD}" name="Column1811"/>
    <tableColumn id="1826" xr3:uid="{7648883B-DB06-46D6-B50E-62BFB65BEBD9}" name="Column1812"/>
    <tableColumn id="1827" xr3:uid="{1F787864-61FE-4B9C-82DE-F07FF07BC4CA}" name="Column1813"/>
    <tableColumn id="1828" xr3:uid="{D540390D-97E9-4ACB-937D-8EBBA0BB0C71}" name="Column1814"/>
    <tableColumn id="1829" xr3:uid="{3581B337-4671-445F-B99A-EB16957D26C8}" name="Column1815"/>
    <tableColumn id="1830" xr3:uid="{99D8C41E-BC4F-4E21-BAAC-E1BF9B9FC3FD}" name="Column1816"/>
    <tableColumn id="1831" xr3:uid="{49914B93-55E4-4AAF-BCD2-24D660BAF843}" name="Column1817"/>
    <tableColumn id="1832" xr3:uid="{E021C891-BE61-4D82-ACF5-D4ACED2559F9}" name="Column1818"/>
    <tableColumn id="1833" xr3:uid="{A54B88CF-733C-4E36-89DA-D9A69AAEDD55}" name="Column1819"/>
    <tableColumn id="1834" xr3:uid="{75AEE853-32EB-4F3F-B5D5-95A266E071C2}" name="Column1820"/>
    <tableColumn id="1835" xr3:uid="{98524739-B67A-4E65-8D85-94E6E72F9E2E}" name="Column1821"/>
    <tableColumn id="1836" xr3:uid="{B4316704-93EE-4D41-85FF-86183CD7C3A2}" name="Column1822"/>
    <tableColumn id="1837" xr3:uid="{8226C71F-BF3B-4640-9665-A01DE2E9ACA5}" name="Column1823"/>
    <tableColumn id="1838" xr3:uid="{B809AD8B-AC51-44F0-A935-B1B9B019AACE}" name="Column1824"/>
    <tableColumn id="1839" xr3:uid="{49E1C245-BD20-4C48-8B33-FED5AA93407E}" name="Column1825"/>
    <tableColumn id="1840" xr3:uid="{033D0C2B-D0BA-4A95-A80C-9E7F6DE24245}" name="Column1826"/>
    <tableColumn id="1841" xr3:uid="{7959722A-79A2-4330-8301-561AF453D632}" name="Column1827"/>
    <tableColumn id="1842" xr3:uid="{82A26A12-6865-4D77-8EEE-94F3EAF614D5}" name="Column1828"/>
    <tableColumn id="1843" xr3:uid="{99DC613A-EEC8-41AB-A065-A7BD91B6DCCF}" name="Column1829"/>
    <tableColumn id="1844" xr3:uid="{337C16EF-BC81-41AC-BBFF-FEC27AB154E7}" name="Column1830"/>
    <tableColumn id="1845" xr3:uid="{BF6D9A22-36BD-4DBA-AF66-FCC577996905}" name="Column1831"/>
    <tableColumn id="1846" xr3:uid="{E638839A-1C85-4B35-B769-C53E62801A4E}" name="Column1832"/>
    <tableColumn id="1847" xr3:uid="{32F21DCC-3C1F-44DA-976B-3389A4697C13}" name="Column1833"/>
    <tableColumn id="1848" xr3:uid="{6CB500EA-3A62-436D-B072-CBD7787FBA60}" name="Column1834"/>
    <tableColumn id="1849" xr3:uid="{2BE2F7EA-02F8-403C-82F7-42519836B3EF}" name="Column1835"/>
    <tableColumn id="1850" xr3:uid="{4F0AB1D2-5AF6-4BF9-B4F1-97FF98134B69}" name="Column1836"/>
    <tableColumn id="1851" xr3:uid="{C5575DA8-1157-44B2-889F-5A5EBA8F45B6}" name="Column1837"/>
    <tableColumn id="1852" xr3:uid="{C612AB43-4417-4DA1-8696-7BB75BA5B014}" name="Column1838"/>
    <tableColumn id="1853" xr3:uid="{F93114BB-685A-4095-BA8B-1CDA842F5B39}" name="Column1839"/>
    <tableColumn id="1854" xr3:uid="{15D08AB7-DD7A-4715-A11F-96379E23A5D2}" name="Column1840"/>
    <tableColumn id="1855" xr3:uid="{1D116B5C-5C21-44CA-8B19-B0D8EEF77D54}" name="Column1841"/>
    <tableColumn id="1856" xr3:uid="{329AAD2C-56B6-441D-8C6C-24F00294AAB6}" name="Column1842"/>
    <tableColumn id="1857" xr3:uid="{44DA4728-4E1F-499E-A0FB-976E8222A4DC}" name="Column1843"/>
    <tableColumn id="1858" xr3:uid="{A00092C1-CF9F-4D38-B651-97DE535302F8}" name="Column1844"/>
    <tableColumn id="1859" xr3:uid="{A1FAC89F-52F4-4875-A86B-A45290A6AF00}" name="Column1845"/>
    <tableColumn id="1860" xr3:uid="{22754AA4-99D0-4CBC-9D16-A2CC2A464252}" name="Column1846"/>
    <tableColumn id="1861" xr3:uid="{85D0C96A-2405-464C-B3CA-A26BED7581D2}" name="Column1847"/>
    <tableColumn id="1862" xr3:uid="{F7D4CA92-5725-4435-B177-1F26B13C0D6F}" name="Column1848"/>
    <tableColumn id="1863" xr3:uid="{D09101D6-92B3-4538-BCC7-4D401EC7A50E}" name="Column1849"/>
    <tableColumn id="1864" xr3:uid="{274D2334-2C25-4C02-8190-9578411A0F39}" name="Column1850"/>
    <tableColumn id="1865" xr3:uid="{B7065568-4248-4E5E-AF05-843D6A3D7CDF}" name="Column1851"/>
    <tableColumn id="1866" xr3:uid="{D9AD2E5E-4C8D-4E60-A3D3-6C8C16872B13}" name="Column1852"/>
    <tableColumn id="1867" xr3:uid="{BC9E03EA-AC63-4532-BE36-6AF4B182E4B4}" name="Column1853"/>
    <tableColumn id="1868" xr3:uid="{013EE04C-9597-4815-9D9D-E3A9F7DA4B01}" name="Column1854"/>
    <tableColumn id="1869" xr3:uid="{1B65E2A5-2D3A-4B33-9DF3-5ED05878624E}" name="Column1855"/>
    <tableColumn id="1870" xr3:uid="{9D16E244-B291-4A6E-9C87-CDB499C59EB5}" name="Column1856"/>
    <tableColumn id="1871" xr3:uid="{62D667BF-3B08-4D1B-AAEC-91F2B4CC774E}" name="Column1857"/>
    <tableColumn id="1872" xr3:uid="{80DA9451-F9D7-4315-8DC0-A67308A0C4A4}" name="Column1858"/>
    <tableColumn id="1873" xr3:uid="{34DEEE62-DDC7-4BFB-8C77-28BA6DF0AA9A}" name="Column1859"/>
    <tableColumn id="1874" xr3:uid="{B4DC3DA5-4D31-4C9C-B30F-01A1B284BC2E}" name="Column1860"/>
    <tableColumn id="1875" xr3:uid="{E89214D6-BD76-403B-8EEB-6CA24E17FDB2}" name="Column1861"/>
    <tableColumn id="1876" xr3:uid="{4C79DE77-D266-4856-8059-838ABEC543AD}" name="Column1862"/>
    <tableColumn id="1877" xr3:uid="{39AC8E98-C22F-4109-9926-A17C0806E2AF}" name="Column1863"/>
    <tableColumn id="1878" xr3:uid="{DEF9C352-44A7-497D-AB2D-5C1DB6F2C195}" name="Column1864"/>
    <tableColumn id="1879" xr3:uid="{7B428CA1-207C-4BD3-ACCC-68B65A6F98AC}" name="Column1865"/>
    <tableColumn id="1880" xr3:uid="{78464377-006D-4EE4-BD79-2F2448BB91CF}" name="Column1866"/>
    <tableColumn id="1881" xr3:uid="{814BDAF1-6A92-4D03-86FF-BCBAE8D1F839}" name="Column1867"/>
    <tableColumn id="1882" xr3:uid="{84B9282B-3802-4924-9554-719317D8A1CF}" name="Column1868"/>
    <tableColumn id="1883" xr3:uid="{C2F517DD-3046-4A2C-906F-BAFAB0541520}" name="Column1869"/>
    <tableColumn id="1884" xr3:uid="{928968AB-46E1-41C7-8D03-7593B8C5B764}" name="Column1870"/>
    <tableColumn id="1885" xr3:uid="{418CCD74-ED50-4FB5-927B-22AA4AB2C1D4}" name="Column1871"/>
    <tableColumn id="1886" xr3:uid="{E7894B42-6CED-4430-95F0-D3B4BE1A614C}" name="Column1872"/>
    <tableColumn id="1887" xr3:uid="{915FD993-85B6-46B8-A8C9-C8BA555400BE}" name="Column1873"/>
    <tableColumn id="1888" xr3:uid="{3F95BE5A-EBFB-4A77-AB6F-4AB15AFAB3A6}" name="Column1874"/>
    <tableColumn id="1889" xr3:uid="{97A5080C-5FEB-48BB-AC30-4039EB1B085E}" name="Column1875"/>
    <tableColumn id="1890" xr3:uid="{482850E7-14E7-4CDD-99A2-5A3EFB0B1543}" name="Column1876"/>
    <tableColumn id="1891" xr3:uid="{D762A7AA-6CF9-42C0-9176-88D211AE0725}" name="Column1877"/>
    <tableColumn id="1892" xr3:uid="{AB69F9B0-95F3-40FF-934F-127F43986973}" name="Column1878"/>
    <tableColumn id="1893" xr3:uid="{FF8D1BB0-6958-4F43-8CAD-716E2F1C2134}" name="Column1879"/>
    <tableColumn id="1894" xr3:uid="{5A3221D8-58CE-47A0-A4F1-5C4EACD382FE}" name="Column1880"/>
    <tableColumn id="1895" xr3:uid="{7ACCA47E-8955-4A40-99BD-1CA9C2D0D8C3}" name="Column1881"/>
    <tableColumn id="1896" xr3:uid="{63CA3C16-1D2B-4986-A63B-59A9C3BDF33C}" name="Column1882"/>
    <tableColumn id="1897" xr3:uid="{361D52C8-7540-44E0-B3FF-E6DD49FA3A10}" name="Column1883"/>
    <tableColumn id="1898" xr3:uid="{02D273DA-1C25-40AF-9371-8905554D6761}" name="Column1884"/>
    <tableColumn id="1899" xr3:uid="{EB85770E-1A1A-4234-9EEB-F31C8DC4B3DC}" name="Column1885"/>
    <tableColumn id="1900" xr3:uid="{D570AC0A-90AC-484E-BE37-DAF38385F0DC}" name="Column1886"/>
    <tableColumn id="1901" xr3:uid="{A39B5ECC-E285-45F0-898B-1ECD2A4CE568}" name="Column1887"/>
    <tableColumn id="1902" xr3:uid="{34F06316-DFC9-423A-96D3-A7653EB27E0D}" name="Column1888"/>
    <tableColumn id="1903" xr3:uid="{FAD805B0-9BEF-4E27-8CE4-9209754FED04}" name="Column1889"/>
    <tableColumn id="1904" xr3:uid="{042A88DC-03D3-4F00-927C-BCCB073D4EEE}" name="Column1890"/>
    <tableColumn id="1905" xr3:uid="{69DE5BB2-C472-418D-AD06-66207B16371A}" name="Column1891"/>
    <tableColumn id="1906" xr3:uid="{B7670066-1764-4486-A05F-EB1297F625AA}" name="Column1892"/>
    <tableColumn id="1907" xr3:uid="{5266E25F-7E4D-4F1D-BECD-7F9634F82886}" name="Column1893"/>
    <tableColumn id="1908" xr3:uid="{58B224E4-1062-4140-BA4C-91C386A28ED6}" name="Column1894"/>
    <tableColumn id="1909" xr3:uid="{3A2F770D-ECCC-4E10-9F4A-A80D402A1865}" name="Column1895"/>
    <tableColumn id="1910" xr3:uid="{C916821B-3E6A-4A2D-A37A-DA6E7A13D8D5}" name="Column1896"/>
    <tableColumn id="1911" xr3:uid="{C6EE7558-7FCC-40DB-B028-046242C8970B}" name="Column1897"/>
    <tableColumn id="1912" xr3:uid="{4217B952-854B-4080-808F-3DFDDA56D6D2}" name="Column1898"/>
    <tableColumn id="1913" xr3:uid="{2FB89536-9535-4A19-8792-077CB7BEBB11}" name="Column1899"/>
    <tableColumn id="1914" xr3:uid="{DBBCD953-D0DC-4600-AB16-591084C2A78E}" name="Column1900"/>
    <tableColumn id="1915" xr3:uid="{FD636BEA-DB9E-4579-9F22-D42B3EF6F940}" name="Column1901"/>
    <tableColumn id="1916" xr3:uid="{DE4775DA-31C3-46BD-8243-7A56FCD07235}" name="Column1902"/>
    <tableColumn id="1917" xr3:uid="{C59468D3-7BE8-47B4-8BCB-3186E0130251}" name="Column1903"/>
    <tableColumn id="1918" xr3:uid="{038A53D0-5120-4EC5-9C2A-AFFCBB5BA934}" name="Column1904"/>
    <tableColumn id="1919" xr3:uid="{9591C432-46D7-4938-ACB4-A5A828E9904B}" name="Column1905"/>
    <tableColumn id="1920" xr3:uid="{C2DA441F-F628-473D-8DD7-294A430BCD2D}" name="Column1906"/>
    <tableColumn id="1921" xr3:uid="{646CA452-7A95-4E01-994A-E8B30EBFC3C4}" name="Column1907"/>
    <tableColumn id="1922" xr3:uid="{50EC2A55-9833-44B9-98E7-1F65AC09677D}" name="Column1908"/>
    <tableColumn id="1923" xr3:uid="{31C5A8B0-F0F8-4116-A888-021168C63C09}" name="Column1909"/>
    <tableColumn id="1924" xr3:uid="{D3A23031-FDCB-4B56-9C77-0BC02FA6691B}" name="Column1910"/>
    <tableColumn id="1925" xr3:uid="{3BA4A3E3-FA41-4EE8-A857-E07CED6B4679}" name="Column1911"/>
    <tableColumn id="1926" xr3:uid="{14058872-7A1E-4B1B-9D93-40AC2C5CD411}" name="Column1912"/>
    <tableColumn id="1927" xr3:uid="{B1CA8550-5C6C-4C09-A10A-89AD21BF93DA}" name="Column1913"/>
    <tableColumn id="1928" xr3:uid="{40254B6A-CC3C-455A-8809-30D07D96E62E}" name="Column1914"/>
    <tableColumn id="1929" xr3:uid="{A5FE52D8-0DBA-4703-B2F9-FDCDCC9B1496}" name="Column1915"/>
    <tableColumn id="1930" xr3:uid="{3676D6B8-42EC-4437-982D-D015E231302B}" name="Column1916"/>
    <tableColumn id="1931" xr3:uid="{4835B868-F2A5-483E-BCA5-847A141080CD}" name="Column1917"/>
    <tableColumn id="1932" xr3:uid="{5645B16C-E8A8-4411-9026-A1ED1AF126F5}" name="Column1918"/>
    <tableColumn id="1933" xr3:uid="{9E2E9B65-F4E5-4E06-8C6D-F4E99C60DD93}" name="Column1919"/>
    <tableColumn id="1934" xr3:uid="{76C8B33F-670B-46CE-85FC-B958ADC84122}" name="Column1920"/>
    <tableColumn id="1935" xr3:uid="{39B0285B-B93C-4E9C-A8DE-2791E15DE15A}" name="Column1921"/>
    <tableColumn id="1936" xr3:uid="{B8CEC822-073A-4FEA-931D-0E4FA7464DC0}" name="Column1922"/>
    <tableColumn id="1937" xr3:uid="{A2015B37-4766-4991-B3EB-30F32BAD2EE5}" name="Column1923"/>
    <tableColumn id="1938" xr3:uid="{8A4B83C2-395B-4EF8-A3E8-88C2E4164131}" name="Column1924"/>
    <tableColumn id="1939" xr3:uid="{DEC9BFAC-40A9-45D4-A0D0-4D570518993B}" name="Column1925"/>
    <tableColumn id="1940" xr3:uid="{DBA3342F-71C1-463D-AF71-24E955E5C853}" name="Column1926"/>
    <tableColumn id="1941" xr3:uid="{742B81D1-567F-4D76-9FF1-E4D0B654BC81}" name="Column1927"/>
    <tableColumn id="1942" xr3:uid="{5A99AA60-65EA-44F4-9BD5-BA2D59EB7D17}" name="Column1928"/>
    <tableColumn id="1943" xr3:uid="{7F5915A8-0C20-444D-8655-B7D4C12E3FC2}" name="Column1929"/>
    <tableColumn id="1944" xr3:uid="{6540F578-848E-4001-A959-6381B3668646}" name="Column1930"/>
    <tableColumn id="1945" xr3:uid="{E5B3CA6F-81ED-46D9-A74F-D52B2393142B}" name="Column1931"/>
    <tableColumn id="1946" xr3:uid="{A39E567C-8B54-4082-86F8-8419F72635BA}" name="Column1932"/>
    <tableColumn id="1947" xr3:uid="{50AEBA65-3F14-440D-BCC0-AA628D5CC57F}" name="Column1933"/>
    <tableColumn id="1948" xr3:uid="{5B2B2348-44D8-4398-A0CF-0B4E1AC5617D}" name="Column1934"/>
    <tableColumn id="1949" xr3:uid="{20147C53-EBF8-4C4F-AC30-871780190D4C}" name="Column1935"/>
    <tableColumn id="1950" xr3:uid="{64472575-265B-4895-8561-FCF324C04FCD}" name="Column1936"/>
    <tableColumn id="1951" xr3:uid="{CCA44742-706A-4D6F-B62F-E80857FFA338}" name="Column1937"/>
    <tableColumn id="1952" xr3:uid="{34722D60-04E8-45B5-B171-79F13643EEC5}" name="Column1938"/>
    <tableColumn id="1953" xr3:uid="{3034D972-8444-43DB-84A2-6CA8F257E567}" name="Column1939"/>
    <tableColumn id="1954" xr3:uid="{294AF5FC-52B6-454D-AFB2-48494AF2973E}" name="Column1940"/>
    <tableColumn id="1955" xr3:uid="{7683ED59-5E96-4BC8-960C-C9C5530F0A8C}" name="Column1941"/>
    <tableColumn id="1956" xr3:uid="{B93505E2-44A6-4980-AA28-F1C623C76F5E}" name="Column1942"/>
    <tableColumn id="1957" xr3:uid="{8D5512F8-9B2D-47EA-AC04-432642B70074}" name="Column1943"/>
    <tableColumn id="1958" xr3:uid="{0EE16958-A5AE-4295-8D16-29ACBC1F11D6}" name="Column1944"/>
    <tableColumn id="1959" xr3:uid="{26A53EE2-FE0B-4BFE-9127-2517C0C95E5A}" name="Column1945"/>
    <tableColumn id="1960" xr3:uid="{15BB8FE8-BBE7-4F6E-8EFB-BC4C913831A0}" name="Column1946"/>
    <tableColumn id="1961" xr3:uid="{CC71084E-0044-4107-AE87-44E7A57B2943}" name="Column1947"/>
    <tableColumn id="1962" xr3:uid="{3EE0F4E3-835D-4DF7-A129-30621EC04A09}" name="Column1948"/>
    <tableColumn id="1963" xr3:uid="{0EEFF72F-57D6-43F4-AF7B-6B0C7BD6E03D}" name="Column1949"/>
    <tableColumn id="1964" xr3:uid="{06614729-4195-45F3-A4CF-5BE6F1F7E87E}" name="Column1950"/>
    <tableColumn id="1965" xr3:uid="{13D9C40A-F7C9-4B22-BD19-AB534A062B24}" name="Column1951"/>
    <tableColumn id="1966" xr3:uid="{CD3D2437-7745-467A-99FD-36E1A11B604D}" name="Column1952"/>
    <tableColumn id="1967" xr3:uid="{369D8354-0C39-4BAA-B2F5-BFAD6A680E63}" name="Column1953"/>
    <tableColumn id="1968" xr3:uid="{E07123C2-A37E-4486-863E-7B380AA4A807}" name="Column1954"/>
    <tableColumn id="1969" xr3:uid="{226D73EA-F016-4D0C-A003-1A8049914F44}" name="Column1955"/>
    <tableColumn id="1970" xr3:uid="{B8321AF8-7358-4018-AC60-B3327DC2E299}" name="Column1956"/>
    <tableColumn id="1971" xr3:uid="{3D4AE4B8-3F4D-4089-BBAA-C6DC80D19014}" name="Column1957"/>
    <tableColumn id="1972" xr3:uid="{D07FA9A7-1F93-4DC1-8337-AB439612A400}" name="Column1958"/>
    <tableColumn id="1973" xr3:uid="{9C6E884C-17C6-449E-9031-FDAB49FA1182}" name="Column1959"/>
    <tableColumn id="1974" xr3:uid="{8811BAD4-3891-40A9-8AEB-BB715C82E716}" name="Column1960"/>
    <tableColumn id="1975" xr3:uid="{CBBE9186-FC09-4A95-89C6-6CDA9734FA74}" name="Column1961"/>
    <tableColumn id="1976" xr3:uid="{623E14B3-6804-4DA6-93BB-DE7F3068B0C4}" name="Column1962"/>
    <tableColumn id="1977" xr3:uid="{7256BB0A-1549-4B62-BFAC-FE1C50ED42E0}" name="Column1963"/>
    <tableColumn id="1978" xr3:uid="{AFD6DBFD-DF56-498F-AA49-44D9E099479E}" name="Column1964"/>
    <tableColumn id="1979" xr3:uid="{4B4E5162-8A6C-4B4B-AD36-7A1F617248DF}" name="Column1965"/>
    <tableColumn id="1980" xr3:uid="{58CA4991-53E0-4474-B09D-E002D2410772}" name="Column1966"/>
    <tableColumn id="1981" xr3:uid="{A911C6AE-F9B3-4427-87F7-E7D331FB6D68}" name="Column1967"/>
    <tableColumn id="1982" xr3:uid="{C5D56824-CFD9-4A1F-AEDC-A0C64B6E667A}" name="Column1968"/>
    <tableColumn id="1983" xr3:uid="{BF370435-A638-4C84-8398-60F41061346C}" name="Column1969"/>
    <tableColumn id="1984" xr3:uid="{742835C6-2425-479C-B3B8-B881ED7FDCC9}" name="Column1970"/>
    <tableColumn id="1985" xr3:uid="{0EA517E9-8992-44A6-8BDB-A7BEAFB57F1E}" name="Column1971"/>
    <tableColumn id="1986" xr3:uid="{A2C65FBC-B392-420B-9646-1609A58ED7A9}" name="Column1972"/>
    <tableColumn id="1987" xr3:uid="{6C673592-8F2C-4CDD-BE50-68669A88A1CD}" name="Column1973"/>
    <tableColumn id="1988" xr3:uid="{BD17F3B2-45CB-4E77-9C90-23D1CD102B49}" name="Column1974"/>
    <tableColumn id="1989" xr3:uid="{575B7417-1DC8-4CB4-9E56-AAB3CDA06C02}" name="Column1975"/>
    <tableColumn id="1990" xr3:uid="{6B6D3830-745B-42F7-81C5-CD3658B77102}" name="Column1976"/>
    <tableColumn id="1991" xr3:uid="{663A4F2E-B429-4713-B9BB-09D532DF3CF2}" name="Column1977"/>
    <tableColumn id="1992" xr3:uid="{DBF34C3F-45C4-497E-BC99-8141B2ED9B58}" name="Column1978"/>
    <tableColumn id="1993" xr3:uid="{2C1457CE-8FCE-45DC-8AB4-1A61BA8CF846}" name="Column1979"/>
    <tableColumn id="1994" xr3:uid="{01CF2A3F-3CE9-423D-9E84-541BC946992B}" name="Column1980"/>
    <tableColumn id="1995" xr3:uid="{F0D8C5EF-27FC-488E-B1F0-9CB25DE13EA0}" name="Column1981"/>
    <tableColumn id="1996" xr3:uid="{0FE0B82B-D2D9-4AF1-B5AF-1FBB989FC86B}" name="Column1982"/>
    <tableColumn id="1997" xr3:uid="{D6548A94-8255-46DC-8B64-BE1209EAFC30}" name="Column1983"/>
    <tableColumn id="1998" xr3:uid="{064F555C-5610-4FA3-87C4-073C4F56A905}" name="Column1984"/>
    <tableColumn id="1999" xr3:uid="{5EA6B969-0DC1-42E8-8D37-956C71ED1FDA}" name="Column1985"/>
    <tableColumn id="2000" xr3:uid="{54DEB6A4-FE46-430E-9EF4-7F21342965B3}" name="Column1986"/>
    <tableColumn id="2001" xr3:uid="{5A941AD3-80EB-43A2-99B6-03A233EA0D26}" name="Column1987"/>
    <tableColumn id="2002" xr3:uid="{257856B2-C55A-4768-A086-6196ABCE1E24}" name="Column1988"/>
    <tableColumn id="2003" xr3:uid="{32EB5564-AECF-4683-98A2-64FD76916E6C}" name="Column1989"/>
    <tableColumn id="2004" xr3:uid="{F346D1FC-61E9-402A-BE4B-C21CBB4F447B}" name="Column1990"/>
    <tableColumn id="2005" xr3:uid="{2B430427-0FFB-4953-A890-D53C23B8D306}" name="Column1991"/>
    <tableColumn id="2006" xr3:uid="{F8B5D7D7-3C04-41C5-A6C0-C976FB073AF3}" name="Column1992"/>
    <tableColumn id="2007" xr3:uid="{A4CA62E2-324E-4636-8C00-669E502BFF17}" name="Column1993"/>
    <tableColumn id="2008" xr3:uid="{9CE72CE5-4E81-461C-BFA7-D4128549563E}" name="Column1994"/>
    <tableColumn id="2009" xr3:uid="{72B6C916-497A-4607-85F2-B235B56165E6}" name="Column1995"/>
    <tableColumn id="2010" xr3:uid="{244710BD-704F-4949-B724-CC1C3C4DB05C}" name="Column1996"/>
    <tableColumn id="2011" xr3:uid="{64192F4D-2966-456D-A133-38FC13A0A76C}" name="Column1997"/>
    <tableColumn id="2012" xr3:uid="{D164108B-C396-4D33-AF06-16E310FC5D1A}" name="Column1998"/>
    <tableColumn id="2013" xr3:uid="{4E8C2207-1FD2-4941-913D-F391F3DD75BB}" name="Column1999"/>
    <tableColumn id="2014" xr3:uid="{BEEB6CA7-1763-4625-8D07-01554489B01F}" name="Column2000"/>
    <tableColumn id="2015" xr3:uid="{C370DD97-6010-42F9-8EAD-7FE50ABE7712}" name="Column2001"/>
    <tableColumn id="2016" xr3:uid="{37494DDF-C84E-44D8-94A8-BACF03D92805}" name="Column2002"/>
    <tableColumn id="2017" xr3:uid="{EF7AA0A4-2EC6-433C-8FD2-7596E0EBDBFB}" name="Column2003"/>
    <tableColumn id="2018" xr3:uid="{CA765FB1-E23F-4019-93E5-7C0BAD34D249}" name="Column2004"/>
    <tableColumn id="2019" xr3:uid="{DDA01627-7AB3-4AD1-8597-F02D2AD9AA87}" name="Column2005"/>
    <tableColumn id="2020" xr3:uid="{57BE6811-B379-46D0-9018-E93AB93149A7}" name="Column2006"/>
    <tableColumn id="2021" xr3:uid="{8A357656-88D1-4DE7-84AE-4AF51E5B3628}" name="Column2007"/>
    <tableColumn id="2022" xr3:uid="{AD233C71-AAF0-432F-B1FD-57175480BFA2}" name="Column2008"/>
    <tableColumn id="2023" xr3:uid="{5B076356-6737-473B-A307-C59CF2F4A3F1}" name="Column2009"/>
    <tableColumn id="2024" xr3:uid="{9523E246-7D15-4E1C-A20C-C2F94EA7F95D}" name="Column2010"/>
    <tableColumn id="2025" xr3:uid="{17B0B0FB-E377-4FDF-87B5-27527D6CBE4A}" name="Column2011"/>
    <tableColumn id="2026" xr3:uid="{160C0BC0-167D-433D-AAC4-30D7AC87A476}" name="Column2012"/>
    <tableColumn id="2027" xr3:uid="{98E7AF97-66CE-461C-9A8C-A92EDD32454F}" name="Column2013"/>
    <tableColumn id="2028" xr3:uid="{2CACD84A-BAF7-4ED9-85C3-3CC9FCDFEBCB}" name="Column2014"/>
    <tableColumn id="2029" xr3:uid="{1777343B-9AC3-4C0B-BCB1-39CE7A5FFF29}" name="Column2015"/>
    <tableColumn id="2030" xr3:uid="{4D7B752F-14E3-4017-ABA1-C2F877388083}" name="Column2016"/>
    <tableColumn id="2031" xr3:uid="{1488F239-3550-4A9F-B2D2-764878087E9C}" name="Column2017"/>
    <tableColumn id="2032" xr3:uid="{C0B6591A-9F1E-4050-BA84-E09C7671B982}" name="Column2018"/>
    <tableColumn id="2033" xr3:uid="{A32DBF51-802E-42B4-B685-F039B1AC0AF5}" name="Column2019"/>
    <tableColumn id="2034" xr3:uid="{11531F0E-51AA-4E65-8613-2C44F7071CD0}" name="Column2020"/>
    <tableColumn id="2035" xr3:uid="{572FA6F7-FEA3-475E-B8E3-6A930668C120}" name="Column2021"/>
    <tableColumn id="2036" xr3:uid="{A40B6507-919B-42ED-873E-496329B74683}" name="Column2022"/>
    <tableColumn id="2037" xr3:uid="{CEDDC8BB-D7FF-4C3D-A790-6C08F012E963}" name="Column2023"/>
    <tableColumn id="2038" xr3:uid="{0348CEAD-FC54-4414-A5DB-8B7D80F0F25A}" name="Column2024"/>
    <tableColumn id="2039" xr3:uid="{46D4402B-73E5-47D9-BAB4-D072DDF2415E}" name="Column2025"/>
    <tableColumn id="2040" xr3:uid="{FDD8DEAA-BA08-43BC-9560-19CACBB850C5}" name="Column2026"/>
    <tableColumn id="2041" xr3:uid="{350B166C-BC2D-4ED8-9A07-37DFA58A59BE}" name="Column2027"/>
    <tableColumn id="2042" xr3:uid="{F7135EDF-E8C9-44A3-963A-B9DF42EFE617}" name="Column2028"/>
    <tableColumn id="2043" xr3:uid="{30508CC6-5741-4D2E-823A-F40C81F1A7F9}" name="Column2029"/>
    <tableColumn id="2044" xr3:uid="{243E9A97-DCC3-4136-9F51-82225322057F}" name="Column2030"/>
    <tableColumn id="2045" xr3:uid="{FCBB7C42-ADAC-4251-8D01-20774D0E9731}" name="Column2031"/>
    <tableColumn id="2046" xr3:uid="{76085388-8B5A-4961-8873-0B6A9CD34EA4}" name="Column2032"/>
    <tableColumn id="2047" xr3:uid="{7D6F89EB-5EDB-4C53-9DB3-14A2454D3267}" name="Column2033"/>
    <tableColumn id="2048" xr3:uid="{2985DC60-B861-4091-88BE-72E90FD28506}" name="Column2034"/>
    <tableColumn id="2049" xr3:uid="{D4E4EDB1-2EB4-41C8-A565-422CDEA4AB53}" name="Column2035"/>
    <tableColumn id="2050" xr3:uid="{327621A1-7167-410D-83B4-328378936EB3}" name="Column2036"/>
    <tableColumn id="2051" xr3:uid="{5F523764-471C-47FC-A7DD-178C540D4472}" name="Column2037"/>
    <tableColumn id="2052" xr3:uid="{B6A2470E-E502-4010-BB42-E0AF60612FEE}" name="Column2038"/>
    <tableColumn id="2053" xr3:uid="{D51B1E39-CB00-463C-B15F-ED9EF475D2BE}" name="Column2039"/>
    <tableColumn id="2054" xr3:uid="{02F35DAA-0752-41DC-BA0E-02CE8818C923}" name="Column2040"/>
    <tableColumn id="2055" xr3:uid="{8A547E79-0092-4379-B4D9-CB756870E5DA}" name="Column2041"/>
    <tableColumn id="2056" xr3:uid="{6B2C1967-D859-4D9B-B1F2-BFC5F90EEE88}" name="Column2042"/>
    <tableColumn id="2057" xr3:uid="{07769F08-77AE-442A-94C8-EA550392A6FA}" name="Column2043"/>
    <tableColumn id="2058" xr3:uid="{0C4BB462-212B-4AFF-A248-160F45CD3DA6}" name="Column2044"/>
    <tableColumn id="2059" xr3:uid="{FD274F3A-D00E-4852-AC17-3406FC6CF4DE}" name="Column2045"/>
    <tableColumn id="2060" xr3:uid="{3B7882C2-65B8-402F-906C-5F792DBBF7F9}" name="Column2046"/>
    <tableColumn id="2061" xr3:uid="{6241D7AF-F1DD-4DCA-B40C-C99C77E3A398}" name="Column2047"/>
    <tableColumn id="2062" xr3:uid="{4B2CC2A1-DEAC-408E-A081-740CCB671F43}" name="Column2048"/>
    <tableColumn id="2063" xr3:uid="{8B71CA70-884B-4D42-A3AE-15B792CBCF8F}" name="Column2049"/>
    <tableColumn id="2064" xr3:uid="{E593A029-15B8-4BB6-8A06-A6B1E936EFB6}" name="Column2050"/>
    <tableColumn id="2065" xr3:uid="{89FB6236-2671-45E2-97B9-F2F835A617C3}" name="Column2051"/>
    <tableColumn id="2066" xr3:uid="{451D458B-B83B-4AE4-B02F-2E0A59499683}" name="Column2052"/>
    <tableColumn id="2067" xr3:uid="{CC951175-CB69-4DA4-BF1C-D4A5978058BC}" name="Column2053"/>
    <tableColumn id="2068" xr3:uid="{EA4B9B08-0DA5-41EB-A09F-3E2B2736FBF7}" name="Column2054"/>
    <tableColumn id="2069" xr3:uid="{FCD6F4C9-4914-4360-B6CE-32A481EA1F43}" name="Column2055"/>
    <tableColumn id="2070" xr3:uid="{CA2000A0-A102-41C6-868F-CA4E6CC34FE7}" name="Column2056"/>
    <tableColumn id="2071" xr3:uid="{24B4D8AF-310B-4B57-96AC-64376C00FE4F}" name="Column2057"/>
    <tableColumn id="2072" xr3:uid="{9CC173D3-01B3-45CE-9F32-107A5EEE690F}" name="Column2058"/>
    <tableColumn id="2073" xr3:uid="{BA495634-A129-4A2B-9315-2BF4059CD5C8}" name="Column2059"/>
    <tableColumn id="2074" xr3:uid="{3BA97BF8-EC09-4EE7-8DD3-8B907DE65F8E}" name="Column2060"/>
    <tableColumn id="2075" xr3:uid="{A837395F-076A-4E7E-92E6-09E7D1E6CA3E}" name="Column2061"/>
    <tableColumn id="2076" xr3:uid="{C85F3870-ED3F-4428-A31C-3B74E887778D}" name="Column2062"/>
    <tableColumn id="2077" xr3:uid="{D208925E-49A8-4963-AB90-BBE3A8889683}" name="Column2063"/>
    <tableColumn id="2078" xr3:uid="{8ACAEC0B-EDA4-4D43-B040-04A7713F0CA7}" name="Column2064"/>
    <tableColumn id="2079" xr3:uid="{C540A103-779E-4A96-8EBE-BF863DA7EC9A}" name="Column2065"/>
    <tableColumn id="2080" xr3:uid="{6462BE47-0E63-443E-9627-EB609CA44406}" name="Column2066"/>
    <tableColumn id="2081" xr3:uid="{F0B1C9D5-0E16-45D9-A9D3-943C9C76E09E}" name="Column2067"/>
    <tableColumn id="2082" xr3:uid="{111BAA4C-205F-4893-948C-E123DAE07733}" name="Column2068"/>
    <tableColumn id="2083" xr3:uid="{82D83985-D27D-4548-BA3B-902F0B3722E6}" name="Column2069"/>
    <tableColumn id="2084" xr3:uid="{ED30FC21-886B-4D87-A36A-C1A26CF2EF9A}" name="Column2070"/>
    <tableColumn id="2085" xr3:uid="{8CDB77A9-DFEC-4B8F-AAFF-232DD444098B}" name="Column2071"/>
    <tableColumn id="2086" xr3:uid="{C8F15075-5570-4F1D-A166-07B960A5FCCF}" name="Column2072"/>
    <tableColumn id="2087" xr3:uid="{0E8A6B74-239C-4DA7-87EA-22D7ABBE65EA}" name="Column2073"/>
    <tableColumn id="2088" xr3:uid="{42FE9685-7A53-46DE-B4D6-FD892BC4DCC5}" name="Column2074"/>
    <tableColumn id="2089" xr3:uid="{5D9C1810-A10A-4218-982F-71A9CEA55AFB}" name="Column2075"/>
    <tableColumn id="2090" xr3:uid="{B3041D5C-8569-407F-8D6F-88B12B324363}" name="Column2076"/>
    <tableColumn id="2091" xr3:uid="{DD75E47F-4D43-4AC8-ABE6-7F38F7F4985C}" name="Column2077"/>
    <tableColumn id="2092" xr3:uid="{34A49F60-113A-47BD-85D2-7B6C95B38F8A}" name="Column2078"/>
    <tableColumn id="2093" xr3:uid="{5FC97E30-C021-4EBE-B469-6B86B5857AF3}" name="Column2079"/>
    <tableColumn id="2094" xr3:uid="{4ECA4D94-F012-4347-AD87-4145E13A627D}" name="Column2080"/>
    <tableColumn id="2095" xr3:uid="{68184256-D11E-48C0-A86C-E60EB90171DD}" name="Column2081"/>
    <tableColumn id="2096" xr3:uid="{D85B3AC8-C73A-443F-97EB-63FD8AFB827A}" name="Column2082"/>
    <tableColumn id="2097" xr3:uid="{F86A4BA4-8C0C-4EE3-8F14-77337D7D9AB8}" name="Column2083"/>
    <tableColumn id="2098" xr3:uid="{C0C3D2E0-8303-46AE-A078-B9E141DE51A0}" name="Column2084"/>
    <tableColumn id="2099" xr3:uid="{B9305B83-C724-4156-BAC0-64FF0C7D7405}" name="Column2085"/>
    <tableColumn id="2100" xr3:uid="{958A02D6-75B0-47CA-96D3-2E29AE54DBB0}" name="Column2086"/>
    <tableColumn id="2101" xr3:uid="{1619C802-EEB7-4BB9-A09B-772B2F6F75A2}" name="Column2087"/>
    <tableColumn id="2102" xr3:uid="{F339A44F-DCD6-44F5-BFBD-C2F0B59BD59B}" name="Column2088"/>
    <tableColumn id="2103" xr3:uid="{AA87CBCF-D8EE-4BFC-BCEA-A058AE00F2CB}" name="Column2089"/>
    <tableColumn id="2104" xr3:uid="{9529A67D-0480-4E4D-9B62-E6CD852C55C6}" name="Column2090"/>
    <tableColumn id="2105" xr3:uid="{4CB680CC-4B9E-48BA-BA70-F8DCA3087C98}" name="Column2091"/>
    <tableColumn id="2106" xr3:uid="{60704E49-C16D-439A-ACFF-D0657DA31AB5}" name="Column2092"/>
    <tableColumn id="2107" xr3:uid="{E2F97D14-88E8-4DC3-A666-EA519254621E}" name="Column2093"/>
    <tableColumn id="2108" xr3:uid="{4926B79D-8116-486A-98A9-6487F73C9891}" name="Column2094"/>
    <tableColumn id="2109" xr3:uid="{DBCDE0DF-713D-487F-B168-E3F956C53B75}" name="Column2095"/>
    <tableColumn id="2110" xr3:uid="{1C7DACF3-B38A-4376-B5E7-10191AF4B965}" name="Column2096"/>
    <tableColumn id="2111" xr3:uid="{806F2DF0-AEA7-48FF-98E4-058064842D37}" name="Column2097"/>
    <tableColumn id="2112" xr3:uid="{ED5C7689-5179-48E4-AC68-6A3DBCC22BBC}" name="Column2098"/>
    <tableColumn id="2113" xr3:uid="{502F8B95-B075-4890-BECE-A3163FA1890A}" name="Column2099"/>
    <tableColumn id="2114" xr3:uid="{AC4FA802-896D-4C64-ABA1-86D514400214}" name="Column2100"/>
    <tableColumn id="2115" xr3:uid="{E4C83F91-55F0-4193-8576-854D5467BE29}" name="Column2101"/>
    <tableColumn id="2116" xr3:uid="{B2CC092A-F14F-486E-BAC5-79AE72F1D394}" name="Column2102"/>
    <tableColumn id="2117" xr3:uid="{52695E46-099A-4864-9119-FB21DE9D47F1}" name="Column2103"/>
    <tableColumn id="2118" xr3:uid="{3FEB1D7C-64A2-4CED-9E5C-27E0095BFFE0}" name="Column2104"/>
    <tableColumn id="2119" xr3:uid="{78F91B7D-255B-409F-9631-832B02D2F6DA}" name="Column2105"/>
    <tableColumn id="2120" xr3:uid="{86A58D9B-9682-466B-ACE2-2C42E9697D29}" name="Column2106"/>
    <tableColumn id="2121" xr3:uid="{990B7983-D483-4B01-849E-810E11CABA19}" name="Column2107"/>
    <tableColumn id="2122" xr3:uid="{6A1A2E3D-D12E-4F0A-84AA-86E7939B141C}" name="Column2108"/>
    <tableColumn id="2123" xr3:uid="{F2AA6656-0704-4938-A242-90BC3DFF66AE}" name="Column2109"/>
    <tableColumn id="2124" xr3:uid="{9651BD68-ABE6-475F-91F6-BE004A03F372}" name="Column2110"/>
    <tableColumn id="2125" xr3:uid="{0F65637D-1A11-4498-8EDC-D4857B07F69C}" name="Column2111"/>
    <tableColumn id="2126" xr3:uid="{09C3F3EC-609F-49AA-8BFB-0EE0F5A78E87}" name="Column2112"/>
    <tableColumn id="2127" xr3:uid="{5CFFA66A-63AE-4022-8F97-D6BD6DC5B899}" name="Column2113"/>
    <tableColumn id="2128" xr3:uid="{72CEA46D-1019-4FDE-A31F-F788E3AA2542}" name="Column2114"/>
    <tableColumn id="2129" xr3:uid="{DBF996FB-D0ED-4B17-BD1D-C655A9C1C10C}" name="Column2115"/>
    <tableColumn id="2130" xr3:uid="{D9D3BDC0-DF27-4AA8-9A77-9B7568C1C7DA}" name="Column2116"/>
    <tableColumn id="2131" xr3:uid="{29AD02AF-A501-44CA-AFE2-618CAD82D030}" name="Column2117"/>
    <tableColumn id="2132" xr3:uid="{C5F6351D-A542-488C-93AA-22E51260B819}" name="Column2118"/>
    <tableColumn id="2133" xr3:uid="{040D20C3-8377-4B6B-914B-F5630C35910A}" name="Column2119"/>
    <tableColumn id="2134" xr3:uid="{32BA2182-260A-471F-84CD-B29862253940}" name="Column2120"/>
    <tableColumn id="2135" xr3:uid="{EE6FC4C9-672B-488E-B8E5-2BED06B90834}" name="Column2121"/>
    <tableColumn id="2136" xr3:uid="{100B2C14-EF22-43F1-8540-B1F3E0651E1B}" name="Column2122"/>
    <tableColumn id="2137" xr3:uid="{090D0F79-DB9D-4F26-96BA-3FACC72A8349}" name="Column2123"/>
    <tableColumn id="2138" xr3:uid="{76A81486-5E56-4387-9012-F63B2EA100ED}" name="Column2124"/>
    <tableColumn id="2139" xr3:uid="{24674FE6-BD77-4A71-B720-7D81B1522E74}" name="Column2125"/>
    <tableColumn id="2140" xr3:uid="{114B5B28-E6F7-41EC-9749-0C988A4B2099}" name="Column2126"/>
    <tableColumn id="2141" xr3:uid="{137446F4-4167-49EF-BF13-8C3B157EEF30}" name="Column2127"/>
    <tableColumn id="2142" xr3:uid="{8DA95B2E-2838-4683-8DC6-282C317A8CEA}" name="Column2128"/>
    <tableColumn id="2143" xr3:uid="{706BA203-19B2-4AEB-8B42-659CB621F3EB}" name="Column2129"/>
    <tableColumn id="2144" xr3:uid="{060036CF-05D5-420A-A3ED-E4A0623A3093}" name="Column2130"/>
    <tableColumn id="2145" xr3:uid="{529308CB-9198-41FB-B002-2CC52DF87E8D}" name="Column2131"/>
    <tableColumn id="2146" xr3:uid="{67AE48BD-55FE-4D26-80DD-81391186EF28}" name="Column2132"/>
    <tableColumn id="2147" xr3:uid="{48BF96F6-CDD8-4EEB-97BE-1BD9DA30A92E}" name="Column2133"/>
    <tableColumn id="2148" xr3:uid="{EB0D2952-46AE-4827-A723-ED19227E7889}" name="Column2134"/>
    <tableColumn id="2149" xr3:uid="{BB907C5E-2AD9-42D8-BDBD-98CABE1B972F}" name="Column2135"/>
    <tableColumn id="2150" xr3:uid="{765AD749-66EE-4681-8416-BDDCC744BE8D}" name="Column2136"/>
    <tableColumn id="2151" xr3:uid="{E2064142-875F-4918-AEB2-A917CF17E24D}" name="Column2137"/>
    <tableColumn id="2152" xr3:uid="{7208491F-C195-4CBF-8EA3-435788340B3B}" name="Column2138"/>
    <tableColumn id="2153" xr3:uid="{E8359CC5-DA2E-4BCC-AA2D-6FC4236D2CAA}" name="Column2139"/>
    <tableColumn id="2154" xr3:uid="{BDC57D75-CA4D-4F05-8DDE-5A10217583C6}" name="Column2140"/>
    <tableColumn id="2155" xr3:uid="{D2583350-F439-4CF6-80A5-901BC4DB8A72}" name="Column2141"/>
    <tableColumn id="2156" xr3:uid="{C2D8EA0F-A8D9-4871-810B-5AA633EFEEED}" name="Column2142"/>
    <tableColumn id="2157" xr3:uid="{52EC90A2-3959-479E-84BB-C310092DBCDA}" name="Column2143"/>
    <tableColumn id="2158" xr3:uid="{76DE845F-D7B5-48C1-9990-E1FAE08A9416}" name="Column2144"/>
    <tableColumn id="2159" xr3:uid="{58B30844-D20C-4B05-A186-BD8BCAE2E593}" name="Column2145"/>
    <tableColumn id="2160" xr3:uid="{2AFE5EBC-E16A-473B-AE53-49CFD31454FE}" name="Column2146"/>
    <tableColumn id="2161" xr3:uid="{CC259D88-3D64-4ED2-9CE2-221F4BD1B05D}" name="Column2147"/>
    <tableColumn id="2162" xr3:uid="{FC200703-EB38-4091-B4DB-A8DBB07E7A5D}" name="Column2148"/>
    <tableColumn id="2163" xr3:uid="{17A1D082-C0C2-425E-A5DB-1352B44F5836}" name="Column2149"/>
    <tableColumn id="2164" xr3:uid="{1C2D3FD0-30BF-46CA-9392-610B1B87204B}" name="Column2150"/>
    <tableColumn id="2165" xr3:uid="{C11FF25D-14BA-40A7-A8C2-602FEC07D86B}" name="Column2151"/>
    <tableColumn id="2166" xr3:uid="{98FC44D8-1B5D-447B-AFD1-FF666EA7D125}" name="Column2152"/>
    <tableColumn id="2167" xr3:uid="{0CB84F51-E768-4D7B-88AB-CEAB82B49E15}" name="Column2153"/>
    <tableColumn id="2168" xr3:uid="{6C5B664B-331F-4BD4-A808-06B35555E59E}" name="Column2154"/>
    <tableColumn id="2169" xr3:uid="{225E0C58-C6B2-47BE-BAFD-FD279ADE8D20}" name="Column2155"/>
    <tableColumn id="2170" xr3:uid="{0797EF4B-9FED-489F-853F-C1960DA3ED29}" name="Column2156"/>
    <tableColumn id="2171" xr3:uid="{31740EF8-89A2-41CE-8FF3-95D6BC6BC116}" name="Column2157"/>
    <tableColumn id="2172" xr3:uid="{1E1E5069-9DD6-46C4-B4D6-F9BB7D766FC4}" name="Column2158"/>
    <tableColumn id="2173" xr3:uid="{BEDAF128-29F9-4E61-A99E-7BA9C521A605}" name="Column2159"/>
    <tableColumn id="2174" xr3:uid="{40C90A5F-0D63-4FB0-842B-CB2CC4E1F440}" name="Column2160"/>
    <tableColumn id="2175" xr3:uid="{0FDFB2CB-155D-4566-B54C-18E642F10397}" name="Column2161"/>
    <tableColumn id="2176" xr3:uid="{BE2BA765-82B5-4D1D-B985-6982A6788453}" name="Column2162"/>
    <tableColumn id="2177" xr3:uid="{3FBEA1DD-7F1E-48C6-B335-8570903F0ED1}" name="Column2163"/>
    <tableColumn id="2178" xr3:uid="{202CCBC8-3C15-43EC-8AA5-DA1C8919BAED}" name="Column2164"/>
    <tableColumn id="2179" xr3:uid="{8F74ADC2-DCF4-4C8B-B296-63E0935C4BD5}" name="Column2165"/>
    <tableColumn id="2180" xr3:uid="{6783357A-9139-4935-A345-026FED2BE552}" name="Column2166"/>
    <tableColumn id="2181" xr3:uid="{601DAF61-E09D-4DF2-B7F6-850F08E7C133}" name="Column2167"/>
    <tableColumn id="2182" xr3:uid="{A497C62E-D5FB-43C6-A444-B27095455952}" name="Column2168"/>
    <tableColumn id="2183" xr3:uid="{339E0CBD-A6B8-4630-872A-01D34FAC4FED}" name="Column2169"/>
    <tableColumn id="2184" xr3:uid="{2051F74C-6000-488D-9A2A-D555AEA68D34}" name="Column2170"/>
    <tableColumn id="2185" xr3:uid="{5264E278-C45C-4763-95E2-12431C11A431}" name="Column2171"/>
    <tableColumn id="2186" xr3:uid="{E3D4795F-F989-4838-93C0-6AF9D63233CA}" name="Column2172"/>
    <tableColumn id="2187" xr3:uid="{42A397F5-C9D3-4A37-B23D-9316E39C7A23}" name="Column2173"/>
    <tableColumn id="2188" xr3:uid="{6C61D40F-A8CB-47B2-9798-CF418A6087A9}" name="Column2174"/>
    <tableColumn id="2189" xr3:uid="{1DA54ECE-E8A1-495B-B6E9-D9FA10E1F1D1}" name="Column2175"/>
    <tableColumn id="2190" xr3:uid="{19B7E32D-00C1-4D7E-AB5A-0DAF11E1B733}" name="Column2176"/>
    <tableColumn id="2191" xr3:uid="{EB1E17A6-44FF-4785-89F3-4CD1AEE6C2A0}" name="Column2177"/>
    <tableColumn id="2192" xr3:uid="{81388E27-2956-4D58-834A-692BD83DFB24}" name="Column2178"/>
    <tableColumn id="2193" xr3:uid="{85618AAD-81A1-4899-BFBC-3E66899C03A2}" name="Column2179"/>
    <tableColumn id="2194" xr3:uid="{F5341618-04CB-4932-8769-DFEB466A209D}" name="Column2180"/>
    <tableColumn id="2195" xr3:uid="{10948E57-011B-4E81-AE60-663241E1B771}" name="Column2181"/>
    <tableColumn id="2196" xr3:uid="{AC9A4A10-7D09-462B-92F5-AB7902891898}" name="Column2182"/>
    <tableColumn id="2197" xr3:uid="{9EDE19C2-21F4-4CA9-A359-0F29361A203C}" name="Column2183"/>
    <tableColumn id="2198" xr3:uid="{D9BFBF4C-C30B-4D0C-9A66-018654CA4583}" name="Column2184"/>
    <tableColumn id="2199" xr3:uid="{953F7F6D-3EFC-4B35-8310-419BECEA18F2}" name="Column2185"/>
    <tableColumn id="2200" xr3:uid="{4CE7691D-1A81-4CAA-8529-77228A0DF642}" name="Column2186"/>
    <tableColumn id="2201" xr3:uid="{BDD2D867-3B19-4CCF-8187-9C79691A3F97}" name="Column2187"/>
    <tableColumn id="2202" xr3:uid="{E8BD2349-3E47-4A30-8EA4-9F55B18F0200}" name="Column2188"/>
    <tableColumn id="2203" xr3:uid="{A6B834D3-85E0-4C43-865E-20B55427DDF3}" name="Column2189"/>
    <tableColumn id="2204" xr3:uid="{43BB1018-A96E-4715-B203-B65A5B704195}" name="Column2190"/>
    <tableColumn id="2205" xr3:uid="{5BA67D77-3417-47EF-8D59-C1AF3877EB4C}" name="Column2191"/>
    <tableColumn id="2206" xr3:uid="{33B82B45-7196-46CB-93FB-37533705D7C5}" name="Column2192"/>
    <tableColumn id="2207" xr3:uid="{3E4D20CE-8101-48EE-BA21-3A033DE10E40}" name="Column2193"/>
    <tableColumn id="2208" xr3:uid="{2304B481-AF1E-497E-8F98-B4EFA38B6CB9}" name="Column2194"/>
    <tableColumn id="2209" xr3:uid="{BF57B930-424D-4F69-A369-B00C7FF95B29}" name="Column2195"/>
    <tableColumn id="2210" xr3:uid="{027EA90F-8528-4D89-8EF3-43228901C3FB}" name="Column2196"/>
    <tableColumn id="2211" xr3:uid="{447933C8-4B33-4484-ACB6-549FFBFBE7D8}" name="Column2197"/>
    <tableColumn id="2212" xr3:uid="{670BBADF-467D-41DC-853A-2E4272521EF0}" name="Column2198"/>
    <tableColumn id="2213" xr3:uid="{9E694475-5DFF-4434-85C5-071FA4035F39}" name="Column2199"/>
    <tableColumn id="2214" xr3:uid="{60C4D02E-10D9-43D9-A8B1-06C18464CA2D}" name="Column2200"/>
    <tableColumn id="2215" xr3:uid="{DDF15A85-EF03-4532-99BF-833D61A8CDCC}" name="Column2201"/>
    <tableColumn id="2216" xr3:uid="{FE0BCF77-17BE-4050-84DC-32CC91C9E601}" name="Column2202"/>
    <tableColumn id="2217" xr3:uid="{71D6772D-91E9-4F00-91A8-A71CC3AACB2C}" name="Column2203"/>
    <tableColumn id="2218" xr3:uid="{03505DF0-9FF1-4AE1-956B-EAD91A0A8E5F}" name="Column2204"/>
    <tableColumn id="2219" xr3:uid="{B7EE4D90-C492-4832-95C7-5E698B9B3817}" name="Column2205"/>
    <tableColumn id="2220" xr3:uid="{EEFE013C-BAF4-48B0-B128-47393FDDC69C}" name="Column2206"/>
    <tableColumn id="2221" xr3:uid="{5BD148E6-4AF7-4867-A459-EF0297B960BE}" name="Column2207"/>
    <tableColumn id="2222" xr3:uid="{65E7FCE6-7F1F-4A04-AE32-1F69CB136833}" name="Column2208"/>
    <tableColumn id="2223" xr3:uid="{346583D7-4BD4-4E84-92E8-007F8D63832B}" name="Column2209"/>
    <tableColumn id="2224" xr3:uid="{8239DBD5-E61E-4904-84E1-35A5452253CA}" name="Column2210"/>
    <tableColumn id="2225" xr3:uid="{6EF961E5-72FA-4946-825F-838E862FF1F8}" name="Column2211"/>
    <tableColumn id="2226" xr3:uid="{E1115495-4E37-4332-A9DE-09D0E47C6413}" name="Column2212"/>
    <tableColumn id="2227" xr3:uid="{89828FC6-A9F2-46DD-B656-D8DCB66BEF52}" name="Column2213"/>
    <tableColumn id="2228" xr3:uid="{F3D30AC7-B7E4-4DC8-8832-5B6DD8474010}" name="Column2214"/>
    <tableColumn id="2229" xr3:uid="{15C1B9D2-21C5-471D-8ED9-E567F70E5B99}" name="Column2215"/>
    <tableColumn id="2230" xr3:uid="{7106D7E9-ABAB-4E7A-8CE2-4B4564A95966}" name="Column2216"/>
    <tableColumn id="2231" xr3:uid="{EC232EC3-C082-4D81-BA66-59307E5EB1BF}" name="Column2217"/>
    <tableColumn id="2232" xr3:uid="{21CB4BEF-7131-4C0B-9889-93B9CD1C89BC}" name="Column2218"/>
    <tableColumn id="2233" xr3:uid="{38167817-A302-4A24-B38E-D41413BC048E}" name="Column2219"/>
    <tableColumn id="2234" xr3:uid="{1E691614-F052-4D21-972B-05BD5A2F4D61}" name="Column2220"/>
    <tableColumn id="2235" xr3:uid="{1D6079FF-0A7F-489A-9275-5A781BA4589E}" name="Column2221"/>
    <tableColumn id="2236" xr3:uid="{F729485D-9EC5-4948-A98C-9BF02B6EE0E6}" name="Column2222"/>
    <tableColumn id="2237" xr3:uid="{39872E9A-0555-4CF5-8AC5-E848759A679E}" name="Column2223"/>
    <tableColumn id="2238" xr3:uid="{1F2DD562-D840-4933-921F-CD382E5B8E3D}" name="Column2224"/>
    <tableColumn id="2239" xr3:uid="{F658FAD7-08D3-4F8A-9E54-AF939AF8D056}" name="Column2225"/>
    <tableColumn id="2240" xr3:uid="{6E45F42C-BE41-4001-A83A-6DF41373AF7A}" name="Column2226"/>
    <tableColumn id="2241" xr3:uid="{1B29F521-6E01-49D8-A958-4B3CF1240886}" name="Column2227"/>
    <tableColumn id="2242" xr3:uid="{79BEBD77-D5A8-41FE-B0C8-D49C0F7E04B8}" name="Column2228"/>
    <tableColumn id="2243" xr3:uid="{BEB01F71-0370-413E-B8B2-FBE2AF2A2953}" name="Column2229"/>
    <tableColumn id="2244" xr3:uid="{8FD43A18-DFAC-48D4-B25A-2E93950A1F54}" name="Column2230"/>
    <tableColumn id="2245" xr3:uid="{F786DFDF-B700-4CC6-90C9-2C0598EB39D7}" name="Column2231"/>
    <tableColumn id="2246" xr3:uid="{608A3A13-C554-41D3-900A-2766A0C93729}" name="Column2232"/>
    <tableColumn id="2247" xr3:uid="{1DAFD009-09AD-48EC-A42B-9F33A4466CA5}" name="Column2233"/>
    <tableColumn id="2248" xr3:uid="{99CE061A-E06E-4B6B-9518-D340E2E1840F}" name="Column2234"/>
    <tableColumn id="2249" xr3:uid="{8FED9174-3225-4E44-B2C4-42136F7B35E8}" name="Column2235"/>
    <tableColumn id="2250" xr3:uid="{85E32B1D-BC70-494A-A920-ADB66DBFEDAB}" name="Column2236"/>
    <tableColumn id="2251" xr3:uid="{21F4C406-7388-42ED-9948-866B43137DC5}" name="Column2237"/>
    <tableColumn id="2252" xr3:uid="{B737C3AF-E683-45E9-8259-F6F73BF70797}" name="Column2238"/>
    <tableColumn id="2253" xr3:uid="{1774F993-385A-4959-9838-BAC82C18660C}" name="Column2239"/>
    <tableColumn id="2254" xr3:uid="{B0CF66BB-95DF-49ED-84E9-FEA6B8083C69}" name="Column2240"/>
    <tableColumn id="2255" xr3:uid="{30E27FF5-FC5C-430C-AB7A-259FC5B8EA11}" name="Column2241"/>
    <tableColumn id="2256" xr3:uid="{465322D6-8DE6-441E-899A-D7D46EC6196E}" name="Column2242"/>
    <tableColumn id="2257" xr3:uid="{6F9EE25B-F763-47CD-88D4-80956EFE630B}" name="Column2243"/>
    <tableColumn id="2258" xr3:uid="{8002208F-6EDB-4D1F-A4A7-432781109B74}" name="Column2244"/>
    <tableColumn id="2259" xr3:uid="{BE8BD97D-2B5D-444B-9480-FB2914F67589}" name="Column2245"/>
    <tableColumn id="2260" xr3:uid="{8204B77D-9E13-4214-86AB-74354A17772B}" name="Column2246"/>
    <tableColumn id="2261" xr3:uid="{FF6742F4-9A18-4C21-8154-7CB8753F33DB}" name="Column2247"/>
    <tableColumn id="2262" xr3:uid="{1538F0C7-6119-4F4B-B2DF-445E5424AACC}" name="Column2248"/>
    <tableColumn id="2263" xr3:uid="{D693A653-5295-407C-AF5C-B8A66B85F6CB}" name="Column2249"/>
    <tableColumn id="2264" xr3:uid="{18961D20-81A5-4D56-BD93-8E60254F3385}" name="Column2250"/>
    <tableColumn id="2265" xr3:uid="{503CC514-4627-4572-AD24-7BEB19744ABE}" name="Column2251"/>
    <tableColumn id="2266" xr3:uid="{C2B5D87C-A4EE-4648-B1E6-5E8F4E6DCA31}" name="Column2252"/>
    <tableColumn id="2267" xr3:uid="{3F6BBE53-F6A7-416F-9402-EA2D493E8169}" name="Column2253"/>
    <tableColumn id="2268" xr3:uid="{E982F4A3-D5A0-4932-BD79-725493ACC1BF}" name="Column2254"/>
    <tableColumn id="2269" xr3:uid="{12117B25-E4B8-4C0C-BFA1-DC8AB28DA5DA}" name="Column2255"/>
    <tableColumn id="2270" xr3:uid="{97DA5719-2384-454C-84E7-983B3E90B4E6}" name="Column2256"/>
    <tableColumn id="2271" xr3:uid="{2B68C117-A414-4721-9882-D9D726EA91E9}" name="Column2257"/>
    <tableColumn id="2272" xr3:uid="{467A66CD-30A1-4BA2-B517-4BFFD80A502D}" name="Column2258"/>
    <tableColumn id="2273" xr3:uid="{439244A2-9EBF-45E5-BBE1-DEC38E3FDF35}" name="Column2259"/>
    <tableColumn id="2274" xr3:uid="{323BF2AA-58CC-4F43-9455-055A45A5332D}" name="Column2260"/>
    <tableColumn id="2275" xr3:uid="{8A9F5107-FCD2-40B4-A60D-AC64648EAB3F}" name="Column2261"/>
    <tableColumn id="2276" xr3:uid="{8C4452D1-9961-42B9-81A4-20C23E52F4F7}" name="Column2262"/>
    <tableColumn id="2277" xr3:uid="{433F61C6-F195-422D-ABBD-FFAB81DA8526}" name="Column2263"/>
    <tableColumn id="2278" xr3:uid="{0FCE8BC0-C328-468E-B378-9A6CD4E4D812}" name="Column2264"/>
    <tableColumn id="2279" xr3:uid="{C7F548EF-B131-4AEE-8A97-32975A20C471}" name="Column2265"/>
    <tableColumn id="2280" xr3:uid="{5714BBC5-06C9-4636-A30D-75B92404C5B2}" name="Column2266"/>
    <tableColumn id="2281" xr3:uid="{7967BA0B-C1F7-4496-A75E-7120F4B710EF}" name="Column2267"/>
    <tableColumn id="2282" xr3:uid="{9A7A3EB8-6963-4493-9F3B-F52F8103EDB8}" name="Column2268"/>
    <tableColumn id="2283" xr3:uid="{439EE4D0-BFA6-4CA3-B10A-8EC2E16DAECB}" name="Column2269"/>
    <tableColumn id="2284" xr3:uid="{DA86687C-2C65-4A7D-B61D-0D692BBCFB9D}" name="Column2270"/>
    <tableColumn id="2285" xr3:uid="{E2402690-C37D-4135-A507-2925C6A76AA4}" name="Column2271"/>
    <tableColumn id="2286" xr3:uid="{79517E65-48AE-4D51-B583-7AE1652B79D0}" name="Column2272"/>
    <tableColumn id="2287" xr3:uid="{D10F6100-3589-434B-AF2A-85C00A2D16CD}" name="Column2273"/>
    <tableColumn id="2288" xr3:uid="{B605FC00-E696-43EB-8BE7-7B21CBD81B86}" name="Column2274"/>
    <tableColumn id="2289" xr3:uid="{B612D916-B9F5-4967-BE7F-052B49FC7C56}" name="Column2275"/>
    <tableColumn id="2290" xr3:uid="{7276241B-31DC-435B-82C1-162DF50EB963}" name="Column2276"/>
    <tableColumn id="2291" xr3:uid="{701E5C70-CFDC-4D73-945C-DF6E762ED971}" name="Column2277"/>
    <tableColumn id="2292" xr3:uid="{6F786CAD-9B3B-41AA-8923-C618908A248A}" name="Column2278"/>
    <tableColumn id="2293" xr3:uid="{037BE0DB-E7FF-4B6D-99F6-C25B0411F9F1}" name="Column2279"/>
    <tableColumn id="2294" xr3:uid="{B7D8B03F-2663-45A6-93C3-3217D5804716}" name="Column2280"/>
    <tableColumn id="2295" xr3:uid="{1B1042A2-AD86-4765-AFA7-99E38A45119A}" name="Column2281"/>
    <tableColumn id="2296" xr3:uid="{40A8A61A-9671-4C7E-AE1E-EE493AFEA9F2}" name="Column2282"/>
    <tableColumn id="2297" xr3:uid="{07405342-B9F3-4A1F-8639-8957212BD971}" name="Column2283"/>
    <tableColumn id="2298" xr3:uid="{6D118AD6-EA00-4D0E-B335-47842D68538D}" name="Column2284"/>
    <tableColumn id="2299" xr3:uid="{DE7EC86B-8679-4F7A-85B8-2BB804851E7C}" name="Column2285"/>
    <tableColumn id="2300" xr3:uid="{030DFEFF-B274-4AE4-9D28-22294AAAC422}" name="Column2286"/>
    <tableColumn id="2301" xr3:uid="{8ADEB371-747E-4862-B224-94613FC6AA7A}" name="Column2287"/>
    <tableColumn id="2302" xr3:uid="{77519041-70FA-47E8-8876-AFFCC9BD59B4}" name="Column2288"/>
    <tableColumn id="2303" xr3:uid="{A014FD0D-0F2C-472E-9762-A82CF365DD5F}" name="Column2289"/>
    <tableColumn id="2304" xr3:uid="{7B5B4681-7E22-4AE2-B6BC-F19EB1C2728C}" name="Column2290"/>
    <tableColumn id="2305" xr3:uid="{0C7022B8-655A-4DCC-A6E6-A81D66002416}" name="Column2291"/>
    <tableColumn id="2306" xr3:uid="{063CEDE0-28C3-4511-8FDC-92A5083EB06E}" name="Column2292"/>
    <tableColumn id="2307" xr3:uid="{27A97134-01EF-4B61-A55C-1612064EBC84}" name="Column2293"/>
    <tableColumn id="2308" xr3:uid="{03573BA9-9223-4B31-96DF-8C4149FABFF3}" name="Column2294"/>
    <tableColumn id="2309" xr3:uid="{F6350BF7-2149-4527-AFB3-F662019791C1}" name="Column2295"/>
    <tableColumn id="2310" xr3:uid="{AAFE6A39-E221-4C44-AEBF-69A84C7C653E}" name="Column2296"/>
    <tableColumn id="2311" xr3:uid="{48608573-AC20-48FF-AB6B-633E00D8A957}" name="Column2297"/>
    <tableColumn id="2312" xr3:uid="{2BA07E65-2EE5-4110-AC41-AE27B8BEC2F7}" name="Column2298"/>
    <tableColumn id="2313" xr3:uid="{E53A5FF6-8D09-40D5-BA6E-F9C38D9AD3C8}" name="Column2299"/>
    <tableColumn id="2314" xr3:uid="{8A76C9F5-C4BF-42DD-AEE7-A727E40B24AD}" name="Column2300"/>
    <tableColumn id="2315" xr3:uid="{78448DAE-9704-4AE7-9C1A-AEB1DD7A3CE0}" name="Column2301"/>
    <tableColumn id="2316" xr3:uid="{C0CD3270-E39C-46BA-9BCA-652A3EFDB64C}" name="Column2302"/>
    <tableColumn id="2317" xr3:uid="{99E259BD-83E7-4C60-A23C-0A740D51169B}" name="Column2303"/>
    <tableColumn id="2318" xr3:uid="{22F5E89A-E217-412E-ADE2-8CEC7066F1D3}" name="Column2304"/>
    <tableColumn id="2319" xr3:uid="{369A7680-86EB-4B3A-848A-AC10398CD240}" name="Column2305"/>
    <tableColumn id="2320" xr3:uid="{80F4CD85-450A-4842-A857-4F75298B40B2}" name="Column2306"/>
    <tableColumn id="2321" xr3:uid="{A9D9BFAF-6E97-4BD2-B8E4-A44322BB4D1C}" name="Column2307"/>
    <tableColumn id="2322" xr3:uid="{B5A9FD1D-825C-4A53-AE03-7A8D23ADB0D5}" name="Column2308"/>
    <tableColumn id="2323" xr3:uid="{A9BB4DBB-88CE-4CCE-8CF2-190D8AC98AA0}" name="Column2309"/>
    <tableColumn id="2324" xr3:uid="{9CEE8D5B-A0D0-4A8A-A992-19D4265391DF}" name="Column2310"/>
    <tableColumn id="2325" xr3:uid="{84CE21CE-D617-4A5E-AB23-7D15BCE2C687}" name="Column2311"/>
    <tableColumn id="2326" xr3:uid="{E452F93F-E669-41B8-A849-E13718923539}" name="Column2312"/>
    <tableColumn id="2327" xr3:uid="{CAB17D6D-E05B-4570-BF67-D4C7CDBA1380}" name="Column2313"/>
    <tableColumn id="2328" xr3:uid="{4CDC37D0-0590-41EA-983E-99E68D3EC4DC}" name="Column2314"/>
    <tableColumn id="2329" xr3:uid="{C549A910-815B-4E63-9C31-DE5ABD744DD1}" name="Column2315"/>
    <tableColumn id="2330" xr3:uid="{5BA84FA5-7F74-4703-A2B1-811F5DCFBB60}" name="Column2316"/>
    <tableColumn id="2331" xr3:uid="{B922891C-CC6D-4FE3-A394-F9574CFE741F}" name="Column2317"/>
    <tableColumn id="2332" xr3:uid="{9DAB9CCD-0234-4BA1-A5DA-655E1BC01394}" name="Column2318"/>
    <tableColumn id="2333" xr3:uid="{4ABDA6F7-6CC6-4A9F-AE58-B2C1725ACE79}" name="Column2319"/>
    <tableColumn id="2334" xr3:uid="{54047ED1-9FAE-4D03-918E-A4BDC53A94DC}" name="Column2320"/>
    <tableColumn id="2335" xr3:uid="{B71E252B-D7CC-427A-9826-DE7C2B5337A1}" name="Column2321"/>
    <tableColumn id="2336" xr3:uid="{D44487B9-6AAD-4964-B33F-C7D5126C73D8}" name="Column2322"/>
    <tableColumn id="2337" xr3:uid="{D2A4D9B9-8965-42AC-A840-F989E77E1817}" name="Column2323"/>
    <tableColumn id="2338" xr3:uid="{3AAA1240-2590-4083-B2C4-ED1D07BF765D}" name="Column2324"/>
    <tableColumn id="2339" xr3:uid="{C35C296E-0436-429D-AB73-7D7C2A05D97F}" name="Column2325"/>
    <tableColumn id="2340" xr3:uid="{0643D13D-4C13-4326-97CA-F2C3A60A0C54}" name="Column2326"/>
    <tableColumn id="2341" xr3:uid="{10D24656-82F0-4EA2-91AB-97BDE3929F45}" name="Column2327"/>
    <tableColumn id="2342" xr3:uid="{B2758A17-A1B2-4040-90D4-11B4FDA0E7BD}" name="Column2328"/>
    <tableColumn id="2343" xr3:uid="{A81ACECA-38FE-4839-9B15-8EEB52B57F53}" name="Column2329"/>
    <tableColumn id="2344" xr3:uid="{D69F87AF-1F12-4ECD-8DB6-FAA289A59A7E}" name="Column2330"/>
    <tableColumn id="2345" xr3:uid="{D5245DD7-EF82-48DD-8337-93A4F0A528E3}" name="Column2331"/>
    <tableColumn id="2346" xr3:uid="{B6C195F7-2D60-4B42-8923-51D43541F425}" name="Column2332"/>
    <tableColumn id="2347" xr3:uid="{83C88C70-C08C-488E-AF1E-EF6A02AB5956}" name="Column2333"/>
    <tableColumn id="2348" xr3:uid="{2FF95662-7734-4F6E-8A89-85AC8B3F5FCD}" name="Column2334"/>
    <tableColumn id="2349" xr3:uid="{1353A7F7-1ACB-42B5-A939-946D516519E8}" name="Column2335"/>
    <tableColumn id="2350" xr3:uid="{501E6042-8487-4076-90AE-FDCA4CD9EB8F}" name="Column2336"/>
    <tableColumn id="2351" xr3:uid="{36A01C71-45D1-430B-88CB-B8560B095597}" name="Column2337"/>
    <tableColumn id="2352" xr3:uid="{5342CFDE-402B-42E2-AF89-15BA78C5BE5F}" name="Column2338"/>
    <tableColumn id="2353" xr3:uid="{B6BA1264-E982-4331-BDA7-677C22900EC4}" name="Column2339"/>
    <tableColumn id="2354" xr3:uid="{54EEB6D5-3109-49F6-A8E3-E9462E92BC0F}" name="Column2340"/>
    <tableColumn id="2355" xr3:uid="{DDADCCE2-7FDB-4389-AC17-4242BF5A4421}" name="Column2341"/>
    <tableColumn id="2356" xr3:uid="{4D0AE7CC-146A-48E2-B02D-20E4EA4A7987}" name="Column2342"/>
    <tableColumn id="2357" xr3:uid="{699B1CAB-8B5A-450A-8C4D-767A2A26CE2E}" name="Column2343"/>
    <tableColumn id="2358" xr3:uid="{8B2F6250-0C4D-4D9E-8441-28026918BE45}" name="Column2344"/>
    <tableColumn id="2359" xr3:uid="{CD5BDF6E-2D45-48D9-A107-BD3363B3B2C2}" name="Column2345"/>
    <tableColumn id="2360" xr3:uid="{5EC5AF6A-7D91-4007-854F-E29408787366}" name="Column2346"/>
    <tableColumn id="2361" xr3:uid="{39D437D6-78BE-481E-A4A7-BDA19F7BB11B}" name="Column2347"/>
    <tableColumn id="2362" xr3:uid="{D1E4E151-E90F-4AAA-9709-8C45A598B2D3}" name="Column2348"/>
    <tableColumn id="2363" xr3:uid="{50411067-437C-42A0-A9BC-FE9695816B69}" name="Column2349"/>
    <tableColumn id="2364" xr3:uid="{B78F6927-9038-4A9C-9EF9-6CE690C1B595}" name="Column2350"/>
    <tableColumn id="2365" xr3:uid="{D5662676-552E-43D8-A517-788A17373BFD}" name="Column2351"/>
    <tableColumn id="2366" xr3:uid="{2BF5A65A-20FA-4F2C-87C1-894DAB0642FF}" name="Column2352"/>
    <tableColumn id="2367" xr3:uid="{B2212785-B2B5-4777-8E3B-CF29C3C72B1E}" name="Column2353"/>
    <tableColumn id="2368" xr3:uid="{0B5E7E68-5D77-4819-A430-DC90BA86AC7F}" name="Column2354"/>
    <tableColumn id="2369" xr3:uid="{D47616B0-6870-437A-9385-67EE3FE6F2FC}" name="Column2355"/>
    <tableColumn id="2370" xr3:uid="{C9B2E9C5-E0B1-4D61-8DA8-F7AB19B026D4}" name="Column2356"/>
    <tableColumn id="2371" xr3:uid="{9B4CA5E6-6AD5-4577-8FEC-07326452600C}" name="Column2357"/>
    <tableColumn id="2372" xr3:uid="{5FEC7EF1-D964-4C5C-AF85-6CE841A6CB04}" name="Column2358"/>
    <tableColumn id="2373" xr3:uid="{21B7ACAB-263D-46EF-97C8-C2A2D76DECBF}" name="Column2359"/>
    <tableColumn id="2374" xr3:uid="{8E3DF77F-FC08-4F22-B81C-BB31AC92B339}" name="Column2360"/>
    <tableColumn id="2375" xr3:uid="{BD2897FD-47F7-472E-AFC3-4DFB2D4B1D8E}" name="Column2361"/>
    <tableColumn id="2376" xr3:uid="{4B29B193-E972-4AF5-B9B3-172C5F605681}" name="Column2362"/>
    <tableColumn id="2377" xr3:uid="{6D0977A9-B15D-4EA4-B9E3-AC25717D4E6E}" name="Column2363"/>
    <tableColumn id="2378" xr3:uid="{103FD72B-1CE1-44DB-8128-993E3F1E91D3}" name="Column2364"/>
    <tableColumn id="2379" xr3:uid="{2C4DBB8B-1175-4FE8-B2E2-A1AC84561B28}" name="Column2365"/>
    <tableColumn id="2380" xr3:uid="{BB242623-6A4D-4471-B668-678E5821B912}" name="Column2366"/>
    <tableColumn id="2381" xr3:uid="{A616AE29-E57A-496F-B02E-20D19BEBCB59}" name="Column2367"/>
    <tableColumn id="2382" xr3:uid="{4D7AB961-5F1A-4320-A106-2422DC96E4A6}" name="Column2368"/>
    <tableColumn id="2383" xr3:uid="{8ADEA04E-B491-491E-AA7C-54FC4249ABFB}" name="Column2369"/>
    <tableColumn id="2384" xr3:uid="{C4F355C9-673A-469E-8B2D-24D7CCCD43F4}" name="Column2370"/>
    <tableColumn id="2385" xr3:uid="{7BC3F802-E641-435D-822C-E3F3FBA2AFF6}" name="Column2371"/>
    <tableColumn id="2386" xr3:uid="{AD85714D-689D-4A7C-97F9-5B4C494CE34E}" name="Column2372"/>
    <tableColumn id="2387" xr3:uid="{318820E8-1E27-4705-AD13-F3FC3B173514}" name="Column2373"/>
    <tableColumn id="2388" xr3:uid="{818513B8-1D48-4F94-8313-3DC7A9ACE9E6}" name="Column2374"/>
    <tableColumn id="2389" xr3:uid="{1D467899-3DC7-4D35-A704-91CD12D5D491}" name="Column2375"/>
    <tableColumn id="2390" xr3:uid="{BBD96188-E275-418A-8DE5-53D0D42C7E9C}" name="Column2376"/>
    <tableColumn id="2391" xr3:uid="{8901EFBE-7A65-42F3-8A9B-D72200A1E91E}" name="Column2377"/>
    <tableColumn id="2392" xr3:uid="{F30A1722-0E6B-4647-802C-43D3E633E5AB}" name="Column2378"/>
    <tableColumn id="2393" xr3:uid="{EA072F5B-2253-41C6-9E11-2E665D392FC2}" name="Column2379"/>
    <tableColumn id="2394" xr3:uid="{9C19C539-DA74-41B4-9FE6-D08BAF667062}" name="Column2380"/>
    <tableColumn id="2395" xr3:uid="{E0949A70-34A6-427E-B9B4-F414C71ED6D4}" name="Column2381"/>
    <tableColumn id="2396" xr3:uid="{E71C1E44-BC2C-4CD5-B6CF-41B1972B0799}" name="Column2382"/>
    <tableColumn id="2397" xr3:uid="{694A6587-8202-467C-9F37-AA43E5B2623E}" name="Column2383"/>
    <tableColumn id="2398" xr3:uid="{56FE94EF-D879-4E47-A9DD-31F9EA6013E5}" name="Column2384"/>
    <tableColumn id="2399" xr3:uid="{FC796FBD-7D2D-4F14-89C4-3FD67B0393A6}" name="Column2385"/>
    <tableColumn id="2400" xr3:uid="{E4B3AEB7-2CBE-4BB3-8BFE-C088A61D7927}" name="Column2386"/>
    <tableColumn id="2401" xr3:uid="{68D9BB7F-19A6-4CFD-9F17-1AEE236E612A}" name="Column2387"/>
    <tableColumn id="2402" xr3:uid="{05613A05-EED2-4D5B-B18A-C9CE403AC8E2}" name="Column2388"/>
    <tableColumn id="2403" xr3:uid="{8906BFBA-6826-455F-956E-ABB4AB40826D}" name="Column2389"/>
    <tableColumn id="2404" xr3:uid="{462D5756-A51F-4945-BBF4-5B7052246EEB}" name="Column2390"/>
    <tableColumn id="2405" xr3:uid="{BD74422B-5B9F-4B10-B156-1EB48003B7CB}" name="Column2391"/>
    <tableColumn id="2406" xr3:uid="{51CA698C-EED3-4C03-BFF4-2AC906FB38C4}" name="Column2392"/>
    <tableColumn id="2407" xr3:uid="{768E4CDB-5656-4253-84AC-9A1F902579B6}" name="Column2393"/>
    <tableColumn id="2408" xr3:uid="{688884C5-F306-4144-9CFA-2B08490F0D45}" name="Column2394"/>
    <tableColumn id="2409" xr3:uid="{9C453F8B-114F-42D1-ABA2-CB7F410F1C73}" name="Column2395"/>
    <tableColumn id="2410" xr3:uid="{174379E3-4796-4397-B7CB-C2F1B520189E}" name="Column2396"/>
    <tableColumn id="2411" xr3:uid="{5C362FBC-354C-4560-9CD3-C7CC525D218B}" name="Column2397"/>
    <tableColumn id="2412" xr3:uid="{FC8119EC-5417-4415-B88D-628E69A70FCB}" name="Column2398"/>
    <tableColumn id="2413" xr3:uid="{E50DB61B-15BC-4DB5-8D00-5117FBE2D0D2}" name="Column2399"/>
    <tableColumn id="2414" xr3:uid="{B3FB9CF1-A7F9-48EB-91A4-17C2B079D20F}" name="Column2400"/>
    <tableColumn id="2415" xr3:uid="{7A3D7144-B737-433E-BAEB-901D79385BE6}" name="Column2401"/>
    <tableColumn id="2416" xr3:uid="{5D6D78A3-4FFD-4D25-8FA9-B4C386742A76}" name="Column2402"/>
    <tableColumn id="2417" xr3:uid="{DC9C42FB-CCF5-4D3A-90BA-FCFED4AD0703}" name="Column2403"/>
    <tableColumn id="2418" xr3:uid="{4719A33F-4614-43E7-92EB-45AC3CB6D2BA}" name="Column2404"/>
    <tableColumn id="2419" xr3:uid="{4CB0CF64-F37F-44A8-826B-8440F4AECA32}" name="Column2405"/>
    <tableColumn id="2420" xr3:uid="{B2B319EC-7AC3-441A-A60B-801186057078}" name="Column2406"/>
    <tableColumn id="2421" xr3:uid="{5EE31997-AE94-4114-83D8-DC944FC21E8B}" name="Column2407"/>
    <tableColumn id="2422" xr3:uid="{C97C1632-7A76-4A27-BE04-38CAF1A1318F}" name="Column2408"/>
    <tableColumn id="2423" xr3:uid="{2AE6B860-4E3D-49BA-90E9-8A3D7420D605}" name="Column2409"/>
    <tableColumn id="2424" xr3:uid="{D8802D99-A4EF-40AF-991B-E4414B708344}" name="Column2410"/>
    <tableColumn id="2425" xr3:uid="{42D975FA-3702-422F-93D7-13517667287D}" name="Column2411"/>
    <tableColumn id="2426" xr3:uid="{320E125A-CECC-46C5-9010-A0A99DC50084}" name="Column2412"/>
    <tableColumn id="2427" xr3:uid="{29B37441-79C5-4E07-A8E4-C645C0CB4D4A}" name="Column2413"/>
    <tableColumn id="2428" xr3:uid="{B6805F08-0C02-4201-8088-118850AEDA30}" name="Column2414"/>
    <tableColumn id="2429" xr3:uid="{1E9E21C1-9B85-43C0-BAE8-4FAFC08509DA}" name="Column2415"/>
    <tableColumn id="2430" xr3:uid="{785650E0-55B2-4301-AEE9-A4A8F22302EA}" name="Column2416"/>
    <tableColumn id="2431" xr3:uid="{759E7FDA-CA27-4963-B2C4-430253373078}" name="Column2417"/>
    <tableColumn id="2432" xr3:uid="{1AEDA475-CF32-4F78-B504-252476900A10}" name="Column2418"/>
    <tableColumn id="2433" xr3:uid="{152154C6-3F04-49C2-9B0F-A7160D39244E}" name="Column2419"/>
    <tableColumn id="2434" xr3:uid="{CC7F66AB-B5A5-4150-A642-CA9FB0120EB3}" name="Column2420"/>
    <tableColumn id="2435" xr3:uid="{F7E08C0A-21B4-41FA-8D37-BDF3E5BBB655}" name="Column2421"/>
    <tableColumn id="2436" xr3:uid="{2AC70BCC-465F-4124-BC20-BCC9D785EBE6}" name="Column2422"/>
    <tableColumn id="2437" xr3:uid="{3253924E-FCDD-4787-8185-AD9093B2058B}" name="Column2423"/>
    <tableColumn id="2438" xr3:uid="{E2602EE4-F528-42B2-A68B-8C4CCAC55BA8}" name="Column2424"/>
    <tableColumn id="2439" xr3:uid="{748242F1-B6BC-4446-ABFF-BC65F0D05A62}" name="Column2425"/>
    <tableColumn id="2440" xr3:uid="{50BDF427-F706-4D3B-80E5-0F420D790DBE}" name="Column2426"/>
    <tableColumn id="2441" xr3:uid="{2B89F449-D4F5-40D3-BE8B-EDC8F4720AB0}" name="Column2427"/>
    <tableColumn id="2442" xr3:uid="{16B7ED60-91C3-4202-8FF5-204D12114859}" name="Column2428"/>
    <tableColumn id="2443" xr3:uid="{4B081091-5FDA-4120-AB0E-212021556F88}" name="Column2429"/>
    <tableColumn id="2444" xr3:uid="{C77A3CD3-7E0F-47D8-9799-390FF1B5C4DD}" name="Column2430"/>
    <tableColumn id="2445" xr3:uid="{371B7079-2AF6-4313-A456-4AF497DF73A8}" name="Column2431"/>
    <tableColumn id="2446" xr3:uid="{5A27A990-A664-4B08-91A7-861D3507B27D}" name="Column2432"/>
    <tableColumn id="2447" xr3:uid="{83C64F5D-7B98-4898-909F-E0BF86979B34}" name="Column2433"/>
    <tableColumn id="2448" xr3:uid="{AFF6209F-3E61-416C-AD4F-7FA51E0C506E}" name="Column2434"/>
    <tableColumn id="2449" xr3:uid="{BAC45621-1051-4F2B-BEA0-7B9EF2CC50BB}" name="Column2435"/>
    <tableColumn id="2450" xr3:uid="{6010D078-FE34-4102-966E-B22C9EA1D493}" name="Column2436"/>
    <tableColumn id="2451" xr3:uid="{878CB6A7-78EF-4621-9934-B324532E56E6}" name="Column2437"/>
    <tableColumn id="2452" xr3:uid="{A9D2DD48-9AF0-4B7B-84B4-895963AB3EFA}" name="Column2438"/>
    <tableColumn id="2453" xr3:uid="{63CC8CED-CAF0-42C5-92F8-4202AAA69418}" name="Column2439"/>
    <tableColumn id="2454" xr3:uid="{0229663A-568E-4EF3-A11A-74B5B6831209}" name="Column2440"/>
    <tableColumn id="2455" xr3:uid="{E50E8398-1947-42F2-8F6E-AABBDAA9D2DA}" name="Column2441"/>
    <tableColumn id="2456" xr3:uid="{6EB981EC-C527-43C9-86F4-44D568205E94}" name="Column2442"/>
    <tableColumn id="2457" xr3:uid="{480C49D9-6318-40B5-A92B-373F2272CEE2}" name="Column2443"/>
    <tableColumn id="2458" xr3:uid="{6D93BF12-98AE-41AE-9670-F48ED6284A94}" name="Column2444"/>
    <tableColumn id="2459" xr3:uid="{006C4527-532D-4DCD-8AF5-A7E6D1FEC576}" name="Column2445"/>
    <tableColumn id="2460" xr3:uid="{1370C67E-6642-43E6-9C38-CE4CF7EF0A06}" name="Column2446"/>
    <tableColumn id="2461" xr3:uid="{B944ACAF-DC9E-4E55-89B0-AE15E7BEC891}" name="Column2447"/>
    <tableColumn id="2462" xr3:uid="{6D07916F-9AFC-484B-AACE-DCBE321292B3}" name="Column2448"/>
    <tableColumn id="2463" xr3:uid="{4CD6CF8D-23E2-49E8-A131-191F35B06E9A}" name="Column2449"/>
    <tableColumn id="2464" xr3:uid="{B1BD4FFE-BB3E-4E58-8FAC-AEE889F193CD}" name="Column2450"/>
    <tableColumn id="2465" xr3:uid="{9DDFECAE-D518-49DF-9F0E-7FBFDEF39A2B}" name="Column2451"/>
    <tableColumn id="2466" xr3:uid="{A15E7419-69DE-4B56-990F-317203ABCA1C}" name="Column2452"/>
    <tableColumn id="2467" xr3:uid="{C6B87AC7-0EE6-488A-B408-2E0B318BA76B}" name="Column2453"/>
    <tableColumn id="2468" xr3:uid="{7DAF7077-3B77-494F-9198-840C2C12D35B}" name="Column2454"/>
    <tableColumn id="2469" xr3:uid="{F0F50DC1-4FF1-49D3-AEF5-F1DF6E95A68A}" name="Column2455"/>
    <tableColumn id="2470" xr3:uid="{9DDDC421-4720-4C6B-984F-5E7FA0FE3299}" name="Column2456"/>
    <tableColumn id="2471" xr3:uid="{5326488B-7646-4EE6-9B72-26D98C0BCBF0}" name="Column2457"/>
    <tableColumn id="2472" xr3:uid="{600AFF25-740A-467E-AAE6-42EA3BDF5BBD}" name="Column2458"/>
    <tableColumn id="2473" xr3:uid="{54205306-0812-4851-9FFD-78638C7437A2}" name="Column2459"/>
    <tableColumn id="2474" xr3:uid="{C6743047-5CD8-4F65-848E-FADD04C662D9}" name="Column2460"/>
    <tableColumn id="2475" xr3:uid="{3D33C1A0-FD2C-4765-9090-E1177A6C0F47}" name="Column2461"/>
    <tableColumn id="2476" xr3:uid="{9A916681-4B13-4853-BEAE-354E4BB8FEEB}" name="Column2462"/>
    <tableColumn id="2477" xr3:uid="{B2AA68E3-1A2B-4A41-B249-BD7BE9A75050}" name="Column2463"/>
    <tableColumn id="2478" xr3:uid="{BB27C3F6-F5A5-477B-A58E-9AF6FC95F901}" name="Column2464"/>
    <tableColumn id="2479" xr3:uid="{7C01E986-7AAC-44B4-BEDE-23174627BCEE}" name="Column2465"/>
    <tableColumn id="2480" xr3:uid="{E561FEA7-725C-432A-8353-F0402B526FEC}" name="Column2466"/>
    <tableColumn id="2481" xr3:uid="{14FD6A7D-B160-48F2-8006-3AE7B5349F7A}" name="Column2467"/>
    <tableColumn id="2482" xr3:uid="{DD53FFE8-8DA9-41C4-967D-EE1416467564}" name="Column2468"/>
    <tableColumn id="2483" xr3:uid="{ACDD3A51-0FC7-4DE9-ABA1-CE22FE14FFE2}" name="Column2469"/>
    <tableColumn id="2484" xr3:uid="{3F285D0D-37DB-4069-AEB6-BB04F8FCBD06}" name="Column2470"/>
    <tableColumn id="2485" xr3:uid="{054E9DEB-A8DB-4393-9A68-3343AD67C9BC}" name="Column2471"/>
    <tableColumn id="2486" xr3:uid="{D20E418D-9C53-4B72-9FDD-13B9078CB3B1}" name="Column2472"/>
    <tableColumn id="2487" xr3:uid="{FB981B88-DAD6-4962-A760-10B8DD487352}" name="Column2473"/>
    <tableColumn id="2488" xr3:uid="{0A5415D1-5883-4863-A1F5-16FC042626DA}" name="Column2474"/>
    <tableColumn id="2489" xr3:uid="{B27E607B-343D-4362-BD63-99ECD604864C}" name="Column2475"/>
    <tableColumn id="2490" xr3:uid="{49FABC05-AA4D-4A76-94B4-782918AFDD11}" name="Column2476"/>
    <tableColumn id="2491" xr3:uid="{368562F7-0A74-4B65-8EC6-3BE4A55C13E6}" name="Column2477"/>
    <tableColumn id="2492" xr3:uid="{75239F2E-2F4B-4D42-B2A7-02A2B1F8F66E}" name="Column2478"/>
    <tableColumn id="2493" xr3:uid="{7E72192C-9C75-4472-A605-2821C68737EA}" name="Column2479"/>
    <tableColumn id="2494" xr3:uid="{FBB72C4C-E841-4195-AF58-B0402B5656C1}" name="Column2480"/>
    <tableColumn id="2495" xr3:uid="{2CBE51D0-587E-45E6-88C4-77BA76CD6A76}" name="Column2481"/>
    <tableColumn id="2496" xr3:uid="{07CD82E6-9C2C-41DA-8A76-C8189BC39458}" name="Column2482"/>
    <tableColumn id="2497" xr3:uid="{ECE2224F-25DF-4B2E-BEFE-D90C16E6FBFE}" name="Column2483"/>
    <tableColumn id="2498" xr3:uid="{5DD8DDB9-6D60-43A3-9854-B58B1E5F910B}" name="Column2484"/>
    <tableColumn id="2499" xr3:uid="{67FF8CED-1FCD-4F5E-8F2D-BDA9AC64078D}" name="Column2485"/>
    <tableColumn id="2500" xr3:uid="{E1ADEC7C-DE3C-4EE5-B34C-96747AD2A4B1}" name="Column2486"/>
    <tableColumn id="2501" xr3:uid="{FCDC9263-0019-49D3-BB55-14F0F49D6223}" name="Column2487"/>
    <tableColumn id="2502" xr3:uid="{3AA1D30E-4DA3-4774-8AC9-91A24B97A93E}" name="Column2488"/>
    <tableColumn id="2503" xr3:uid="{05438623-6B50-4B13-AC75-0DC64D7B0A8D}" name="Column2489"/>
    <tableColumn id="2504" xr3:uid="{3BFE028F-3CA6-4083-9069-3882A99938EE}" name="Column2490"/>
    <tableColumn id="2505" xr3:uid="{88F952CC-7279-4EF8-B464-E1B60021BE84}" name="Column2491"/>
    <tableColumn id="2506" xr3:uid="{A8FB6FF5-4D30-40AB-86B1-BD18881F8359}" name="Column2492"/>
    <tableColumn id="2507" xr3:uid="{66D8E5FE-B164-4CFA-9463-7BE7BFD66A6C}" name="Column2493"/>
    <tableColumn id="2508" xr3:uid="{EE7DBF76-706F-4802-96D3-A4A94F00947F}" name="Column2494"/>
    <tableColumn id="2509" xr3:uid="{346B2C5A-9711-4AF1-B99D-073CDC56C426}" name="Column2495"/>
    <tableColumn id="2510" xr3:uid="{18E2887D-04F7-49A7-A1DC-981DBED71BAA}" name="Column2496"/>
    <tableColumn id="2511" xr3:uid="{50DB38FD-6B7C-4CB1-BC41-21FE02A1E51B}" name="Column2497"/>
    <tableColumn id="2512" xr3:uid="{4F5A0F51-0B76-4185-A374-F7C3D9748434}" name="Column2498"/>
    <tableColumn id="2513" xr3:uid="{56DB40A1-0BFA-44BA-A80E-FD6CBD8145A6}" name="Column2499"/>
    <tableColumn id="2514" xr3:uid="{A0779ADF-31ED-4B54-B0A3-DAB47ACF7BFB}" name="Column2500"/>
    <tableColumn id="2515" xr3:uid="{DBC06774-D848-4557-B0EB-21F4CACB4A1C}" name="Column2501"/>
    <tableColumn id="2516" xr3:uid="{5C1945B5-A815-49BF-BA87-4AC6587F5025}" name="Column2502"/>
    <tableColumn id="2517" xr3:uid="{5749C8B4-A955-4779-8B88-405545B72544}" name="Column2503"/>
    <tableColumn id="2518" xr3:uid="{142B88A5-F71A-4029-AFEF-1598CCD207FA}" name="Column2504"/>
    <tableColumn id="2519" xr3:uid="{B04E0861-D82E-44A8-839C-0624099957A3}" name="Column2505"/>
    <tableColumn id="2520" xr3:uid="{6513740B-8B6E-4561-87A1-9DD20574D6D9}" name="Column2506"/>
    <tableColumn id="2521" xr3:uid="{7D83B633-40EE-4D02-BF66-D323DFDCE54C}" name="Column2507"/>
    <tableColumn id="2522" xr3:uid="{2B710A9D-C5EC-42D0-85AA-1F18C7C995E8}" name="Column2508"/>
    <tableColumn id="2523" xr3:uid="{95F44A06-FFEB-48B7-A0F2-CF762F5B25B6}" name="Column2509"/>
    <tableColumn id="2524" xr3:uid="{E6E30117-8DE4-4F1D-B801-72777191FBDF}" name="Column2510"/>
    <tableColumn id="2525" xr3:uid="{4249BBA2-2CBB-41DF-ACA3-58D358DD8E3A}" name="Column2511"/>
    <tableColumn id="2526" xr3:uid="{3CB00C33-4A6C-44CE-9390-054B48E5A4C8}" name="Column2512"/>
    <tableColumn id="2527" xr3:uid="{9032665A-2188-49A3-B306-949668A02DBB}" name="Column2513"/>
    <tableColumn id="2528" xr3:uid="{E9F7D7A9-8A5D-4B16-A802-15579A0F6824}" name="Column2514"/>
    <tableColumn id="2529" xr3:uid="{3D8CC2FC-A008-4A99-BE41-6147C3F3B302}" name="Column2515"/>
    <tableColumn id="2530" xr3:uid="{B29A3875-D9D1-4A5A-980C-E7A85E7CBBE2}" name="Column2516"/>
    <tableColumn id="2531" xr3:uid="{FA806689-9837-47E9-89EB-0EF16BE87A59}" name="Column2517"/>
    <tableColumn id="2532" xr3:uid="{B22AC10B-D6B6-47FC-97E5-6D1DFABA83DD}" name="Column2518"/>
    <tableColumn id="2533" xr3:uid="{576DAFB9-D33F-4C37-86F1-5ABDCFFA31C9}" name="Column2519"/>
    <tableColumn id="2534" xr3:uid="{180DE183-69E4-451F-8DC4-D2DC4D1C1C8B}" name="Column2520"/>
    <tableColumn id="2535" xr3:uid="{2E733BEC-8974-4D8E-8737-567569E61EA8}" name="Column2521"/>
    <tableColumn id="2536" xr3:uid="{B048D350-6A2C-4439-B9B1-63E9BA0095AF}" name="Column2522"/>
    <tableColumn id="2537" xr3:uid="{1ADD30BA-D029-4F43-B48C-3D1277DF16FE}" name="Column2523"/>
    <tableColumn id="2538" xr3:uid="{0B9841E2-6641-4F25-835C-9903604C89C5}" name="Column2524"/>
    <tableColumn id="2539" xr3:uid="{9D0D789F-0BAC-478D-B735-3DBA1940D634}" name="Column2525"/>
    <tableColumn id="2540" xr3:uid="{7018EA70-CDEE-43FB-B12C-27AAB1C88180}" name="Column2526"/>
    <tableColumn id="2541" xr3:uid="{0C366304-FFB2-4F6E-8766-D4E02661012F}" name="Column2527"/>
    <tableColumn id="2542" xr3:uid="{130901A9-5A1F-4601-965F-C09ACB021F4C}" name="Column2528"/>
    <tableColumn id="2543" xr3:uid="{96BB7783-5C49-4DB5-8062-157F7561DBDB}" name="Column2529"/>
    <tableColumn id="2544" xr3:uid="{6C83A59E-19F2-43F6-8CCC-0E9083462847}" name="Column2530"/>
    <tableColumn id="2545" xr3:uid="{1A9B21AD-62AF-4A78-8C8E-7619E4CE24FF}" name="Column2531"/>
    <tableColumn id="2546" xr3:uid="{FC052639-EE1D-4A0A-A5C7-91531ADDFBA5}" name="Column2532"/>
    <tableColumn id="2547" xr3:uid="{AD3D2EB8-F707-4D6E-A721-ACF08A92ED87}" name="Column2533"/>
    <tableColumn id="2548" xr3:uid="{8728EA00-8E21-43AC-A3DC-4A4385374672}" name="Column2534"/>
    <tableColumn id="2549" xr3:uid="{660E813B-5587-4FFE-8808-7AA1C92B03E4}" name="Column2535"/>
    <tableColumn id="2550" xr3:uid="{7CF91E40-75D8-445A-8375-C4CF6A41E52E}" name="Column2536"/>
    <tableColumn id="2551" xr3:uid="{0D4F8927-2A4D-4005-A65C-4C54816EDA95}" name="Column2537"/>
    <tableColumn id="2552" xr3:uid="{2D51BCBE-626A-4F2C-AA07-D3F0523099BF}" name="Column2538"/>
    <tableColumn id="2553" xr3:uid="{04DE53F9-1729-485A-85BA-1498EFEBD30E}" name="Column2539"/>
    <tableColumn id="2554" xr3:uid="{BB06CB78-69B3-4684-A958-99D722D0515E}" name="Column2540"/>
    <tableColumn id="2555" xr3:uid="{E0658481-5A37-4E04-ADF4-BC6D2568CB9D}" name="Column2541"/>
    <tableColumn id="2556" xr3:uid="{231BDE13-7EE2-4852-B75B-5B33051DE467}" name="Column2542"/>
    <tableColumn id="2557" xr3:uid="{5000A1BF-2A32-4CF2-A8D7-BF7712A75143}" name="Column2543"/>
    <tableColumn id="2558" xr3:uid="{6BCA697E-4E13-4DED-8F8F-49A238358C1F}" name="Column2544"/>
    <tableColumn id="2559" xr3:uid="{2FD96D44-1D90-44B1-8B49-4A9DC82B0C8A}" name="Column2545"/>
    <tableColumn id="2560" xr3:uid="{DB9D2301-24E1-4BB1-9043-EF43D6545E9F}" name="Column2546"/>
    <tableColumn id="2561" xr3:uid="{B2D4385D-7F41-4FDC-8629-071A6BE450DE}" name="Column2547"/>
    <tableColumn id="2562" xr3:uid="{F9F9C8AA-688E-40C7-AEB4-41A6175E3C96}" name="Column2548"/>
    <tableColumn id="2563" xr3:uid="{AC499FFE-5C22-4B86-8B6E-7CD73B17F8E4}" name="Column2549"/>
    <tableColumn id="2564" xr3:uid="{788155A1-78E5-4C6B-B45C-93CF2D6A4C79}" name="Column2550"/>
    <tableColumn id="2565" xr3:uid="{2F767F37-F0F3-4666-B6AE-C0226DB23DAB}" name="Column2551"/>
    <tableColumn id="2566" xr3:uid="{A3326803-2887-4CF4-A28C-8FFFDDACD362}" name="Column2552"/>
    <tableColumn id="2567" xr3:uid="{7704D116-7300-4813-8171-084EB3658EC5}" name="Column2553"/>
    <tableColumn id="2568" xr3:uid="{5D06344A-AB81-46C1-BFC9-2ECCFADDA3D7}" name="Column2554"/>
    <tableColumn id="2569" xr3:uid="{3F44A965-0330-4201-844A-387AEFAF472B}" name="Column2555"/>
    <tableColumn id="2570" xr3:uid="{8339C034-7AE2-4A7F-976B-7980F5F78EA2}" name="Column2556"/>
    <tableColumn id="2571" xr3:uid="{BD456218-D031-4E29-A160-F7EEB2206DFA}" name="Column2557"/>
    <tableColumn id="2572" xr3:uid="{E16D1937-DFFD-4D14-825F-16B057D07EFE}" name="Column2558"/>
    <tableColumn id="2573" xr3:uid="{86AC71D0-F6C6-4D0B-90FC-BA52B60F9719}" name="Column2559"/>
    <tableColumn id="2574" xr3:uid="{FCBB43E1-E1E2-40EF-B751-BDF7415452E3}" name="Column2560"/>
    <tableColumn id="2575" xr3:uid="{E53F57C0-28E2-4921-A13F-A0B3C61C412C}" name="Column2561"/>
    <tableColumn id="2576" xr3:uid="{C596F26B-9928-41D3-9407-294E2B82EF84}" name="Column2562"/>
    <tableColumn id="2577" xr3:uid="{6ED37A53-0B77-4AB2-8E60-BDB840922349}" name="Column2563"/>
    <tableColumn id="2578" xr3:uid="{DB3E5DF6-8461-4115-964A-FFD536EE38BA}" name="Column2564"/>
    <tableColumn id="2579" xr3:uid="{CC4863CD-C271-40FD-9672-DF664726252F}" name="Column2565"/>
    <tableColumn id="2580" xr3:uid="{7C81FB80-E7AC-4F82-9856-B3B25EED5513}" name="Column2566"/>
    <tableColumn id="2581" xr3:uid="{B434CA96-B84D-4E0E-8B6F-A52E321E93EE}" name="Column2567"/>
    <tableColumn id="2582" xr3:uid="{97C62EBD-32DD-4384-B528-9E90A699E68C}" name="Column2568"/>
    <tableColumn id="2583" xr3:uid="{4ED1ABDD-ACD1-4E40-A6CC-B89F710E92F7}" name="Column2569"/>
    <tableColumn id="2584" xr3:uid="{3B775E02-71A9-4CC6-B82C-436A032239D1}" name="Column2570"/>
    <tableColumn id="2585" xr3:uid="{3725A169-FB53-4AAA-9BB6-FB04784D6900}" name="Column2571"/>
    <tableColumn id="2586" xr3:uid="{D2543597-A45C-4CC0-B27F-24FFC09EEDF5}" name="Column2572"/>
    <tableColumn id="2587" xr3:uid="{44C3F457-7BE8-4B04-9591-A7DC4BA177DF}" name="Column2573"/>
    <tableColumn id="2588" xr3:uid="{681C43B3-3E50-4816-98F4-101F1477C19C}" name="Column2574"/>
    <tableColumn id="2589" xr3:uid="{952FC1C2-4AE2-4167-A2D8-6C6558818A7F}" name="Column2575"/>
    <tableColumn id="2590" xr3:uid="{A84B9652-14F8-45CA-8A3F-2337174E5B42}" name="Column2576"/>
    <tableColumn id="2591" xr3:uid="{56549C5F-069F-4D5E-A5D0-C647C6A19531}" name="Column2577"/>
    <tableColumn id="2592" xr3:uid="{05633243-DA6F-4A69-B52D-85D65A4783CC}" name="Column2578"/>
    <tableColumn id="2593" xr3:uid="{ED41A241-3E0C-47FA-97B9-5D3B761D5898}" name="Column2579"/>
    <tableColumn id="2594" xr3:uid="{96B8F6C6-D53F-4910-BCB7-89B0BD7B841E}" name="Column2580"/>
    <tableColumn id="2595" xr3:uid="{A7A2F531-A2AE-46FC-9857-C7B98FF5C201}" name="Column2581"/>
    <tableColumn id="2596" xr3:uid="{3CE23C49-8E56-4B15-9D46-9AA0CC9A4620}" name="Column2582"/>
    <tableColumn id="2597" xr3:uid="{27F5864C-527B-410A-81F7-5D14895B54BE}" name="Column2583"/>
    <tableColumn id="2598" xr3:uid="{94F38904-01C5-4726-AE10-308E551A407B}" name="Column2584"/>
    <tableColumn id="2599" xr3:uid="{7879EF07-4543-4E5B-BC33-B29A9110AA86}" name="Column2585"/>
    <tableColumn id="2600" xr3:uid="{8620A1EB-A21D-4466-AE7A-557E43A1A7F3}" name="Column2586"/>
    <tableColumn id="2601" xr3:uid="{5AA520B5-A89A-4E3E-AC16-7940457C3016}" name="Column2587"/>
    <tableColumn id="2602" xr3:uid="{76FB3D21-5A35-4897-A247-77BE12CE35A3}" name="Column2588"/>
    <tableColumn id="2603" xr3:uid="{2B097F7E-57E9-4DC4-BF81-BC47305AB6FE}" name="Column2589"/>
    <tableColumn id="2604" xr3:uid="{8206155C-165E-4E51-A9BD-B94716CCC321}" name="Column2590"/>
    <tableColumn id="2605" xr3:uid="{D8DFB330-82E6-4935-8519-E4BEDFBD01EE}" name="Column2591"/>
    <tableColumn id="2606" xr3:uid="{21AAA511-4718-449F-A7A6-B78180985666}" name="Column2592"/>
    <tableColumn id="2607" xr3:uid="{12CD18E7-0E8E-4B39-BFF6-8613B6DFDA28}" name="Column2593"/>
    <tableColumn id="2608" xr3:uid="{88349E04-70BB-440C-827A-FBDC9EF4893E}" name="Column2594"/>
    <tableColumn id="2609" xr3:uid="{93D4AA23-2179-4CDF-ABDF-B3F916F626AE}" name="Column2595"/>
    <tableColumn id="2610" xr3:uid="{0C76B703-E40B-4846-A279-6624EF6AFE3C}" name="Column2596"/>
    <tableColumn id="2611" xr3:uid="{880F82B8-B79A-4DA5-AAC2-5A0516306E15}" name="Column2597"/>
    <tableColumn id="2612" xr3:uid="{44D67CC4-0ADD-4C53-88D3-CE8A5AB56D62}" name="Column2598"/>
    <tableColumn id="2613" xr3:uid="{2F56CD87-CCF5-4735-B840-75A33FDDF29A}" name="Column2599"/>
    <tableColumn id="2614" xr3:uid="{EE561E19-2E22-4ADB-8657-A9560C62E188}" name="Column2600"/>
    <tableColumn id="2615" xr3:uid="{37A401CE-BE99-4582-B929-9CA0367CEBA4}" name="Column2601"/>
    <tableColumn id="2616" xr3:uid="{FE07AABD-9DEC-4171-B89D-39917CDCF02F}" name="Column2602"/>
    <tableColumn id="2617" xr3:uid="{5B5CAFE4-CA3A-4C1E-9ED2-25FD3BF94834}" name="Column2603"/>
    <tableColumn id="2618" xr3:uid="{14BC8379-8B10-4404-8294-C0762808D905}" name="Column2604"/>
    <tableColumn id="2619" xr3:uid="{B9948B17-7DF1-4B39-AAB3-96AE711A01F1}" name="Column2605"/>
    <tableColumn id="2620" xr3:uid="{51208B7E-4A45-4490-BBD2-0D437780B495}" name="Column2606"/>
    <tableColumn id="2621" xr3:uid="{2275DE7C-8982-4D71-91F7-E4EEA2DA2389}" name="Column2607"/>
    <tableColumn id="2622" xr3:uid="{2272A9D5-9183-45EB-9550-C80F92318C93}" name="Column2608"/>
    <tableColumn id="2623" xr3:uid="{5F41D3AE-F21D-40AB-8449-6BF3ADFE780C}" name="Column2609"/>
    <tableColumn id="2624" xr3:uid="{CAC64FFD-AE6C-4077-B249-A6F5697BACD9}" name="Column2610"/>
    <tableColumn id="2625" xr3:uid="{828E053E-7D65-4D62-ADB2-E75B8C7E317B}" name="Column2611"/>
    <tableColumn id="2626" xr3:uid="{EA04587F-5CFC-4773-BE5D-B35C350E33DA}" name="Column2612"/>
    <tableColumn id="2627" xr3:uid="{01857440-E2A1-408E-B496-183703E8C7CE}" name="Column2613"/>
    <tableColumn id="2628" xr3:uid="{D98B48FA-5F16-4DE8-9D0A-4BFA42DE2004}" name="Column2614"/>
    <tableColumn id="2629" xr3:uid="{A464145A-917D-4A82-B2EC-D221A2CFC732}" name="Column2615"/>
    <tableColumn id="2630" xr3:uid="{36364F9D-8DBD-4B8E-8EE2-F8E4294399E1}" name="Column2616"/>
    <tableColumn id="2631" xr3:uid="{79611637-2E99-47A4-BC5A-FDBA41393D29}" name="Column2617"/>
    <tableColumn id="2632" xr3:uid="{45B1AD93-1DB9-4D4A-93EA-63D75BFDF7B0}" name="Column2618"/>
    <tableColumn id="2633" xr3:uid="{C6FBE738-ACD1-4AC2-9649-2246DD99A94F}" name="Column2619"/>
    <tableColumn id="2634" xr3:uid="{5AD1555E-3039-4D12-84D3-72B47D701D6F}" name="Column2620"/>
    <tableColumn id="2635" xr3:uid="{A4C76F62-511A-4EED-86C2-468B5897C6AC}" name="Column2621"/>
    <tableColumn id="2636" xr3:uid="{81FD3722-DBCD-4F97-94B1-34744A467F2C}" name="Column2622"/>
    <tableColumn id="2637" xr3:uid="{2D6A56B7-BC09-4F98-BF97-387962A790E6}" name="Column2623"/>
    <tableColumn id="2638" xr3:uid="{F90649B3-FA5B-41C4-88DF-02E2B2A259DF}" name="Column2624"/>
    <tableColumn id="2639" xr3:uid="{915825E8-CD72-4161-8D15-F3A60314F814}" name="Column2625"/>
    <tableColumn id="2640" xr3:uid="{8E1148E8-1124-4E44-BD61-A0737152C2F5}" name="Column2626"/>
    <tableColumn id="2641" xr3:uid="{80BC365C-F1C3-4C92-BF7A-3804EE7FC1DF}" name="Column2627"/>
    <tableColumn id="2642" xr3:uid="{A18E61C3-FA5A-4B88-AE15-5AA7BC1339C8}" name="Column2628"/>
    <tableColumn id="2643" xr3:uid="{36403554-C103-4125-9857-C50123FF39D9}" name="Column2629"/>
    <tableColumn id="2644" xr3:uid="{C8D46556-534E-4960-A3D3-CC39560BA0A1}" name="Column2630"/>
    <tableColumn id="2645" xr3:uid="{E07E94E8-01F7-4063-996C-C3CB6983195D}" name="Column2631"/>
    <tableColumn id="2646" xr3:uid="{B6E2AC4B-170F-4B57-AAE4-7F6B3E3D5A81}" name="Column2632"/>
    <tableColumn id="2647" xr3:uid="{B4D82CA5-CB01-497B-8424-008C44B2C192}" name="Column2633"/>
    <tableColumn id="2648" xr3:uid="{9105CBCF-242C-4C8D-BCC2-BAFC8FF21457}" name="Column2634"/>
    <tableColumn id="2649" xr3:uid="{A8F47671-8841-4BD8-AE02-E89C9EE50924}" name="Column2635"/>
    <tableColumn id="2650" xr3:uid="{E8AF1974-49F9-4996-BFB2-4A038F3D8F7E}" name="Column2636"/>
    <tableColumn id="2651" xr3:uid="{F2B1FAAB-A591-4DE8-B39B-D7280A558618}" name="Column2637"/>
    <tableColumn id="2652" xr3:uid="{AC5736EA-C677-421B-BFE9-1F01BFF360AA}" name="Column2638"/>
    <tableColumn id="2653" xr3:uid="{97257827-A8E2-4091-8A56-BA3CAF2527CA}" name="Column2639"/>
    <tableColumn id="2654" xr3:uid="{7073166F-C985-4F51-B074-05E4B7A1BA1E}" name="Column2640"/>
    <tableColumn id="2655" xr3:uid="{759AC4A3-CA0E-4F20-A203-E50B46632EE8}" name="Column2641"/>
    <tableColumn id="2656" xr3:uid="{7DE55A62-34BC-4F1D-8C0E-11090E6A9407}" name="Column2642"/>
    <tableColumn id="2657" xr3:uid="{3B81FB10-6553-485B-8676-1759B267B1C8}" name="Column2643"/>
    <tableColumn id="2658" xr3:uid="{7EDF86FE-209A-4FA1-82E2-02722B140608}" name="Column2644"/>
    <tableColumn id="2659" xr3:uid="{EBC6F662-7F2E-4896-A71F-10F3A6085A41}" name="Column2645"/>
    <tableColumn id="2660" xr3:uid="{45D3FC0F-C602-469C-A6EC-746DDF1F566A}" name="Column2646"/>
    <tableColumn id="2661" xr3:uid="{5F0DCC7D-023A-4708-8F37-641FA2088540}" name="Column2647"/>
    <tableColumn id="2662" xr3:uid="{8AA84059-750B-4764-B303-A267CB89EFC8}" name="Column2648"/>
    <tableColumn id="2663" xr3:uid="{D563F656-975A-4B3B-A891-32CF83376C28}" name="Column2649"/>
    <tableColumn id="2664" xr3:uid="{2A79F3EB-5A91-4FEB-B055-3513DC338AA4}" name="Column2650"/>
    <tableColumn id="2665" xr3:uid="{02219A62-5573-4BA2-AA19-E825317C203F}" name="Column2651"/>
    <tableColumn id="2666" xr3:uid="{83C398D0-CE8B-4CA3-80D1-9FB9CF1E5767}" name="Column2652"/>
    <tableColumn id="2667" xr3:uid="{9DB63B16-C90B-46AA-8A45-ED3DA3EF11F6}" name="Column2653"/>
    <tableColumn id="2668" xr3:uid="{678ADB6F-5026-4ADE-835B-7AEF0028A2EF}" name="Column2654"/>
    <tableColumn id="2669" xr3:uid="{70916F4F-D19E-4328-99C9-EE61244A32F9}" name="Column2655"/>
    <tableColumn id="2670" xr3:uid="{0D9D27C4-9FDD-46A3-98AD-3D3E4D7E1603}" name="Column2656"/>
    <tableColumn id="2671" xr3:uid="{60D2D240-4827-4867-AA96-E3777DD057D3}" name="Column2657"/>
    <tableColumn id="2672" xr3:uid="{848354CA-E131-4686-B607-157851BA8665}" name="Column2658"/>
    <tableColumn id="2673" xr3:uid="{21404F4D-E034-46EA-9106-6DB120923FE8}" name="Column2659"/>
    <tableColumn id="2674" xr3:uid="{49ED33AD-82AD-4222-9DA4-A5C787079A54}" name="Column2660"/>
    <tableColumn id="2675" xr3:uid="{DBC38797-212C-4918-911C-ADE9EAA4BCE2}" name="Column2661"/>
    <tableColumn id="2676" xr3:uid="{C78F57BD-875C-4327-88DD-A247F5BCE6A7}" name="Column2662"/>
    <tableColumn id="2677" xr3:uid="{1B153949-BB1B-4871-AF4F-BDCE29D9A139}" name="Column2663"/>
    <tableColumn id="2678" xr3:uid="{892CFDCE-B45B-4919-8EA7-2CBB39505CBE}" name="Column2664"/>
    <tableColumn id="2679" xr3:uid="{7CE1DE7E-B61E-4F8C-AD6B-74E9CD9D20AC}" name="Column2665"/>
    <tableColumn id="2680" xr3:uid="{A4C7FFE8-7FF1-4B15-9068-638FA62BC592}" name="Column2666"/>
    <tableColumn id="2681" xr3:uid="{D7675929-6848-4525-AE21-295486A66BAF}" name="Column2667"/>
    <tableColumn id="2682" xr3:uid="{4A3A843B-9215-47E3-91B9-2976FC3866B2}" name="Column2668"/>
    <tableColumn id="2683" xr3:uid="{7A38DAB0-9DE5-4AF9-9E39-4C473FB375F4}" name="Column2669"/>
    <tableColumn id="2684" xr3:uid="{596E656B-9217-4535-8A4D-A8D89C6D5E05}" name="Column2670"/>
    <tableColumn id="2685" xr3:uid="{6F98F1C7-3801-423E-A62A-FBB29B048C9D}" name="Column2671"/>
    <tableColumn id="2686" xr3:uid="{32A03DE4-66F9-4ED2-8977-6BA6689DB2F8}" name="Column2672"/>
    <tableColumn id="2687" xr3:uid="{5D662B4F-CD3D-4E99-8222-40506B97953B}" name="Column2673"/>
    <tableColumn id="2688" xr3:uid="{EBB4E3D1-4175-46EA-90B0-6D8ADB77CE90}" name="Column2674"/>
    <tableColumn id="2689" xr3:uid="{D257F2E0-4D84-42E6-AFC0-CF9377415585}" name="Column2675"/>
    <tableColumn id="2690" xr3:uid="{69B52F45-C59E-4A53-BD5A-7C2BD615056B}" name="Column2676"/>
    <tableColumn id="2691" xr3:uid="{F4CFF5F7-0B5E-4491-8729-BA582D8E8B10}" name="Column2677"/>
    <tableColumn id="2692" xr3:uid="{A89AB23F-59F3-4B04-9272-16CC912A8F0D}" name="Column2678"/>
    <tableColumn id="2693" xr3:uid="{F4DCD79A-C529-4C01-8F8A-3E15DF8B0CEF}" name="Column2679"/>
    <tableColumn id="2694" xr3:uid="{DECC7811-5939-4B87-8E6D-CF24E7B1C43C}" name="Column2680"/>
    <tableColumn id="2695" xr3:uid="{F7BFE46B-A983-477E-A5E4-40D78D8A9AE0}" name="Column2681"/>
    <tableColumn id="2696" xr3:uid="{4A354EA2-5D39-489B-B792-B510DD09A4D5}" name="Column2682"/>
    <tableColumn id="2697" xr3:uid="{EC64F7FB-9615-4D5D-8B18-48BB06F478D4}" name="Column2683"/>
    <tableColumn id="2698" xr3:uid="{28FF4C98-3483-42F8-8DDA-D439B1F5C8C1}" name="Column2684"/>
    <tableColumn id="2699" xr3:uid="{8691D52C-F50D-47B6-B947-4F8BEBA9A608}" name="Column2685"/>
    <tableColumn id="2700" xr3:uid="{D01BF7AC-2937-4452-80E7-D6967F39018D}" name="Column2686"/>
    <tableColumn id="2701" xr3:uid="{6F6F2FEF-FA63-4A8E-9D74-16CDE5254150}" name="Column2687"/>
    <tableColumn id="2702" xr3:uid="{73E038E8-F1E8-4A71-8328-92CE894F73A4}" name="Column2688"/>
    <tableColumn id="2703" xr3:uid="{D4ADF38E-EAB7-4BE9-AF6D-8EC155B20BA8}" name="Column2689"/>
    <tableColumn id="2704" xr3:uid="{E5D8F0CF-7DF0-4EE1-9D38-538C1D4578A5}" name="Column2690"/>
    <tableColumn id="2705" xr3:uid="{2833E8F8-BF22-4D4D-8FC1-089426782D94}" name="Column2691"/>
    <tableColumn id="2706" xr3:uid="{FEE55EF5-DD3C-4023-A947-6F96BA152148}" name="Column2692"/>
    <tableColumn id="2707" xr3:uid="{D13D1C8A-1FDB-45C5-8748-28314BDD4043}" name="Column2693"/>
    <tableColumn id="2708" xr3:uid="{7800F408-4EF9-4326-A4A5-1956D95293CE}" name="Column2694"/>
    <tableColumn id="2709" xr3:uid="{13681E29-C559-4E38-887E-79A265EEDEC5}" name="Column2695"/>
    <tableColumn id="2710" xr3:uid="{2F5D5FB2-D07E-4988-8EF1-65FABF319395}" name="Column2696"/>
    <tableColumn id="2711" xr3:uid="{805D057C-B878-4FA5-8459-1ACF5307722B}" name="Column2697"/>
    <tableColumn id="2712" xr3:uid="{9CC7098E-76BD-48F1-9C1F-6A5F08EBE872}" name="Column2698"/>
    <tableColumn id="2713" xr3:uid="{EB0E87C4-CE58-4F99-A6C7-942DFD2DA701}" name="Column2699"/>
    <tableColumn id="2714" xr3:uid="{0C2A2FF7-E955-4DF4-A2A3-7ACF61C4125C}" name="Column2700"/>
    <tableColumn id="2715" xr3:uid="{95F16C21-DB74-4252-AC58-069FEEA1A051}" name="Column2701"/>
    <tableColumn id="2716" xr3:uid="{ABDA4C65-D907-43FA-AFF8-39082A3B0B10}" name="Column2702"/>
    <tableColumn id="2717" xr3:uid="{28FBD7EA-B4A4-47F2-8C59-D6C9756EFC7A}" name="Column2703"/>
    <tableColumn id="2718" xr3:uid="{1A5EC4FC-D612-426E-855E-FFAC2C458322}" name="Column2704"/>
    <tableColumn id="2719" xr3:uid="{DE3FC149-6589-4989-935B-041E5000C54D}" name="Column2705"/>
    <tableColumn id="2720" xr3:uid="{32D6AF06-1CA0-4FC5-9A33-D58D69BA6F9E}" name="Column2706"/>
    <tableColumn id="2721" xr3:uid="{C74A6BA0-81BF-4157-8928-F2A6B3B3DFBE}" name="Column2707"/>
    <tableColumn id="2722" xr3:uid="{D8E52DB0-68C8-4F22-A380-088465405169}" name="Column2708"/>
    <tableColumn id="2723" xr3:uid="{0CF7034C-0C17-4EA1-BCF8-3C2752F1B9C9}" name="Column2709"/>
    <tableColumn id="2724" xr3:uid="{F6E47A21-F903-40D8-B50C-7935303E5097}" name="Column2710"/>
    <tableColumn id="2725" xr3:uid="{7A66E5DE-B16F-4795-978F-B3A10867CE09}" name="Column2711"/>
    <tableColumn id="2726" xr3:uid="{F04CD1F9-FC5B-46B2-8C17-D858433E328E}" name="Column2712"/>
    <tableColumn id="2727" xr3:uid="{972676B7-ED7B-47B9-9F54-695AA11496D7}" name="Column2713"/>
    <tableColumn id="2728" xr3:uid="{7B8DD4FC-BCB8-4E7E-8431-498E93DBB559}" name="Column2714"/>
    <tableColumn id="2729" xr3:uid="{C323F607-620F-4CAB-A9F2-2AAB82D383AF}" name="Column2715"/>
    <tableColumn id="2730" xr3:uid="{C91C8D4F-C1C4-42D8-95EF-95CF5034C90F}" name="Column2716"/>
    <tableColumn id="2731" xr3:uid="{3C4D481E-D5A5-493D-A14C-17519489EA62}" name="Column2717"/>
    <tableColumn id="2732" xr3:uid="{C908857C-493E-4838-9B3F-AB105C93B744}" name="Column2718"/>
    <tableColumn id="2733" xr3:uid="{B385F1AF-3D39-4C78-93E0-7FBCCCC40D7B}" name="Column2719"/>
    <tableColumn id="2734" xr3:uid="{6559E4EA-53EC-4A74-96F7-E60DBA7AE512}" name="Column2720"/>
    <tableColumn id="2735" xr3:uid="{7EA5F660-E617-4A09-809E-897A31947A7F}" name="Column2721"/>
    <tableColumn id="2736" xr3:uid="{7D6F72E0-FF68-43B8-9958-D0E7D3817487}" name="Column2722"/>
    <tableColumn id="2737" xr3:uid="{EEDFDB6C-EEA3-40D8-9695-1ED0A01B419D}" name="Column2723"/>
    <tableColumn id="2738" xr3:uid="{CDFBF052-22F2-4B60-ACE1-D06A0C24E174}" name="Column2724"/>
    <tableColumn id="2739" xr3:uid="{189B1C9E-32BB-4A7A-AB99-E5FD4AD08CCA}" name="Column2725"/>
    <tableColumn id="2740" xr3:uid="{593DC51C-48D9-4C66-B61C-8AD6E121F095}" name="Column2726"/>
    <tableColumn id="2741" xr3:uid="{6C829FAA-E75A-4699-80BB-1593DBBF601D}" name="Column2727"/>
    <tableColumn id="2742" xr3:uid="{2BA20306-4738-4A84-B6C4-DADF4A4A9EC3}" name="Column2728"/>
    <tableColumn id="2743" xr3:uid="{3078F5E3-7848-4F39-A42B-A9527FC3106B}" name="Column2729"/>
    <tableColumn id="2744" xr3:uid="{37D8D1FE-9F7A-447F-B8AA-ECFCCF233485}" name="Column2730"/>
    <tableColumn id="2745" xr3:uid="{EA85B642-980E-43FF-890E-B1636AD6B801}" name="Column2731"/>
    <tableColumn id="2746" xr3:uid="{69C3783E-78E9-4944-9774-5092EAEC72F8}" name="Column2732"/>
    <tableColumn id="2747" xr3:uid="{42DAEC6E-7B3E-4F68-A9AB-C13CBD3CBC03}" name="Column2733"/>
    <tableColumn id="2748" xr3:uid="{5BF9DE07-3113-444F-92B3-1BA9693B157A}" name="Column2734"/>
    <tableColumn id="2749" xr3:uid="{48BDC6E3-5598-4907-B736-90A2B8808093}" name="Column2735"/>
    <tableColumn id="2750" xr3:uid="{9532E3C9-0C38-4560-A4D3-F1D927DDE1AC}" name="Column2736"/>
    <tableColumn id="2751" xr3:uid="{F15BE8EB-83CC-43EA-B31A-E1BF739F8030}" name="Column2737"/>
    <tableColumn id="2752" xr3:uid="{5A8D3391-9C27-4D6E-AC20-75BC93EBFCD5}" name="Column2738"/>
    <tableColumn id="2753" xr3:uid="{2EB79512-F11F-4CD1-AA03-54120C600092}" name="Column2739"/>
    <tableColumn id="2754" xr3:uid="{43D7387C-E9BD-4B29-B1F5-87C5FA4099DA}" name="Column2740"/>
    <tableColumn id="2755" xr3:uid="{CBAD7E80-291F-4139-9E41-BDF537B9A9CC}" name="Column2741"/>
    <tableColumn id="2756" xr3:uid="{47904A86-3A9B-4FD8-B342-FA8A39C720A5}" name="Column2742"/>
    <tableColumn id="2757" xr3:uid="{71B19C34-53CC-4932-B55E-B7017E86FFAA}" name="Column2743"/>
    <tableColumn id="2758" xr3:uid="{89A684AD-06BD-4FDF-83F0-779D81173B9D}" name="Column2744"/>
    <tableColumn id="2759" xr3:uid="{F7956FD7-63B4-404C-9C1E-7AE32875A8C8}" name="Column2745"/>
    <tableColumn id="2760" xr3:uid="{B6EECDD7-52F2-4F30-99AD-3F446D6171FB}" name="Column2746"/>
    <tableColumn id="2761" xr3:uid="{E66B0D1C-5131-47B0-8879-C0A8E8571B22}" name="Column2747"/>
    <tableColumn id="2762" xr3:uid="{F1DE0F3A-5A7B-4D58-840A-A177DB09AE44}" name="Column2748"/>
    <tableColumn id="2763" xr3:uid="{5EBA7615-DBE9-4958-B78E-9F1A05F2DC3E}" name="Column2749"/>
    <tableColumn id="2764" xr3:uid="{7F84BE9F-3698-4472-A0E3-A6D39D30DE57}" name="Column2750"/>
    <tableColumn id="2765" xr3:uid="{69F3DEDC-4FC2-4B5C-A7F6-38D7E835059E}" name="Column2751"/>
    <tableColumn id="2766" xr3:uid="{594A8428-1B4E-470D-AB18-3CE3EEAA06BB}" name="Column2752"/>
    <tableColumn id="2767" xr3:uid="{B2979075-D5E5-422D-BAF6-EA41EEB49E54}" name="Column2753"/>
    <tableColumn id="2768" xr3:uid="{A3F357C4-6000-48B1-87C3-E6AEF6CC349A}" name="Column2754"/>
    <tableColumn id="2769" xr3:uid="{56B008D0-7B83-48E2-B2FC-902C443801AF}" name="Column2755"/>
    <tableColumn id="2770" xr3:uid="{282EE7B2-A60C-4D43-94D6-BF21B2B1B307}" name="Column2756"/>
    <tableColumn id="2771" xr3:uid="{6D6876D3-CC51-4D2D-93F0-5DF65C6B9782}" name="Column2757"/>
    <tableColumn id="2772" xr3:uid="{F4F1DAF3-AA5F-413B-8A00-FCE209E8313B}" name="Column2758"/>
    <tableColumn id="2773" xr3:uid="{5A3378B7-AB9F-4564-8224-B9ADC612681B}" name="Column2759"/>
    <tableColumn id="2774" xr3:uid="{9962957D-84E0-4CA2-9E9D-FD5CF5729279}" name="Column2760"/>
    <tableColumn id="2775" xr3:uid="{328FDA85-EBFF-47F2-A3F9-220259354D3C}" name="Column2761"/>
    <tableColumn id="2776" xr3:uid="{7844EDAD-E5B1-4B90-B9A3-EF89249EE4C9}" name="Column2762"/>
    <tableColumn id="2777" xr3:uid="{1D8C8D7F-A30F-4659-B373-47D3F70DAAC4}" name="Column2763"/>
    <tableColumn id="2778" xr3:uid="{091EF575-F0AD-48CC-8BD1-006AA3891DA4}" name="Column2764"/>
    <tableColumn id="2779" xr3:uid="{05567551-3A0D-4109-9F50-0B084B4B8BBC}" name="Column2765"/>
    <tableColumn id="2780" xr3:uid="{4B7BDEEC-D48F-4CFE-9CC9-3F709AE816F1}" name="Column2766"/>
    <tableColumn id="2781" xr3:uid="{A573CF92-1E43-4926-AC69-BD5186B9BF54}" name="Column2767"/>
    <tableColumn id="2782" xr3:uid="{D917F550-28FF-448A-B79E-BC08EA9C97A9}" name="Column2768"/>
    <tableColumn id="2783" xr3:uid="{5C95F10E-AF4F-41EA-8C85-5E636565CFF1}" name="Column2769"/>
    <tableColumn id="2784" xr3:uid="{3E1B68C9-F6BA-42B6-95E7-D33A65B8AC5C}" name="Column2770"/>
    <tableColumn id="2785" xr3:uid="{7515CD9F-8C7D-467E-A8C8-AC2A2E2C3A60}" name="Column2771"/>
    <tableColumn id="2786" xr3:uid="{B15A6BDF-332A-4CC3-9C42-6C5222075C2C}" name="Column2772"/>
    <tableColumn id="2787" xr3:uid="{00F41DD9-3AD2-4278-A7CC-C5CBB11566C8}" name="Column2773"/>
    <tableColumn id="2788" xr3:uid="{AA9523F4-570B-4C97-A3B3-CAF06E74398C}" name="Column2774"/>
    <tableColumn id="2789" xr3:uid="{F0DA05C8-7E0B-4C16-AC50-59E0084BBA35}" name="Column2775"/>
    <tableColumn id="2790" xr3:uid="{550B2310-5625-4FBB-AB7B-6E37E504E4C4}" name="Column2776"/>
    <tableColumn id="2791" xr3:uid="{09D1857F-F020-4192-99EE-2DB137FB866F}" name="Column2777"/>
    <tableColumn id="2792" xr3:uid="{B3BCA70F-3306-4EA1-9317-7E7C7EAEB108}" name="Column2778"/>
    <tableColumn id="2793" xr3:uid="{9B81E99D-C019-464E-9ACF-B366B926CCB8}" name="Column2779"/>
    <tableColumn id="2794" xr3:uid="{4467D16B-69F3-4CEA-B398-4E1D084B8F90}" name="Column2780"/>
    <tableColumn id="2795" xr3:uid="{29E7613B-E199-4624-A664-8E2C4C4E57F7}" name="Column2781"/>
    <tableColumn id="2796" xr3:uid="{B9F54775-82BB-4CE4-9945-C82B8741143D}" name="Column2782"/>
    <tableColumn id="2797" xr3:uid="{211E25B8-D1C0-4150-B0D8-CFDF8B3D2343}" name="Column2783"/>
    <tableColumn id="2798" xr3:uid="{8E5312D8-31FA-46FD-83E3-972C7FCE338A}" name="Column2784"/>
    <tableColumn id="2799" xr3:uid="{2E663B6C-0D96-4C15-AC09-73729152D50B}" name="Column2785"/>
    <tableColumn id="2800" xr3:uid="{6974C6F1-D0CD-4B2A-B52C-CC15BE4A20C9}" name="Column2786"/>
    <tableColumn id="2801" xr3:uid="{A1842BB2-5D00-4847-9C64-1E3D17AF53B4}" name="Column2787"/>
    <tableColumn id="2802" xr3:uid="{4B7A5C90-EE3D-4160-B4F7-9622E499DC40}" name="Column2788"/>
    <tableColumn id="2803" xr3:uid="{C832ABB1-532B-47F5-9EA3-6E753455F173}" name="Column2789"/>
    <tableColumn id="2804" xr3:uid="{B6959B75-FF3B-4872-B933-24F221CBFBF2}" name="Column2790"/>
    <tableColumn id="2805" xr3:uid="{1D353116-FB10-4106-A486-EC9559B470F2}" name="Column2791"/>
    <tableColumn id="2806" xr3:uid="{B75CA440-DAA4-4834-8E54-2BC2DA6AE9EA}" name="Column2792"/>
    <tableColumn id="2807" xr3:uid="{DFF1CF58-BD18-4152-9597-362393DA7B7B}" name="Column2793"/>
    <tableColumn id="2808" xr3:uid="{BFEC65D0-EFEA-453C-8366-FDB95543E584}" name="Column2794"/>
    <tableColumn id="2809" xr3:uid="{05CAF2AE-EB61-4D2E-B063-8E3376714D2E}" name="Column2795"/>
    <tableColumn id="2810" xr3:uid="{F6FBF2E5-CEF4-4343-A57C-40CD0EA847BB}" name="Column2796"/>
    <tableColumn id="2811" xr3:uid="{410245FC-5719-45E1-AE3C-9262E4644AC1}" name="Column2797"/>
    <tableColumn id="2812" xr3:uid="{CDC5D525-BACE-4099-BCC6-0204E9F546DD}" name="Column2798"/>
    <tableColumn id="2813" xr3:uid="{1B827CD9-E889-4FE9-947D-EEBFCF6A9ED5}" name="Column2799"/>
    <tableColumn id="2814" xr3:uid="{BBC25A9E-3FEE-439F-970E-1485F3B76C23}" name="Column2800"/>
    <tableColumn id="2815" xr3:uid="{5BD59579-83B2-4D15-9107-C2601896FDC8}" name="Column2801"/>
    <tableColumn id="2816" xr3:uid="{1206D3B2-505D-4B32-B00D-4B24007FBC64}" name="Column2802"/>
    <tableColumn id="2817" xr3:uid="{25BF597B-8A87-4BE9-B490-58A241F9FA15}" name="Column2803"/>
    <tableColumn id="2818" xr3:uid="{33CE8824-541F-4429-844F-4A6C74EE7F67}" name="Column2804"/>
    <tableColumn id="2819" xr3:uid="{EE653BFA-BA84-40B8-A85C-63A7463C2690}" name="Column2805"/>
    <tableColumn id="2820" xr3:uid="{EBD2ACCB-BB17-418E-8D44-2033349F085A}" name="Column2806"/>
    <tableColumn id="2821" xr3:uid="{027DBB7E-BA38-443A-9C1D-D2188D7A99DB}" name="Column2807"/>
    <tableColumn id="2822" xr3:uid="{E1E3BC03-803C-4215-9544-6058D27ABFAB}" name="Column2808"/>
    <tableColumn id="2823" xr3:uid="{67C7D813-0FD9-441D-8A85-A0BE61420934}" name="Column2809"/>
    <tableColumn id="2824" xr3:uid="{D6E30737-7F84-4D6E-86D4-7BE78A6F265D}" name="Column2810"/>
    <tableColumn id="2825" xr3:uid="{70FB370C-786E-4D84-8929-0233BE1DBE48}" name="Column2811"/>
    <tableColumn id="2826" xr3:uid="{B27527CD-621F-4350-B550-A4FFD4BC6098}" name="Column2812"/>
    <tableColumn id="2827" xr3:uid="{82D2E41A-26E5-4486-965F-00B052CCAE33}" name="Column2813"/>
    <tableColumn id="2828" xr3:uid="{6570C400-4BD8-458E-8C7B-CBF1F7CBC708}" name="Column2814"/>
    <tableColumn id="2829" xr3:uid="{47CD47AF-3DE6-4A55-828D-0D8CB03B3B8E}" name="Column2815"/>
    <tableColumn id="2830" xr3:uid="{86FA8762-4E4E-4A39-A46B-05AA331FA371}" name="Column2816"/>
    <tableColumn id="2831" xr3:uid="{8415F580-12F5-440B-9D99-F72E6DB2DD93}" name="Column2817"/>
    <tableColumn id="2832" xr3:uid="{02875969-0515-4839-A206-17BB776201A6}" name="Column2818"/>
    <tableColumn id="2833" xr3:uid="{3B85034E-1909-41AC-90F3-574C919D4975}" name="Column2819"/>
    <tableColumn id="2834" xr3:uid="{6016F9CD-04BD-4EE4-8B92-43D9BBE51D55}" name="Column2820"/>
    <tableColumn id="2835" xr3:uid="{5673632E-6A7D-478E-806C-E8544B8D0886}" name="Column2821"/>
    <tableColumn id="2836" xr3:uid="{3274D5C0-E779-473E-BCFA-61299A03730D}" name="Column2822"/>
    <tableColumn id="2837" xr3:uid="{6B985CCA-1F04-43DE-A4F1-9D009C90BA25}" name="Column2823"/>
    <tableColumn id="2838" xr3:uid="{741F2A23-FD9C-4D52-AD90-7BE3A328CEA1}" name="Column2824"/>
    <tableColumn id="2839" xr3:uid="{D81D30F0-B97C-452B-8EC8-308355CD518B}" name="Column2825"/>
    <tableColumn id="2840" xr3:uid="{0560F5A6-9167-40B0-BFB3-70ECC35389BF}" name="Column2826"/>
    <tableColumn id="2841" xr3:uid="{DDA58343-E822-4393-8D64-5C55A70C4513}" name="Column2827"/>
    <tableColumn id="2842" xr3:uid="{53777004-0F49-46A2-A251-97F3F9AB5362}" name="Column2828"/>
    <tableColumn id="2843" xr3:uid="{09FF43DD-FE5C-4103-939F-DEF5DE4A39DD}" name="Column2829"/>
    <tableColumn id="2844" xr3:uid="{63BCE85A-C9BD-4263-A1F6-AC941A65A950}" name="Column2830"/>
    <tableColumn id="2845" xr3:uid="{42B6C136-46CD-4561-AC2F-D527AB68393D}" name="Column2831"/>
    <tableColumn id="2846" xr3:uid="{696ED54F-1817-4345-8163-1D271F2C94E3}" name="Column2832"/>
    <tableColumn id="2847" xr3:uid="{D5A2F514-BCDD-4523-BB4D-FEBFC2FBAB6E}" name="Column2833"/>
    <tableColumn id="2848" xr3:uid="{5D2061ED-DBBC-4D59-B180-DE57A7201278}" name="Column2834"/>
    <tableColumn id="2849" xr3:uid="{D7851D2F-7439-4C7F-A0F8-187306C819F8}" name="Column2835"/>
    <tableColumn id="2850" xr3:uid="{8D98F43B-E613-4577-B5F5-E406C9A71DB4}" name="Column2836"/>
    <tableColumn id="2851" xr3:uid="{F2E409BA-ACF9-4A2C-8843-78F786EC5055}" name="Column2837"/>
    <tableColumn id="2852" xr3:uid="{FCE13460-A25C-4B75-8584-8A29F9CF9D91}" name="Column2838"/>
    <tableColumn id="2853" xr3:uid="{346BF4F5-F733-4D98-9AE4-95A426A7EB56}" name="Column2839"/>
    <tableColumn id="2854" xr3:uid="{92A35D23-F5CA-45A7-AFD8-CB615E5FA721}" name="Column2840"/>
    <tableColumn id="2855" xr3:uid="{C1EF0396-4A11-42EA-9AAC-CAEAFDD39F52}" name="Column2841"/>
    <tableColumn id="2856" xr3:uid="{5EEFFE62-43DC-4F73-BFF7-01DC6956E3FC}" name="Column2842"/>
    <tableColumn id="2857" xr3:uid="{A6EEF144-F1E2-45AB-B5B0-BA1ACBFCDF14}" name="Column2843"/>
    <tableColumn id="2858" xr3:uid="{FDC3CEB5-7372-43E8-9BEB-4F3B03C2A70C}" name="Column2844"/>
    <tableColumn id="2859" xr3:uid="{031192EA-FCD4-4D26-8F00-BDC9000854C2}" name="Column2845"/>
    <tableColumn id="2860" xr3:uid="{8A3EB6AC-A7CC-49D7-97BD-6810154DDD2A}" name="Column2846"/>
    <tableColumn id="2861" xr3:uid="{DC03DB18-CC4C-490D-9D28-E238F6C120F7}" name="Column2847"/>
    <tableColumn id="2862" xr3:uid="{CF2FB334-B1EC-4472-82A9-D4D8D33E28F4}" name="Column2848"/>
    <tableColumn id="2863" xr3:uid="{26DEFFBE-EBCC-413A-A5DB-A12A99AB6DF3}" name="Column2849"/>
    <tableColumn id="2864" xr3:uid="{17CF0FAB-CCD2-4682-8137-3965929CD548}" name="Column2850"/>
    <tableColumn id="2865" xr3:uid="{649EEFC4-D34D-42F0-B35E-BC0120F7B52E}" name="Column2851"/>
    <tableColumn id="2866" xr3:uid="{1E0B5BA9-13DC-4A35-8A30-D2C29C72196D}" name="Column2852"/>
    <tableColumn id="2867" xr3:uid="{107EEB82-61BB-4F8E-826B-23D68A784238}" name="Column2853"/>
    <tableColumn id="2868" xr3:uid="{C4197DB6-FD68-4422-B06E-5A56314AC2EA}" name="Column2854"/>
    <tableColumn id="2869" xr3:uid="{8F7BC870-BACF-4449-A133-DC365B69DC3F}" name="Column2855"/>
    <tableColumn id="2870" xr3:uid="{D1959BF7-CDEA-4A72-9A4B-9C523D63FBA1}" name="Column2856"/>
    <tableColumn id="2871" xr3:uid="{7434B1ED-02BA-471D-9C45-7BBC2A894476}" name="Column2857"/>
    <tableColumn id="2872" xr3:uid="{B2ED390D-521F-44CC-8CE0-B35B74DB7904}" name="Column2858"/>
    <tableColumn id="2873" xr3:uid="{29151D32-4136-415A-BE59-EFC6370447BA}" name="Column2859"/>
    <tableColumn id="2874" xr3:uid="{F3522A12-B1A6-4F62-82AD-33B8DF364CBA}" name="Column2860"/>
    <tableColumn id="2875" xr3:uid="{C36C001F-64C4-4139-9D66-08764327761F}" name="Column2861"/>
    <tableColumn id="2876" xr3:uid="{E10A6187-DF15-4818-B7EF-91748DF062A0}" name="Column2862"/>
    <tableColumn id="2877" xr3:uid="{90399E75-621A-4AD1-A496-B3BCD78E92AB}" name="Column2863"/>
    <tableColumn id="2878" xr3:uid="{BD4451A1-BBBF-433B-BB89-0306CA041386}" name="Column2864"/>
    <tableColumn id="2879" xr3:uid="{541087D0-9977-4043-826C-85E35E9FEF0F}" name="Column2865"/>
    <tableColumn id="2880" xr3:uid="{A3DAF6B3-28CC-42EA-9C6B-FB7D26F9D5DD}" name="Column2866"/>
    <tableColumn id="2881" xr3:uid="{886FCE88-64D2-416A-8B44-0DEDE79DC6E5}" name="Column2867"/>
    <tableColumn id="2882" xr3:uid="{5871F5E3-DF10-44A4-8A8A-61EC559118CA}" name="Column2868"/>
    <tableColumn id="2883" xr3:uid="{57223D18-92B3-49D4-B9B8-6C247BB78F31}" name="Column2869"/>
    <tableColumn id="2884" xr3:uid="{2B9B8EA2-21E8-496C-B1B1-565C7166B4A1}" name="Column2870"/>
    <tableColumn id="2885" xr3:uid="{41D3ABC5-D899-4C3E-921C-6B70F6C554ED}" name="Column2871"/>
    <tableColumn id="2886" xr3:uid="{76B925DF-FF83-4D0E-9990-8A06CD650EB7}" name="Column2872"/>
    <tableColumn id="2887" xr3:uid="{6268AFB5-3B20-471C-9592-57AB1C787118}" name="Column2873"/>
    <tableColumn id="2888" xr3:uid="{5FEA9736-CC8D-4C1A-9CC6-99B5CFDECB26}" name="Column2874"/>
    <tableColumn id="2889" xr3:uid="{884D359B-C0ED-4A47-B65B-1F4E5483B928}" name="Column2875"/>
    <tableColumn id="2890" xr3:uid="{2C9AB1D5-EE54-4C49-91D8-AF7DBB20B70A}" name="Column2876"/>
    <tableColumn id="2891" xr3:uid="{64F82236-E21B-498C-9353-9AA20F5DB18A}" name="Column2877"/>
    <tableColumn id="2892" xr3:uid="{09422A6C-F32C-47C7-8B8F-F4675D4C39FD}" name="Column2878"/>
    <tableColumn id="2893" xr3:uid="{48D381E0-9605-41D6-8656-D0D08AFE656B}" name="Column2879"/>
    <tableColumn id="2894" xr3:uid="{E711D812-2139-4BFB-A544-F0355F5E71B1}" name="Column2880"/>
    <tableColumn id="2895" xr3:uid="{84AADB61-C96A-4AFF-AAEF-9A93E29ED76E}" name="Column2881"/>
    <tableColumn id="2896" xr3:uid="{73789761-6B07-4D24-99FE-E3A3BCEEB4E1}" name="Column2882"/>
    <tableColumn id="2897" xr3:uid="{173EFD9B-0590-4DA2-AC85-AF9CDC7E5C83}" name="Column2883"/>
    <tableColumn id="2898" xr3:uid="{EBD081A4-5076-4A45-87AB-B4C9037FFA00}" name="Column2884"/>
    <tableColumn id="2899" xr3:uid="{57588C22-7A88-4EAD-97F7-4E77AC49ABD1}" name="Column2885"/>
    <tableColumn id="2900" xr3:uid="{CDAB8CC9-AE43-4E13-9E48-3646554C4534}" name="Column2886"/>
    <tableColumn id="2901" xr3:uid="{9017511E-094F-4A24-8846-F88240D650C5}" name="Column2887"/>
    <tableColumn id="2902" xr3:uid="{0249AC65-3996-4814-93B8-D72DED9358A0}" name="Column2888"/>
    <tableColumn id="2903" xr3:uid="{25EB927D-D34C-415A-BF01-BFB2CBF68367}" name="Column2889"/>
    <tableColumn id="2904" xr3:uid="{DA11664C-C524-4766-99AA-2A262C35EF2D}" name="Column2890"/>
    <tableColumn id="2905" xr3:uid="{05DE9C93-7734-4E0C-9AD6-79591AB20D2B}" name="Column2891"/>
    <tableColumn id="2906" xr3:uid="{8186C1B8-E48B-42E6-9756-BC2753667049}" name="Column2892"/>
    <tableColumn id="2907" xr3:uid="{68A5DB17-FD19-40FA-AC99-432F3FD477F0}" name="Column2893"/>
    <tableColumn id="2908" xr3:uid="{4DDB4154-E7ED-4E9C-9747-8AFCF781AE0F}" name="Column2894"/>
    <tableColumn id="2909" xr3:uid="{AEF314B8-D9A4-4AD1-9D04-B9F3FA49A38E}" name="Column2895"/>
    <tableColumn id="2910" xr3:uid="{9878C22A-D27D-45DE-A455-FE9E6C7248E9}" name="Column2896"/>
    <tableColumn id="2911" xr3:uid="{4B77FE02-DCC7-4ED6-B21A-6F366BBB2229}" name="Column2897"/>
    <tableColumn id="2912" xr3:uid="{8FED91A4-81DC-40B6-A3E9-EEAE5B578343}" name="Column2898"/>
    <tableColumn id="2913" xr3:uid="{A741B7B1-DD0D-4616-93F4-CBAC3729BB34}" name="Column2899"/>
    <tableColumn id="2914" xr3:uid="{0EE7E8BA-6A1C-40E2-8319-995DA2701A2F}" name="Column2900"/>
    <tableColumn id="2915" xr3:uid="{FBF32486-F579-4EE4-A2AD-01D793D02E6F}" name="Column2901"/>
    <tableColumn id="2916" xr3:uid="{1F6A1F63-6421-4AF1-BE81-88206B22DC54}" name="Column2902"/>
    <tableColumn id="2917" xr3:uid="{E095D03E-66BD-4614-832D-D051BBC9A04D}" name="Column2903"/>
    <tableColumn id="2918" xr3:uid="{CC50FB20-9AEA-4359-BBCF-07AC42C97AA9}" name="Column2904"/>
    <tableColumn id="2919" xr3:uid="{E8B22E5C-6B97-4F51-A77E-4F5BB193C968}" name="Column2905"/>
    <tableColumn id="2920" xr3:uid="{89434316-4A18-4EE4-A098-89968C4C9D7C}" name="Column2906"/>
    <tableColumn id="2921" xr3:uid="{298BFD51-D686-4B3D-B3C9-6B7ABCAF8A4C}" name="Column2907"/>
    <tableColumn id="2922" xr3:uid="{0FB8D8D9-CB42-4F8F-A753-B31D01E7B07A}" name="Column2908"/>
    <tableColumn id="2923" xr3:uid="{457DCEED-79B1-48E6-8067-4EA4E3E7A561}" name="Column2909"/>
    <tableColumn id="2924" xr3:uid="{9E9DDC65-CD79-42CD-A58E-2FE40BDC7103}" name="Column2910"/>
    <tableColumn id="2925" xr3:uid="{2BE1B779-AE2C-4BED-8C48-BA1B31BEF68A}" name="Column2911"/>
    <tableColumn id="2926" xr3:uid="{AA5D99AE-0E2C-4A11-9BED-91CF187E06EF}" name="Column2912"/>
    <tableColumn id="2927" xr3:uid="{FA7230CB-D554-4957-A255-869870D30A38}" name="Column2913"/>
    <tableColumn id="2928" xr3:uid="{6083F5B6-DB5E-407B-AB78-87F338874293}" name="Column2914"/>
    <tableColumn id="2929" xr3:uid="{2B7472FB-4F40-4631-A247-C24771D4C157}" name="Column2915"/>
    <tableColumn id="2930" xr3:uid="{86E8D148-EA96-4A57-A76C-8C4E2DCBB6F9}" name="Column2916"/>
    <tableColumn id="2931" xr3:uid="{3AE8D5B4-DA02-44E8-B2AE-B8EA0E6C0043}" name="Column2917"/>
    <tableColumn id="2932" xr3:uid="{F4AA9E0F-A27A-454E-B7A6-78B02AEB590A}" name="Column2918"/>
    <tableColumn id="2933" xr3:uid="{5A5F72AD-1655-418C-A4BB-C9B386C2C24B}" name="Column2919"/>
    <tableColumn id="2934" xr3:uid="{6C696B52-577A-42FC-824A-CF7E7B97BEFA}" name="Column2920"/>
    <tableColumn id="2935" xr3:uid="{30E7FD27-B8B3-4EBB-A858-25CAD3645B59}" name="Column2921"/>
    <tableColumn id="2936" xr3:uid="{479DB6F4-727F-46BE-94A5-059943099BC3}" name="Column2922"/>
    <tableColumn id="2937" xr3:uid="{047E9C30-73A9-4D24-A2C4-5B380A770E3F}" name="Column2923"/>
    <tableColumn id="2938" xr3:uid="{3D8311E9-BB85-4F2D-9C75-3C56F4312843}" name="Column2924"/>
    <tableColumn id="2939" xr3:uid="{C9DBBECB-E30D-4B14-8EB8-F10042651AB1}" name="Column2925"/>
    <tableColumn id="2940" xr3:uid="{B5ABAF90-B302-47C5-BA99-2156F4B91DBB}" name="Column2926"/>
    <tableColumn id="2941" xr3:uid="{DC794063-646F-4FA6-B667-5191793594B7}" name="Column2927"/>
    <tableColumn id="2942" xr3:uid="{80A71FC8-DD86-49FA-A4D8-CAE9B990919B}" name="Column2928"/>
    <tableColumn id="2943" xr3:uid="{34ADF0F8-7387-4BB9-AED7-14E8F279A945}" name="Column2929"/>
    <tableColumn id="2944" xr3:uid="{66FC29F0-9ED7-4349-BD74-8179BB6866DC}" name="Column2930"/>
    <tableColumn id="2945" xr3:uid="{A59384B9-725F-4BDE-B180-BA2E41D49669}" name="Column2931"/>
    <tableColumn id="2946" xr3:uid="{A9A3E5D2-342C-4838-948E-7A7F32792FEE}" name="Column2932"/>
    <tableColumn id="2947" xr3:uid="{CE33572D-FBBA-42DE-9AD1-8FE33D026526}" name="Column2933"/>
    <tableColumn id="2948" xr3:uid="{0874A352-4A42-49D6-9F08-AFAC0F0991EF}" name="Column2934"/>
    <tableColumn id="2949" xr3:uid="{BBFCF866-AEC0-46C5-8BBD-27034B21B4F2}" name="Column2935"/>
    <tableColumn id="2950" xr3:uid="{66B8B7CC-AFC0-432A-8F34-A2812124B675}" name="Column2936"/>
    <tableColumn id="2951" xr3:uid="{8456F0FC-8F0A-46F0-A43C-314634BDFA72}" name="Column2937"/>
    <tableColumn id="2952" xr3:uid="{0EDC5209-3774-4139-82F8-22EC92977E89}" name="Column2938"/>
    <tableColumn id="2953" xr3:uid="{CCE28BDE-5768-48EC-87A4-B891BFA1EEA6}" name="Column2939"/>
    <tableColumn id="2954" xr3:uid="{AB102B88-5F3A-47D8-8F40-437EF1106501}" name="Column2940"/>
    <tableColumn id="2955" xr3:uid="{D9EEEFDC-5ECB-4EB6-86DA-D4323F21A723}" name="Column2941"/>
    <tableColumn id="2956" xr3:uid="{690DD523-0FCF-4004-84B3-127952AF17DB}" name="Column2942"/>
    <tableColumn id="2957" xr3:uid="{D971A3A2-53CF-4882-BE78-67B00FCF1721}" name="Column2943"/>
    <tableColumn id="2958" xr3:uid="{00BF1068-894F-4938-9291-8974E3B90F55}" name="Column2944"/>
    <tableColumn id="2959" xr3:uid="{EE49F93A-B7C4-4AA2-8969-C0048EAF154B}" name="Column2945"/>
    <tableColumn id="2960" xr3:uid="{45A44073-5CC9-400C-B22E-D749A72E2C76}" name="Column2946"/>
    <tableColumn id="2961" xr3:uid="{A3CEE266-DCC1-46A1-85D4-B4210E67912D}" name="Column2947"/>
    <tableColumn id="2962" xr3:uid="{A3188518-69A1-4082-8191-360311E40F4F}" name="Column2948"/>
    <tableColumn id="2963" xr3:uid="{BB19D345-6C93-4B1E-9928-9E2CCFCBE55E}" name="Column2949"/>
    <tableColumn id="2964" xr3:uid="{471970F1-CDD6-4734-BBD3-0E0741CBA0C1}" name="Column2950"/>
    <tableColumn id="2965" xr3:uid="{C11256F6-3A93-43BD-A767-132FAB4371E1}" name="Column2951"/>
    <tableColumn id="2966" xr3:uid="{C7B6939D-A0B4-430A-B6DF-81855513D5F1}" name="Column2952"/>
    <tableColumn id="2967" xr3:uid="{BA6994B6-9D96-49EA-B838-73585223DD03}" name="Column2953"/>
    <tableColumn id="2968" xr3:uid="{F9A4AF72-F021-4CE1-852C-5CA858383F23}" name="Column2954"/>
    <tableColumn id="2969" xr3:uid="{9F4CFEAE-F3EB-4914-9BA0-51CA1F6F18C4}" name="Column2955"/>
    <tableColumn id="2970" xr3:uid="{29952F64-C47E-44E7-A75F-B459954311E8}" name="Column2956"/>
    <tableColumn id="2971" xr3:uid="{C8AC2A7C-54AA-4BA9-97B2-6BB16B277B03}" name="Column2957"/>
    <tableColumn id="2972" xr3:uid="{3176CCB1-B6EE-4689-8D05-9DC5423D623B}" name="Column2958"/>
    <tableColumn id="2973" xr3:uid="{4D5A54B6-59CE-413A-80C1-46CD80E42E75}" name="Column2959"/>
    <tableColumn id="2974" xr3:uid="{C8836EB6-A481-4053-9C01-70922373F9F4}" name="Column2960"/>
    <tableColumn id="2975" xr3:uid="{97A46E79-17F1-4028-8E7D-33E03ED20670}" name="Column2961"/>
    <tableColumn id="2976" xr3:uid="{32633CD6-42A6-4FB4-BC0D-814AC130DF1F}" name="Column2962"/>
    <tableColumn id="2977" xr3:uid="{58ACBF43-F892-4626-AC9C-E542822F331C}" name="Column2963"/>
    <tableColumn id="2978" xr3:uid="{437A6F93-96F9-4F18-A706-6B65732066E2}" name="Column2964"/>
    <tableColumn id="2979" xr3:uid="{2A8401FD-DB9C-442F-8CBF-B6C8A5B75CB2}" name="Column2965"/>
    <tableColumn id="2980" xr3:uid="{F7670993-E344-4FA9-9F64-C90B31ABB1B3}" name="Column2966"/>
    <tableColumn id="2981" xr3:uid="{F2B8682B-58DD-4301-BEC1-CECBBC2E4A43}" name="Column2967"/>
    <tableColumn id="2982" xr3:uid="{2174F8ED-9932-41E4-954D-E57D394983BA}" name="Column2968"/>
    <tableColumn id="2983" xr3:uid="{866BF8E3-1C4A-443F-8622-35D65F0A47C8}" name="Column2969"/>
    <tableColumn id="2984" xr3:uid="{D885E7D6-EF7F-4338-A3B1-B7F634FE6D94}" name="Column2970"/>
    <tableColumn id="2985" xr3:uid="{179967E8-0153-48E2-AB69-3CA56AD47ED0}" name="Column2971"/>
    <tableColumn id="2986" xr3:uid="{4012E4E6-9ED0-4143-9230-D0642A3886F5}" name="Column2972"/>
    <tableColumn id="2987" xr3:uid="{3CFDE7B9-74E2-4852-8CED-7C52B1F0B472}" name="Column2973"/>
    <tableColumn id="2988" xr3:uid="{3EF8CDF5-A56E-4B54-A010-D23CEC4D0142}" name="Column2974"/>
    <tableColumn id="2989" xr3:uid="{0236DF5C-118D-40A8-8C4F-02E4C1F7E248}" name="Column2975"/>
    <tableColumn id="2990" xr3:uid="{E4F38093-9886-4115-A0B4-D340685CB700}" name="Column2976"/>
    <tableColumn id="2991" xr3:uid="{5FFB2E51-EBD4-4E8D-B958-DF18EEB93C23}" name="Column2977"/>
    <tableColumn id="2992" xr3:uid="{8C07A2E7-9B8E-41F6-B535-7E0D722AF77E}" name="Column2978"/>
    <tableColumn id="2993" xr3:uid="{96A8F713-4E9B-4A8E-BE7A-A97F8A3BC0E3}" name="Column2979"/>
    <tableColumn id="2994" xr3:uid="{A874B934-4FE8-4835-85A1-D503F82BD0F7}" name="Column2980"/>
    <tableColumn id="2995" xr3:uid="{93A50829-C916-47ED-968B-15F398B83F8D}" name="Column2981"/>
    <tableColumn id="2996" xr3:uid="{B879DEF7-350D-4B68-8895-45983117F790}" name="Column2982"/>
    <tableColumn id="2997" xr3:uid="{64FA2F0D-F4A6-4E17-94AD-C1A1F5F2D035}" name="Column2983"/>
    <tableColumn id="2998" xr3:uid="{BE0D49F8-B2A9-45ED-88C3-B69AE03B16DF}" name="Column2984"/>
    <tableColumn id="2999" xr3:uid="{D3925B2E-EDED-4E6C-B018-FB1443D28E06}" name="Column2985"/>
    <tableColumn id="3000" xr3:uid="{501CCCF3-5FE7-4270-99F0-00E8E67745A7}" name="Column2986"/>
    <tableColumn id="3001" xr3:uid="{404B1FC7-BD2C-44F4-9BD3-40376C0D0285}" name="Column2987"/>
    <tableColumn id="3002" xr3:uid="{1665C97F-5738-4704-AF1E-9FA25CEAF46A}" name="Column2988"/>
    <tableColumn id="3003" xr3:uid="{CC5FFEDF-97B6-4F9F-9BDF-E4DDB2C18AB5}" name="Column2989"/>
    <tableColumn id="3004" xr3:uid="{E5197C92-4DEC-4508-BF04-D64850AD4DD9}" name="Column2990"/>
    <tableColumn id="3005" xr3:uid="{1E07633C-AA23-41B6-8C0D-3BAB1C4BB23F}" name="Column2991"/>
    <tableColumn id="3006" xr3:uid="{B15DCC32-EFB1-4D8F-8268-18F3B9A55F70}" name="Column2992"/>
    <tableColumn id="3007" xr3:uid="{5074B359-2D8B-46E2-B5FC-9B911BBEF444}" name="Column2993"/>
    <tableColumn id="3008" xr3:uid="{DE7ED17E-9077-450B-8E3A-A0687F7F881D}" name="Column2994"/>
    <tableColumn id="3009" xr3:uid="{D14408D4-61AE-4387-B970-AC3836EB4E29}" name="Column2995"/>
    <tableColumn id="3010" xr3:uid="{2032524D-2A33-438E-A4BF-14E81F869644}" name="Column2996"/>
    <tableColumn id="3011" xr3:uid="{BEF7FD41-BE72-428E-9272-E9D708797524}" name="Column2997"/>
    <tableColumn id="3012" xr3:uid="{799BDE33-D9CD-4C99-9072-F93644CEC0F6}" name="Column2998"/>
    <tableColumn id="3013" xr3:uid="{8C413ABD-006B-45F6-9C19-4C54420751AC}" name="Column2999"/>
    <tableColumn id="3014" xr3:uid="{AB02A252-625E-44C4-96F8-C960E914EF50}" name="Column3000"/>
    <tableColumn id="3015" xr3:uid="{8ABA8790-E047-4153-A1D4-B0DEA7A3D79F}" name="Column3001"/>
    <tableColumn id="3016" xr3:uid="{F0C867CD-E100-4503-A7FF-7D7FDD5A3598}" name="Column3002"/>
    <tableColumn id="3017" xr3:uid="{4B2E2195-36CD-4858-B5D5-706CFDEF9145}" name="Column3003"/>
    <tableColumn id="3018" xr3:uid="{2442823E-4912-4FB3-93DB-E08F7763DEBA}" name="Column3004"/>
    <tableColumn id="3019" xr3:uid="{430263E5-0F0F-40AC-A450-B2E58F2D07FB}" name="Column3005"/>
    <tableColumn id="3020" xr3:uid="{1D16E36A-08C8-42D1-8A67-690435776563}" name="Column3006"/>
    <tableColumn id="3021" xr3:uid="{72EC09E1-B6C7-4AF7-8AA4-AD8C9C0DA431}" name="Column3007"/>
    <tableColumn id="3022" xr3:uid="{7FE43D72-FDD4-4309-8078-B6A21CB5FDCD}" name="Column3008"/>
    <tableColumn id="3023" xr3:uid="{C169F064-1AA3-434D-B427-FA4A82CE09F4}" name="Column3009"/>
    <tableColumn id="3024" xr3:uid="{4A725BFD-B757-42AB-91E2-45FCD34FE9D1}" name="Column3010"/>
    <tableColumn id="3025" xr3:uid="{E34A328B-263D-4F74-9DAB-26B78126A40D}" name="Column3011"/>
    <tableColumn id="3026" xr3:uid="{46186B6C-3C9A-41C6-8887-660073F58FD5}" name="Column3012"/>
    <tableColumn id="3027" xr3:uid="{DF22BE8C-7947-4C7D-8DD1-1F5D1F0EB80E}" name="Column3013"/>
    <tableColumn id="3028" xr3:uid="{86772E5F-EC98-494F-A522-01A79D4CBE1B}" name="Column3014"/>
    <tableColumn id="3029" xr3:uid="{09E3DF6F-9FD8-4DE1-9D30-B2D239A386AD}" name="Column3015"/>
    <tableColumn id="3030" xr3:uid="{1E5295FA-CFF9-4C6B-ADC0-951852BD3607}" name="Column3016"/>
    <tableColumn id="3031" xr3:uid="{021C2D00-E837-4A7B-BE33-09893C709E41}" name="Column3017"/>
    <tableColumn id="3032" xr3:uid="{D9D60883-1C4B-4DB5-8F14-A60D4B7EE2BE}" name="Column3018"/>
    <tableColumn id="3033" xr3:uid="{6E22695F-6249-4311-BE53-58561335D10C}" name="Column3019"/>
    <tableColumn id="3034" xr3:uid="{6872B383-3979-4EE4-B367-172E659054FF}" name="Column3020"/>
    <tableColumn id="3035" xr3:uid="{B759AF73-6EBE-421C-AE5D-1883E2D085A0}" name="Column3021"/>
    <tableColumn id="3036" xr3:uid="{470E0FBD-0B93-4031-BF43-A83F8C47E8C9}" name="Column3022"/>
    <tableColumn id="3037" xr3:uid="{888CF56B-59DB-4611-8D07-3C2CEA08E39A}" name="Column3023"/>
    <tableColumn id="3038" xr3:uid="{9AE53E32-B018-411F-8130-2D2AEDF793EF}" name="Column3024"/>
    <tableColumn id="3039" xr3:uid="{570017F1-1A4E-4595-99C3-184C8FDF0054}" name="Column3025"/>
    <tableColumn id="3040" xr3:uid="{1B0C7BAB-4D7C-4563-A3EC-F521D16C3103}" name="Column3026"/>
    <tableColumn id="3041" xr3:uid="{69C546C2-8F52-45D9-AC30-E3FD89ED5E89}" name="Column3027"/>
    <tableColumn id="3042" xr3:uid="{AEE133DE-D523-4672-B41F-A73311E2A80D}" name="Column3028"/>
    <tableColumn id="3043" xr3:uid="{8946CB7D-0CCB-4DB5-9475-31E0E52453E2}" name="Column3029"/>
    <tableColumn id="3044" xr3:uid="{564E6F89-21AE-44C9-99A6-E4F2C194FEB6}" name="Column3030"/>
    <tableColumn id="3045" xr3:uid="{239EBFF8-7806-44B4-ACA8-3B91DD4C49BF}" name="Column3031"/>
    <tableColumn id="3046" xr3:uid="{5407FEA7-4D97-4B37-8460-EA095F2DD4E6}" name="Column3032"/>
    <tableColumn id="3047" xr3:uid="{D082FC2D-809C-4BE8-A574-08A605B88C58}" name="Column3033"/>
    <tableColumn id="3048" xr3:uid="{593D3C51-2A10-4363-B9FE-5FDB0ED81AC4}" name="Column3034"/>
    <tableColumn id="3049" xr3:uid="{F21009E9-A358-4F4F-B4B0-8A3B79DB7F86}" name="Column3035"/>
    <tableColumn id="3050" xr3:uid="{547EC799-86CC-4584-A3DA-0642DEEFF08F}" name="Column3036"/>
    <tableColumn id="3051" xr3:uid="{ABD12D1E-CDFE-42ED-94F6-415455534F1B}" name="Column3037"/>
    <tableColumn id="3052" xr3:uid="{1EDFD62B-89EE-4689-B2E4-5E5C5E281641}" name="Column3038"/>
    <tableColumn id="3053" xr3:uid="{3544BCA8-6F02-4387-B9AB-889235FF52D4}" name="Column3039"/>
    <tableColumn id="3054" xr3:uid="{A72C1E00-C608-4B7D-B251-5512FD66D24D}" name="Column3040"/>
    <tableColumn id="3055" xr3:uid="{DB70B02A-D908-43F9-8833-9DF5DCA05596}" name="Column3041"/>
    <tableColumn id="3056" xr3:uid="{364F32B8-BF8B-4F5F-813C-F6E66020177E}" name="Column3042"/>
    <tableColumn id="3057" xr3:uid="{8522BCDF-F7B1-46DD-B304-9300394AD03D}" name="Column3043"/>
    <tableColumn id="3058" xr3:uid="{B67B891A-2B27-44B1-BF48-99A373F0A439}" name="Column3044"/>
    <tableColumn id="3059" xr3:uid="{D181DF30-0544-4089-8E38-00349F3CCC03}" name="Column3045"/>
    <tableColumn id="3060" xr3:uid="{557A30F4-A788-4BB7-AC7E-FCF1C479CB7B}" name="Column3046"/>
    <tableColumn id="3061" xr3:uid="{182B6933-1D1B-4AC0-9FCE-2164D972C01A}" name="Column3047"/>
    <tableColumn id="3062" xr3:uid="{E5E54226-0C1A-4C97-AE1D-8FDAD1968F68}" name="Column3048"/>
    <tableColumn id="3063" xr3:uid="{1EF0B1DE-7532-4512-953B-36FD32FE5B58}" name="Column3049"/>
    <tableColumn id="3064" xr3:uid="{F92A2593-EE28-4FE0-84ED-ED441F250D4F}" name="Column3050"/>
    <tableColumn id="3065" xr3:uid="{14A968FA-67EF-453E-A7F6-6D43A8FF3969}" name="Column3051"/>
    <tableColumn id="3066" xr3:uid="{526D0611-2F1C-4955-A8A0-86D2A1990890}" name="Column3052"/>
    <tableColumn id="3067" xr3:uid="{4EAA023C-2EAB-4309-90ED-D60C52FC577A}" name="Column3053"/>
    <tableColumn id="3068" xr3:uid="{0EE7B065-E814-4549-A482-CB4BA6A4FC9A}" name="Column3054"/>
    <tableColumn id="3069" xr3:uid="{B85AB621-EF46-462A-A5E4-8700E0E7F68C}" name="Column3055"/>
    <tableColumn id="3070" xr3:uid="{4025E244-EFFA-4380-89C1-297CDA39937E}" name="Column3056"/>
    <tableColumn id="3071" xr3:uid="{A8F16196-2835-4784-9CB5-A29F8F5E58D1}" name="Column3057"/>
    <tableColumn id="3072" xr3:uid="{9AAD8B86-96E5-4CAD-8A0A-F87EDA06D26A}" name="Column3058"/>
    <tableColumn id="3073" xr3:uid="{FC4B8114-E228-4A94-9B2A-F6C2B36F388A}" name="Column3059"/>
    <tableColumn id="3074" xr3:uid="{D7F9029F-54DE-4CD5-90C3-E9890D280D37}" name="Column3060"/>
    <tableColumn id="3075" xr3:uid="{EA333377-B142-49BD-955E-77616F9E2EC1}" name="Column3061"/>
    <tableColumn id="3076" xr3:uid="{D870B148-F1CC-421F-8181-F6E9A8655441}" name="Column3062"/>
    <tableColumn id="3077" xr3:uid="{824BE645-1490-4846-BCB9-D01672B437B1}" name="Column3063"/>
    <tableColumn id="3078" xr3:uid="{57DADA1B-B5C2-4F66-AB70-C3F117767A92}" name="Column3064"/>
    <tableColumn id="3079" xr3:uid="{0A133B02-E814-470C-B8F9-14CE2CCDE240}" name="Column3065"/>
    <tableColumn id="3080" xr3:uid="{1B8A8F5F-614E-4223-AB90-4E8EB0578EE1}" name="Column3066"/>
    <tableColumn id="3081" xr3:uid="{AFCD9114-8C18-43B8-A687-5B05657D1F50}" name="Column3067"/>
    <tableColumn id="3082" xr3:uid="{ACEBE9B7-0E15-40DD-AD1C-DD5CBD4CEF82}" name="Column3068"/>
    <tableColumn id="3083" xr3:uid="{344CC032-3771-4416-8653-8BAD6AB207F1}" name="Column3069"/>
    <tableColumn id="3084" xr3:uid="{5EE24232-5278-4A5E-B0DC-2CAA74063425}" name="Column3070"/>
    <tableColumn id="3085" xr3:uid="{A2DAD0F9-BA9B-4C72-A231-F23DA81A7632}" name="Column3071"/>
    <tableColumn id="3086" xr3:uid="{A40A92D1-D9C8-44C9-9501-818A86F2C962}" name="Column3072"/>
    <tableColumn id="3087" xr3:uid="{B4FBD13A-78E1-4471-A1DD-0A58F30D79C3}" name="Column3073"/>
    <tableColumn id="3088" xr3:uid="{4501A51A-6419-4178-9794-AC17E9C82DD9}" name="Column3074"/>
    <tableColumn id="3089" xr3:uid="{D0CFBF66-3FD0-4FDF-AF6C-0737690E2FA6}" name="Column3075"/>
    <tableColumn id="3090" xr3:uid="{FDBB83C9-C617-475E-AE1D-2C340CA75A94}" name="Column3076"/>
    <tableColumn id="3091" xr3:uid="{40E0582D-B606-4773-B701-CF4C74414B6F}" name="Column3077"/>
    <tableColumn id="3092" xr3:uid="{6AB9E1C7-A603-4E20-AB66-43D559F49525}" name="Column3078"/>
    <tableColumn id="3093" xr3:uid="{2973B2AE-9684-4BDF-B82F-BC42CB1601D6}" name="Column3079"/>
    <tableColumn id="3094" xr3:uid="{6F574C94-4490-46EC-9B86-F0C41B5F9CED}" name="Column3080"/>
    <tableColumn id="3095" xr3:uid="{B5591878-87AB-4579-8AEC-F243CB3A5C21}" name="Column3081"/>
    <tableColumn id="3096" xr3:uid="{E6FFA867-CBF9-4E6B-A275-5444248B52DC}" name="Column3082"/>
    <tableColumn id="3097" xr3:uid="{5902F16C-4D3C-4F56-9C45-51DE7B9CDEC9}" name="Column3083"/>
    <tableColumn id="3098" xr3:uid="{4BFD29A0-0E09-4718-888D-870466BD5D63}" name="Column3084"/>
    <tableColumn id="3099" xr3:uid="{A3FED4DF-D5B2-41EB-8A37-61FF86882A0C}" name="Column3085"/>
    <tableColumn id="3100" xr3:uid="{DBBA6ADD-5E5C-4450-A45D-1258E720CE67}" name="Column3086"/>
    <tableColumn id="3101" xr3:uid="{9322D0C3-77BA-4F39-BAC8-19B42A305DBA}" name="Column3087"/>
    <tableColumn id="3102" xr3:uid="{C9BDB1FD-F978-41A9-A289-BE861644DAD8}" name="Column3088"/>
    <tableColumn id="3103" xr3:uid="{0D8DBBF8-8007-4BE3-AB89-FC474A121390}" name="Column3089"/>
    <tableColumn id="3104" xr3:uid="{9BA6382B-6BD9-4C3F-8CBE-56FF95838B8F}" name="Column3090"/>
    <tableColumn id="3105" xr3:uid="{743CFF14-87C7-4043-8ABE-D0371A95B316}" name="Column3091"/>
    <tableColumn id="3106" xr3:uid="{D655C74A-609A-4CFF-8F18-E8A9D92FE064}" name="Column3092"/>
    <tableColumn id="3107" xr3:uid="{CFD31F4B-AE52-4241-A8EB-575064ECA657}" name="Column3093"/>
    <tableColumn id="3108" xr3:uid="{CF500E7D-8BCE-4A08-817F-633C25B8F9C9}" name="Column3094"/>
    <tableColumn id="3109" xr3:uid="{417EC6BE-DA36-48F2-B53F-418029D213CE}" name="Column3095"/>
    <tableColumn id="3110" xr3:uid="{EF7B3DAD-E8CD-47E5-88F3-1DBCEDF52DE5}" name="Column3096"/>
    <tableColumn id="3111" xr3:uid="{0A4984F1-B768-4629-9CE3-DEEF37CCD59E}" name="Column3097"/>
    <tableColumn id="3112" xr3:uid="{C239E3C2-2DCC-4947-83D7-FE62A1444AE7}" name="Column3098"/>
    <tableColumn id="3113" xr3:uid="{45F60057-7691-4068-85CC-D2A2FF091585}" name="Column3099"/>
    <tableColumn id="3114" xr3:uid="{F0F97131-9EFA-4120-A21C-0DE54C269B97}" name="Column3100"/>
    <tableColumn id="3115" xr3:uid="{9AE8313B-5231-4A83-8014-08CA78F28965}" name="Column3101"/>
    <tableColumn id="3116" xr3:uid="{5B445A6F-3C3C-4245-9963-D88CDE14B708}" name="Column3102"/>
    <tableColumn id="3117" xr3:uid="{F57CF969-69CF-4AEC-819D-E7C4ACA81C69}" name="Column3103"/>
    <tableColumn id="3118" xr3:uid="{53068C33-5462-4325-A45F-ADFEC52961AD}" name="Column3104"/>
    <tableColumn id="3119" xr3:uid="{3BBDB036-8218-4265-8396-F34B4086075F}" name="Column3105"/>
    <tableColumn id="3120" xr3:uid="{843B56BA-723E-4575-B275-D790278CA838}" name="Column3106"/>
    <tableColumn id="3121" xr3:uid="{BCF97098-C765-43CE-A233-41F375B126FF}" name="Column3107"/>
    <tableColumn id="3122" xr3:uid="{9B38DFA0-51CA-49B1-AA59-84CDEE4C90D7}" name="Column3108"/>
    <tableColumn id="3123" xr3:uid="{0A1F74A4-0976-4330-81E7-FE7FF6A941B0}" name="Column3109"/>
    <tableColumn id="3124" xr3:uid="{DB31DB50-0CED-4F06-A27F-DE42FC594854}" name="Column3110"/>
    <tableColumn id="3125" xr3:uid="{5A787311-E08D-45C4-9548-C7924ABC13A9}" name="Column3111"/>
    <tableColumn id="3126" xr3:uid="{FD6A53D1-0CC4-42AC-B474-5C7EC736C417}" name="Column3112"/>
    <tableColumn id="3127" xr3:uid="{A202B416-5C94-476C-97CC-4387D0B270DA}" name="Column3113"/>
    <tableColumn id="3128" xr3:uid="{258D085A-58F7-4316-AC7D-5006ECF41125}" name="Column3114"/>
    <tableColumn id="3129" xr3:uid="{093F89D8-09BF-47E2-BCB1-E148D44E0C11}" name="Column3115"/>
    <tableColumn id="3130" xr3:uid="{37E750BF-00F0-4769-B773-4B996756A97F}" name="Column3116"/>
    <tableColumn id="3131" xr3:uid="{1BA560A7-36F4-49D4-ACC6-EE1513A6AF25}" name="Column3117"/>
    <tableColumn id="3132" xr3:uid="{F44ECA30-8624-4DBE-AE1B-A01BBAB7221E}" name="Column3118"/>
    <tableColumn id="3133" xr3:uid="{C2C670A4-1B79-4ABA-9FEE-524FF7BF6DB9}" name="Column3119"/>
    <tableColumn id="3134" xr3:uid="{18D7D7DA-5CCF-45D7-9EAD-F84368689157}" name="Column3120"/>
    <tableColumn id="3135" xr3:uid="{8938FA18-C030-4973-A0F7-9BEF8E49EB76}" name="Column3121"/>
    <tableColumn id="3136" xr3:uid="{8FDBBCC4-6E90-4A70-B939-188C5F2B4ACB}" name="Column3122"/>
    <tableColumn id="3137" xr3:uid="{72F9A032-28B3-46C5-98F0-BF091729FDBC}" name="Column3123"/>
    <tableColumn id="3138" xr3:uid="{1420B9C0-84BE-4AF6-B8A3-020EF621DB8A}" name="Column3124"/>
    <tableColumn id="3139" xr3:uid="{A0EE1475-65CE-4C5C-B0C6-9E4A9EF85213}" name="Column3125"/>
    <tableColumn id="3140" xr3:uid="{09198140-17FD-4C20-8144-D4C4C1C1F270}" name="Column3126"/>
    <tableColumn id="3141" xr3:uid="{9003D68D-E817-4264-BDA5-06F11CA2A9F7}" name="Column3127"/>
    <tableColumn id="3142" xr3:uid="{34F35614-81B2-412F-9B1B-539F919121DF}" name="Column3128"/>
    <tableColumn id="3143" xr3:uid="{ADE9B40E-8B02-4606-B35A-F35C93897F55}" name="Column3129"/>
    <tableColumn id="3144" xr3:uid="{80F2C2E7-BBA8-4709-837F-1BA5C903C3E8}" name="Column3130"/>
    <tableColumn id="3145" xr3:uid="{876B35D3-F0E0-418C-AE36-C2CC16B04ED2}" name="Column3131"/>
    <tableColumn id="3146" xr3:uid="{FBDBBD0B-6B3E-4BDC-BBF7-4D6F8DB37B88}" name="Column3132"/>
    <tableColumn id="3147" xr3:uid="{AB7CB36C-F48C-4128-BD37-8432A0359BAD}" name="Column3133"/>
    <tableColumn id="3148" xr3:uid="{6FA9905D-46F5-4CD9-8D7F-DD1A74BA00DB}" name="Column3134"/>
    <tableColumn id="3149" xr3:uid="{29670CB5-16B7-46A7-A4AB-2AA9A783A521}" name="Column3135"/>
    <tableColumn id="3150" xr3:uid="{944021F9-78B3-41DD-B393-E73DE7747E22}" name="Column3136"/>
    <tableColumn id="3151" xr3:uid="{DA29B697-C02C-4DF5-B2C7-DD12EDC76E91}" name="Column3137"/>
    <tableColumn id="3152" xr3:uid="{2E2A9106-8DCE-471E-9BA1-8C64BF373F87}" name="Column3138"/>
    <tableColumn id="3153" xr3:uid="{1F1FC232-FAAA-42B9-A618-A86A3021B269}" name="Column3139"/>
    <tableColumn id="3154" xr3:uid="{A544B038-9AD4-474B-90BA-EF57AF7C3119}" name="Column3140"/>
    <tableColumn id="3155" xr3:uid="{64FD1D06-05B7-4232-981A-D32D7565A38D}" name="Column3141"/>
    <tableColumn id="3156" xr3:uid="{F8B6055B-A718-4EBF-81EB-95FD2EF6B4FD}" name="Column3142"/>
    <tableColumn id="3157" xr3:uid="{1C455B19-FC5B-4433-810C-A2FCD7C3A5CB}" name="Column3143"/>
    <tableColumn id="3158" xr3:uid="{E5D7260E-A93B-4C6B-B660-6318405A08CC}" name="Column3144"/>
    <tableColumn id="3159" xr3:uid="{0425AE10-BAD7-4A57-ABD0-851FEE97EB7B}" name="Column3145"/>
    <tableColumn id="3160" xr3:uid="{28C7B593-CBA7-4211-925A-13AE13F2A7CA}" name="Column3146"/>
    <tableColumn id="3161" xr3:uid="{C3D01F80-D622-4603-B15C-76ED46148378}" name="Column3147"/>
    <tableColumn id="3162" xr3:uid="{04A8A846-29C3-47C2-93F9-42C3BE4561A9}" name="Column3148"/>
    <tableColumn id="3163" xr3:uid="{C6726910-0F8F-4FEB-AD42-054117A92C4E}" name="Column3149"/>
    <tableColumn id="3164" xr3:uid="{5B49A38B-7F6E-4417-BB56-08448FE2A585}" name="Column3150"/>
    <tableColumn id="3165" xr3:uid="{1D9831B6-C5A5-4EBF-8BE2-1C90DF364BCC}" name="Column3151"/>
    <tableColumn id="3166" xr3:uid="{CBC5D6B4-6BFB-4591-BCA2-13B4704F5F3D}" name="Column3152"/>
    <tableColumn id="3167" xr3:uid="{A8AF1D9A-F019-4D13-BF15-A05833C4940D}" name="Column3153"/>
    <tableColumn id="3168" xr3:uid="{0F0406F1-2118-4252-9A6D-ACA9E136487E}" name="Column3154"/>
    <tableColumn id="3169" xr3:uid="{0AD50B42-B464-45AA-8E14-97E98F5DC495}" name="Column3155"/>
    <tableColumn id="3170" xr3:uid="{505CE47C-8F9C-4C9E-8248-35119A370C08}" name="Column3156"/>
    <tableColumn id="3171" xr3:uid="{D382D860-4048-4E70-9EFA-C99547815339}" name="Column3157"/>
    <tableColumn id="3172" xr3:uid="{60631324-6540-4E75-83DE-0D03AE321BAA}" name="Column3158"/>
    <tableColumn id="3173" xr3:uid="{CE78B8FA-9AED-40BC-BB32-955B7D50C5DD}" name="Column3159"/>
    <tableColumn id="3174" xr3:uid="{23443651-2567-486A-B934-6D396C4318C4}" name="Column3160"/>
    <tableColumn id="3175" xr3:uid="{06AF983B-42EB-4B11-9405-650A2F511F5E}" name="Column3161"/>
    <tableColumn id="3176" xr3:uid="{64D53188-B277-4155-8E04-5C06563337A2}" name="Column3162"/>
    <tableColumn id="3177" xr3:uid="{303F29A6-5C14-4FB8-8F0E-CFD1E5673545}" name="Column3163"/>
    <tableColumn id="3178" xr3:uid="{6B21DBCA-A9BE-43A0-804B-B6D293A4BE69}" name="Column3164"/>
    <tableColumn id="3179" xr3:uid="{743A4E84-178C-441A-B460-AAE61255D37E}" name="Column3165"/>
    <tableColumn id="3180" xr3:uid="{07FF9B6F-D5F2-4436-92D0-8C66F764C5A2}" name="Column3166"/>
    <tableColumn id="3181" xr3:uid="{A35CF10A-9F27-4D2C-9088-CBB940CFDD3B}" name="Column3167"/>
    <tableColumn id="3182" xr3:uid="{9E10AD5E-FD05-4884-B718-ACDFAB410EC5}" name="Column3168"/>
    <tableColumn id="3183" xr3:uid="{BFFE9B06-9499-4ED6-A76A-CD828648D313}" name="Column3169"/>
    <tableColumn id="3184" xr3:uid="{A3A78250-E20E-452C-A22F-57ED04C8226B}" name="Column3170"/>
    <tableColumn id="3185" xr3:uid="{FA2E4EA1-E76F-4A5A-ADFC-25D205CC4BA4}" name="Column3171"/>
    <tableColumn id="3186" xr3:uid="{4F2F750E-7A2F-452C-8875-8BC6DB730027}" name="Column3172"/>
    <tableColumn id="3187" xr3:uid="{5C9C2A42-C3B4-4C73-A68D-0262ECC2246A}" name="Column3173"/>
    <tableColumn id="3188" xr3:uid="{6B6410A4-2223-40E2-AB48-7A40B41445B9}" name="Column3174"/>
    <tableColumn id="3189" xr3:uid="{6E5FB347-652C-4EB3-A721-09A69A189226}" name="Column3175"/>
    <tableColumn id="3190" xr3:uid="{7D1211DC-E64B-47DB-BA51-ADE0AB9E0D37}" name="Column3176"/>
    <tableColumn id="3191" xr3:uid="{DEF41269-66F2-4EC5-83CA-8CBDCF2AC3B9}" name="Column3177"/>
    <tableColumn id="3192" xr3:uid="{888B265E-CD49-40B2-B9CC-CF6C25B4DEF1}" name="Column3178"/>
    <tableColumn id="3193" xr3:uid="{65E3CEBD-83D9-4100-9B30-7C781FC2FA17}" name="Column3179"/>
    <tableColumn id="3194" xr3:uid="{420968CB-E6DF-4E97-B259-E230BB94290C}" name="Column3180"/>
    <tableColumn id="3195" xr3:uid="{0B4F796D-69BF-4BD6-B44E-45C75CB1C3C5}" name="Column3181"/>
    <tableColumn id="3196" xr3:uid="{BA8715D0-C46B-4957-AFF7-52D69A6ABE68}" name="Column3182"/>
    <tableColumn id="3197" xr3:uid="{3EF5E1CE-10B4-4CDA-B887-FEB5DC4D629C}" name="Column3183"/>
    <tableColumn id="3198" xr3:uid="{39A267C0-D687-4F62-BF47-E4AE0A3671D0}" name="Column3184"/>
    <tableColumn id="3199" xr3:uid="{D4C3669F-B169-4165-AE91-FCA7F89EC709}" name="Column3185"/>
    <tableColumn id="3200" xr3:uid="{58B85C1D-1903-4658-9E40-26636063A07D}" name="Column3186"/>
    <tableColumn id="3201" xr3:uid="{5B12DEBB-1E5B-4897-917E-FD61E0FDB0F6}" name="Column3187"/>
    <tableColumn id="3202" xr3:uid="{E4903BE2-9DB9-4285-B8C8-904E86663ABE}" name="Column3188"/>
    <tableColumn id="3203" xr3:uid="{EED8ACED-42E1-4E79-AB23-6385699842F2}" name="Column3189"/>
    <tableColumn id="3204" xr3:uid="{1B0E516F-A0F8-40EF-A30A-2EDABD534A8A}" name="Column3190"/>
    <tableColumn id="3205" xr3:uid="{87593D6B-784E-4BD2-B95E-C66102061BDA}" name="Column3191"/>
    <tableColumn id="3206" xr3:uid="{EE32A251-3F42-415F-9160-2B789AA02110}" name="Column3192"/>
    <tableColumn id="3207" xr3:uid="{F7C0B1BA-D2F0-4A02-A529-CF09B83404DC}" name="Column3193"/>
    <tableColumn id="3208" xr3:uid="{60D00E17-4E4F-435B-BDF8-0F152B2D2169}" name="Column3194"/>
    <tableColumn id="3209" xr3:uid="{AE222CF5-2092-4455-9BA0-F30787FFEE6B}" name="Column3195"/>
    <tableColumn id="3210" xr3:uid="{CCB0503B-B9EA-41C3-97FD-529E1954312F}" name="Column3196"/>
    <tableColumn id="3211" xr3:uid="{7912CE55-23A1-4354-AD28-D6C00905E07B}" name="Column3197"/>
    <tableColumn id="3212" xr3:uid="{08462B78-5E8B-464C-8F9D-F7F1EB10B899}" name="Column3198"/>
    <tableColumn id="3213" xr3:uid="{14440FBD-9261-4205-877E-372FACA23CE2}" name="Column3199"/>
    <tableColumn id="3214" xr3:uid="{4D7E4B90-79D0-48AD-AF15-79FB11C49A69}" name="Column3200"/>
    <tableColumn id="3215" xr3:uid="{E7931521-1ED9-4449-ACE2-B891D00C520B}" name="Column3201"/>
    <tableColumn id="3216" xr3:uid="{E151B6EC-3F84-40A6-8AB6-1B944A3E65E0}" name="Column3202"/>
    <tableColumn id="3217" xr3:uid="{FEFDAD1D-552D-44A4-8759-D44DC4DFE837}" name="Column3203"/>
    <tableColumn id="3218" xr3:uid="{479F06BE-0B29-4848-A4D6-33D79EEE677A}" name="Column3204"/>
    <tableColumn id="3219" xr3:uid="{1C902F6A-D108-47CD-A33E-C1B523C179BA}" name="Column3205"/>
    <tableColumn id="3220" xr3:uid="{EBEB62C7-9CFC-48F2-BD21-07AFFE487560}" name="Column3206"/>
    <tableColumn id="3221" xr3:uid="{207C0779-4E69-47DB-9F9C-EBD2AE48C8E9}" name="Column3207"/>
    <tableColumn id="3222" xr3:uid="{0368442B-486A-4D65-8B29-9FA1C3E56CB1}" name="Column3208"/>
    <tableColumn id="3223" xr3:uid="{E2FECB8F-44B5-4477-8E91-26CFC419B07A}" name="Column3209"/>
    <tableColumn id="3224" xr3:uid="{16CDCF9F-ED1D-41E3-A2C8-BA3847047ECF}" name="Column3210"/>
    <tableColumn id="3225" xr3:uid="{631AF313-6726-45BC-843B-0FA1A674CCF5}" name="Column3211"/>
    <tableColumn id="3226" xr3:uid="{48A7E0CC-B733-4F58-BC79-4249BA070F7E}" name="Column3212"/>
    <tableColumn id="3227" xr3:uid="{1811BA3A-7CC5-421B-978B-23C3E1C91DB2}" name="Column3213"/>
    <tableColumn id="3228" xr3:uid="{4D15273B-4919-4B3A-A581-40FDD18283F6}" name="Column3214"/>
    <tableColumn id="3229" xr3:uid="{942967B5-49AC-4310-BC83-B95EFF98E973}" name="Column3215"/>
    <tableColumn id="3230" xr3:uid="{A4AEA44E-D944-4D30-886B-385B34BDE99A}" name="Column3216"/>
    <tableColumn id="3231" xr3:uid="{C9915808-99E3-460D-A29C-4AF1657B7B95}" name="Column3217"/>
    <tableColumn id="3232" xr3:uid="{DADCBAC6-7B7E-4C54-8D9A-87FDB6B881BB}" name="Column3218"/>
    <tableColumn id="3233" xr3:uid="{0BC6B740-A6CD-4F6B-AAB6-7870855FADE0}" name="Column3219"/>
    <tableColumn id="3234" xr3:uid="{75F4CD30-B43B-44BF-82C2-D50E8D5716A2}" name="Column3220"/>
    <tableColumn id="3235" xr3:uid="{0A34159E-59A0-4F24-BBE8-D3BF9D669C1E}" name="Column3221"/>
    <tableColumn id="3236" xr3:uid="{B9F4B92F-EE2A-424A-8197-2C9676AB2052}" name="Column3222"/>
    <tableColumn id="3237" xr3:uid="{CFF6225F-53B1-48AB-9E11-5386311B78CA}" name="Column3223"/>
    <tableColumn id="3238" xr3:uid="{F6F72271-9C6F-41E0-B81F-E2DD859E764C}" name="Column3224"/>
    <tableColumn id="3239" xr3:uid="{6CDC56D3-16C6-41B2-9231-515559D78A4C}" name="Column3225"/>
    <tableColumn id="3240" xr3:uid="{68DE9C37-356F-4C1D-839B-10452C9893ED}" name="Column3226"/>
    <tableColumn id="3241" xr3:uid="{3D1EAAFA-3792-4C6E-9C2B-68BB511A9B6B}" name="Column3227"/>
    <tableColumn id="3242" xr3:uid="{4F860B45-3AC2-45E3-B1B0-7D80BDDBAF93}" name="Column3228"/>
    <tableColumn id="3243" xr3:uid="{9AA952A5-463D-493C-A1D0-D9E0F5B2B378}" name="Column3229"/>
    <tableColumn id="3244" xr3:uid="{E4673591-FD95-4DB3-9D5A-6E1B3ECAD936}" name="Column3230"/>
    <tableColumn id="3245" xr3:uid="{B515892F-E559-452F-8430-0AD511E80BA2}" name="Column3231"/>
    <tableColumn id="3246" xr3:uid="{02FF4832-7163-425E-930E-2448310A347D}" name="Column3232"/>
    <tableColumn id="3247" xr3:uid="{96572BAB-3D4D-4C53-9BD6-6AA2BF9921AC}" name="Column3233"/>
    <tableColumn id="3248" xr3:uid="{7C127058-2A4C-4FAD-AC45-69A31E85E33E}" name="Column3234"/>
    <tableColumn id="3249" xr3:uid="{952C6FA9-D18E-4547-B1E3-D4949C0D5304}" name="Column3235"/>
    <tableColumn id="3250" xr3:uid="{1AF5C4BD-2176-45D0-9E67-EE946FA6D6AE}" name="Column3236"/>
    <tableColumn id="3251" xr3:uid="{AE16CF05-7AD7-423F-8E92-5578D010E1A5}" name="Column3237"/>
    <tableColumn id="3252" xr3:uid="{36AB4D27-2549-49D0-BB91-C366DBB9243A}" name="Column3238"/>
    <tableColumn id="3253" xr3:uid="{FD6339A4-18C2-4FE7-9E7B-FE76491393DB}" name="Column3239"/>
    <tableColumn id="3254" xr3:uid="{EA74865A-3F7A-43D7-991E-E09FD3594E17}" name="Column3240"/>
    <tableColumn id="3255" xr3:uid="{FBCA1E37-0110-40DF-B8C0-1C12D6E462A8}" name="Column3241"/>
    <tableColumn id="3256" xr3:uid="{6F8574E6-AE19-44B5-82A5-A67AAB0D0A1A}" name="Column3242"/>
    <tableColumn id="3257" xr3:uid="{91F08F74-2505-42F5-A6E3-C115E7219541}" name="Column3243"/>
    <tableColumn id="3258" xr3:uid="{1F75DD68-1C67-419F-A19A-67757200AAC6}" name="Column3244"/>
    <tableColumn id="3259" xr3:uid="{1F890C25-73BF-436F-ABBB-3CB7F5FE4CA6}" name="Column3245"/>
    <tableColumn id="3260" xr3:uid="{51052C60-DDAF-4637-A646-38091EBD9382}" name="Column3246"/>
    <tableColumn id="3261" xr3:uid="{716372F9-E1F8-4136-8FC3-541C809B55CE}" name="Column3247"/>
    <tableColumn id="3262" xr3:uid="{6A1E7645-FDA3-4FA3-916B-363D3D3F8FF7}" name="Column3248"/>
    <tableColumn id="3263" xr3:uid="{B1465DAD-2848-4D34-B245-1544EE25B759}" name="Column3249"/>
    <tableColumn id="3264" xr3:uid="{88D88DA2-8E9F-4E4F-A334-03CCA965CFEC}" name="Column3250"/>
    <tableColumn id="3265" xr3:uid="{B0ABBE42-9390-44E0-AECC-984A31328939}" name="Column3251"/>
    <tableColumn id="3266" xr3:uid="{70080E33-CED4-4FDA-AA25-BB52EE49D2B9}" name="Column3252"/>
    <tableColumn id="3267" xr3:uid="{12FD5574-0823-4BCB-81A7-85BC68FC0BAE}" name="Column3253"/>
    <tableColumn id="3268" xr3:uid="{B1B98D58-743C-4F67-85E3-D1C885851E77}" name="Column3254"/>
    <tableColumn id="3269" xr3:uid="{CCBE2FD3-6B5D-49C9-9535-1265109B0F17}" name="Column3255"/>
    <tableColumn id="3270" xr3:uid="{83E1D9EC-B75C-43CE-B5DA-E89F86064AA6}" name="Column3256"/>
    <tableColumn id="3271" xr3:uid="{7292DDA5-5290-43FE-9781-A7C8561FF678}" name="Column3257"/>
    <tableColumn id="3272" xr3:uid="{55840333-E4B7-4AD2-AB77-7E28DFFBE476}" name="Column3258"/>
    <tableColumn id="3273" xr3:uid="{825988CB-D5C3-4D16-882A-F5F935177F7E}" name="Column3259"/>
    <tableColumn id="3274" xr3:uid="{4D8192EC-BFD6-4788-90CA-5E33AA3EEF83}" name="Column3260"/>
    <tableColumn id="3275" xr3:uid="{962A3D68-3499-4423-9DB6-6BF56287264D}" name="Column3261"/>
    <tableColumn id="3276" xr3:uid="{546EDA1C-7B81-4306-A971-AC5EC759A78E}" name="Column3262"/>
    <tableColumn id="3277" xr3:uid="{5832DBBF-3D03-4153-9B32-05C0E9032161}" name="Column3263"/>
    <tableColumn id="3278" xr3:uid="{8F300099-4705-4824-9E94-122FB0C1F69F}" name="Column3264"/>
    <tableColumn id="3279" xr3:uid="{57F1ABF2-3CDB-42DB-971F-7E7BE2DEBB7D}" name="Column3265"/>
    <tableColumn id="3280" xr3:uid="{A34787CE-084E-4815-81E3-BCDF3A1156C6}" name="Column3266"/>
    <tableColumn id="3281" xr3:uid="{47D80C01-2063-4BBB-A405-00E378E2A4C5}" name="Column3267"/>
    <tableColumn id="3282" xr3:uid="{12249A85-6F84-4A36-989E-F25F65009BFA}" name="Column3268"/>
    <tableColumn id="3283" xr3:uid="{1BD9B76D-DA88-4663-A54E-05F4E2E770C2}" name="Column3269"/>
    <tableColumn id="3284" xr3:uid="{BF119869-79ED-4B3D-9060-059F46860CA3}" name="Column3270"/>
    <tableColumn id="3285" xr3:uid="{652E13E6-84E9-4FCF-A473-D3C9696D965C}" name="Column3271"/>
    <tableColumn id="3286" xr3:uid="{9E9AF303-EFBC-4609-BBE6-9D2D6CD422DB}" name="Column3272"/>
    <tableColumn id="3287" xr3:uid="{49801172-3002-441A-874D-1D8683B6B285}" name="Column3273"/>
    <tableColumn id="3288" xr3:uid="{F6ABFAA7-F847-4BA4-AD3D-8AC357608F5F}" name="Column3274"/>
    <tableColumn id="3289" xr3:uid="{FD18D0C0-95FC-48EA-97D8-511B9DFBCAE3}" name="Column3275"/>
    <tableColumn id="3290" xr3:uid="{06ABD124-B45A-4CF4-BA60-C8E83FB274BE}" name="Column3276"/>
    <tableColumn id="3291" xr3:uid="{01ACCE70-788D-49FF-921E-6A22F3F89C15}" name="Column3277"/>
    <tableColumn id="3292" xr3:uid="{FE90F3E3-4678-4B2A-B054-B42E2C2EB8F2}" name="Column3278"/>
    <tableColumn id="3293" xr3:uid="{2A9D1681-D159-411E-953B-378E16F4CFDA}" name="Column3279"/>
    <tableColumn id="3294" xr3:uid="{B3CDFB00-6324-49BC-BECF-7CC304BDF757}" name="Column3280"/>
    <tableColumn id="3295" xr3:uid="{A9FB77BD-4846-4C54-88EC-AE697D4863CF}" name="Column3281"/>
    <tableColumn id="3296" xr3:uid="{6A97A735-D606-45C6-8109-69A1CE61D354}" name="Column3282"/>
    <tableColumn id="3297" xr3:uid="{BE478C86-1DA7-4209-8B7D-5F3CD530E4FF}" name="Column3283"/>
    <tableColumn id="3298" xr3:uid="{890B5B79-B8C7-4109-BB51-409A618CD99F}" name="Column3284"/>
    <tableColumn id="3299" xr3:uid="{F8385B41-1FEE-4C50-9D4E-F4EBD1D86FAD}" name="Column3285"/>
    <tableColumn id="3300" xr3:uid="{4644F0E7-32BF-48B1-8369-C49E9A51BEE5}" name="Column3286"/>
    <tableColumn id="3301" xr3:uid="{68173194-7797-4128-87F5-C4268E3607D9}" name="Column3287"/>
    <tableColumn id="3302" xr3:uid="{11E04856-91A9-4E1F-A7AD-3FD15BDF4C47}" name="Column3288"/>
    <tableColumn id="3303" xr3:uid="{EF3D58E6-CDB8-4C21-A16C-4587EA06C916}" name="Column3289"/>
    <tableColumn id="3304" xr3:uid="{F60319E2-C700-477C-87E8-E0D340EE66D9}" name="Column3290"/>
    <tableColumn id="3305" xr3:uid="{14103385-ADE5-4DC8-BC23-E890FFD3156A}" name="Column3291"/>
    <tableColumn id="3306" xr3:uid="{611556FB-5A1C-4125-8206-E9528C795B79}" name="Column3292"/>
    <tableColumn id="3307" xr3:uid="{332D5704-E038-4DE3-B87E-AAB7A87E3116}" name="Column3293"/>
    <tableColumn id="3308" xr3:uid="{DB740148-5EE7-4FCB-A46C-8DA108CC9900}" name="Column3294"/>
    <tableColumn id="3309" xr3:uid="{11155099-4C94-49FD-BAC5-388CBEED5D4D}" name="Column3295"/>
    <tableColumn id="3310" xr3:uid="{D9E996FC-CD54-422D-A444-A92D237694BB}" name="Column3296"/>
    <tableColumn id="3311" xr3:uid="{9DE79BA6-D868-4DEA-80A9-45CDF2CB4225}" name="Column3297"/>
    <tableColumn id="3312" xr3:uid="{FC94E420-27A1-485E-A34D-E46EC1F6E551}" name="Column3298"/>
    <tableColumn id="3313" xr3:uid="{23BE91F8-299E-478E-81A9-A7AFE0F201DA}" name="Column3299"/>
    <tableColumn id="3314" xr3:uid="{71660923-8FA7-4A31-9389-3F723DFE35A4}" name="Column3300"/>
    <tableColumn id="3315" xr3:uid="{01B2C071-7C58-40C4-89D2-F7A9FEDB2108}" name="Column3301"/>
    <tableColumn id="3316" xr3:uid="{6B6F52CF-4197-47DF-87DB-4A002606FF22}" name="Column3302"/>
    <tableColumn id="3317" xr3:uid="{2FA95A28-EEC8-43B5-80AF-CA5C2BC99668}" name="Column3303"/>
    <tableColumn id="3318" xr3:uid="{46C04135-325F-4D19-AAF4-E8E15E3CE2B9}" name="Column3304"/>
    <tableColumn id="3319" xr3:uid="{4694A66C-8F4A-4BCE-B70F-50B0784237CF}" name="Column3305"/>
    <tableColumn id="3320" xr3:uid="{2A8FEF70-C1ED-4369-BC83-5FC32871806B}" name="Column3306"/>
    <tableColumn id="3321" xr3:uid="{78B0462D-8CD2-48CA-B653-956F6F5C72C8}" name="Column3307"/>
    <tableColumn id="3322" xr3:uid="{C53F1ACF-CD31-41F1-812A-AF11D3425E82}" name="Column3308"/>
    <tableColumn id="3323" xr3:uid="{F5FB85BB-7355-4F6B-8F9B-E2C136246B9B}" name="Column3309"/>
    <tableColumn id="3324" xr3:uid="{E90134D7-A2A9-4805-B5AE-7EEF9D87879A}" name="Column3310"/>
    <tableColumn id="3325" xr3:uid="{D9B4C3C0-14C3-4156-A523-E24D5CD6DC73}" name="Column3311"/>
    <tableColumn id="3326" xr3:uid="{4A96DDB4-249A-4424-98E9-202399F1568B}" name="Column3312"/>
    <tableColumn id="3327" xr3:uid="{B9533FA6-BF21-435F-B994-21DBE1A577C7}" name="Column3313"/>
    <tableColumn id="3328" xr3:uid="{3AFE3761-3AD0-402B-99DE-4F9FD493CBCC}" name="Column3314"/>
    <tableColumn id="3329" xr3:uid="{E7997B4B-2EDC-467B-81A8-E4C6B20E736D}" name="Column3315"/>
    <tableColumn id="3330" xr3:uid="{3B3F2167-A662-4AFD-9C43-5731A73FD924}" name="Column3316"/>
    <tableColumn id="3331" xr3:uid="{88C79804-C004-4740-AE71-77EDC34A452B}" name="Column3317"/>
    <tableColumn id="3332" xr3:uid="{425F5793-CD50-4616-924B-2E8E495EA56E}" name="Column3318"/>
    <tableColumn id="3333" xr3:uid="{11511710-C4EB-4EA7-8F2D-80CEB8807770}" name="Column3319"/>
    <tableColumn id="3334" xr3:uid="{A5CD2FD3-6522-42BC-BC1D-C0776D8EA17C}" name="Column3320"/>
    <tableColumn id="3335" xr3:uid="{3EBA5B91-2328-4A3A-9929-ACF9AEFF141F}" name="Column3321"/>
    <tableColumn id="3336" xr3:uid="{9F149510-3A5F-4324-9729-44B711BBF75A}" name="Column3322"/>
    <tableColumn id="3337" xr3:uid="{9A33C8CF-C7BA-4FCE-951E-545C3B042251}" name="Column3323"/>
    <tableColumn id="3338" xr3:uid="{774EDC35-FDC9-4F53-B95D-645262767079}" name="Column3324"/>
    <tableColumn id="3339" xr3:uid="{661DD60A-7E24-468B-8256-2051506D09D3}" name="Column3325"/>
    <tableColumn id="3340" xr3:uid="{DAC157C7-C2D0-45E8-96EF-B8ECD5E22093}" name="Column3326"/>
    <tableColumn id="3341" xr3:uid="{B1503BE4-8549-4991-9E65-7D81E11AA5CF}" name="Column3327"/>
    <tableColumn id="3342" xr3:uid="{D7F8A668-CDD7-4426-A17C-1D8208597A3D}" name="Column3328"/>
    <tableColumn id="3343" xr3:uid="{AED112EF-BC44-4A05-B57B-B3C5915B0BBA}" name="Column3329"/>
    <tableColumn id="3344" xr3:uid="{163398F9-97D7-4BA1-9D30-E113DD0FF615}" name="Column3330"/>
    <tableColumn id="3345" xr3:uid="{B2394924-BB8B-464A-818B-F91D840B365D}" name="Column3331"/>
    <tableColumn id="3346" xr3:uid="{55C7FC6B-6023-4FC1-91B5-E975AD068E72}" name="Column3332"/>
    <tableColumn id="3347" xr3:uid="{9174FDF8-CF1B-4817-B2F9-8C4862123197}" name="Column3333"/>
    <tableColumn id="3348" xr3:uid="{55A859E2-6D0B-49B3-8BD6-989E1E094A04}" name="Column3334"/>
    <tableColumn id="3349" xr3:uid="{A2668CA5-3730-4817-85B3-A5B877729894}" name="Column3335"/>
    <tableColumn id="3350" xr3:uid="{F776AF55-C8CF-4F60-BADE-7BE90E937A7B}" name="Column3336"/>
    <tableColumn id="3351" xr3:uid="{3BC82F1A-588E-4CBB-972E-3D0BD46B3F14}" name="Column3337"/>
    <tableColumn id="3352" xr3:uid="{A93321DF-96D0-4937-A993-290FEE979FAB}" name="Column3338"/>
    <tableColumn id="3353" xr3:uid="{9F48663D-CEF7-40D6-BFF4-16F42931479B}" name="Column3339"/>
    <tableColumn id="3354" xr3:uid="{2AAB130C-1B84-4997-B8B6-50DB57A1BD35}" name="Column3340"/>
    <tableColumn id="3355" xr3:uid="{6813D83B-1C61-4271-90C2-A9E6D4F3A0EC}" name="Column3341"/>
    <tableColumn id="3356" xr3:uid="{3EB15A29-6FC2-4540-9064-39DF29598918}" name="Column3342"/>
    <tableColumn id="3357" xr3:uid="{41657FD9-339E-44F0-857B-62660310FF03}" name="Column3343"/>
    <tableColumn id="3358" xr3:uid="{0D4F4C5E-87DF-4E70-9B50-2FC08A1A2117}" name="Column3344"/>
    <tableColumn id="3359" xr3:uid="{B987C1D0-8D2A-4050-B374-DB3B8593772F}" name="Column3345"/>
    <tableColumn id="3360" xr3:uid="{DD3A3ED4-BD81-4B8C-B9D3-9A0B0CDBCFE3}" name="Column3346"/>
    <tableColumn id="3361" xr3:uid="{53E718D0-A278-4A58-B096-760A4E0B6D1C}" name="Column3347"/>
    <tableColumn id="3362" xr3:uid="{40CF3B0D-2A9E-4A61-A984-C191C254166E}" name="Column3348"/>
    <tableColumn id="3363" xr3:uid="{6F79D0D0-44D7-4122-975F-69134920B2A4}" name="Column3349"/>
    <tableColumn id="3364" xr3:uid="{CF71DC66-C423-41BC-A6C2-A543270661EC}" name="Column3350"/>
    <tableColumn id="3365" xr3:uid="{077391B8-BF51-44D1-8B8E-FBC872BAC9D3}" name="Column3351"/>
    <tableColumn id="3366" xr3:uid="{95D26E7A-6BB0-40C8-ACC2-6F20264608D7}" name="Column3352"/>
    <tableColumn id="3367" xr3:uid="{C89E7246-4121-44DD-BE19-821A1063CF81}" name="Column3353"/>
    <tableColumn id="3368" xr3:uid="{03FC0A2B-F64F-4AAC-90DF-17D3AABD9D06}" name="Column3354"/>
    <tableColumn id="3369" xr3:uid="{A6B7A6E6-B406-4EDD-B9B6-2886FDFCD218}" name="Column3355"/>
    <tableColumn id="3370" xr3:uid="{F857D255-3D3F-4F9E-8087-B825A754F0A9}" name="Column3356"/>
    <tableColumn id="3371" xr3:uid="{C7773BDE-440B-4AA4-9A95-4A85C2C347DE}" name="Column3357"/>
    <tableColumn id="3372" xr3:uid="{C54F6633-5CC0-475A-BD11-8CE2A87BE96C}" name="Column3358"/>
    <tableColumn id="3373" xr3:uid="{41021106-C782-457E-80A3-4050CF58A901}" name="Column3359"/>
    <tableColumn id="3374" xr3:uid="{C9CE452B-79BF-445E-B790-47BBD54DA233}" name="Column3360"/>
    <tableColumn id="3375" xr3:uid="{7BA8CBF4-2634-47F9-9FA4-3DE03C79289F}" name="Column3361"/>
    <tableColumn id="3376" xr3:uid="{5D85A2C4-6AE7-4A49-9358-27C45B7F6D6A}" name="Column3362"/>
    <tableColumn id="3377" xr3:uid="{AE27D13A-EDA6-4427-B98C-01E2C5CB67A6}" name="Column3363"/>
    <tableColumn id="3378" xr3:uid="{868F9AD9-DA34-4797-9884-94418455619D}" name="Column3364"/>
    <tableColumn id="3379" xr3:uid="{195F6C7F-36F4-4B55-90D3-F65CA4FF4653}" name="Column3365"/>
    <tableColumn id="3380" xr3:uid="{15611BF8-F9D3-4594-B110-706CF74EF065}" name="Column3366"/>
    <tableColumn id="3381" xr3:uid="{ED2C95EE-93F3-4B8D-A8B8-3D6F0E3FBE68}" name="Column3367"/>
    <tableColumn id="3382" xr3:uid="{8F2791B4-1B57-47FD-8CDD-8BB3EDC5F81F}" name="Column3368"/>
    <tableColumn id="3383" xr3:uid="{9E2EFF98-5BA8-40FB-AE01-B5956AA1C403}" name="Column3369"/>
    <tableColumn id="3384" xr3:uid="{DC3A687F-3497-41F7-A22D-BEFDA659D01A}" name="Column3370"/>
    <tableColumn id="3385" xr3:uid="{A806C74D-0309-4314-8D47-114813B4C6D4}" name="Column3371"/>
    <tableColumn id="3386" xr3:uid="{1FA9217F-DB9A-4785-A746-D95DF9686B84}" name="Column3372"/>
    <tableColumn id="3387" xr3:uid="{C77AE4A4-B814-4C8F-ADD0-82383FC6013B}" name="Column3373"/>
    <tableColumn id="3388" xr3:uid="{07FCFBD7-0614-4DE1-A87A-265E216637B7}" name="Column3374"/>
    <tableColumn id="3389" xr3:uid="{EFBDBA81-94FA-4FA4-BB02-541F2463B4B9}" name="Column3375"/>
    <tableColumn id="3390" xr3:uid="{23B9269A-9D6C-4604-8A6D-9C24D35C863A}" name="Column3376"/>
    <tableColumn id="3391" xr3:uid="{84DFC9A7-1969-443F-97CA-7D0D6B0170D1}" name="Column3377"/>
    <tableColumn id="3392" xr3:uid="{5D1D4199-E270-4DD4-BAB5-7250CA3B2B76}" name="Column3378"/>
    <tableColumn id="3393" xr3:uid="{D1F6A143-E933-40D4-96CF-8094482B51DC}" name="Column3379"/>
    <tableColumn id="3394" xr3:uid="{F3B2AE16-5D91-4287-B293-0E818D799F13}" name="Column3380"/>
    <tableColumn id="3395" xr3:uid="{39F0C597-04CC-4836-8A3E-A61C3A9812B0}" name="Column3381"/>
    <tableColumn id="3396" xr3:uid="{53BA3A09-8DF2-4E44-A295-16221E128510}" name="Column3382"/>
    <tableColumn id="3397" xr3:uid="{B3AE9F3B-ABEB-4901-B4BE-FAEB04B4434D}" name="Column3383"/>
    <tableColumn id="3398" xr3:uid="{39E1E910-16C3-4226-95F3-E74E77671408}" name="Column3384"/>
    <tableColumn id="3399" xr3:uid="{FC24BF22-CF68-42AE-8B96-D10CD9AADDE2}" name="Column3385"/>
    <tableColumn id="3400" xr3:uid="{5C460565-7390-4758-B414-D45B42F8E47F}" name="Column3386"/>
    <tableColumn id="3401" xr3:uid="{762EE76C-A672-4662-AC9A-7D43873F24B6}" name="Column3387"/>
    <tableColumn id="3402" xr3:uid="{218BB89B-4BDA-45A5-ABA2-5247AA198F9B}" name="Column3388"/>
    <tableColumn id="3403" xr3:uid="{1D1558E5-E813-4675-9421-C9FC9A54C4A8}" name="Column3389"/>
    <tableColumn id="3404" xr3:uid="{5B942785-DE07-4852-8627-C9331E1A8D76}" name="Column3390"/>
    <tableColumn id="3405" xr3:uid="{38C638F4-D2B8-402C-9153-10371F196628}" name="Column3391"/>
    <tableColumn id="3406" xr3:uid="{1DB2706D-D50A-443E-B206-14731EF59ED3}" name="Column3392"/>
    <tableColumn id="3407" xr3:uid="{59D3FCD1-0690-4534-BB41-3B077A34F488}" name="Column3393"/>
    <tableColumn id="3408" xr3:uid="{36AA8895-C028-4640-82B6-8287832D2F3B}" name="Column3394"/>
    <tableColumn id="3409" xr3:uid="{92F4BF79-EC98-43D5-9E6F-4CEA4E598CFA}" name="Column3395"/>
    <tableColumn id="3410" xr3:uid="{3D73887C-D7FA-4E48-BCE7-2024B9B0750F}" name="Column3396"/>
    <tableColumn id="3411" xr3:uid="{D03D5C3D-E4B0-43EC-BF34-3AB47942061C}" name="Column3397"/>
    <tableColumn id="3412" xr3:uid="{DAB9DF8C-C1B1-48B5-89D3-A3401A1BEAB9}" name="Column3398"/>
    <tableColumn id="3413" xr3:uid="{05610B99-4635-46FC-8F5B-FDD655A8E498}" name="Column3399"/>
    <tableColumn id="3414" xr3:uid="{7E8B2264-A92F-40B4-B437-0A0214C7BC78}" name="Column3400"/>
    <tableColumn id="3415" xr3:uid="{8BA1A09F-8DBC-45DD-9449-73248FA51246}" name="Column3401"/>
    <tableColumn id="3416" xr3:uid="{87714D5D-7B5A-4D2B-BD67-C82A8CA3270A}" name="Column3402"/>
    <tableColumn id="3417" xr3:uid="{79CD1A76-596B-4C3F-A1D1-4F84D4D535A4}" name="Column3403"/>
    <tableColumn id="3418" xr3:uid="{6CD4EF40-51BC-430E-89A4-AC83F5551494}" name="Column3404"/>
    <tableColumn id="3419" xr3:uid="{D1076958-2137-4C22-B4AB-C8D7102320B9}" name="Column3405"/>
    <tableColumn id="3420" xr3:uid="{CA9CEF97-5894-402E-A488-01988038F42C}" name="Column3406"/>
    <tableColumn id="3421" xr3:uid="{17E0C7A0-85F9-495E-B59C-6126728E19F2}" name="Column3407"/>
    <tableColumn id="3422" xr3:uid="{CDDBFF6B-7647-42CF-BEFB-6C1D1308FB94}" name="Column3408"/>
    <tableColumn id="3423" xr3:uid="{14F49168-BB76-4147-82B9-3F857AEA22B5}" name="Column3409"/>
    <tableColumn id="3424" xr3:uid="{05C04BE3-7D90-4B30-A9E6-06C5E68B4F71}" name="Column3410"/>
    <tableColumn id="3425" xr3:uid="{E29F3708-5B76-4D24-9188-01DC530FC73C}" name="Column3411"/>
    <tableColumn id="3426" xr3:uid="{C2B0624A-FC54-477E-8394-9D1CF7F6B0AA}" name="Column3412"/>
    <tableColumn id="3427" xr3:uid="{EA31CDB0-2EE9-43B6-8081-4BC25036E862}" name="Column3413"/>
    <tableColumn id="3428" xr3:uid="{DDBC8577-BAF5-4EB6-B81C-B0EF7E7DE7AC}" name="Column3414"/>
    <tableColumn id="3429" xr3:uid="{907E98BB-5903-426A-942E-AAF11C4D57A5}" name="Column3415"/>
    <tableColumn id="3430" xr3:uid="{B41951A2-01AE-46FD-9D2F-3AA075F11CD2}" name="Column3416"/>
    <tableColumn id="3431" xr3:uid="{1394C567-BDA9-41D0-9310-B90CD13AD6CC}" name="Column3417"/>
    <tableColumn id="3432" xr3:uid="{5DA95067-5847-41C9-8257-C7A484A872AD}" name="Column3418"/>
    <tableColumn id="3433" xr3:uid="{337FA0B9-32C5-41EF-A9CB-53955F4C678B}" name="Column3419"/>
    <tableColumn id="3434" xr3:uid="{2FAF668B-C040-488E-AC22-582947B750AB}" name="Column3420"/>
    <tableColumn id="3435" xr3:uid="{F982D7B2-71BB-43A9-91B1-0D87B4098D66}" name="Column3421"/>
    <tableColumn id="3436" xr3:uid="{012E84B7-3488-4017-8813-58B7D601ABC1}" name="Column3422"/>
    <tableColumn id="3437" xr3:uid="{FC20D7CF-FA81-4571-9BA2-802B820284FE}" name="Column3423"/>
    <tableColumn id="3438" xr3:uid="{87E42836-3B49-41FB-8D82-25DED39091CE}" name="Column3424"/>
    <tableColumn id="3439" xr3:uid="{A4503060-3CD1-46F5-98AE-28FF89188DEB}" name="Column3425"/>
    <tableColumn id="3440" xr3:uid="{BEEE116D-D571-40E7-A156-B2FD369EFCAE}" name="Column3426"/>
    <tableColumn id="3441" xr3:uid="{DC369C1F-662D-4883-835C-CD6105D3DF98}" name="Column3427"/>
    <tableColumn id="3442" xr3:uid="{5E7A8489-C26A-4D01-8180-C1C54B945A0E}" name="Column3428"/>
    <tableColumn id="3443" xr3:uid="{3197C9DF-4C9E-4380-8653-86BCB58C13A6}" name="Column3429"/>
    <tableColumn id="3444" xr3:uid="{8F2088FB-12D0-426A-AFBA-B2FE4EBCE847}" name="Column3430"/>
    <tableColumn id="3445" xr3:uid="{515133F6-9563-4583-AFEA-D2D7E889A0E2}" name="Column3431"/>
    <tableColumn id="3446" xr3:uid="{4BE2F653-5EFB-404E-8B6E-1A39803AA907}" name="Column3432"/>
    <tableColumn id="3447" xr3:uid="{47B2315F-F1EB-4100-9F58-79CB785C27C8}" name="Column3433"/>
    <tableColumn id="3448" xr3:uid="{9DFD5058-2ED4-4706-B7A1-9D2109A880F6}" name="Column3434"/>
    <tableColumn id="3449" xr3:uid="{1E43A21D-FF06-44DA-8319-7537D47B4BD3}" name="Column3435"/>
    <tableColumn id="3450" xr3:uid="{84AE5D56-9734-40CC-967F-6A373E4C0D23}" name="Column3436"/>
    <tableColumn id="3451" xr3:uid="{1DB0400C-D534-43C7-8338-C1A53502AF66}" name="Column3437"/>
    <tableColumn id="3452" xr3:uid="{9AB4CDC3-ECEF-482F-8848-4B6FEC68AACC}" name="Column3438"/>
    <tableColumn id="3453" xr3:uid="{CFBC13E7-9685-4C00-9219-A0EC441265B7}" name="Column3439"/>
    <tableColumn id="3454" xr3:uid="{A41B665D-7595-4D79-BED8-8D12F22F51F3}" name="Column3440"/>
    <tableColumn id="3455" xr3:uid="{22A2DDED-F998-4867-86FC-92D9AEFC1513}" name="Column3441"/>
    <tableColumn id="3456" xr3:uid="{1528D2BB-8A65-45C5-935B-C2E5B784F4E6}" name="Column3442"/>
    <tableColumn id="3457" xr3:uid="{516E8C44-D131-434D-9805-9D0768129E1E}" name="Column3443"/>
    <tableColumn id="3458" xr3:uid="{8F4A89BE-73B2-4483-A3E6-F6FC67C38421}" name="Column3444"/>
    <tableColumn id="3459" xr3:uid="{AF42A817-C9C1-4675-81D8-4CEC54431719}" name="Column3445"/>
    <tableColumn id="3460" xr3:uid="{30ED0887-B1C9-4B6D-9E84-C596FD1DC904}" name="Column3446"/>
    <tableColumn id="3461" xr3:uid="{8CF0C785-87AB-4BE7-8263-5B21D9896900}" name="Column3447"/>
    <tableColumn id="3462" xr3:uid="{E65F0CDB-F0B8-428E-AED3-689AB5A64900}" name="Column3448"/>
    <tableColumn id="3463" xr3:uid="{60F76B9A-F8BF-44EE-AB3B-4F7FF1FFDB28}" name="Column3449"/>
    <tableColumn id="3464" xr3:uid="{937F1192-A4DA-429E-BC63-59E42BEE2E90}" name="Column3450"/>
    <tableColumn id="3465" xr3:uid="{4D651002-744A-409A-87C6-3540E85D0807}" name="Column3451"/>
    <tableColumn id="3466" xr3:uid="{B96FFB93-CB71-4C20-8A88-068CD5E4F79B}" name="Column3452"/>
    <tableColumn id="3467" xr3:uid="{F9958A4F-95BA-413B-80F1-AE3D91CD1AE7}" name="Column3453"/>
    <tableColumn id="3468" xr3:uid="{084516B2-21CE-4D83-9C7D-803A46B61BA8}" name="Column3454"/>
    <tableColumn id="3469" xr3:uid="{EEF82618-A400-4B17-B0FB-192757810274}" name="Column3455"/>
    <tableColumn id="3470" xr3:uid="{4B8F86E9-0632-4987-BAB5-BEB584B48802}" name="Column3456"/>
    <tableColumn id="3471" xr3:uid="{3FC0D171-B5FC-40E5-BA8D-353EAC45E3AC}" name="Column3457"/>
    <tableColumn id="3472" xr3:uid="{7004A7D1-3D40-43A4-B5B2-B1ED3C676146}" name="Column3458"/>
    <tableColumn id="3473" xr3:uid="{7F75703A-CE3A-44FD-AF21-B3C85374BC11}" name="Column3459"/>
    <tableColumn id="3474" xr3:uid="{83E04E33-F423-4B9A-BFE3-4E9D83FF80DD}" name="Column3460"/>
    <tableColumn id="3475" xr3:uid="{9AFFB1C1-7585-47A8-9F2F-72901374C4FA}" name="Column3461"/>
    <tableColumn id="3476" xr3:uid="{307AFE57-EBA8-404F-A4BD-497EE05960BE}" name="Column3462"/>
    <tableColumn id="3477" xr3:uid="{44F8BFF0-5850-4039-8CCE-4FF5A4A9282E}" name="Column3463"/>
    <tableColumn id="3478" xr3:uid="{55246B2F-A86B-4543-A6A0-9CF67883BE0C}" name="Column3464"/>
    <tableColumn id="3479" xr3:uid="{AD6A3BE1-1940-4BA4-B5FB-63BD298EDB39}" name="Column3465"/>
    <tableColumn id="3480" xr3:uid="{3F8BDD32-0296-47BB-9FC8-961AA6BD1B42}" name="Column3466"/>
    <tableColumn id="3481" xr3:uid="{3C70778E-79CA-47C5-B653-5808AE6E5E30}" name="Column3467"/>
    <tableColumn id="3482" xr3:uid="{5BCCEAD8-80F0-41F6-93C1-6B7C07B63CA5}" name="Column3468"/>
    <tableColumn id="3483" xr3:uid="{2BC7A7C7-7FC3-471D-9486-826EFBD212C3}" name="Column3469"/>
    <tableColumn id="3484" xr3:uid="{264654FA-E75A-40EF-8DA5-4DA4317643E2}" name="Column3470"/>
    <tableColumn id="3485" xr3:uid="{E6B882E9-981A-4806-AA0A-314C29E8FCB1}" name="Column3471"/>
    <tableColumn id="3486" xr3:uid="{F279E457-E266-425F-81C8-270809BA15E4}" name="Column3472"/>
    <tableColumn id="3487" xr3:uid="{E78A0FB0-0480-4843-ADF4-1BCF286F9511}" name="Column3473"/>
    <tableColumn id="3488" xr3:uid="{E954114B-029A-4A97-801F-E3574B7CEC75}" name="Column3474"/>
    <tableColumn id="3489" xr3:uid="{D08BAEA4-C060-43A8-BD0A-B1057F984C03}" name="Column3475"/>
    <tableColumn id="3490" xr3:uid="{85027612-F471-4AFF-A74C-CC136A4E3FA4}" name="Column3476"/>
    <tableColumn id="3491" xr3:uid="{C5A3D701-300A-4B99-9519-4C780461F8F7}" name="Column3477"/>
    <tableColumn id="3492" xr3:uid="{70638ABD-8402-48A6-9961-A598D8965C6D}" name="Column3478"/>
    <tableColumn id="3493" xr3:uid="{48345C2D-9A75-49FF-A890-67D85A85E73F}" name="Column3479"/>
    <tableColumn id="3494" xr3:uid="{3AE04905-1164-417B-8F0B-252739467AA9}" name="Column3480"/>
    <tableColumn id="3495" xr3:uid="{013C642E-3BAE-454E-9A19-BAFCEA740DF1}" name="Column3481"/>
    <tableColumn id="3496" xr3:uid="{4F2A6D8A-28EB-46B3-A6BB-D84CF3BABA79}" name="Column3482"/>
    <tableColumn id="3497" xr3:uid="{DC7DC111-C84A-4423-87F7-61513D3C791F}" name="Column3483"/>
    <tableColumn id="3498" xr3:uid="{FB6D4906-9319-4B75-8D04-F2743F5136EC}" name="Column3484"/>
    <tableColumn id="3499" xr3:uid="{488B3C28-8A71-470F-AD1D-263E381E40F6}" name="Column3485"/>
    <tableColumn id="3500" xr3:uid="{BE9CE87A-08F2-4623-AF4D-9AD3B11461E8}" name="Column3486"/>
    <tableColumn id="3501" xr3:uid="{882C9D84-4930-4A80-8C16-94DAB9497D2F}" name="Column3487"/>
    <tableColumn id="3502" xr3:uid="{47DDE6C8-458C-4EEA-8282-84A3C381A8DF}" name="Column3488"/>
    <tableColumn id="3503" xr3:uid="{3DB009B4-F398-48DA-BBB4-C95CE074DAF2}" name="Column3489"/>
    <tableColumn id="3504" xr3:uid="{BBDEA286-A4E9-4614-A51B-A8B04C7DEFC5}" name="Column3490"/>
    <tableColumn id="3505" xr3:uid="{2CEF6B6C-EAFF-414B-B21F-215AA418AEB5}" name="Column3491"/>
    <tableColumn id="3506" xr3:uid="{F32F3417-EE75-4694-85D2-4942BC2392F2}" name="Column3492"/>
    <tableColumn id="3507" xr3:uid="{0C5090E5-800C-492D-B921-DFF9600FB5C0}" name="Column3493"/>
    <tableColumn id="3508" xr3:uid="{53FC470C-BAF8-46B1-BDD7-AF2218059E84}" name="Column3494"/>
    <tableColumn id="3509" xr3:uid="{FF7422DF-F426-4E50-B934-5EBA39A80E6C}" name="Column3495"/>
    <tableColumn id="3510" xr3:uid="{F85A4BB3-22AD-4E10-B007-04BF701D8D02}" name="Column3496"/>
    <tableColumn id="3511" xr3:uid="{0D7DD1D7-640C-405B-B3CA-E8FB21B1FC42}" name="Column3497"/>
    <tableColumn id="3512" xr3:uid="{23849BC3-E9D1-4DAD-A6DA-9A0E7960FEE5}" name="Column3498"/>
    <tableColumn id="3513" xr3:uid="{78B8D1D2-F23F-461D-98F2-A4E50269C6B7}" name="Column3499"/>
    <tableColumn id="3514" xr3:uid="{C4BEFAA3-5C02-4877-9289-00628A398DD1}" name="Column3500"/>
    <tableColumn id="3515" xr3:uid="{0E670AF5-A85B-482E-A5C8-AB6A05512CFA}" name="Column3501"/>
    <tableColumn id="3516" xr3:uid="{33D43D83-254C-4EDA-90C2-B5D107D16594}" name="Column3502"/>
    <tableColumn id="3517" xr3:uid="{7385BF27-3B9F-45E2-9B77-BD32C64F126B}" name="Column3503"/>
    <tableColumn id="3518" xr3:uid="{5609A4A6-6131-448D-9591-8E62B0AA2BE7}" name="Column3504"/>
    <tableColumn id="3519" xr3:uid="{6F541ABC-25C6-4ACE-8A13-B730B9BD9128}" name="Column3505"/>
    <tableColumn id="3520" xr3:uid="{314CB120-C96E-4F8F-8C8C-A14473724B33}" name="Column3506"/>
    <tableColumn id="3521" xr3:uid="{5057E612-AB1A-474D-99BD-C186AA078107}" name="Column3507"/>
    <tableColumn id="3522" xr3:uid="{83EBB845-7BDB-4653-BB35-FFE038ABFAA9}" name="Column3508"/>
    <tableColumn id="3523" xr3:uid="{E28013FA-F83F-455C-B887-1720BF3E646C}" name="Column3509"/>
    <tableColumn id="3524" xr3:uid="{DEA8E283-6E2B-464F-A8E2-C76C0B655E12}" name="Column3510"/>
    <tableColumn id="3525" xr3:uid="{59820F80-F428-46E9-8123-792E98C5EE85}" name="Column3511"/>
    <tableColumn id="3526" xr3:uid="{4B6524D1-700D-4505-9A7C-DF0A3AE94EE8}" name="Column3512"/>
    <tableColumn id="3527" xr3:uid="{A8991E0B-D195-4FFD-A8AB-7B2759580589}" name="Column3513"/>
    <tableColumn id="3528" xr3:uid="{D476E724-C838-4545-ACC1-CCD8366BC988}" name="Column3514"/>
    <tableColumn id="3529" xr3:uid="{C7E2D39B-E621-4C90-A1A6-8F213FFDC67E}" name="Column3515"/>
    <tableColumn id="3530" xr3:uid="{201C4CA3-3EA0-467A-BB2D-8C8D2E73D903}" name="Column3516"/>
    <tableColumn id="3531" xr3:uid="{2C7868B5-D936-4F6F-AF13-7BB6135D6D7A}" name="Column3517"/>
    <tableColumn id="3532" xr3:uid="{6106ABEC-836F-4AF8-A532-13F0CE655B04}" name="Column3518"/>
    <tableColumn id="3533" xr3:uid="{704BFAC0-E31E-409A-B666-68E1B6FE6E33}" name="Column3519"/>
    <tableColumn id="3534" xr3:uid="{7E4F5070-B2A7-4BB5-A068-BF24B1FB28FC}" name="Column3520"/>
    <tableColumn id="3535" xr3:uid="{2AB7AC1C-ABEC-4246-B21E-79B2724CD71D}" name="Column3521"/>
    <tableColumn id="3536" xr3:uid="{52462D69-439C-45C2-A86C-389DFFB96115}" name="Column3522"/>
    <tableColumn id="3537" xr3:uid="{719B50E5-644B-4383-A043-0B8DA70BA658}" name="Column3523"/>
    <tableColumn id="3538" xr3:uid="{C61C2145-4114-4140-8EC3-CD45A242A26F}" name="Column3524"/>
    <tableColumn id="3539" xr3:uid="{315D1DE0-E295-41D0-9B36-76CB30CFC2CC}" name="Column3525"/>
    <tableColumn id="3540" xr3:uid="{2073F138-E08C-4DC9-8466-5E579E2755DD}" name="Column3526"/>
    <tableColumn id="3541" xr3:uid="{73C27C4F-A60F-4AEA-8A91-CFB0CFB245AA}" name="Column3527"/>
    <tableColumn id="3542" xr3:uid="{A7E43430-FDCE-4CAA-96D2-948DA498ECAB}" name="Column3528"/>
    <tableColumn id="3543" xr3:uid="{885408FD-1431-41E5-A355-4963E5BB2CA8}" name="Column3529"/>
    <tableColumn id="3544" xr3:uid="{ABCF2160-1282-4FA8-91CD-324698F82090}" name="Column3530"/>
    <tableColumn id="3545" xr3:uid="{B7969D3D-357E-4622-9013-A3ECDE5A0167}" name="Column3531"/>
    <tableColumn id="3546" xr3:uid="{04849E7B-A37B-4F9F-8329-10FE7BD05568}" name="Column3532"/>
    <tableColumn id="3547" xr3:uid="{973E00B1-08FE-4EEF-8D30-8D9E6F8DE150}" name="Column3533"/>
    <tableColumn id="3548" xr3:uid="{A4BDC2E4-A5CF-4177-AB32-2E05CF0AEEAE}" name="Column3534"/>
    <tableColumn id="3549" xr3:uid="{1C268508-66A9-48A6-9B68-CA89CA2D7276}" name="Column3535"/>
    <tableColumn id="3550" xr3:uid="{0AC9FE0C-3A1E-485E-A774-F09579C47561}" name="Column3536"/>
    <tableColumn id="3551" xr3:uid="{D12FDFB7-7BBC-442E-94C1-12C65B1FBC52}" name="Column3537"/>
    <tableColumn id="3552" xr3:uid="{83B268D9-352C-42C7-8461-C5D2FDB8438D}" name="Column3538"/>
    <tableColumn id="3553" xr3:uid="{44AA7E0E-C848-43CF-A592-309D3A95C6FD}" name="Column3539"/>
    <tableColumn id="3554" xr3:uid="{28991F30-FCFC-4F75-9C9B-4B5EE97A0538}" name="Column3540"/>
    <tableColumn id="3555" xr3:uid="{5FCC8DA9-56F7-4B46-90A8-049B62DB8248}" name="Column3541"/>
    <tableColumn id="3556" xr3:uid="{724700E8-8614-43AA-AF37-BBE543FC4CA9}" name="Column3542"/>
    <tableColumn id="3557" xr3:uid="{4D766CF5-3A89-43F6-A3E3-3B626298722E}" name="Column3543"/>
    <tableColumn id="3558" xr3:uid="{69244F97-D477-496E-8EC6-F78B8DBA5CA6}" name="Column3544"/>
    <tableColumn id="3559" xr3:uid="{75F9A7F5-CC14-4F34-B3BC-5063C30E7756}" name="Column3545"/>
    <tableColumn id="3560" xr3:uid="{AA8F0295-D0F2-43FB-B0A7-B3EC1CC8D438}" name="Column3546"/>
    <tableColumn id="3561" xr3:uid="{757144D0-EDA5-4316-A91D-77AE8B98B0F4}" name="Column3547"/>
    <tableColumn id="3562" xr3:uid="{1180F651-DECC-485E-898E-593246F180DC}" name="Column3548"/>
    <tableColumn id="3563" xr3:uid="{9CD9C71D-FB5E-42DB-AB34-3A6EE68D7FA8}" name="Column3549"/>
    <tableColumn id="3564" xr3:uid="{8DCCD201-3FC5-4516-897D-2EC75479E7E2}" name="Column3550"/>
    <tableColumn id="3565" xr3:uid="{BF34F49D-76E6-4AAB-A81D-9BFB538FF6B6}" name="Column3551"/>
    <tableColumn id="3566" xr3:uid="{10601110-735D-4E8C-ADA3-C72307A8D2C8}" name="Column3552"/>
    <tableColumn id="3567" xr3:uid="{A6A6E6E1-B85B-4158-BA3A-7CC783D56CB2}" name="Column3553"/>
    <tableColumn id="3568" xr3:uid="{B6AB999B-7656-4CE6-802D-ADA45BC9EAAE}" name="Column3554"/>
    <tableColumn id="3569" xr3:uid="{037CDF0C-6029-4E6E-ABDA-3ACE65C5CEB4}" name="Column3555"/>
    <tableColumn id="3570" xr3:uid="{8BBD88F8-7A97-4CCE-BFFC-1138B7ED9EC9}" name="Column3556"/>
    <tableColumn id="3571" xr3:uid="{277B7BCC-8196-4597-AC50-60670AADF0A2}" name="Column3557"/>
    <tableColumn id="3572" xr3:uid="{95E5CCF0-E4E0-4F12-8E08-12A18C189422}" name="Column3558"/>
    <tableColumn id="3573" xr3:uid="{09612181-7096-4194-9DC0-F401344C0CAD}" name="Column3559"/>
    <tableColumn id="3574" xr3:uid="{1076B4C3-6EBA-4309-8089-A18181BDD8F4}" name="Column3560"/>
    <tableColumn id="3575" xr3:uid="{3132C4C4-2C29-4F89-A56D-D4B3A30509D0}" name="Column3561"/>
    <tableColumn id="3576" xr3:uid="{CE3A6958-344B-4CD0-A56E-5A0FFD27F6D6}" name="Column3562"/>
    <tableColumn id="3577" xr3:uid="{DB25708B-160E-47C2-9D88-F174CC74E62E}" name="Column3563"/>
    <tableColumn id="3578" xr3:uid="{DEB95640-937F-497E-BC42-DDF417D8B15A}" name="Column3564"/>
    <tableColumn id="3579" xr3:uid="{89343991-78E6-45EB-9347-78ACDD7D4DA0}" name="Column3565"/>
    <tableColumn id="3580" xr3:uid="{27CC4F47-8C57-4528-837E-A5F76CAB0F76}" name="Column3566"/>
    <tableColumn id="3581" xr3:uid="{86C7136E-4CB2-4136-8A42-3BEB33A43948}" name="Column3567"/>
    <tableColumn id="3582" xr3:uid="{BBF320BE-D2E9-4943-B6E5-F179A59E18D5}" name="Column3568"/>
    <tableColumn id="3583" xr3:uid="{28BF75FD-2345-4FF3-8664-904E80DEA75F}" name="Column3569"/>
    <tableColumn id="3584" xr3:uid="{A74EE22A-8AEE-4462-BC9F-1ECFF6E546AF}" name="Column3570"/>
    <tableColumn id="3585" xr3:uid="{4A9FDF13-509B-41D3-9091-A1D4B3C9C874}" name="Column3571"/>
    <tableColumn id="3586" xr3:uid="{951D6B77-73EA-4E04-8322-B9777ADB4628}" name="Column3572"/>
    <tableColumn id="3587" xr3:uid="{921C5758-FFF6-425C-AB50-85584E91ABB3}" name="Column3573"/>
    <tableColumn id="3588" xr3:uid="{FE76B89B-1784-4005-A95F-F28612F58F95}" name="Column3574"/>
    <tableColumn id="3589" xr3:uid="{32897034-168E-4FBA-9EAC-86380EBE3A4E}" name="Column3575"/>
    <tableColumn id="3590" xr3:uid="{C63B80FE-C883-4508-A40F-3821B02D8599}" name="Column3576"/>
    <tableColumn id="3591" xr3:uid="{C69EE52D-DBCA-4049-96D7-A592F4DFDDA2}" name="Column3577"/>
    <tableColumn id="3592" xr3:uid="{DC3C6235-5CC7-4106-A7CB-1B5764060636}" name="Column3578"/>
    <tableColumn id="3593" xr3:uid="{8045DBEC-4A2B-4D8C-B0A7-8BC0E9B8E622}" name="Column3579"/>
    <tableColumn id="3594" xr3:uid="{A1DBB9A3-A809-43A6-A4CD-9D2D3B19BEE5}" name="Column3580"/>
    <tableColumn id="3595" xr3:uid="{DC55D2D3-D9B1-4934-888D-20D624DC82B8}" name="Column3581"/>
    <tableColumn id="3596" xr3:uid="{4DF2B15D-A5CF-40FC-9BE2-646800B48434}" name="Column3582"/>
    <tableColumn id="3597" xr3:uid="{030206B8-D6BA-4ED7-910D-6EFD830F00F6}" name="Column3583"/>
    <tableColumn id="3598" xr3:uid="{ED1B7A72-C4FC-45D8-A67E-EC7C61F80ABF}" name="Column3584"/>
    <tableColumn id="3599" xr3:uid="{9F341C7E-E0C1-4BF4-A909-69BA95ABA29F}" name="Column3585"/>
    <tableColumn id="3600" xr3:uid="{4CF7E853-ADB8-49E9-AE07-2050BF2D8633}" name="Column3586"/>
    <tableColumn id="3601" xr3:uid="{2B49E21B-25C5-4992-83EC-E395335AC52B}" name="Column3587"/>
    <tableColumn id="3602" xr3:uid="{D76B8C43-47A3-4438-B319-6962745F2B11}" name="Column3588"/>
    <tableColumn id="3603" xr3:uid="{5C51B91B-F32D-4DDB-9CC3-2C9280721CC2}" name="Column3589"/>
    <tableColumn id="3604" xr3:uid="{BD0B8338-5A0A-4FD6-94C4-30CD11750C88}" name="Column3590"/>
    <tableColumn id="3605" xr3:uid="{80BC3BA0-EB00-4E58-83B3-CD83AB2EE08A}" name="Column3591"/>
    <tableColumn id="3606" xr3:uid="{7AB5FFA9-25C0-4462-BA34-210A6E239657}" name="Column3592"/>
    <tableColumn id="3607" xr3:uid="{00689D6C-40DC-4BF8-8900-200FAA31CBBF}" name="Column3593"/>
    <tableColumn id="3608" xr3:uid="{2862AEB1-EE70-45F9-B12C-64B92EA9408C}" name="Column3594"/>
    <tableColumn id="3609" xr3:uid="{BBB38DAD-2010-48A8-AF3A-C21724C1DE60}" name="Column3595"/>
    <tableColumn id="3610" xr3:uid="{2D01F571-5EBE-43C8-98F9-555502078E02}" name="Column3596"/>
    <tableColumn id="3611" xr3:uid="{5AA7E456-9A7B-48ED-8EB6-BF998D18D6D3}" name="Column3597"/>
    <tableColumn id="3612" xr3:uid="{1ECBBBA6-72E4-405F-A496-5F33FD5D197F}" name="Column3598"/>
    <tableColumn id="3613" xr3:uid="{D9EE002E-B3D0-4460-96AD-86985F13C0B7}" name="Column3599"/>
    <tableColumn id="3614" xr3:uid="{E7076E3D-3739-4F31-B4B3-9D5160562735}" name="Column3600"/>
    <tableColumn id="3615" xr3:uid="{DE3A39D4-7BCE-47D8-AE59-CE2EB4FA9A26}" name="Column3601"/>
    <tableColumn id="3616" xr3:uid="{CD21CE9B-5283-4FEB-B2A9-83FC765174BA}" name="Column3602"/>
    <tableColumn id="3617" xr3:uid="{D5EEDBFC-10DE-46F9-87C5-067EE7F2D9A1}" name="Column3603"/>
    <tableColumn id="3618" xr3:uid="{2612633F-08DA-40D0-892F-B685818BE4E0}" name="Column3604"/>
    <tableColumn id="3619" xr3:uid="{DC723254-6F30-44A9-B527-4054A1C5DAD3}" name="Column3605"/>
    <tableColumn id="3620" xr3:uid="{3A981EF2-7D6B-4FE2-A269-976A339AF92D}" name="Column3606"/>
    <tableColumn id="3621" xr3:uid="{C7F65267-6600-4AFF-B7F0-938E32C61AA5}" name="Column3607"/>
    <tableColumn id="3622" xr3:uid="{339E7F64-F1EF-4C80-9F73-778C7234BC43}" name="Column3608"/>
    <tableColumn id="3623" xr3:uid="{96D9A307-41DD-4269-8B08-5B5277E10D5A}" name="Column3609"/>
    <tableColumn id="3624" xr3:uid="{906CF040-96E1-4AC4-8F83-FBD682233134}" name="Column3610"/>
    <tableColumn id="3625" xr3:uid="{86AE4CCB-768A-4C32-9AC7-87A1BE1A6C49}" name="Column3611"/>
    <tableColumn id="3626" xr3:uid="{7528C238-C2B3-4F41-B3F5-7D1D9C8CDE4B}" name="Column3612"/>
    <tableColumn id="3627" xr3:uid="{3AA56A70-68B3-4FC3-B309-1A2BB43C1F46}" name="Column3613"/>
    <tableColumn id="3628" xr3:uid="{AA9223AE-946E-4157-A648-2FC875C77EFF}" name="Column3614"/>
    <tableColumn id="3629" xr3:uid="{0BE84923-B811-492D-9E21-ED707FFC4B5A}" name="Column3615"/>
    <tableColumn id="3630" xr3:uid="{D2026768-AF88-4844-B73F-C2115D651AAD}" name="Column3616"/>
    <tableColumn id="3631" xr3:uid="{47FE5991-A7F2-4B4B-B01C-A6B2335C0CE0}" name="Column3617"/>
    <tableColumn id="3632" xr3:uid="{8DE6A2A8-8B80-4C84-93D4-9BC5E29FFD27}" name="Column3618"/>
    <tableColumn id="3633" xr3:uid="{C7A94F30-E37D-4309-BC69-37BE83D03278}" name="Column3619"/>
    <tableColumn id="3634" xr3:uid="{3E55DE78-A1D9-4AD9-8CDD-81D2D7A2671A}" name="Column3620"/>
    <tableColumn id="3635" xr3:uid="{AA5F24D8-8380-4B94-BEB3-D25896554184}" name="Column3621"/>
    <tableColumn id="3636" xr3:uid="{450B9AFA-5BB1-4EEC-B182-AEE326873261}" name="Column3622"/>
    <tableColumn id="3637" xr3:uid="{80E8D0CE-795C-40B3-A6A7-3DEB2735E4A5}" name="Column3623"/>
    <tableColumn id="3638" xr3:uid="{C65FB52D-41FD-4AE9-83C1-613D4A9ED10E}" name="Column3624"/>
    <tableColumn id="3639" xr3:uid="{8F906C0D-68E5-4CB5-821E-E54846B17E7A}" name="Column3625"/>
    <tableColumn id="3640" xr3:uid="{B36F4C95-4013-400F-B9EC-838F5171ECBD}" name="Column3626"/>
    <tableColumn id="3641" xr3:uid="{50293FD0-1E91-431E-9678-B1E9BDB0CB7A}" name="Column3627"/>
    <tableColumn id="3642" xr3:uid="{A6FDB7F8-DB70-4EA5-9D76-499382AF39AB}" name="Column3628"/>
    <tableColumn id="3643" xr3:uid="{C3D78936-E85C-4DED-A848-DEE1AAE2B15F}" name="Column3629"/>
    <tableColumn id="3644" xr3:uid="{6057926E-D603-4CF0-8EBA-B59C80DFD58C}" name="Column3630"/>
    <tableColumn id="3645" xr3:uid="{590A48B5-FE90-43FB-8D3C-4866F91C3630}" name="Column3631"/>
    <tableColumn id="3646" xr3:uid="{DBBC02AB-3E14-414F-9170-24EF1AC54B30}" name="Column3632"/>
    <tableColumn id="3647" xr3:uid="{DD3C09CA-13DF-4949-8500-877935B37FFC}" name="Column3633"/>
    <tableColumn id="3648" xr3:uid="{6D4C36FA-CFFF-464B-A7DA-8DC5808D613B}" name="Column3634"/>
    <tableColumn id="3649" xr3:uid="{8970A02F-42CA-4EDD-B78D-5BCBBF68FA4B}" name="Column3635"/>
    <tableColumn id="3650" xr3:uid="{87010190-FD86-42A5-BF0C-010D7202D8B2}" name="Column3636"/>
    <tableColumn id="3651" xr3:uid="{29FEF219-11DD-4387-BDA8-D14FAB963236}" name="Column3637"/>
    <tableColumn id="3652" xr3:uid="{2DC5E026-431B-4223-B6D6-871319AC2C7D}" name="Column3638"/>
    <tableColumn id="3653" xr3:uid="{F9DD9011-491A-468D-9D7C-5568A797972E}" name="Column3639"/>
    <tableColumn id="3654" xr3:uid="{43BE9D12-D329-43EB-A76C-3A7F9A3CD2BF}" name="Column3640"/>
    <tableColumn id="3655" xr3:uid="{0C8DAFD7-1BFA-4B28-A28F-7A458B5FB7D7}" name="Column3641"/>
    <tableColumn id="3656" xr3:uid="{146FDB3B-3049-4067-B407-32640931C14A}" name="Column3642"/>
    <tableColumn id="3657" xr3:uid="{62C9EC49-A8C3-43B6-8362-3DB8FE9E6BC2}" name="Column3643"/>
    <tableColumn id="3658" xr3:uid="{044B7420-6736-4399-B981-E82663E5ED72}" name="Column3644"/>
    <tableColumn id="3659" xr3:uid="{AC4D4B66-5029-41FD-A2DE-1692DF2CDD8B}" name="Column3645"/>
    <tableColumn id="3660" xr3:uid="{F0400101-DEE8-4319-9811-CB00CC3A48A0}" name="Column3646"/>
    <tableColumn id="3661" xr3:uid="{29BD7867-8252-4A38-B4BE-52A096057889}" name="Column3647"/>
    <tableColumn id="3662" xr3:uid="{67F46B16-D9C1-4590-B0E0-E2F25911E2A8}" name="Column3648"/>
    <tableColumn id="3663" xr3:uid="{87673B28-3009-47DE-A0E5-4ECFDFD6A775}" name="Column3649"/>
    <tableColumn id="3664" xr3:uid="{4D9275EC-4161-40D3-99FB-3A257A17B587}" name="Column3650"/>
    <tableColumn id="3665" xr3:uid="{F7F84A8E-8EF3-4F8D-951C-41018CFE21E8}" name="Column3651"/>
    <tableColumn id="3666" xr3:uid="{9ED0EDD8-DE92-44CB-ADF3-645D0B788430}" name="Column3652"/>
    <tableColumn id="3667" xr3:uid="{7C8F8B1A-8120-418D-9EEE-BD70ED2A3CB6}" name="Column3653"/>
    <tableColumn id="3668" xr3:uid="{F2201B04-3AFB-4208-AF8D-FF8AC79A4CE8}" name="Column3654"/>
    <tableColumn id="3669" xr3:uid="{2158DEB3-2F72-497A-A748-B9D8CAB497CB}" name="Column3655"/>
    <tableColumn id="3670" xr3:uid="{8375A2AF-FCFE-4AF7-B8C8-F623471D70DA}" name="Column3656"/>
    <tableColumn id="3671" xr3:uid="{BCA2EF2C-9D40-474E-B69E-834F88657E89}" name="Column3657"/>
    <tableColumn id="3672" xr3:uid="{526579D0-7703-422D-8696-E428A6A29C31}" name="Column3658"/>
    <tableColumn id="3673" xr3:uid="{3D3D72C2-9822-4E8A-BDF2-A68FB83B21C3}" name="Column3659"/>
    <tableColumn id="3674" xr3:uid="{3DA2A633-6136-4C93-B448-14EE0C83BCF4}" name="Column3660"/>
    <tableColumn id="3675" xr3:uid="{0EA2D4A5-03C2-4F46-96EF-C3AB26E19D97}" name="Column3661"/>
    <tableColumn id="3676" xr3:uid="{F860AC68-B9C3-4136-8E2F-EB13A6B55A97}" name="Column3662"/>
    <tableColumn id="3677" xr3:uid="{9CCDA2C5-3542-43FA-8877-B5247921F622}" name="Column3663"/>
    <tableColumn id="3678" xr3:uid="{6A00C5D8-490A-489C-970F-11F36F02CE34}" name="Column3664"/>
    <tableColumn id="3679" xr3:uid="{74A40D3D-4DC7-415C-B0A9-D586FD9629A0}" name="Column3665"/>
    <tableColumn id="3680" xr3:uid="{F02B7D88-2AD0-4157-9A47-CE2D9687D279}" name="Column3666"/>
    <tableColumn id="3681" xr3:uid="{EAF6E93B-F4ED-4812-921D-6EBD8CFA280E}" name="Column3667"/>
    <tableColumn id="3682" xr3:uid="{AC45E5D8-3626-4900-AA72-96B066D66E39}" name="Column3668"/>
    <tableColumn id="3683" xr3:uid="{2D5E0FE9-0F36-4214-A29D-41F1A6CB0FBE}" name="Column3669"/>
    <tableColumn id="3684" xr3:uid="{AB65C356-B401-43FA-B1C8-CBDC4B5CF4D6}" name="Column3670"/>
    <tableColumn id="3685" xr3:uid="{1C242177-C36A-43E9-B711-0BACA83A91EE}" name="Column3671"/>
    <tableColumn id="3686" xr3:uid="{41A74621-867D-43BD-A87C-44E5CC518502}" name="Column3672"/>
    <tableColumn id="3687" xr3:uid="{00A967F9-FEDE-4930-94A8-74F8FFA31CC3}" name="Column3673"/>
    <tableColumn id="3688" xr3:uid="{6F7D0A16-BF46-4C86-A4DB-79660E92DC66}" name="Column3674"/>
    <tableColumn id="3689" xr3:uid="{87A94AFF-310B-42B2-B113-13CBA66BC27F}" name="Column3675"/>
    <tableColumn id="3690" xr3:uid="{17784391-B21F-4495-B5DF-8461AC4CA27E}" name="Column3676"/>
    <tableColumn id="3691" xr3:uid="{2DADFA53-2F75-4B2D-B3D3-CBC85ECA569A}" name="Column3677"/>
    <tableColumn id="3692" xr3:uid="{9F775057-1116-42C5-8F11-F04A66B04E49}" name="Column3678"/>
    <tableColumn id="3693" xr3:uid="{FDA092D1-4B29-4871-9922-25B48A092267}" name="Column3679"/>
    <tableColumn id="3694" xr3:uid="{9429C04A-69E2-44B4-AC2A-01D3F3A2E390}" name="Column3680"/>
    <tableColumn id="3695" xr3:uid="{216E1B7D-2687-417E-8D0A-75C894299816}" name="Column3681"/>
    <tableColumn id="3696" xr3:uid="{02E399F8-626A-47D5-8116-66D59DE02119}" name="Column3682"/>
    <tableColumn id="3697" xr3:uid="{237752E5-648A-4CFA-8E8F-FF495237E788}" name="Column3683"/>
    <tableColumn id="3698" xr3:uid="{0FFC2E66-F2F1-4BF1-9769-1C104EEC4B2C}" name="Column3684"/>
    <tableColumn id="3699" xr3:uid="{25DCE534-B098-4686-B770-A1DCBC1570F8}" name="Column3685"/>
    <tableColumn id="3700" xr3:uid="{44E6B1DC-78D5-485B-8D85-7A0678960D1D}" name="Column3686"/>
    <tableColumn id="3701" xr3:uid="{4A408AB8-D101-4F2F-9337-B4C2B8437AC1}" name="Column3687"/>
    <tableColumn id="3702" xr3:uid="{4E8B576C-618F-4765-9A63-7299847E14FC}" name="Column3688"/>
    <tableColumn id="3703" xr3:uid="{786D10FE-610B-428D-81E6-F2088FBC4BFD}" name="Column3689"/>
    <tableColumn id="3704" xr3:uid="{C43DD033-2449-4450-9BE2-9D0167C7B2CF}" name="Column3690"/>
    <tableColumn id="3705" xr3:uid="{077DC0EC-7A5A-4D51-992E-84D50DF9DFE3}" name="Column3691"/>
    <tableColumn id="3706" xr3:uid="{AE81EA8D-A3C3-4CEF-B6E6-281380156FD9}" name="Column3692"/>
    <tableColumn id="3707" xr3:uid="{94360B19-8B75-419E-B8E5-88594102E168}" name="Column3693"/>
    <tableColumn id="3708" xr3:uid="{E71F8BAE-80A0-46C9-81DF-73500E207735}" name="Column3694"/>
    <tableColumn id="3709" xr3:uid="{8373B29C-50DF-4403-9D64-F4596C3E4660}" name="Column3695"/>
    <tableColumn id="3710" xr3:uid="{B426909D-3B20-48B2-A4C0-A2EFD9AF9835}" name="Column3696"/>
    <tableColumn id="3711" xr3:uid="{A4296ECA-BE44-42A2-9857-B06DF8C8D9D2}" name="Column3697"/>
    <tableColumn id="3712" xr3:uid="{23C95EBF-6454-4927-B681-5BC12BEB53E2}" name="Column3698"/>
    <tableColumn id="3713" xr3:uid="{CCBC1E0E-7721-4653-9B8D-5882DB27B222}" name="Column3699"/>
    <tableColumn id="3714" xr3:uid="{0C2A7938-7598-4545-B9A5-AD9CD77B6DC0}" name="Column3700"/>
    <tableColumn id="3715" xr3:uid="{CC47634B-38DC-4889-864B-87BB3520DAFF}" name="Column3701"/>
    <tableColumn id="3716" xr3:uid="{97776566-2E46-4267-95F9-21D1248C0ABE}" name="Column3702"/>
    <tableColumn id="3717" xr3:uid="{6E6A7F1E-20FC-4022-8111-F8724478D4F1}" name="Column3703"/>
    <tableColumn id="3718" xr3:uid="{774F60B5-B29E-4C99-9D89-C115C07A7A0D}" name="Column3704"/>
    <tableColumn id="3719" xr3:uid="{F3EE404F-4BE3-4544-8D69-25AE5FECC7E3}" name="Column3705"/>
    <tableColumn id="3720" xr3:uid="{55E29038-CC59-48B9-9E2B-E37513DADAF4}" name="Column3706"/>
    <tableColumn id="3721" xr3:uid="{5CA759A5-0AA9-41D5-9044-DAB625F9EF13}" name="Column3707"/>
    <tableColumn id="3722" xr3:uid="{0D270911-64DB-49CF-9564-66238F6F622A}" name="Column3708"/>
    <tableColumn id="3723" xr3:uid="{B29E0550-32A2-4AB5-8E6D-A85302193AFE}" name="Column3709"/>
    <tableColumn id="3724" xr3:uid="{C19AC2B2-133C-4860-B442-7D83D0D74E1B}" name="Column3710"/>
    <tableColumn id="3725" xr3:uid="{EA6EE895-F7DB-4E7C-911F-FA25510AEF37}" name="Column3711"/>
    <tableColumn id="3726" xr3:uid="{B53DF1E8-1ECC-4614-A6CF-F55F67CEA2CF}" name="Column3712"/>
    <tableColumn id="3727" xr3:uid="{78BFF4BB-7B60-460F-A40B-AC039F856582}" name="Column3713"/>
    <tableColumn id="3728" xr3:uid="{2FA0CA8A-9137-4C33-A9F4-62086D5EE7B6}" name="Column3714"/>
    <tableColumn id="3729" xr3:uid="{978F8817-9FC9-44EB-8F9C-7B4117BFF404}" name="Column3715"/>
    <tableColumn id="3730" xr3:uid="{AA69028C-25D1-438B-867F-0F0275328401}" name="Column3716"/>
    <tableColumn id="3731" xr3:uid="{5ABE6E88-923B-4E0C-8BD2-69457BE896B5}" name="Column3717"/>
    <tableColumn id="3732" xr3:uid="{1B068523-5C9E-4F5D-8276-3C8248CE4802}" name="Column3718"/>
    <tableColumn id="3733" xr3:uid="{7399ADA2-4C91-4581-88B3-22EB77D61539}" name="Column3719"/>
    <tableColumn id="3734" xr3:uid="{29CBFEDF-AE72-4559-85E4-02B09711A779}" name="Column3720"/>
    <tableColumn id="3735" xr3:uid="{5BFDD14A-8C6E-48C8-A8D6-35FDACE995B6}" name="Column3721"/>
    <tableColumn id="3736" xr3:uid="{3D866172-B525-485C-9989-6467EA957E8B}" name="Column3722"/>
    <tableColumn id="3737" xr3:uid="{A297058C-FB8D-46FF-AE1F-50B3407B7081}" name="Column3723"/>
    <tableColumn id="3738" xr3:uid="{C38002E0-B95C-4806-9D66-5E32F12AD14F}" name="Column3724"/>
    <tableColumn id="3739" xr3:uid="{B516E26A-2F1F-47CE-8CF0-DA57FC268678}" name="Column3725"/>
    <tableColumn id="3740" xr3:uid="{E352E91D-F0A8-458D-AAE3-31888C342E49}" name="Column3726"/>
    <tableColumn id="3741" xr3:uid="{4395F123-19A2-4825-A6F7-17AA813258A1}" name="Column3727"/>
    <tableColumn id="3742" xr3:uid="{73A6E2F8-FF79-441D-BCCD-E7A72DE82590}" name="Column3728"/>
    <tableColumn id="3743" xr3:uid="{88E664A3-1749-4BF7-A9D7-DB87F00EF0F2}" name="Column3729"/>
    <tableColumn id="3744" xr3:uid="{11E34344-66E3-460C-B848-2101238A0FC1}" name="Column3730"/>
    <tableColumn id="3745" xr3:uid="{025E0715-8A8E-49B6-A6C5-30E4C6174982}" name="Column3731"/>
    <tableColumn id="3746" xr3:uid="{856E911F-B996-4D85-A0AE-FFC4C522B970}" name="Column3732"/>
    <tableColumn id="3747" xr3:uid="{0422EE3F-9DB0-48A2-8BB2-72719CBC8B26}" name="Column3733"/>
    <tableColumn id="3748" xr3:uid="{17B83F82-FAC9-46CC-9761-BBABC4A1FE97}" name="Column3734"/>
    <tableColumn id="3749" xr3:uid="{834A6586-3382-44E1-B64E-61684E342276}" name="Column3735"/>
    <tableColumn id="3750" xr3:uid="{714DFEAA-272E-421F-9430-D6508C8202D2}" name="Column3736"/>
    <tableColumn id="3751" xr3:uid="{4272C99F-7AB8-4F7F-8017-D037DDED512B}" name="Column3737"/>
    <tableColumn id="3752" xr3:uid="{EED04F40-E2A8-4F7B-8F16-1F3BA6AB18A2}" name="Column3738"/>
    <tableColumn id="3753" xr3:uid="{B57762F8-044D-49A6-A6B5-430449271437}" name="Column3739"/>
    <tableColumn id="3754" xr3:uid="{B8CB4A6B-1D6A-41AF-9F1F-75E0BE7BDD91}" name="Column3740"/>
    <tableColumn id="3755" xr3:uid="{EC657D46-1876-4017-B633-C4145809A360}" name="Column3741"/>
    <tableColumn id="3756" xr3:uid="{1657E4C1-C87B-4BDA-9E18-20752334F11C}" name="Column3742"/>
    <tableColumn id="3757" xr3:uid="{D07B496F-DF34-4D69-BF62-95225FD8BC2E}" name="Column3743"/>
    <tableColumn id="3758" xr3:uid="{F3802B77-9A2A-4A8E-893F-8E362355C573}" name="Column3744"/>
    <tableColumn id="3759" xr3:uid="{3B1223D8-A229-499A-882C-9562C7C91F24}" name="Column3745"/>
    <tableColumn id="3760" xr3:uid="{29CFEFE3-F2EC-4541-AF27-3C19CC3D0EFA}" name="Column3746"/>
    <tableColumn id="3761" xr3:uid="{B636C648-0328-4A4E-82F0-CA7257124E3C}" name="Column3747"/>
    <tableColumn id="3762" xr3:uid="{52874FB7-BEBD-440D-B477-D9FC1633342A}" name="Column3748"/>
    <tableColumn id="3763" xr3:uid="{031BA986-5AAE-4141-B0F7-46D52F3913EB}" name="Column3749"/>
    <tableColumn id="3764" xr3:uid="{214E6ECD-6840-4DB8-BD03-10A68F653561}" name="Column3750"/>
    <tableColumn id="3765" xr3:uid="{7103448C-D7EB-4C48-AF98-D05C1F0EE49B}" name="Column3751"/>
    <tableColumn id="3766" xr3:uid="{835A79CE-CD89-41A5-A5D3-4ECD6D2F98D6}" name="Column3752"/>
    <tableColumn id="3767" xr3:uid="{8DD28467-C0AE-4FD5-A9DE-20C4F511A6FE}" name="Column3753"/>
    <tableColumn id="3768" xr3:uid="{99E051F2-8E04-469B-802F-B49B1BD19AF8}" name="Column3754"/>
    <tableColumn id="3769" xr3:uid="{D398897D-88C4-4B97-9662-4EF5D680E7EE}" name="Column3755"/>
    <tableColumn id="3770" xr3:uid="{8882B36D-C124-4EDE-AAF9-C5117681A52E}" name="Column3756"/>
    <tableColumn id="3771" xr3:uid="{3D112A47-8F94-44BE-95BE-8B84083692B7}" name="Column3757"/>
    <tableColumn id="3772" xr3:uid="{F6064CFE-58FC-42FD-B0B7-AADCCF86D414}" name="Column3758"/>
    <tableColumn id="3773" xr3:uid="{A84416A7-A9E2-4669-9E54-B3369A061D55}" name="Column3759"/>
    <tableColumn id="3774" xr3:uid="{0AEAB6B2-42A9-45E6-80D2-36D09E841102}" name="Column3760"/>
    <tableColumn id="3775" xr3:uid="{D5B8F6B2-DF30-45BD-8667-C239A9DDCB21}" name="Column3761"/>
    <tableColumn id="3776" xr3:uid="{530570EB-F8A2-4B96-B4F4-F7ECCCBCC66E}" name="Column3762"/>
    <tableColumn id="3777" xr3:uid="{D7D39F64-20B3-4864-A013-83111C2C07F8}" name="Column3763"/>
    <tableColumn id="3778" xr3:uid="{33BA1117-65C6-4BD4-BA43-892A531F131D}" name="Column3764"/>
    <tableColumn id="3779" xr3:uid="{25F084AD-6AAF-4136-BA15-D6E2555A2591}" name="Column3765"/>
    <tableColumn id="3780" xr3:uid="{C9771A38-23E6-468E-80F4-500A3F92ED44}" name="Column3766"/>
    <tableColumn id="3781" xr3:uid="{77AA353D-42E5-404F-9D7F-842499691F77}" name="Column3767"/>
    <tableColumn id="3782" xr3:uid="{D7F1F473-1DB3-4879-90C1-E287FB8CF789}" name="Column3768"/>
    <tableColumn id="3783" xr3:uid="{99A7F87E-E753-4F16-91A5-2CAC537731E3}" name="Column3769"/>
    <tableColumn id="3784" xr3:uid="{22974AA6-9C23-4139-AF65-054953E4F060}" name="Column3770"/>
    <tableColumn id="3785" xr3:uid="{17180D24-6336-4297-A606-6514B9C36A3F}" name="Column3771"/>
    <tableColumn id="3786" xr3:uid="{1D6AD7A1-9A1E-4A75-A145-FFF134CF1403}" name="Column3772"/>
    <tableColumn id="3787" xr3:uid="{5491E753-0DD2-4CBB-9238-CCDA21CE1A2E}" name="Column3773"/>
    <tableColumn id="3788" xr3:uid="{E8063FB8-D7A1-4648-AEDC-0C3C6845814A}" name="Column3774"/>
    <tableColumn id="3789" xr3:uid="{85F1A809-A459-4B89-8EDA-815CD3698175}" name="Column3775"/>
    <tableColumn id="3790" xr3:uid="{5FF02C90-3052-4E0B-B477-B61683FCF103}" name="Column3776"/>
    <tableColumn id="3791" xr3:uid="{B89902B7-C644-4754-A516-AF1F3E5082D9}" name="Column3777"/>
    <tableColumn id="3792" xr3:uid="{2231BCB3-A86B-43F4-A0C9-0F3FF0089664}" name="Column3778"/>
    <tableColumn id="3793" xr3:uid="{F2B34BCD-DED2-4218-A657-AC3ED50D68F8}" name="Column3779"/>
    <tableColumn id="3794" xr3:uid="{8E772FB3-6D56-469F-A91B-C95743C72CF2}" name="Column3780"/>
    <tableColumn id="3795" xr3:uid="{8EBDA225-5A42-4EA9-A1F5-9B70104E18FB}" name="Column3781"/>
    <tableColumn id="3796" xr3:uid="{1D408A62-40DA-44B6-9EEA-C3D106C37587}" name="Column3782"/>
    <tableColumn id="3797" xr3:uid="{BFD176FC-3749-4A01-846D-86C4221BD97F}" name="Column3783"/>
    <tableColumn id="3798" xr3:uid="{D714A2F5-BB40-4B50-94FD-5045A83C69C5}" name="Column3784"/>
    <tableColumn id="3799" xr3:uid="{8AA3D370-06A3-4B59-8938-273B0DAAADD1}" name="Column3785"/>
    <tableColumn id="3800" xr3:uid="{20547457-75A5-405A-8D8C-205EC294811F}" name="Column3786"/>
    <tableColumn id="3801" xr3:uid="{438847CC-EB5D-49A4-B8B8-3FA75773AC1B}" name="Column3787"/>
    <tableColumn id="3802" xr3:uid="{737C380A-73E5-4232-BE41-CD7A0AE78A41}" name="Column3788"/>
    <tableColumn id="3803" xr3:uid="{DA103D9D-C79D-4BD5-9347-374F4A638132}" name="Column3789"/>
    <tableColumn id="3804" xr3:uid="{2734C444-A1EE-436D-BED1-1FA5158FB008}" name="Column3790"/>
    <tableColumn id="3805" xr3:uid="{25B9A087-059D-434F-92E7-5C83A2C29147}" name="Column3791"/>
    <tableColumn id="3806" xr3:uid="{4EAB888C-4458-4F21-9D27-38BD7C06BC88}" name="Column3792"/>
    <tableColumn id="3807" xr3:uid="{BD1DE1F8-F377-4813-A780-366AC9178F03}" name="Column3793"/>
    <tableColumn id="3808" xr3:uid="{1B86C495-1FC2-4A91-9D96-DBBCA0DEE95D}" name="Column3794"/>
    <tableColumn id="3809" xr3:uid="{38605A06-3F26-4DF0-9467-C5E06CA1ABE7}" name="Column3795"/>
    <tableColumn id="3810" xr3:uid="{C3B4AE13-66A7-46E9-B42F-C84B1595371E}" name="Column3796"/>
    <tableColumn id="3811" xr3:uid="{D67BC811-43FF-4744-B3C2-AD2937A98372}" name="Column3797"/>
    <tableColumn id="3812" xr3:uid="{1467AD30-ADA9-4F10-A448-BD00B10EB151}" name="Column3798"/>
    <tableColumn id="3813" xr3:uid="{E7E3EFE3-40E5-43C3-A172-2FE3FED3EF99}" name="Column3799"/>
    <tableColumn id="3814" xr3:uid="{172640ED-9DA1-4DC9-B75E-F528256A9419}" name="Column3800"/>
    <tableColumn id="3815" xr3:uid="{E4562DB8-2FD1-483B-89A7-2F542004AC0B}" name="Column3801"/>
    <tableColumn id="3816" xr3:uid="{C327D979-F0C8-45C2-B66A-C52F71183C08}" name="Column3802"/>
    <tableColumn id="3817" xr3:uid="{F4F908AA-569A-4263-B5E3-C25E65BC6C19}" name="Column3803"/>
    <tableColumn id="3818" xr3:uid="{516C8169-68D2-4E1D-BA3D-B345D6A865ED}" name="Column3804"/>
    <tableColumn id="3819" xr3:uid="{4FD04809-2879-4E0B-BFF9-3DF9B0F6CDA8}" name="Column3805"/>
    <tableColumn id="3820" xr3:uid="{9FDDBC39-22C5-403F-B36C-4E4867B9617B}" name="Column3806"/>
    <tableColumn id="3821" xr3:uid="{4927F330-5602-46E0-A902-61C390860AB3}" name="Column3807"/>
    <tableColumn id="3822" xr3:uid="{B0E4923F-1A96-41FB-97EC-6202A9DE9F81}" name="Column3808"/>
    <tableColumn id="3823" xr3:uid="{DE184669-691E-4CA4-8B87-DFA192EC37FC}" name="Column3809"/>
    <tableColumn id="3824" xr3:uid="{59FAF036-986B-4443-B2E0-9D01D21097C9}" name="Column3810"/>
    <tableColumn id="3825" xr3:uid="{B785CFD4-7057-4FFC-A4A6-5CDAF607684A}" name="Column3811"/>
    <tableColumn id="3826" xr3:uid="{961E360E-DA6A-406B-B746-FFAAF2D82DA1}" name="Column3812"/>
    <tableColumn id="3827" xr3:uid="{EDCAC2E5-FA09-4840-9CDF-61233B5C98D7}" name="Column3813"/>
    <tableColumn id="3828" xr3:uid="{4ED8EBFD-B6BF-42F4-9B96-5169D8B68B32}" name="Column3814"/>
    <tableColumn id="3829" xr3:uid="{883DF813-58A4-495A-8E34-0824B3D4A626}" name="Column3815"/>
    <tableColumn id="3830" xr3:uid="{E098C27E-5C73-4DEC-B2B1-282238F72699}" name="Column3816"/>
    <tableColumn id="3831" xr3:uid="{9E5A9090-3263-47E0-AFEF-85A5F4080484}" name="Column3817"/>
    <tableColumn id="3832" xr3:uid="{AEB314AD-6DEB-427D-8470-C1AE6052EC1F}" name="Column3818"/>
    <tableColumn id="3833" xr3:uid="{5CED6220-A0B2-4746-9BC0-FF91BC73910A}" name="Column3819"/>
    <tableColumn id="3834" xr3:uid="{041FF0F1-00C8-4B75-AB36-6CC4737994E4}" name="Column3820"/>
    <tableColumn id="3835" xr3:uid="{143798AF-56C0-4C82-B46D-3A2A8B0CEDF5}" name="Column3821"/>
    <tableColumn id="3836" xr3:uid="{976B33E7-7D42-4E14-80A9-A30D085B1284}" name="Column3822"/>
    <tableColumn id="3837" xr3:uid="{78327049-A08F-4F0E-A77C-7F46CA112369}" name="Column3823"/>
    <tableColumn id="3838" xr3:uid="{3B705583-FF82-4CA9-AF21-5AA6EF04C36A}" name="Column3824"/>
    <tableColumn id="3839" xr3:uid="{584607E7-53CF-4109-8D47-F22320A53F18}" name="Column3825"/>
    <tableColumn id="3840" xr3:uid="{24B7AB55-05A8-4BAC-AF28-9DC364D9915D}" name="Column3826"/>
    <tableColumn id="3841" xr3:uid="{3C073792-B674-49D9-A703-C0197C780F7E}" name="Column3827"/>
    <tableColumn id="3842" xr3:uid="{BF5E459B-3ACF-4328-9240-C7D58AA13454}" name="Column3828"/>
    <tableColumn id="3843" xr3:uid="{CC9F1AF3-2F72-4DA8-A111-2889CECDAE11}" name="Column3829"/>
    <tableColumn id="3844" xr3:uid="{9B637671-50A5-4197-B83C-2163953D5DD8}" name="Column3830"/>
    <tableColumn id="3845" xr3:uid="{97EE6CEA-CD04-4128-818A-3767EFE8FA7E}" name="Column3831"/>
    <tableColumn id="3846" xr3:uid="{612CAA5C-49A3-4867-9254-28AB3FBA2B1C}" name="Column3832"/>
    <tableColumn id="3847" xr3:uid="{E82A9DC1-0297-4C97-AEE9-B89FEA458719}" name="Column3833"/>
    <tableColumn id="3848" xr3:uid="{45134B1C-9A7B-48F2-9458-C40405404009}" name="Column3834"/>
    <tableColumn id="3849" xr3:uid="{0B6F0745-394F-4813-96D2-C6A7D012CC93}" name="Column3835"/>
    <tableColumn id="3850" xr3:uid="{087A12DD-4FAD-48B9-B750-0CC23A653A66}" name="Column3836"/>
    <tableColumn id="3851" xr3:uid="{0D71CDD4-C61D-4932-A781-189CAAF7A042}" name="Column3837"/>
    <tableColumn id="3852" xr3:uid="{5D423F50-BDA0-41D0-B1E8-1DBFC27F5857}" name="Column3838"/>
    <tableColumn id="3853" xr3:uid="{1CBF8DA1-D70B-4399-9AFD-E5B3D043DE66}" name="Column3839"/>
    <tableColumn id="3854" xr3:uid="{F3D06FC4-7A0F-4F0D-9EB4-2A3157F3D4F1}" name="Column3840"/>
    <tableColumn id="3855" xr3:uid="{0478E130-4DE8-4E30-A789-C9178988A2BC}" name="Column3841"/>
    <tableColumn id="3856" xr3:uid="{88F1DE53-55E7-47B4-9729-4957656F0357}" name="Column3842"/>
    <tableColumn id="3857" xr3:uid="{62965450-83A0-45B2-A463-5EF17062F089}" name="Column3843"/>
    <tableColumn id="3858" xr3:uid="{B9D95DA2-A7A6-4B92-B59D-85B50EE7C963}" name="Column3844"/>
    <tableColumn id="3859" xr3:uid="{03B8B276-E158-4206-B089-A0886352E7A9}" name="Column3845"/>
    <tableColumn id="3860" xr3:uid="{91F30ACD-CBE8-4E95-BDA3-707DFD18111E}" name="Column3846"/>
    <tableColumn id="3861" xr3:uid="{F8460BFE-25F1-4D71-9F92-25637E2038A0}" name="Column3847"/>
    <tableColumn id="3862" xr3:uid="{1AD634DE-CD10-4212-9D90-D461C3B730EA}" name="Column3848"/>
    <tableColumn id="3863" xr3:uid="{E38B15ED-46E5-406C-97CF-B79EB198815C}" name="Column3849"/>
    <tableColumn id="3864" xr3:uid="{38DB56BE-DDE7-400A-B927-82E1337CB5A8}" name="Column3850"/>
    <tableColumn id="3865" xr3:uid="{91A1494C-354D-478F-89DA-F4FB97A9C8A6}" name="Column3851"/>
    <tableColumn id="3866" xr3:uid="{4E1D5C7D-62A6-48DD-8B75-C042D0E73B29}" name="Column3852"/>
    <tableColumn id="3867" xr3:uid="{930AF2C8-51F0-414E-877D-DB183F7E6325}" name="Column3853"/>
    <tableColumn id="3868" xr3:uid="{25FB670F-3547-4F02-91E7-06EB68EB7FDA}" name="Column3854"/>
    <tableColumn id="3869" xr3:uid="{75CECBFB-5726-4AB7-90E8-D3478787474F}" name="Column3855"/>
    <tableColumn id="3870" xr3:uid="{1D92B50C-EE65-4A95-986C-9881B25CCD50}" name="Column3856"/>
    <tableColumn id="3871" xr3:uid="{733C63E4-CF56-45D3-A003-96873CF5B671}" name="Column3857"/>
    <tableColumn id="3872" xr3:uid="{BC7A5C91-8EDB-41AC-BA9A-83C9E1875DD9}" name="Column3858"/>
    <tableColumn id="3873" xr3:uid="{00205FA3-4598-4D31-AC2F-DA332FE1FF2A}" name="Column3859"/>
    <tableColumn id="3874" xr3:uid="{9358DBA6-3E22-425B-BC2E-CFA797CF04AA}" name="Column3860"/>
    <tableColumn id="3875" xr3:uid="{C2E05F8B-A1EF-4431-A695-061C4C369B36}" name="Column3861"/>
    <tableColumn id="3876" xr3:uid="{72F10BBF-3DDE-48E4-A504-FBD0CA8B767D}" name="Column3862"/>
    <tableColumn id="3877" xr3:uid="{7606741B-79F5-4B97-AFF4-0495561CD825}" name="Column3863"/>
    <tableColumn id="3878" xr3:uid="{B328677C-8333-4813-A418-4CEF6DE3455A}" name="Column3864"/>
    <tableColumn id="3879" xr3:uid="{054081B0-70FC-43D2-BF2C-3B6929F6F367}" name="Column3865"/>
    <tableColumn id="3880" xr3:uid="{6514DE44-740D-4365-A456-1A67BBA46CA5}" name="Column3866"/>
    <tableColumn id="3881" xr3:uid="{FC149A38-3252-451A-BD34-AD1FE646A4C1}" name="Column3867"/>
    <tableColumn id="3882" xr3:uid="{EEAE8257-FEF9-4D68-824C-FC8F35CACE28}" name="Column3868"/>
    <tableColumn id="3883" xr3:uid="{33A2F08D-12BD-4EE4-A826-0FEFC71AE9FF}" name="Column3869"/>
    <tableColumn id="3884" xr3:uid="{10466750-9EA1-42F3-8350-EF2C996BEDF1}" name="Column3870"/>
    <tableColumn id="3885" xr3:uid="{E9A7202D-6942-4AF6-8393-31DBE7283F98}" name="Column3871"/>
    <tableColumn id="3886" xr3:uid="{E751153A-CBE4-4FAE-899A-286A8CDA628B}" name="Column3872"/>
    <tableColumn id="3887" xr3:uid="{C64A9FCC-B85D-4940-81B6-230D5657CE67}" name="Column3873"/>
    <tableColumn id="3888" xr3:uid="{B52BD87C-9C65-4858-AD2F-C97B132870C5}" name="Column3874"/>
    <tableColumn id="3889" xr3:uid="{6269E575-8554-4049-9496-25C0D68B26A5}" name="Column3875"/>
    <tableColumn id="3890" xr3:uid="{4652BB91-1026-4B52-8645-BCA69B6852B8}" name="Column3876"/>
    <tableColumn id="3891" xr3:uid="{98FBF4E6-9CE2-4A29-A201-2D1348A7812E}" name="Column3877"/>
    <tableColumn id="3892" xr3:uid="{530B6388-CB81-4D1A-90F4-78E975AAB12F}" name="Column3878"/>
    <tableColumn id="3893" xr3:uid="{51556495-305C-44A8-9DA8-3A48E951E4CC}" name="Column3879"/>
    <tableColumn id="3894" xr3:uid="{A2CEEDEC-7B55-4410-96B6-FFCD91D667AB}" name="Column3880"/>
    <tableColumn id="3895" xr3:uid="{7484B04C-525C-45B5-B19D-AEFFD3919472}" name="Column3881"/>
    <tableColumn id="3896" xr3:uid="{C9FEAB53-28E5-42B5-8366-83B98074AF9C}" name="Column3882"/>
    <tableColumn id="3897" xr3:uid="{10CF9874-EFDA-4333-91F2-67F3D47DCACA}" name="Column3883"/>
    <tableColumn id="3898" xr3:uid="{2A305A7F-7C9D-42F6-93C3-3605336B5AC9}" name="Column3884"/>
    <tableColumn id="3899" xr3:uid="{55D6155A-CA82-4166-B770-48305789FFB4}" name="Column3885"/>
    <tableColumn id="3900" xr3:uid="{9D292734-FA23-4D53-98F1-A8D0A593A643}" name="Column3886"/>
    <tableColumn id="3901" xr3:uid="{636C0087-FDE0-4798-B289-D922203045E7}" name="Column3887"/>
    <tableColumn id="3902" xr3:uid="{A86C865C-D2FF-4266-AF11-AA48D420A302}" name="Column3888"/>
    <tableColumn id="3903" xr3:uid="{16CF7B99-FD46-4DB6-9AED-68F6BD36DAAB}" name="Column3889"/>
    <tableColumn id="3904" xr3:uid="{DA6D0722-1958-42C8-B65D-A88DE8DD1FA8}" name="Column3890"/>
    <tableColumn id="3905" xr3:uid="{CEFA0FCF-080E-4A34-87EE-37210CB6A8F4}" name="Column3891"/>
    <tableColumn id="3906" xr3:uid="{2E06B964-9662-4FEF-9255-AD30C76B7924}" name="Column3892"/>
    <tableColumn id="3907" xr3:uid="{605F6E8D-EC4B-47C0-ADC5-F4B8E2D8782A}" name="Column3893"/>
    <tableColumn id="3908" xr3:uid="{D4181CAC-2495-47F8-9EF4-CB630764DDB0}" name="Column3894"/>
    <tableColumn id="3909" xr3:uid="{5761AA49-998F-479C-B33E-B508D1725761}" name="Column3895"/>
    <tableColumn id="3910" xr3:uid="{0C311611-1E0A-48B8-87DF-BAA0D9445D99}" name="Column3896"/>
    <tableColumn id="3911" xr3:uid="{1BC7B315-0049-4143-8A9A-41C5CC1E22CD}" name="Column3897"/>
    <tableColumn id="3912" xr3:uid="{E8FC111F-4394-4346-B615-31DBD8E6C4D0}" name="Column3898"/>
    <tableColumn id="3913" xr3:uid="{31293A10-B1DB-4F4C-9E59-03856C783048}" name="Column3899"/>
    <tableColumn id="3914" xr3:uid="{38C28366-85E9-4344-8E24-66285727D01E}" name="Column3900"/>
    <tableColumn id="3915" xr3:uid="{034280C9-96F8-41CB-9915-8317CCC3238C}" name="Column3901"/>
    <tableColumn id="3916" xr3:uid="{3B535B7B-4D10-44DE-9F21-74CE403B769E}" name="Column3902"/>
    <tableColumn id="3917" xr3:uid="{E427A244-80F3-4F6E-BB49-4DB95F11BD51}" name="Column3903"/>
    <tableColumn id="3918" xr3:uid="{93A1D08D-A59B-492A-A2C1-6EC8C2E9E853}" name="Column3904"/>
    <tableColumn id="3919" xr3:uid="{7B3B82F0-B4BE-4DD0-8E07-FA40BA41F59C}" name="Column3905"/>
    <tableColumn id="3920" xr3:uid="{52B662C7-8B12-4DAC-906C-7B0A42A0F16B}" name="Column3906"/>
    <tableColumn id="3921" xr3:uid="{676F8BAA-D75D-46D2-9DC2-1DDE470E2120}" name="Column3907"/>
    <tableColumn id="3922" xr3:uid="{AE572167-485C-4EE3-8ABB-928C1ACEB881}" name="Column3908"/>
    <tableColumn id="3923" xr3:uid="{3257031E-46A3-4F61-8930-9B5DD62CB21E}" name="Column3909"/>
    <tableColumn id="3924" xr3:uid="{4ADE7FEA-D00C-4F69-B1DC-B3A77012DB10}" name="Column3910"/>
    <tableColumn id="3925" xr3:uid="{172C53A0-791C-4B57-8FF9-4EBE8FAA5F9B}" name="Column3911"/>
    <tableColumn id="3926" xr3:uid="{EF3B3AEE-53CC-4E3F-B0D1-8731D5FFE7E8}" name="Column3912"/>
    <tableColumn id="3927" xr3:uid="{F253E1AE-1C3D-4B74-BDF8-DC800FD1FAEC}" name="Column3913"/>
    <tableColumn id="3928" xr3:uid="{9C9850E1-C590-4C9D-B17B-388F9BE7F8CF}" name="Column3914"/>
    <tableColumn id="3929" xr3:uid="{9CE3A5A4-E6EA-441C-9A28-DF0F6EBA8E3E}" name="Column3915"/>
    <tableColumn id="3930" xr3:uid="{7FD33CCB-8F6D-4028-A396-031063F038A1}" name="Column3916"/>
    <tableColumn id="3931" xr3:uid="{70E39CA0-5AA4-49A7-A062-59591A29B810}" name="Column3917"/>
    <tableColumn id="3932" xr3:uid="{C171BD57-1F72-459A-993C-7F27CF5ED33C}" name="Column3918"/>
    <tableColumn id="3933" xr3:uid="{3D0A0B97-700E-4796-9B6C-029BC935FC65}" name="Column3919"/>
    <tableColumn id="3934" xr3:uid="{A81D21F6-386C-4158-953E-C888AF7F0B6D}" name="Column3920"/>
    <tableColumn id="3935" xr3:uid="{72E2976E-CDB9-4B3C-814E-8B13D4E450FD}" name="Column3921"/>
    <tableColumn id="3936" xr3:uid="{B0FC989A-0534-4997-9FEA-26F61D5F9353}" name="Column3922"/>
    <tableColumn id="3937" xr3:uid="{2A7CB1E4-35E1-4EC2-9836-0776BF3D7677}" name="Column3923"/>
    <tableColumn id="3938" xr3:uid="{F5724EB6-D1BC-44B4-B11C-80158D1333BA}" name="Column3924"/>
    <tableColumn id="3939" xr3:uid="{31D66C23-7B19-46BB-AC45-C85890F5F511}" name="Column3925"/>
    <tableColumn id="3940" xr3:uid="{38B9D7AB-C66F-4494-95CE-CCCDF4EE1E5E}" name="Column3926"/>
    <tableColumn id="3941" xr3:uid="{8E3616A5-5A34-4DAB-9FC8-1E382185A124}" name="Column3927"/>
    <tableColumn id="3942" xr3:uid="{A5E41F34-2218-4E94-98E5-5294109C5C2A}" name="Column3928"/>
    <tableColumn id="3943" xr3:uid="{5217E199-881F-434A-8066-39F98E66B2E0}" name="Column3929"/>
    <tableColumn id="3944" xr3:uid="{1648A8F5-34DB-4528-BB55-8688324823CE}" name="Column3930"/>
    <tableColumn id="3945" xr3:uid="{6C4EAD5A-1D36-49D8-B334-D2E458AABFC9}" name="Column3931"/>
    <tableColumn id="3946" xr3:uid="{7AA4A952-C048-4270-A91F-A36F6A7A5381}" name="Column3932"/>
    <tableColumn id="3947" xr3:uid="{AF1CEC0B-9C9D-412B-9C64-3CF0A3E7B621}" name="Column3933"/>
    <tableColumn id="3948" xr3:uid="{22078495-F9A9-4D12-BBA2-37462A33B4E6}" name="Column3934"/>
    <tableColumn id="3949" xr3:uid="{A8AD1FAC-78BF-4559-B413-5F11FF38437C}" name="Column3935"/>
    <tableColumn id="3950" xr3:uid="{804D449E-76D5-481D-853B-6B1F720B73FB}" name="Column3936"/>
    <tableColumn id="3951" xr3:uid="{2D61F7A7-9D9D-43F8-8DA1-4DB34A19E3ED}" name="Column3937"/>
    <tableColumn id="3952" xr3:uid="{E19B2A00-D643-4CF1-8A40-6DA37DF9E35B}" name="Column3938"/>
    <tableColumn id="3953" xr3:uid="{59E6E269-3018-4B4B-AB2C-5BA1C6638029}" name="Column3939"/>
    <tableColumn id="3954" xr3:uid="{887B8102-1FF5-4219-A469-184216CD5EEF}" name="Column3940"/>
    <tableColumn id="3955" xr3:uid="{CCC3C605-990E-4F3A-A4BC-7EBAA15F3507}" name="Column3941"/>
    <tableColumn id="3956" xr3:uid="{0DA435F4-FBEF-4312-9082-C60B1C979502}" name="Column3942"/>
    <tableColumn id="3957" xr3:uid="{9948D5B0-87A1-4C6C-8097-FE0BDB8BCD9B}" name="Column3943"/>
    <tableColumn id="3958" xr3:uid="{68F61DA8-0043-444E-8312-54D1C546A195}" name="Column3944"/>
    <tableColumn id="3959" xr3:uid="{A4987382-059C-4DA9-ABB0-85A7117CC572}" name="Column3945"/>
    <tableColumn id="3960" xr3:uid="{32DF6244-DF19-4917-92E0-1D7AF3507E12}" name="Column3946"/>
    <tableColumn id="3961" xr3:uid="{905FB8B2-CB76-4F39-8C0F-CB672CB91068}" name="Column3947"/>
    <tableColumn id="3962" xr3:uid="{9A44F92F-5FC4-4F49-82DD-941BF98F0AC1}" name="Column3948"/>
    <tableColumn id="3963" xr3:uid="{CAC7E773-C188-438E-BA71-D598A5CFD529}" name="Column3949"/>
    <tableColumn id="3964" xr3:uid="{84684656-50A8-429D-9479-462B55594BDE}" name="Column3950"/>
    <tableColumn id="3965" xr3:uid="{FA6CAD6D-EB3C-49B8-8A89-5A7F48950089}" name="Column3951"/>
    <tableColumn id="3966" xr3:uid="{C29D7EA4-C523-4B13-ABD7-D6A43740956C}" name="Column3952"/>
    <tableColumn id="3967" xr3:uid="{21B5F9A0-98B0-44E2-B396-8DE2D655770B}" name="Column3953"/>
    <tableColumn id="3968" xr3:uid="{4CB77C60-96B2-4FB6-860A-D8ABF8F59257}" name="Column3954"/>
    <tableColumn id="3969" xr3:uid="{2872FA95-7293-450A-AC89-AB07D5396991}" name="Column3955"/>
    <tableColumn id="3970" xr3:uid="{C7CFC04F-044F-4F14-B412-E04C20FB8F3F}" name="Column3956"/>
    <tableColumn id="3971" xr3:uid="{8440AB79-DDF8-4327-964C-F463AA27A721}" name="Column3957"/>
    <tableColumn id="3972" xr3:uid="{9A774C27-6E6B-4AE6-8F7D-3AA8474DA141}" name="Column3958"/>
    <tableColumn id="3973" xr3:uid="{B76D2116-6B62-4981-B7AF-93E81F7A90EB}" name="Column3959"/>
    <tableColumn id="3974" xr3:uid="{8E91053E-1602-48B0-9BBD-7D4798D8E65A}" name="Column3960"/>
    <tableColumn id="3975" xr3:uid="{3F9F44DB-2A44-4B72-8827-2B07124527D6}" name="Column3961"/>
    <tableColumn id="3976" xr3:uid="{7A748EF2-D142-4838-8FEA-106E0EF2FA96}" name="Column3962"/>
    <tableColumn id="3977" xr3:uid="{954266E5-1335-4A8D-B73B-52C29364308F}" name="Column3963"/>
    <tableColumn id="3978" xr3:uid="{8074C978-96D3-471D-96F0-3215289B4A71}" name="Column3964"/>
    <tableColumn id="3979" xr3:uid="{DF10C384-96F8-4E81-B786-11F0ADFCA733}" name="Column3965"/>
    <tableColumn id="3980" xr3:uid="{340C07CB-E285-4935-BAD4-1B0496D199BB}" name="Column3966"/>
    <tableColumn id="3981" xr3:uid="{9D45F8D2-87FB-4A09-9E54-BA99D147894E}" name="Column3967"/>
    <tableColumn id="3982" xr3:uid="{C56A6610-A3ED-4CCB-83C1-D3F9C0732ED2}" name="Column3968"/>
    <tableColumn id="3983" xr3:uid="{DF8BBF50-3B5A-4ECF-A026-D224428D149F}" name="Column3969"/>
    <tableColumn id="3984" xr3:uid="{3AB8B40B-A700-4AA6-B330-9369DD660BA7}" name="Column3970"/>
    <tableColumn id="3985" xr3:uid="{389D29CB-086D-415D-8DFC-A26E80955B60}" name="Column3971"/>
    <tableColumn id="3986" xr3:uid="{DB270153-528C-48D3-8635-1141BD253003}" name="Column3972"/>
    <tableColumn id="3987" xr3:uid="{0591F398-2781-4FCF-B7CA-B9C78CA508FC}" name="Column3973"/>
    <tableColumn id="3988" xr3:uid="{6725E654-E334-47D3-8092-DE174011B78E}" name="Column3974"/>
    <tableColumn id="3989" xr3:uid="{F6EEDE65-3DAF-402E-9CC2-840B5D1308EE}" name="Column3975"/>
    <tableColumn id="3990" xr3:uid="{50341AA8-4724-4BEE-8904-062A62A4CEC6}" name="Column3976"/>
    <tableColumn id="3991" xr3:uid="{38AE69A1-4D42-4EC4-AFAF-DCB0D20F50DD}" name="Column3977"/>
    <tableColumn id="3992" xr3:uid="{FF648721-EE3E-4F10-A33E-8987F7B680AC}" name="Column3978"/>
    <tableColumn id="3993" xr3:uid="{AFD83074-A478-45AE-924F-A00EE64B13DE}" name="Column3979"/>
    <tableColumn id="3994" xr3:uid="{4894E489-C84C-4718-B370-F3B490783681}" name="Column3980"/>
    <tableColumn id="3995" xr3:uid="{F0A363EC-1D7B-46B7-9A7D-3B9B47F45B0B}" name="Column3981"/>
    <tableColumn id="3996" xr3:uid="{80C9B027-D565-4E8E-882C-64055A9C79BB}" name="Column3982"/>
    <tableColumn id="3997" xr3:uid="{9EF6B2BD-B2B1-4EB2-8645-E5404FBD4F76}" name="Column3983"/>
    <tableColumn id="3998" xr3:uid="{33A7ABFD-4690-4BFA-B090-53A96FF08D38}" name="Column3984"/>
    <tableColumn id="3999" xr3:uid="{9715240A-A392-4DCA-A176-6F5CD7696BA6}" name="Column3985"/>
    <tableColumn id="4000" xr3:uid="{0CEB6476-F4A2-4500-BC2B-8BB01302AD4D}" name="Column3986"/>
    <tableColumn id="4001" xr3:uid="{C6A35636-5BD5-4066-BF29-CF5FB4D6D260}" name="Column3987"/>
    <tableColumn id="4002" xr3:uid="{BE8913FB-A5BA-4816-A5F0-23F4B32E3A0D}" name="Column3988"/>
    <tableColumn id="4003" xr3:uid="{3C17B922-64B3-4A32-8CA2-DA6387B7B248}" name="Column3989"/>
    <tableColumn id="4004" xr3:uid="{16F8D443-8666-4DF2-9D50-1C022FF7E344}" name="Column3990"/>
    <tableColumn id="4005" xr3:uid="{E4DD4E4C-4DBD-485B-8123-141971DCEE24}" name="Column3991"/>
    <tableColumn id="4006" xr3:uid="{DFE17009-96F3-4D0D-AE5A-4E918F7544F1}" name="Column3992"/>
    <tableColumn id="4007" xr3:uid="{B8AD65E3-007E-46A7-A436-4EAB883B2CA6}" name="Column3993"/>
    <tableColumn id="4008" xr3:uid="{921A5DC4-DC8B-4440-8F11-47DC8B2CDD06}" name="Column3994"/>
    <tableColumn id="4009" xr3:uid="{E259986B-3631-41E8-9E26-E072D267988D}" name="Column3995"/>
    <tableColumn id="4010" xr3:uid="{1A45FB0F-63F8-4C2C-8B8F-CB4143684AC5}" name="Column3996"/>
    <tableColumn id="4011" xr3:uid="{1A1BD60F-33FF-4A47-B5D3-D737062479AD}" name="Column3997"/>
    <tableColumn id="4012" xr3:uid="{3C8D3742-145E-430C-AC4B-8C9D72D0A004}" name="Column3998"/>
    <tableColumn id="4013" xr3:uid="{87B67531-CE3F-4736-B4B9-231538561DC7}" name="Column3999"/>
    <tableColumn id="4014" xr3:uid="{84235BB4-B4EF-490C-B53D-A4D72D84213D}" name="Column4000"/>
    <tableColumn id="4015" xr3:uid="{3A431C54-B7C8-42FC-A262-37AC989617E2}" name="Column4001"/>
    <tableColumn id="4016" xr3:uid="{D0FB8937-C6FF-4A5E-B1D4-9A2ED805B9FF}" name="Column4002"/>
    <tableColumn id="4017" xr3:uid="{E4B0A673-0029-40F7-AEBC-BA2A50C96423}" name="Column4003"/>
    <tableColumn id="4018" xr3:uid="{2E7B9594-E260-4717-A424-95700788F4FF}" name="Column4004"/>
    <tableColumn id="4019" xr3:uid="{7E41D0BF-7E39-49DA-9087-78555EC2198B}" name="Column4005"/>
    <tableColumn id="4020" xr3:uid="{34ABCEDF-C108-4444-B2A6-F661C69DA50C}" name="Column4006"/>
    <tableColumn id="4021" xr3:uid="{B346AEB8-0D6D-428F-9CDC-55EEAD971D9B}" name="Column4007"/>
    <tableColumn id="4022" xr3:uid="{45185735-EC16-41B9-8464-A3B69D299431}" name="Column4008"/>
    <tableColumn id="4023" xr3:uid="{8F9739AD-D8D3-4ABF-89C8-57054BC5D87C}" name="Column4009"/>
    <tableColumn id="4024" xr3:uid="{FE1260AC-C023-4ED0-93E9-B200AAAEA8A6}" name="Column4010"/>
    <tableColumn id="4025" xr3:uid="{AE0833CD-6479-449C-96DE-3F127E4C8024}" name="Column4011"/>
    <tableColumn id="4026" xr3:uid="{EDDDB224-2752-473E-B5FD-C318E2BC4A0B}" name="Column4012"/>
    <tableColumn id="4027" xr3:uid="{028F52E5-3EA9-490B-B10D-EDF5FAEF4320}" name="Column4013"/>
    <tableColumn id="4028" xr3:uid="{1F9D719F-003A-4EAB-8B46-781649018EFD}" name="Column4014"/>
    <tableColumn id="4029" xr3:uid="{74AE148F-38E3-40BB-9D9E-8B540434EE60}" name="Column4015"/>
    <tableColumn id="4030" xr3:uid="{9D86D02C-7300-48F9-9B9A-E07B7B3DDFAB}" name="Column4016"/>
    <tableColumn id="4031" xr3:uid="{F2C3E252-7A61-4A7B-B389-B2CAAFAEA95C}" name="Column4017"/>
    <tableColumn id="4032" xr3:uid="{1B6B1BE2-9454-4B5A-A12F-B268A63C24AD}" name="Column4018"/>
    <tableColumn id="4033" xr3:uid="{78D1754C-0412-43A8-99D7-6B388BCA431A}" name="Column4019"/>
    <tableColumn id="4034" xr3:uid="{583129B5-7E00-48FB-9AB7-B9474F2C924E}" name="Column4020"/>
    <tableColumn id="4035" xr3:uid="{23EAC402-D369-4CCB-A5E5-90E062E661C5}" name="Column4021"/>
    <tableColumn id="4036" xr3:uid="{06AC9620-EB0B-4BA6-B597-FDAC4BD47BDA}" name="Column4022"/>
    <tableColumn id="4037" xr3:uid="{00FDF256-5418-42DF-84D1-3D01D3A1081E}" name="Column4023"/>
    <tableColumn id="4038" xr3:uid="{DF49849F-3A2F-43A4-96E2-C40A60AC4A7C}" name="Column4024"/>
    <tableColumn id="4039" xr3:uid="{5F7C6826-6EA9-419C-819D-C772C55E1850}" name="Column4025"/>
    <tableColumn id="4040" xr3:uid="{6B5E8A48-0512-4A35-91EA-B80CCEAC1E64}" name="Column4026"/>
    <tableColumn id="4041" xr3:uid="{ABC72DAD-0EFC-4C72-9011-6484D1900335}" name="Column4027"/>
    <tableColumn id="4042" xr3:uid="{A7BEDB96-FB95-4CA0-AE26-712009CFE481}" name="Column4028"/>
    <tableColumn id="4043" xr3:uid="{20343E9C-7F07-4EF0-9D50-DA59B33CE342}" name="Column4029"/>
    <tableColumn id="4044" xr3:uid="{AAAEB682-D663-495A-9CB5-AC02ADF2FE76}" name="Column4030"/>
    <tableColumn id="4045" xr3:uid="{9FE6F160-A145-471B-993F-1B2E148E12AE}" name="Column4031"/>
    <tableColumn id="4046" xr3:uid="{5FEDF5B2-E198-4371-84BC-DD9C3C32DD2F}" name="Column4032"/>
    <tableColumn id="4047" xr3:uid="{60DA2A8B-780F-46A4-95D2-9A581463C490}" name="Column4033"/>
    <tableColumn id="4048" xr3:uid="{376304D3-C252-4641-867D-833A9FF4F018}" name="Column4034"/>
    <tableColumn id="4049" xr3:uid="{58598A81-7CB4-4C44-AD66-4C4B4C47E0EA}" name="Column4035"/>
    <tableColumn id="4050" xr3:uid="{38D5EB6D-837A-4885-8261-5BEFDA53C504}" name="Column4036"/>
    <tableColumn id="4051" xr3:uid="{FBE5C0F5-E1D9-4D17-8567-3AC11216510E}" name="Column4037"/>
    <tableColumn id="4052" xr3:uid="{FC51427A-985B-4A21-AC25-A82DBE1717CB}" name="Column4038"/>
    <tableColumn id="4053" xr3:uid="{B94D6082-0BBB-42AF-9B0C-32894B003831}" name="Column4039"/>
    <tableColumn id="4054" xr3:uid="{AD8123A7-3653-4CAE-BC37-E8BA7A3067CC}" name="Column4040"/>
    <tableColumn id="4055" xr3:uid="{C130E40A-D278-460E-845A-1841FB26AB35}" name="Column4041"/>
    <tableColumn id="4056" xr3:uid="{802842CA-BA1B-47DB-9713-C8C221B39118}" name="Column4042"/>
    <tableColumn id="4057" xr3:uid="{70D7F45C-F543-410E-A235-172B7A0DA29D}" name="Column4043"/>
    <tableColumn id="4058" xr3:uid="{CF6D8AFE-440D-4126-943F-2A9502D364AB}" name="Column4044"/>
    <tableColumn id="4059" xr3:uid="{3D19AD8E-7FAC-4092-B04D-379B79718E04}" name="Column4045"/>
    <tableColumn id="4060" xr3:uid="{C617FA8D-A705-415E-8DAB-6BB2A721588B}" name="Column4046"/>
    <tableColumn id="4061" xr3:uid="{79B53F8B-9DF5-46F8-B146-4D97EB2B8050}" name="Column4047"/>
    <tableColumn id="4062" xr3:uid="{7776725C-F3EC-40AC-BDBD-7521EB6BCD15}" name="Column4048"/>
    <tableColumn id="4063" xr3:uid="{CEF50D8E-4F00-4D9C-ADF8-9AC05D34E56A}" name="Column4049"/>
    <tableColumn id="4064" xr3:uid="{72257F93-884A-46E1-AEB3-6E3F56E7993D}" name="Column4050"/>
    <tableColumn id="4065" xr3:uid="{65369880-EC5B-466C-A28E-637EB39ACF6D}" name="Column4051"/>
    <tableColumn id="4066" xr3:uid="{99FD35E2-54D3-4646-A1B3-668001D51FC4}" name="Column4052"/>
    <tableColumn id="4067" xr3:uid="{F3809F1C-3A70-482D-A4C7-A3979493910F}" name="Column4053"/>
    <tableColumn id="4068" xr3:uid="{A519222F-8D08-407D-8691-42858D924A54}" name="Column4054"/>
    <tableColumn id="4069" xr3:uid="{DEC01202-948D-4194-AB95-D4D86FB0F74F}" name="Column4055"/>
    <tableColumn id="4070" xr3:uid="{5CDE9530-1EDC-49F2-B08D-12886AEBB059}" name="Column4056"/>
    <tableColumn id="4071" xr3:uid="{B2DEC554-8390-484F-87E8-1B87F3618E69}" name="Column4057"/>
    <tableColumn id="4072" xr3:uid="{21FDF756-A290-4775-95E4-FA537400223C}" name="Column4058"/>
    <tableColumn id="4073" xr3:uid="{AF55E35B-413E-4B3C-9ABC-4CB4CD995B3B}" name="Column4059"/>
    <tableColumn id="4074" xr3:uid="{1465E4A9-711B-4FC1-AE65-16A4E18B2AB2}" name="Column4060"/>
    <tableColumn id="4075" xr3:uid="{15B68822-6F7E-4A6F-B585-A1FFA47A2E00}" name="Column4061"/>
    <tableColumn id="4076" xr3:uid="{D1290F2A-5315-4F4F-BF83-386C572C3839}" name="Column4062"/>
    <tableColumn id="4077" xr3:uid="{A7915730-4789-4C29-ACC8-1CB5A8403E00}" name="Column4063"/>
    <tableColumn id="4078" xr3:uid="{7B5D4462-3003-4E7E-A73B-ADCFAC62E119}" name="Column4064"/>
    <tableColumn id="4079" xr3:uid="{C397BA04-B3FD-4323-9907-B2AE6B877B68}" name="Column4065"/>
    <tableColumn id="4080" xr3:uid="{B54387FD-4B91-4BC2-974B-DD852AD48276}" name="Column4066"/>
    <tableColumn id="4081" xr3:uid="{0D7C3900-153A-4C17-9350-AB1A5BEEA07E}" name="Column4067"/>
    <tableColumn id="4082" xr3:uid="{3888FE11-638C-486E-AC22-21EEAD89FB6D}" name="Column4068"/>
    <tableColumn id="4083" xr3:uid="{BEFFF03E-ECE3-4367-8DAC-FB49689FC177}" name="Column4069"/>
    <tableColumn id="4084" xr3:uid="{F506326E-8AC2-41E8-AA18-316E74DD29D8}" name="Column4070"/>
    <tableColumn id="4085" xr3:uid="{1E4C9914-9AE3-4669-BDB0-E114A664B11E}" name="Column4071"/>
    <tableColumn id="4086" xr3:uid="{948E1EF3-7292-40A3-963B-09213D8682EE}" name="Column4072"/>
    <tableColumn id="4087" xr3:uid="{AF6B9F8F-A7DF-42A9-B9CA-B426FB5EC883}" name="Column4073"/>
    <tableColumn id="4088" xr3:uid="{9676F793-2142-435B-865F-01112833F454}" name="Column4074"/>
    <tableColumn id="4089" xr3:uid="{17EC0381-CFB0-4D89-8D3D-A382C27D71CD}" name="Column4075"/>
    <tableColumn id="4090" xr3:uid="{6FF2DED6-7EBB-4E94-ABCF-4BCEBA89C383}" name="Column4076"/>
    <tableColumn id="4091" xr3:uid="{262699E2-4253-4D99-945B-31E7CCEDC79A}" name="Column4077"/>
    <tableColumn id="4092" xr3:uid="{4125300A-B45A-4DC6-A01F-6D0BD7586D1E}" name="Column4078"/>
    <tableColumn id="4093" xr3:uid="{40D69D29-5CF3-44A5-ADA2-66A3C1D0F672}" name="Column4079"/>
    <tableColumn id="4094" xr3:uid="{7685FB65-5C17-4CDE-B5F9-85CE98507E6B}" name="Column4080"/>
    <tableColumn id="4095" xr3:uid="{4DD758F0-F1B4-4887-A026-E5CFFF3481FD}" name="Column4081"/>
    <tableColumn id="4096" xr3:uid="{22A9F6AA-43D6-402B-80D5-56852437BBF5}" name="Column4082"/>
    <tableColumn id="4097" xr3:uid="{5B085BE5-87F0-4F26-9E49-6E9228B2EB07}" name="Column4083"/>
    <tableColumn id="4098" xr3:uid="{E397F549-4664-479D-99F4-9B332B72CA9D}" name="Column4084"/>
    <tableColumn id="4099" xr3:uid="{50885571-FD11-432D-AC06-478A0B6A5966}" name="Column4085"/>
    <tableColumn id="4100" xr3:uid="{AF6CA117-8700-497D-80BC-6B278754DC7A}" name="Column4086"/>
    <tableColumn id="4101" xr3:uid="{EA7B9959-19EE-4495-A396-29A8482F64E8}" name="Column4087"/>
    <tableColumn id="4102" xr3:uid="{050596E2-D78B-4B39-8A82-6B66053D2521}" name="Column4088"/>
    <tableColumn id="4103" xr3:uid="{EE820DC1-B190-4915-8D66-868E4BD62845}" name="Column4089"/>
    <tableColumn id="4104" xr3:uid="{BB632E87-2C6C-4C61-BD29-75135513425B}" name="Column4090"/>
    <tableColumn id="4105" xr3:uid="{605FED08-17D7-4D87-BE27-956956C2A828}" name="Column4091"/>
    <tableColumn id="4106" xr3:uid="{79D9B186-5D99-490D-B367-9062FD5E3798}" name="Column4092"/>
    <tableColumn id="4107" xr3:uid="{9E28258A-75A9-4544-86D6-A875820DA56F}" name="Column4093"/>
    <tableColumn id="4108" xr3:uid="{8C0265D7-2167-4001-BD6D-AD0F9B1AA3FD}" name="Column4094"/>
    <tableColumn id="4109" xr3:uid="{3DEE80B8-138D-4088-A49F-F8DBDD1C9082}" name="Column4095"/>
    <tableColumn id="4110" xr3:uid="{9D96C503-A1E2-4BEB-8322-7C1D81FD963A}" name="Column4096"/>
    <tableColumn id="4111" xr3:uid="{E37930A2-2E4A-4027-BEF4-817621AC8D81}" name="Column4097"/>
    <tableColumn id="4112" xr3:uid="{359CEF97-D0AA-4485-B2DF-C58BE6BC0FB9}" name="Column4098"/>
    <tableColumn id="4113" xr3:uid="{62048E38-AFE7-4271-A5E8-ECDB40966540}" name="Column4099"/>
    <tableColumn id="4114" xr3:uid="{1AEACD6D-AA7A-4444-925B-174096F6C456}" name="Column4100"/>
    <tableColumn id="4115" xr3:uid="{54C969F9-AA71-4B3B-AE14-EF7F52692042}" name="Column4101"/>
    <tableColumn id="4116" xr3:uid="{840C99E7-A29E-490A-9CBD-6149E5186B50}" name="Column4102"/>
    <tableColumn id="4117" xr3:uid="{F860D40F-747A-4BA1-B774-2BC08F28AA2D}" name="Column4103"/>
    <tableColumn id="4118" xr3:uid="{2A785F3A-8A9C-41AB-959C-6892EC05E7C5}" name="Column4104"/>
    <tableColumn id="4119" xr3:uid="{3FE4C9FD-AD1C-4B03-8189-E7EA3818A246}" name="Column4105"/>
    <tableColumn id="4120" xr3:uid="{DEE1884B-C975-4D0A-83DF-6DBDFEA7D8F4}" name="Column4106"/>
    <tableColumn id="4121" xr3:uid="{664BF7C2-7D4D-4ECA-B3E4-2803B1526143}" name="Column4107"/>
    <tableColumn id="4122" xr3:uid="{07A0034E-53C5-495C-9785-46EDC840145B}" name="Column4108"/>
    <tableColumn id="4123" xr3:uid="{4D21EBE9-0475-4709-8106-B2ED84AEE721}" name="Column4109"/>
    <tableColumn id="4124" xr3:uid="{F8044CE4-C4F0-4A29-AA94-71FDC31ED0B3}" name="Column4110"/>
    <tableColumn id="4125" xr3:uid="{419727C2-0EDA-41A4-B371-C2B31E34C24D}" name="Column4111"/>
    <tableColumn id="4126" xr3:uid="{E72EF004-A912-48F9-8E8B-6003F1B4F47C}" name="Column4112"/>
    <tableColumn id="4127" xr3:uid="{DE0B1556-038D-4978-8E8B-28ECC5C53E6E}" name="Column4113"/>
    <tableColumn id="4128" xr3:uid="{33BB613A-5D24-41E6-9633-E74F2B28FBAB}" name="Column4114"/>
    <tableColumn id="4129" xr3:uid="{85453C03-C6F2-4DF1-886D-9A0738C46651}" name="Column4115"/>
    <tableColumn id="4130" xr3:uid="{6227B674-CBE1-497C-9846-B6855314AFD4}" name="Column4116"/>
    <tableColumn id="4131" xr3:uid="{5716BA08-6C5A-4B5B-B93F-F129ED6393B3}" name="Column4117"/>
    <tableColumn id="4132" xr3:uid="{1B5A26FC-FCAB-44E7-9B0C-389B51B88A8D}" name="Column4118"/>
    <tableColumn id="4133" xr3:uid="{E6CEA4E0-EA6B-4AF1-81A6-2CCDCDA2821B}" name="Column4119"/>
    <tableColumn id="4134" xr3:uid="{6A0BC687-CC86-4625-9DB3-86B2372D02EB}" name="Column4120"/>
    <tableColumn id="4135" xr3:uid="{B4390C2C-7D6A-49CD-8887-E0A1B94ADEC4}" name="Column4121"/>
    <tableColumn id="4136" xr3:uid="{7FC78C95-419B-4D32-A909-80A5D5724C30}" name="Column4122"/>
    <tableColumn id="4137" xr3:uid="{CB8679DD-0F37-4540-9840-A9BB83B8AD32}" name="Column4123"/>
    <tableColumn id="4138" xr3:uid="{8160EC60-7906-4576-B4EC-0D9EC0BAEDB3}" name="Column4124"/>
    <tableColumn id="4139" xr3:uid="{71880DA5-F0D2-4956-8C92-89819F67ABE6}" name="Column4125"/>
    <tableColumn id="4140" xr3:uid="{1FD5D143-6AC0-4BA4-B502-B09C91B36A6B}" name="Column4126"/>
    <tableColumn id="4141" xr3:uid="{890BEF01-9C39-44D5-9B63-01EDE015FE0D}" name="Column4127"/>
    <tableColumn id="4142" xr3:uid="{FF1A999A-68B2-4F67-8FF9-F27C104AB8B8}" name="Column4128"/>
    <tableColumn id="4143" xr3:uid="{657B22A8-6B52-4943-A951-8268B7D53DA1}" name="Column4129"/>
    <tableColumn id="4144" xr3:uid="{FCA4A8A7-B2AD-4D44-AB8D-308AE2280874}" name="Column4130"/>
    <tableColumn id="4145" xr3:uid="{AC2206F2-6587-407E-9321-98D0A54290B1}" name="Column4131"/>
    <tableColumn id="4146" xr3:uid="{F357DF5E-96DD-4BCE-B1DD-2E27C81D0DFD}" name="Column4132"/>
    <tableColumn id="4147" xr3:uid="{4C414840-99E3-4BD9-97C6-0B39B486241D}" name="Column4133"/>
    <tableColumn id="4148" xr3:uid="{8CF2619F-68C7-4961-9126-758A41AE95FC}" name="Column4134"/>
    <tableColumn id="4149" xr3:uid="{AE2AA8D3-EEFB-4FDB-A7B6-513C6DBC1B48}" name="Column4135"/>
    <tableColumn id="4150" xr3:uid="{18B7882B-3359-4405-8E29-DADC1BACBA27}" name="Column4136"/>
    <tableColumn id="4151" xr3:uid="{A615C5B0-5F81-48F8-8E1E-0B5084004CD5}" name="Column4137"/>
    <tableColumn id="4152" xr3:uid="{14585AEB-B831-4181-8733-9EDA3634503E}" name="Column4138"/>
    <tableColumn id="4153" xr3:uid="{58244B52-ED13-419A-85BF-D7B4E4997B16}" name="Column4139"/>
    <tableColumn id="4154" xr3:uid="{4DC800BB-DA6D-4472-8E15-140FB60B304D}" name="Column4140"/>
    <tableColumn id="4155" xr3:uid="{A40261BB-B3ED-4AA6-865D-A18F9D95E5A6}" name="Column4141"/>
    <tableColumn id="4156" xr3:uid="{F298986B-C926-4DF3-997D-D8B86A37E5A1}" name="Column4142"/>
    <tableColumn id="4157" xr3:uid="{2D5D0F58-4A54-4303-BD69-341A718EFB9C}" name="Column4143"/>
    <tableColumn id="4158" xr3:uid="{9176C7F9-82B2-4117-AEC9-8F8A48B92B77}" name="Column4144"/>
    <tableColumn id="4159" xr3:uid="{6C8240C8-AA23-4B31-8531-2BEB7F5DE32F}" name="Column4145"/>
    <tableColumn id="4160" xr3:uid="{19D93BEC-4122-4DD5-90D4-B1CFFE1B5C50}" name="Column4146"/>
    <tableColumn id="4161" xr3:uid="{8161B77A-EF7B-41C3-ABC8-CA2C9C613522}" name="Column4147"/>
    <tableColumn id="4162" xr3:uid="{DF7A4A48-6B28-4ED7-89E9-C9610D29415D}" name="Column4148"/>
    <tableColumn id="4163" xr3:uid="{5E47D94C-60A6-4D07-A0E2-2224A7973CFF}" name="Column4149"/>
    <tableColumn id="4164" xr3:uid="{93901FB6-BCE7-4F0A-B5A9-84A19C3A09B5}" name="Column4150"/>
    <tableColumn id="4165" xr3:uid="{09B2F2A9-12DD-4DD1-8BDA-6675594A4CAD}" name="Column4151"/>
    <tableColumn id="4166" xr3:uid="{0BC88056-B362-4E8A-9131-3749A0DC5F8B}" name="Column4152"/>
    <tableColumn id="4167" xr3:uid="{992CD3CD-934C-49BE-8A85-D8EAB697E77F}" name="Column4153"/>
    <tableColumn id="4168" xr3:uid="{C5E610ED-521A-4055-95BE-1292AC27C49F}" name="Column4154"/>
    <tableColumn id="4169" xr3:uid="{3BA895DF-FA28-464A-B075-7AC499591E27}" name="Column4155"/>
    <tableColumn id="4170" xr3:uid="{FFFC80E1-F939-437E-8DC1-241C8F1F41F2}" name="Column4156"/>
    <tableColumn id="4171" xr3:uid="{A53FD8CF-5DE3-4FFA-B954-A7650B13E4AA}" name="Column4157"/>
    <tableColumn id="4172" xr3:uid="{FF8513FC-EAE7-41CB-A8E9-6DAD64A40D8E}" name="Column4158"/>
    <tableColumn id="4173" xr3:uid="{51BB4388-2BF7-45A6-9F9C-264742E01565}" name="Column4159"/>
    <tableColumn id="4174" xr3:uid="{A2F458AA-F5AC-4588-A188-293B577CBD14}" name="Column4160"/>
    <tableColumn id="4175" xr3:uid="{25896E80-4752-447F-A047-7942938B2D6F}" name="Column4161"/>
    <tableColumn id="4176" xr3:uid="{0E623D21-E963-4B56-B65B-679094603325}" name="Column4162"/>
    <tableColumn id="4177" xr3:uid="{85466252-B4BC-4C1B-B264-6AB0EA172530}" name="Column4163"/>
    <tableColumn id="4178" xr3:uid="{57D2DA12-0C8B-4B7B-B964-E3124799B7A2}" name="Column4164"/>
    <tableColumn id="4179" xr3:uid="{5CDB2EE2-7E8A-4501-A710-18FB28D3B3E7}" name="Column4165"/>
    <tableColumn id="4180" xr3:uid="{8AE997AE-6A83-4298-9FF4-80E9AC619185}" name="Column4166"/>
    <tableColumn id="4181" xr3:uid="{B2D236EF-49CB-497C-BE6B-272E62229C12}" name="Column4167"/>
    <tableColumn id="4182" xr3:uid="{61CD065C-0AF5-4F49-A164-510CF9F0F97A}" name="Column4168"/>
    <tableColumn id="4183" xr3:uid="{A3B79676-0C6D-4D34-88F8-97AD7477842A}" name="Column4169"/>
    <tableColumn id="4184" xr3:uid="{8FD90713-BB43-410D-B6D3-9F92F8234950}" name="Column4170"/>
    <tableColumn id="4185" xr3:uid="{E009AC30-6993-4BAD-9E58-497007CECEDC}" name="Column4171"/>
    <tableColumn id="4186" xr3:uid="{0A74224F-0B25-4E18-97F7-AB486B160426}" name="Column4172"/>
    <tableColumn id="4187" xr3:uid="{AF6AD050-B1A9-4E38-B243-EEBE2FADDC13}" name="Column4173"/>
    <tableColumn id="4188" xr3:uid="{2E169D3E-3404-40CA-9197-048C74413F07}" name="Column4174"/>
    <tableColumn id="4189" xr3:uid="{C4BAB939-3976-4B06-8990-C997B0D66DF2}" name="Column4175"/>
    <tableColumn id="4190" xr3:uid="{7733BA2B-CC0B-4DEF-9A98-3A341B658AB2}" name="Column4176"/>
    <tableColumn id="4191" xr3:uid="{F262F35C-AC40-4D5A-9DC8-E18E3323D05D}" name="Column4177"/>
    <tableColumn id="4192" xr3:uid="{ECC56B51-B438-4B55-AA32-A0680CB3B223}" name="Column4178"/>
    <tableColumn id="4193" xr3:uid="{1F328DBA-F8CB-4155-B1D1-8501AFDCDC29}" name="Column4179"/>
    <tableColumn id="4194" xr3:uid="{43524299-F906-4BA1-9F7B-F857AB95D0F8}" name="Column4180"/>
    <tableColumn id="4195" xr3:uid="{66EB1E55-BB75-4D59-8CDD-93D20D5FA582}" name="Column4181"/>
    <tableColumn id="4196" xr3:uid="{5B773C77-D5CB-4C53-AF14-98A9579604F2}" name="Column4182"/>
    <tableColumn id="4197" xr3:uid="{FEFE2C3A-8634-428B-A515-B08DB8B12673}" name="Column4183"/>
    <tableColumn id="4198" xr3:uid="{80CE764D-1668-418C-A7C8-8A84861C17DE}" name="Column4184"/>
    <tableColumn id="4199" xr3:uid="{4FCFD7DB-572D-45F0-A1DB-8757A02C34EC}" name="Column4185"/>
    <tableColumn id="4200" xr3:uid="{1871B6E3-8E7E-467A-86CB-6DF4ED49D14D}" name="Column4186"/>
    <tableColumn id="4201" xr3:uid="{D010D64E-A551-4D24-818F-2C5B57C3E55A}" name="Column4187"/>
    <tableColumn id="4202" xr3:uid="{87E57717-2206-4C09-A970-6E354DBC0430}" name="Column4188"/>
    <tableColumn id="4203" xr3:uid="{22F0EDE7-A3C7-4B29-A415-A070C7118154}" name="Column4189"/>
    <tableColumn id="4204" xr3:uid="{31D36A48-B948-4A37-B323-E6E00211A1A0}" name="Column4190"/>
    <tableColumn id="4205" xr3:uid="{D9FEB415-2045-4669-8730-F8C551965922}" name="Column4191"/>
    <tableColumn id="4206" xr3:uid="{0CD834B6-BBE1-4AF2-AF28-98B71F3C6C45}" name="Column4192"/>
    <tableColumn id="4207" xr3:uid="{DD3C1A47-92DF-45BF-AF95-8E35174362E7}" name="Column4193"/>
    <tableColumn id="4208" xr3:uid="{55880CA8-CAE8-406A-AED9-FF4AFBCB6566}" name="Column4194"/>
    <tableColumn id="4209" xr3:uid="{0902DA91-03E9-4314-BD40-83946F253611}" name="Column4195"/>
    <tableColumn id="4210" xr3:uid="{09573796-DFE2-4253-898A-2417B49780B3}" name="Column4196"/>
    <tableColumn id="4211" xr3:uid="{B6CE73A8-8D0A-4F25-AE07-9F3E6A1118B2}" name="Column4197"/>
    <tableColumn id="4212" xr3:uid="{B33D7AF1-1336-4409-A6BB-591D82A87AF6}" name="Column4198"/>
    <tableColumn id="4213" xr3:uid="{EAC44565-F560-4D0B-88C0-3FE1B99CDB4B}" name="Column4199"/>
    <tableColumn id="4214" xr3:uid="{8A04BF1A-588E-442B-A3D7-AB7F6D144A4F}" name="Column4200"/>
    <tableColumn id="4215" xr3:uid="{C7E02BD9-2402-4BBD-BCE5-2561E8A1EDE0}" name="Column4201"/>
    <tableColumn id="4216" xr3:uid="{F7F165C2-9E72-4347-AB47-FAEBAA61CE84}" name="Column4202"/>
    <tableColumn id="4217" xr3:uid="{B5DBD66D-CD52-45BF-949B-4EF07266D090}" name="Column4203"/>
    <tableColumn id="4218" xr3:uid="{04BB1D97-DD0B-49BE-BB2D-93E68864A7CF}" name="Column4204"/>
    <tableColumn id="4219" xr3:uid="{8708107A-E7B2-42D1-B525-1A32EC953B1D}" name="Column4205"/>
    <tableColumn id="4220" xr3:uid="{BF3428A0-37CA-4ECD-BBEC-67282318C9F8}" name="Column4206"/>
    <tableColumn id="4221" xr3:uid="{33670665-7CB3-4CA9-BBE8-2FB9F794802B}" name="Column4207"/>
    <tableColumn id="4222" xr3:uid="{D36EAA10-06A5-40EC-A966-275BE29A6FAA}" name="Column4208"/>
    <tableColumn id="4223" xr3:uid="{3D508E88-65A9-44AE-8204-58CD89B75744}" name="Column4209"/>
    <tableColumn id="4224" xr3:uid="{89088DA2-3AB8-4ED1-A3EB-CE998226B3F0}" name="Column4210"/>
    <tableColumn id="4225" xr3:uid="{80E665B1-A5AC-44D4-81E9-B7C89578C82B}" name="Column4211"/>
    <tableColumn id="4226" xr3:uid="{A5017E03-C5EE-476F-80F5-2ECF305C6FD1}" name="Column4212"/>
    <tableColumn id="4227" xr3:uid="{E9C908DD-7134-4ABC-B22F-98D0746C37B2}" name="Column4213"/>
    <tableColumn id="4228" xr3:uid="{3F7252F2-2C79-4ACB-A33A-74C3D7AA1527}" name="Column4214"/>
    <tableColumn id="4229" xr3:uid="{DA0DDE79-B505-47F2-9FBE-BEA4ABAEA1D7}" name="Column4215"/>
    <tableColumn id="4230" xr3:uid="{226F1B0A-D38F-46E4-BE7A-C05DF681EF7D}" name="Column4216"/>
    <tableColumn id="4231" xr3:uid="{B55CC243-88A3-4C4B-8C0D-7AE92C031C5E}" name="Column4217"/>
    <tableColumn id="4232" xr3:uid="{85A39609-1B7D-4255-B02C-786591BE01AB}" name="Column4218"/>
    <tableColumn id="4233" xr3:uid="{47AA7B11-5A89-4FF2-B6CD-02B26FC67380}" name="Column4219"/>
    <tableColumn id="4234" xr3:uid="{300F1537-050F-4AF4-9B45-1D4FA91B46C2}" name="Column4220"/>
    <tableColumn id="4235" xr3:uid="{3BA60E35-2219-4F5D-9942-8AADB63128F4}" name="Column4221"/>
    <tableColumn id="4236" xr3:uid="{438F8A91-B2CA-4133-AF16-B8785DED7C06}" name="Column4222"/>
    <tableColumn id="4237" xr3:uid="{A8846C33-B598-4D24-91D4-8C8D0C345D76}" name="Column4223"/>
    <tableColumn id="4238" xr3:uid="{9948F597-8767-409F-B04A-857DEB8B5420}" name="Column4224"/>
    <tableColumn id="4239" xr3:uid="{F9CB5947-1BE5-49DE-A1E9-242CB6F75697}" name="Column4225"/>
    <tableColumn id="4240" xr3:uid="{63749FC1-DAA5-4C07-91CD-EDEAD59FCE29}" name="Column4226"/>
    <tableColumn id="4241" xr3:uid="{AD418F39-1AE5-4623-90E3-658C981E63EA}" name="Column4227"/>
    <tableColumn id="4242" xr3:uid="{8F2F56B2-BC70-4F57-A8E1-D1307161238D}" name="Column4228"/>
    <tableColumn id="4243" xr3:uid="{A9D93072-A350-4780-80AC-DC03EA4E030A}" name="Column4229"/>
    <tableColumn id="4244" xr3:uid="{EF7FB4CA-B3F8-4547-BE02-239ED05EEF8A}" name="Column4230"/>
    <tableColumn id="4245" xr3:uid="{89C044DB-C9A1-4F1E-B6BE-F3DDA996900F}" name="Column4231"/>
    <tableColumn id="4246" xr3:uid="{9D61B667-D14D-4FCB-907C-03159B23F8BA}" name="Column4232"/>
    <tableColumn id="4247" xr3:uid="{B281D66A-56ED-4597-B35E-FA36C5606F30}" name="Column4233"/>
    <tableColumn id="4248" xr3:uid="{78E4D77E-AAD4-49E9-B1B7-31FD661F9640}" name="Column4234"/>
    <tableColumn id="4249" xr3:uid="{1C4A44F4-917E-4005-9C13-B28EC5C351EF}" name="Column4235"/>
    <tableColumn id="4250" xr3:uid="{DF98D973-6D5D-4650-8B28-B22393808C72}" name="Column4236"/>
    <tableColumn id="4251" xr3:uid="{452935DB-0D96-425E-9A3C-84869186B3BB}" name="Column4237"/>
    <tableColumn id="4252" xr3:uid="{BC577AB8-E38A-4B9F-912F-32F6F09ADCAD}" name="Column4238"/>
    <tableColumn id="4253" xr3:uid="{A4E66287-7AA5-4983-B081-1F9C350DC840}" name="Column4239"/>
    <tableColumn id="4254" xr3:uid="{5FE94D75-5DED-4511-91DB-13FD513082B2}" name="Column4240"/>
    <tableColumn id="4255" xr3:uid="{D1626212-4A98-4B1A-83B6-8343F41C2487}" name="Column4241"/>
    <tableColumn id="4256" xr3:uid="{9E0E37A1-08E2-436F-BE52-C7E5E906DB2A}" name="Column4242"/>
    <tableColumn id="4257" xr3:uid="{E314C1B2-927F-4FCD-9870-4E9B6B33AAEA}" name="Column4243"/>
    <tableColumn id="4258" xr3:uid="{7B56797B-43EA-47E5-BCB4-FE0BD8792801}" name="Column4244"/>
    <tableColumn id="4259" xr3:uid="{BBAFCD70-617D-42AE-BC74-74D6F497B3B1}" name="Column4245"/>
    <tableColumn id="4260" xr3:uid="{8B3D389A-CA47-43F4-9C6B-81941AB2E801}" name="Column4246"/>
    <tableColumn id="4261" xr3:uid="{6DE0230A-28F4-4728-8967-3CEE31C5659B}" name="Column4247"/>
    <tableColumn id="4262" xr3:uid="{980C36E4-17B1-48B8-8BCB-69A7168EE108}" name="Column4248"/>
    <tableColumn id="4263" xr3:uid="{73579669-D327-4BAA-A02F-D648EAE12BE0}" name="Column4249"/>
    <tableColumn id="4264" xr3:uid="{3E4EF245-39C5-4637-AED8-C6D5A9F89FCE}" name="Column4250"/>
    <tableColumn id="4265" xr3:uid="{24F53C96-DC44-464A-BCA5-B059FAD77C28}" name="Column4251"/>
    <tableColumn id="4266" xr3:uid="{5B927F14-7F32-44F0-BDB1-B33EEAE99E0D}" name="Column4252"/>
    <tableColumn id="4267" xr3:uid="{08409627-CC05-4E8C-9010-56CF58E3480A}" name="Column4253"/>
    <tableColumn id="4268" xr3:uid="{C6641149-403A-4BD0-A7CA-68DDAEE4D578}" name="Column4254"/>
    <tableColumn id="4269" xr3:uid="{8A4BE3D0-A6DE-44A1-98C2-6B334DFC6A66}" name="Column4255"/>
    <tableColumn id="4270" xr3:uid="{786E2630-2285-4996-B3DA-8A20AD254F38}" name="Column4256"/>
    <tableColumn id="4271" xr3:uid="{BB31BDFE-8F80-4B37-9DC7-703C014D30DF}" name="Column4257"/>
    <tableColumn id="4272" xr3:uid="{2010F133-0A6B-404F-871A-395C8A9A4FA3}" name="Column4258"/>
    <tableColumn id="4273" xr3:uid="{ABA38059-5DA3-4E5E-B20F-17EAFD3899D7}" name="Column4259"/>
    <tableColumn id="4274" xr3:uid="{109ECB86-90AA-4422-B18D-F9E61AE1FF2B}" name="Column4260"/>
    <tableColumn id="4275" xr3:uid="{44A73D07-B73D-4C00-9C44-792FE1892507}" name="Column4261"/>
    <tableColumn id="4276" xr3:uid="{82FC30BC-3C7E-440B-BDC8-275D19C966FB}" name="Column4262"/>
    <tableColumn id="4277" xr3:uid="{071DEDD1-51EE-4202-8D23-4113930C2F09}" name="Column4263"/>
    <tableColumn id="4278" xr3:uid="{5C80B877-721A-4F00-9D1D-64EC01DA0B88}" name="Column4264"/>
    <tableColumn id="4279" xr3:uid="{9C045849-06CB-4067-889C-1FDCFFB907EF}" name="Column4265"/>
    <tableColumn id="4280" xr3:uid="{01E8396B-A6C1-4802-B3F7-7D3F9DD1DE42}" name="Column4266"/>
    <tableColumn id="4281" xr3:uid="{5D25E3F3-6894-4EDD-8C1C-5F7F434CC9FF}" name="Column4267"/>
    <tableColumn id="4282" xr3:uid="{91058C84-3990-4908-AFEA-F7A3535BF4B0}" name="Column4268"/>
    <tableColumn id="4283" xr3:uid="{8EFE6B8A-B062-4C1C-B814-0E9F5F12E56A}" name="Column4269"/>
    <tableColumn id="4284" xr3:uid="{7008600B-9815-48D5-92CD-8656420DD5CA}" name="Column4270"/>
    <tableColumn id="4285" xr3:uid="{FDEA9F5E-5A44-443E-95C9-B6B1625D5EB3}" name="Column4271"/>
    <tableColumn id="4286" xr3:uid="{354F0B41-0B32-4813-B16E-ABBEE0CB4AF0}" name="Column4272"/>
    <tableColumn id="4287" xr3:uid="{F3AD1FA4-727A-470E-9AC3-E6DA645C840C}" name="Column4273"/>
    <tableColumn id="4288" xr3:uid="{5773B41B-88DE-405F-A9B7-CDDF1ED957A9}" name="Column4274"/>
    <tableColumn id="4289" xr3:uid="{517DCBEF-B95F-4360-B1C2-1B22E9DC4EF9}" name="Column4275"/>
    <tableColumn id="4290" xr3:uid="{3EFEC545-2CCA-40A9-AB55-76AD4290DB87}" name="Column4276"/>
    <tableColumn id="4291" xr3:uid="{86BE5D8C-CFE0-458A-B83B-57C17D8601EF}" name="Column4277"/>
    <tableColumn id="4292" xr3:uid="{0D21FD84-4097-4446-9355-D6AAEF71AFD7}" name="Column4278"/>
    <tableColumn id="4293" xr3:uid="{CD93802C-8F74-4B5A-8589-D601768E0BB0}" name="Column4279"/>
    <tableColumn id="4294" xr3:uid="{754DDDC9-5B4E-4BA7-B97B-29F280F72AF0}" name="Column4280"/>
    <tableColumn id="4295" xr3:uid="{26A35615-4D4E-432B-97A0-59103BEA5D31}" name="Column4281"/>
    <tableColumn id="4296" xr3:uid="{D89C519C-A777-4A0C-A791-2BCBAD682140}" name="Column4282"/>
    <tableColumn id="4297" xr3:uid="{58012EE4-914E-44BC-B59C-8361DB2E9DC1}" name="Column4283"/>
    <tableColumn id="4298" xr3:uid="{BDBC8E7D-BC98-43DD-BF15-F98F872742E1}" name="Column4284"/>
    <tableColumn id="4299" xr3:uid="{56BE7A63-193E-44B2-A0EB-953910820A08}" name="Column4285"/>
    <tableColumn id="4300" xr3:uid="{ECBD7E60-9464-492C-8219-91AD72D7F030}" name="Column4286"/>
    <tableColumn id="4301" xr3:uid="{68A9EFB8-11C0-4678-9234-19C9C3BDF564}" name="Column4287"/>
    <tableColumn id="4302" xr3:uid="{03D9B720-CCFB-4167-B295-BBF1CD9EAC5C}" name="Column4288"/>
    <tableColumn id="4303" xr3:uid="{92922089-782B-406F-9A9D-16B7FF070400}" name="Column4289"/>
    <tableColumn id="4304" xr3:uid="{3B9E9C4F-0936-44F4-8C47-1405E816AC32}" name="Column4290"/>
    <tableColumn id="4305" xr3:uid="{332AC6C6-D1EB-4E54-929C-ACED7BF694EF}" name="Column4291"/>
    <tableColumn id="4306" xr3:uid="{AEE9D298-5ED8-4CDF-A684-AA58E6C85DA4}" name="Column4292"/>
    <tableColumn id="4307" xr3:uid="{C79B402C-F674-442F-A564-EF739ACB4292}" name="Column4293"/>
    <tableColumn id="4308" xr3:uid="{29A1BE25-2171-46FB-BE64-24E0DA232FE9}" name="Column4294"/>
    <tableColumn id="4309" xr3:uid="{C614E2C7-ADBB-4569-BB37-442F9688016C}" name="Column4295"/>
    <tableColumn id="4310" xr3:uid="{308359B4-E758-4A6E-A2EB-E56930C3EE46}" name="Column4296"/>
    <tableColumn id="4311" xr3:uid="{D372AB0E-AC2E-43F8-B679-FF9F29889544}" name="Column4297"/>
    <tableColumn id="4312" xr3:uid="{69893387-7E0B-46B3-85EE-6162D6185FC2}" name="Column4298"/>
    <tableColumn id="4313" xr3:uid="{2608DAFE-A23C-4A51-8560-F8121D7C9AB1}" name="Column4299"/>
    <tableColumn id="4314" xr3:uid="{43C7FDAD-CDCA-47E9-990A-D53F5DB4AA74}" name="Column4300"/>
    <tableColumn id="4315" xr3:uid="{250955A0-C71D-43C1-B0D3-CDB76BF99EB1}" name="Column4301"/>
    <tableColumn id="4316" xr3:uid="{BCBC8402-75D9-400B-884B-4ECF8FD1915F}" name="Column4302"/>
    <tableColumn id="4317" xr3:uid="{430D53BC-B20F-439B-851C-27D6FEC43121}" name="Column4303"/>
    <tableColumn id="4318" xr3:uid="{6C1FE0BE-369A-4CDB-94D7-69543B9F8E11}" name="Column4304"/>
    <tableColumn id="4319" xr3:uid="{0EEE49F0-B8C0-4418-9FDC-2C029D7BD643}" name="Column4305"/>
    <tableColumn id="4320" xr3:uid="{7E6512F3-8AB5-47EA-82A9-7DED503EF2FF}" name="Column4306"/>
    <tableColumn id="4321" xr3:uid="{267B3D28-A7F1-4A84-926B-02A00E2D45AE}" name="Column4307"/>
    <tableColumn id="4322" xr3:uid="{63402869-5DB4-4617-89AB-69BDEAB448C3}" name="Column4308"/>
    <tableColumn id="4323" xr3:uid="{DC1E1E29-35FF-463F-8E1F-5A1A68875555}" name="Column4309"/>
    <tableColumn id="4324" xr3:uid="{9E900D49-199C-4C78-B181-CADD3E68C354}" name="Column4310"/>
    <tableColumn id="4325" xr3:uid="{C37F0EF4-951B-4196-ACEB-49990090C140}" name="Column4311"/>
    <tableColumn id="4326" xr3:uid="{D0C7F386-EC2A-49B0-ABB1-7FCB5BAC8E5E}" name="Column4312"/>
    <tableColumn id="4327" xr3:uid="{F8D86A94-F378-4A0A-98B0-4907B6043CDA}" name="Column4313"/>
    <tableColumn id="4328" xr3:uid="{A247E317-8148-46C7-9D03-DE403B05E004}" name="Column4314"/>
    <tableColumn id="4329" xr3:uid="{2CEFFBE2-747A-43DD-B111-0B945B34C9E0}" name="Column4315"/>
    <tableColumn id="4330" xr3:uid="{0D20898B-EADA-4616-879B-35702C29756E}" name="Column4316"/>
    <tableColumn id="4331" xr3:uid="{3EA6220C-561D-4D64-8108-72E6A716073E}" name="Column4317"/>
    <tableColumn id="4332" xr3:uid="{DE8DD918-B317-49AA-BF8E-2163A497B9DC}" name="Column4318"/>
    <tableColumn id="4333" xr3:uid="{C7D2C2F4-7C49-4B52-A93E-7FE2E9DA4434}" name="Column4319"/>
    <tableColumn id="4334" xr3:uid="{B29BCFD3-294E-4D53-B0A1-D7AB00A34D48}" name="Column4320"/>
    <tableColumn id="4335" xr3:uid="{FBCE1E54-36F1-4D2B-B03F-1AB25186F055}" name="Column4321"/>
    <tableColumn id="4336" xr3:uid="{203C9025-3991-4DAB-9B20-07E125136D82}" name="Column4322"/>
    <tableColumn id="4337" xr3:uid="{22284A84-FA61-40CB-ABDA-DA89B6408924}" name="Column4323"/>
    <tableColumn id="4338" xr3:uid="{16469703-5D65-4EBD-AC07-20C38E2FFC35}" name="Column4324"/>
    <tableColumn id="4339" xr3:uid="{C0C3E891-9084-48A8-B98C-ED6C0BE4E93E}" name="Column4325"/>
    <tableColumn id="4340" xr3:uid="{3CCFF177-CBBC-425D-9ACD-8530FCD572E8}" name="Column4326"/>
    <tableColumn id="4341" xr3:uid="{CEEC3487-B0A8-4B1B-9538-7959AEFCC983}" name="Column4327"/>
    <tableColumn id="4342" xr3:uid="{D603314A-28EC-47CF-BEDF-FA3B7215AE3C}" name="Column4328"/>
    <tableColumn id="4343" xr3:uid="{0D67D293-FC6B-4F06-98A0-31B46506267C}" name="Column4329"/>
    <tableColumn id="4344" xr3:uid="{78185190-D8AD-4D0E-80E8-5529B1131728}" name="Column4330"/>
    <tableColumn id="4345" xr3:uid="{597A0A9A-61A6-44BC-95C7-15E87E8DB755}" name="Column4331"/>
    <tableColumn id="4346" xr3:uid="{1C5A5C90-3454-4DD1-BBC3-6D9EECE65692}" name="Column4332"/>
    <tableColumn id="4347" xr3:uid="{7346702B-0135-458F-B4E7-2155817CDAFE}" name="Column4333"/>
    <tableColumn id="4348" xr3:uid="{E7A4B07B-77B9-449A-A316-92D5F58DACD4}" name="Column4334"/>
    <tableColumn id="4349" xr3:uid="{6AED508D-BA35-4371-B2F8-992614A35352}" name="Column4335"/>
    <tableColumn id="4350" xr3:uid="{1E217F7E-8F49-4FFF-B4BF-34465FF746F4}" name="Column4336"/>
    <tableColumn id="4351" xr3:uid="{6F8C0558-0C31-4649-94CB-0A7631921D51}" name="Column4337"/>
    <tableColumn id="4352" xr3:uid="{32EC6854-975F-4F1C-90FB-5931F358AFAB}" name="Column4338"/>
    <tableColumn id="4353" xr3:uid="{A40259E4-FDE6-44A8-BFEB-6C9549E2A7F7}" name="Column4339"/>
    <tableColumn id="4354" xr3:uid="{2B4ACC85-55D0-425A-BD29-418370223078}" name="Column4340"/>
    <tableColumn id="4355" xr3:uid="{0177178D-C3AB-4C8C-9331-8347AF5A0E08}" name="Column4341"/>
    <tableColumn id="4356" xr3:uid="{2899AFA5-A21F-48F7-BDA9-D63085BD204C}" name="Column4342"/>
    <tableColumn id="4357" xr3:uid="{882953B2-620C-47EE-B74D-B80419351276}" name="Column4343"/>
    <tableColumn id="4358" xr3:uid="{D2F8539C-F299-437E-97C7-F0EA11289F38}" name="Column4344"/>
    <tableColumn id="4359" xr3:uid="{9C97873B-0FB8-4673-8F15-592CB7ED5D2B}" name="Column4345"/>
    <tableColumn id="4360" xr3:uid="{8A2B7FC8-0A98-4AB8-8B36-8D793A34ACC1}" name="Column4346"/>
    <tableColumn id="4361" xr3:uid="{80D213B1-7951-4257-BFF2-B5C7699D35CF}" name="Column4347"/>
    <tableColumn id="4362" xr3:uid="{FA62C094-6385-4AA5-9EBF-C2B77FC7D6BE}" name="Column4348"/>
    <tableColumn id="4363" xr3:uid="{156547EC-9662-40A7-BE6F-A585C977ACDF}" name="Column4349"/>
    <tableColumn id="4364" xr3:uid="{FA25AE61-C88E-4B8D-A8D3-C2D31ACFAA19}" name="Column4350"/>
    <tableColumn id="4365" xr3:uid="{8BEA6258-5035-41F3-B101-FC329FEC2B28}" name="Column4351"/>
    <tableColumn id="4366" xr3:uid="{219AF9DA-BA8C-4329-8A71-1692B6C54912}" name="Column4352"/>
    <tableColumn id="4367" xr3:uid="{99C9F504-3588-476F-9E27-00AD2023B167}" name="Column4353"/>
    <tableColumn id="4368" xr3:uid="{B75B34C4-6E64-4886-9EDA-52D5B6C8F285}" name="Column4354"/>
    <tableColumn id="4369" xr3:uid="{A8F89660-D5B3-4ABF-B7D3-B0DF37F4D06D}" name="Column4355"/>
    <tableColumn id="4370" xr3:uid="{D095FD0E-E65A-46A9-A18F-72E1B755D472}" name="Column4356"/>
    <tableColumn id="4371" xr3:uid="{4A9D7FF6-082D-4DEA-A101-B9D2A7A92CDA}" name="Column4357"/>
    <tableColumn id="4372" xr3:uid="{60B34802-10F6-457F-8AB9-7CDA2482C3D9}" name="Column4358"/>
    <tableColumn id="4373" xr3:uid="{516BCD78-6970-4D86-BD6F-F43C6AA2E766}" name="Column4359"/>
    <tableColumn id="4374" xr3:uid="{E8CE95A0-711F-44B6-B8B9-C4CB18782778}" name="Column4360"/>
    <tableColumn id="4375" xr3:uid="{49131633-9F15-4A89-AD2C-DE9E08605BF9}" name="Column4361"/>
    <tableColumn id="4376" xr3:uid="{7C87AB53-890A-43E5-BBC4-C14AA37A58C7}" name="Column4362"/>
    <tableColumn id="4377" xr3:uid="{EB8BA930-1FA2-40B1-A936-D4F34A9EA381}" name="Column4363"/>
    <tableColumn id="4378" xr3:uid="{38C2A1C7-92D8-4C7F-AABB-6A2D76D24801}" name="Column4364"/>
    <tableColumn id="4379" xr3:uid="{5CA5026A-2BF0-4E44-A327-A1494980E496}" name="Column4365"/>
    <tableColumn id="4380" xr3:uid="{F21D5996-FEE6-41F4-AC65-5B724EB93288}" name="Column4366"/>
    <tableColumn id="4381" xr3:uid="{CFC2DF00-5C31-41D2-AD0A-5F74779BF76A}" name="Column4367"/>
    <tableColumn id="4382" xr3:uid="{B3AEA906-C1BA-4148-BD59-1F84FE4FE0CF}" name="Column4368"/>
    <tableColumn id="4383" xr3:uid="{30D95303-CE63-476F-ABAD-3C347E65325C}" name="Column4369"/>
    <tableColumn id="4384" xr3:uid="{40F41636-6626-4CCB-8D14-DC0D0EC3AFA9}" name="Column4370"/>
    <tableColumn id="4385" xr3:uid="{D41A6415-B52C-4925-931B-79885D85A5A1}" name="Column4371"/>
    <tableColumn id="4386" xr3:uid="{DA16D371-9D16-4753-8D0E-2AC32D889F5D}" name="Column4372"/>
    <tableColumn id="4387" xr3:uid="{3EA442AD-FAFF-44B5-A57E-1AFD28B81D1C}" name="Column4373"/>
    <tableColumn id="4388" xr3:uid="{61642285-B086-405E-AA10-0A67C34E9A55}" name="Column4374"/>
    <tableColumn id="4389" xr3:uid="{5B4A5727-E4D6-4010-BAF3-2E9EB3677FB5}" name="Column4375"/>
    <tableColumn id="4390" xr3:uid="{AE62CD9E-2476-4C3B-8CF9-44F94B536B11}" name="Column4376"/>
    <tableColumn id="4391" xr3:uid="{98B5571E-4FF4-4E53-A393-7197CD82DCAB}" name="Column4377"/>
    <tableColumn id="4392" xr3:uid="{212234B6-C3A3-476C-9309-351FC82572B8}" name="Column4378"/>
    <tableColumn id="4393" xr3:uid="{32011CA7-91FF-4208-AB98-1BFF5436B957}" name="Column4379"/>
    <tableColumn id="4394" xr3:uid="{05FA9CC8-5430-4A50-833D-5ADC50456198}" name="Column4380"/>
    <tableColumn id="4395" xr3:uid="{F87F82CE-BA74-423A-8DB2-2FF3C3C181EB}" name="Column4381"/>
    <tableColumn id="4396" xr3:uid="{30AC4747-635C-4F94-BEDE-6E5D4EB8CBC9}" name="Column4382"/>
    <tableColumn id="4397" xr3:uid="{C3599349-22BF-43C0-91EE-7608882662D9}" name="Column4383"/>
    <tableColumn id="4398" xr3:uid="{6F2333F3-B9C4-4FCC-95F9-B3D134F900A8}" name="Column4384"/>
    <tableColumn id="4399" xr3:uid="{31DA7549-B725-4AA9-86F8-5AC1204E90D2}" name="Column4385"/>
    <tableColumn id="4400" xr3:uid="{B5C37E75-5837-486A-BA0A-3B88BA39236E}" name="Column4386"/>
    <tableColumn id="4401" xr3:uid="{1CB009C5-526E-442F-B9D2-ECFEE7F97484}" name="Column4387"/>
    <tableColumn id="4402" xr3:uid="{B177F23B-D62E-4A1C-804E-DE9EC63F1A9B}" name="Column4388"/>
    <tableColumn id="4403" xr3:uid="{F4D167FB-D877-4022-A384-8933A794BD0A}" name="Column4389"/>
    <tableColumn id="4404" xr3:uid="{407C2342-465A-4232-A4D4-E74B18B981F4}" name="Column4390"/>
    <tableColumn id="4405" xr3:uid="{D9C0802D-CAC7-4C5F-80B6-1D91B3CA5A49}" name="Column4391"/>
    <tableColumn id="4406" xr3:uid="{FA3C8122-C61F-4B05-92F5-7583A3B8C31C}" name="Column4392"/>
    <tableColumn id="4407" xr3:uid="{392E4020-035B-407B-B6D4-E3870B2BE031}" name="Column4393"/>
    <tableColumn id="4408" xr3:uid="{12343FC8-2C1F-4AE4-B1CE-596E35FF8DB1}" name="Column4394"/>
    <tableColumn id="4409" xr3:uid="{2F9A32A2-3447-4274-80AD-7F7CD129BBED}" name="Column4395"/>
    <tableColumn id="4410" xr3:uid="{246B37AB-361E-4417-88D5-9C5382A22324}" name="Column4396"/>
    <tableColumn id="4411" xr3:uid="{E7875B5D-B522-473A-A20C-94A302A671FD}" name="Column4397"/>
    <tableColumn id="4412" xr3:uid="{FF10215B-C79C-469F-9347-56297DCE2D35}" name="Column4398"/>
    <tableColumn id="4413" xr3:uid="{3813454B-DE4E-4734-8A2E-B526D9930EE0}" name="Column4399"/>
    <tableColumn id="4414" xr3:uid="{E0E82A31-A370-4327-8A22-A92E56322D93}" name="Column4400"/>
    <tableColumn id="4415" xr3:uid="{30AC1F4E-E75F-4312-A276-579EB4EFAA38}" name="Column4401"/>
    <tableColumn id="4416" xr3:uid="{B61132C3-47C2-4B75-8705-AB7906FB106B}" name="Column4402"/>
    <tableColumn id="4417" xr3:uid="{4AF44CD9-7806-48C3-85CE-C3DC9CA49870}" name="Column4403"/>
    <tableColumn id="4418" xr3:uid="{EC1EBDBF-D159-49C6-9B1C-D7B2BF76DCEB}" name="Column4404"/>
    <tableColumn id="4419" xr3:uid="{403BBC79-DA70-4ED0-B5AB-28A70AD8A63C}" name="Column4405"/>
    <tableColumn id="4420" xr3:uid="{1B24C295-721A-48A6-B1B8-C8F215CED3D7}" name="Column4406"/>
    <tableColumn id="4421" xr3:uid="{D71B55F3-1B49-4879-8DF7-23192F8A52B1}" name="Column4407"/>
    <tableColumn id="4422" xr3:uid="{28063437-3CB7-4DE4-9FA5-A6DF1D18A079}" name="Column4408"/>
    <tableColumn id="4423" xr3:uid="{70387B2E-879D-4544-83AB-7ED51A3CFCBC}" name="Column4409"/>
    <tableColumn id="4424" xr3:uid="{EB1CFFEA-1F8C-40C7-A6EF-024C871F4C87}" name="Column4410"/>
    <tableColumn id="4425" xr3:uid="{818419F7-A15A-4AB9-80F0-4995E7F79A14}" name="Column4411"/>
    <tableColumn id="4426" xr3:uid="{DA4BF9E7-D62B-4F03-B8BB-BCD0D930B9FE}" name="Column4412"/>
    <tableColumn id="4427" xr3:uid="{190AE1FB-6636-4F6E-AE83-3D08E539B5FF}" name="Column4413"/>
    <tableColumn id="4428" xr3:uid="{7E8359A5-8291-4A79-8F65-B327C343220A}" name="Column4414"/>
    <tableColumn id="4429" xr3:uid="{8BBB2AC4-1293-4E94-80EB-AFE77C89AA0E}" name="Column4415"/>
    <tableColumn id="4430" xr3:uid="{32927DB3-16AA-47F8-B2A3-587608695E0B}" name="Column4416"/>
    <tableColumn id="4431" xr3:uid="{2E2528DE-E5C6-40D4-B2ED-48705A9AE860}" name="Column4417"/>
    <tableColumn id="4432" xr3:uid="{CCC8C24F-1CAD-4FDD-83B3-1520F3441F5B}" name="Column4418"/>
    <tableColumn id="4433" xr3:uid="{BD61D3D1-BADF-4E09-BCDC-3F424A527153}" name="Column4419"/>
    <tableColumn id="4434" xr3:uid="{D6E1C152-3B0E-4C24-8DBD-329F0C78AB93}" name="Column4420"/>
    <tableColumn id="4435" xr3:uid="{9D47EBD5-7663-4C2A-BC67-F9984034D7B5}" name="Column4421"/>
    <tableColumn id="4436" xr3:uid="{C51070E4-EAAF-470E-9308-691C1215D205}" name="Column4422"/>
    <tableColumn id="4437" xr3:uid="{2F796B83-E420-4A1B-988A-D3C8341FA0A9}" name="Column4423"/>
    <tableColumn id="4438" xr3:uid="{EAB4898B-C56D-47D0-B59A-7B91498F5769}" name="Column4424"/>
    <tableColumn id="4439" xr3:uid="{A3EF9FD2-CAF7-4FCC-99B1-946AAB2724CC}" name="Column4425"/>
    <tableColumn id="4440" xr3:uid="{0F90754E-EBB2-4CC0-A735-E4821B7A612E}" name="Column4426"/>
    <tableColumn id="4441" xr3:uid="{D07B5C0D-ABB7-47E2-8F05-FD3E0F196531}" name="Column4427"/>
    <tableColumn id="4442" xr3:uid="{7445C0C7-4182-4ADE-9B56-C59A4D35ADC0}" name="Column4428"/>
    <tableColumn id="4443" xr3:uid="{302D5A11-2F05-4ECC-ABEB-B1700D56F93C}" name="Column4429"/>
    <tableColumn id="4444" xr3:uid="{53F887AD-F24C-4DFC-BCE6-680F00BB58DA}" name="Column4430"/>
    <tableColumn id="4445" xr3:uid="{06FB0D09-E287-451A-A93F-282749938B53}" name="Column4431"/>
    <tableColumn id="4446" xr3:uid="{0B134DBE-EDF2-4BA2-B5E4-82700488E10A}" name="Column4432"/>
    <tableColumn id="4447" xr3:uid="{2027E9C3-40EF-4C04-B0B8-C30A64904AD6}" name="Column4433"/>
    <tableColumn id="4448" xr3:uid="{B11177EA-C625-410F-A18A-548E7E1A5C67}" name="Column4434"/>
    <tableColumn id="4449" xr3:uid="{5BAAFCDC-F0DA-4B6D-B583-EFA5CEC67C21}" name="Column4435"/>
    <tableColumn id="4450" xr3:uid="{079A8B9C-4555-4B77-9590-A709FB5EBC26}" name="Column4436"/>
    <tableColumn id="4451" xr3:uid="{4046DE5F-668F-459A-ACF1-C2AFAB3F7798}" name="Column4437"/>
    <tableColumn id="4452" xr3:uid="{688FE66F-32B6-481E-A98F-827121FDD7FF}" name="Column4438"/>
    <tableColumn id="4453" xr3:uid="{08C8CCFE-4019-4DD2-9E68-935951484BC2}" name="Column4439"/>
    <tableColumn id="4454" xr3:uid="{587F2141-1A66-4471-A8B0-D98D359C2CF8}" name="Column4440"/>
    <tableColumn id="4455" xr3:uid="{44827045-4669-4A44-819D-76ACFDB93A56}" name="Column4441"/>
    <tableColumn id="4456" xr3:uid="{9F95BE33-41D7-4483-B693-06E496B97302}" name="Column4442"/>
    <tableColumn id="4457" xr3:uid="{51E8C9B6-D31B-4902-BAB0-618771EE1768}" name="Column4443"/>
    <tableColumn id="4458" xr3:uid="{A83ECAD8-7288-4CE2-9FEE-9AF9A5C4B2CB}" name="Column4444"/>
    <tableColumn id="4459" xr3:uid="{60B95832-40C6-4F69-B2DE-AE5CB588EF0B}" name="Column4445"/>
    <tableColumn id="4460" xr3:uid="{EF2AB0D9-C153-492A-9281-9D9F48D70590}" name="Column4446"/>
    <tableColumn id="4461" xr3:uid="{4D502E30-8C0B-4FE6-8121-A6970CB11608}" name="Column4447"/>
    <tableColumn id="4462" xr3:uid="{0E4E054F-C08B-4486-B602-E521718DD2ED}" name="Column4448"/>
    <tableColumn id="4463" xr3:uid="{EB760EC6-2CF3-4621-8DBB-551CA35B835F}" name="Column4449"/>
    <tableColumn id="4464" xr3:uid="{299800A5-9DBC-4022-8D9C-AAA709EF528F}" name="Column4450"/>
    <tableColumn id="4465" xr3:uid="{DEF45FDE-3541-48D5-916C-49800B00A640}" name="Column4451"/>
    <tableColumn id="4466" xr3:uid="{91BDFAF4-CCF8-467B-8ABA-901E88677664}" name="Column4452"/>
    <tableColumn id="4467" xr3:uid="{2A955028-621B-4715-87A3-BC4445D04F76}" name="Column4453"/>
    <tableColumn id="4468" xr3:uid="{D345C927-9E2D-4F4C-B84E-8A26B3358806}" name="Column4454"/>
    <tableColumn id="4469" xr3:uid="{064823F9-FBA9-456B-A0A4-56D730D38465}" name="Column4455"/>
    <tableColumn id="4470" xr3:uid="{300C5DC3-59A8-41BF-B586-3CE78C30B27E}" name="Column4456"/>
    <tableColumn id="4471" xr3:uid="{BF70F0FC-7C11-4266-AB6D-4ABB112F352D}" name="Column4457"/>
    <tableColumn id="4472" xr3:uid="{24B052BD-5ED0-4D0C-936C-930682903F26}" name="Column4458"/>
    <tableColumn id="4473" xr3:uid="{3DB25831-BEBD-4BAA-9E59-10BDA1640CFE}" name="Column4459"/>
    <tableColumn id="4474" xr3:uid="{6588B0CE-1EDA-4FF7-8FDD-438FA2C8DE57}" name="Column4460"/>
    <tableColumn id="4475" xr3:uid="{2C887C2A-EBF1-428A-A17E-B3B19B112495}" name="Column4461"/>
    <tableColumn id="4476" xr3:uid="{7EE2C177-C344-4819-AEEA-039639B0BFE3}" name="Column4462"/>
    <tableColumn id="4477" xr3:uid="{C52D8A09-F05C-453C-BF81-CC9173B74069}" name="Column4463"/>
    <tableColumn id="4478" xr3:uid="{6427558F-56F5-4FF9-9673-20B7A153C6BA}" name="Column4464"/>
    <tableColumn id="4479" xr3:uid="{8E3F7053-E627-4FD8-BCEB-A9E4F59A7EA1}" name="Column4465"/>
    <tableColumn id="4480" xr3:uid="{000EE63F-AD4C-4A02-B6B3-ABDB108C8863}" name="Column4466"/>
    <tableColumn id="4481" xr3:uid="{F53F1772-6B3A-42BE-B453-0865FAE4DDED}" name="Column4467"/>
    <tableColumn id="4482" xr3:uid="{86448390-9E85-434E-B799-E77EF4BE624F}" name="Column4468"/>
    <tableColumn id="4483" xr3:uid="{E0EC2497-AD9A-498E-9285-C7EC92AE1DBE}" name="Column4469"/>
    <tableColumn id="4484" xr3:uid="{198ADE2D-DEF3-4E68-A6F4-9D669027F6C6}" name="Column4470"/>
    <tableColumn id="4485" xr3:uid="{DE5008A2-01DF-4E47-951B-8E8AD9C4F199}" name="Column4471"/>
    <tableColumn id="4486" xr3:uid="{5BD13AB0-0B9A-4FCC-8D15-48F7715BA1B3}" name="Column4472"/>
    <tableColumn id="4487" xr3:uid="{1826B695-1396-4E98-B79E-9F6C70EEBCC0}" name="Column4473"/>
    <tableColumn id="4488" xr3:uid="{62B83D5B-D9A2-4360-9E97-DCEC41F31E89}" name="Column4474"/>
    <tableColumn id="4489" xr3:uid="{D32B9E5B-4D28-422E-9F29-1236901B0B3E}" name="Column4475"/>
    <tableColumn id="4490" xr3:uid="{437209D2-F7FA-4047-AB4C-7BF8470C98AC}" name="Column4476"/>
    <tableColumn id="4491" xr3:uid="{27B95CF9-4BFC-41EC-91AF-B9F46CF1A3FE}" name="Column4477"/>
    <tableColumn id="4492" xr3:uid="{2801E60A-8430-469C-A646-CA390F08106E}" name="Column4478"/>
    <tableColumn id="4493" xr3:uid="{46098A18-61CE-4F8C-B46A-D4CB1E99494C}" name="Column4479"/>
    <tableColumn id="4494" xr3:uid="{C7B58E0D-5BC9-4717-A930-3C48F2DACCAF}" name="Column4480"/>
    <tableColumn id="4495" xr3:uid="{CF6E6A44-05F2-4912-BB25-3CC0B10F9620}" name="Column4481"/>
    <tableColumn id="4496" xr3:uid="{D5823A27-C1F2-4478-B540-5F7021129EA4}" name="Column4482"/>
    <tableColumn id="4497" xr3:uid="{51F90A98-A46B-4226-9AF5-A3C5654FCFCD}" name="Column4483"/>
    <tableColumn id="4498" xr3:uid="{DB0ADEF8-8B1D-4302-B890-5815AB31FA9E}" name="Column4484"/>
    <tableColumn id="4499" xr3:uid="{874134E6-A8D7-411F-994A-E465A88DE4AF}" name="Column4485"/>
    <tableColumn id="4500" xr3:uid="{54B25866-3E54-4656-9014-C612C2BB8DD9}" name="Column4486"/>
    <tableColumn id="4501" xr3:uid="{42AB522D-C05A-45C7-B3D4-B8910492841F}" name="Column4487"/>
    <tableColumn id="4502" xr3:uid="{BB00229C-F41A-48F3-9239-7E5E8A1B91AD}" name="Column4488"/>
    <tableColumn id="4503" xr3:uid="{5F36B33D-A0EE-4ABE-A1AE-F4EBC1DED8B0}" name="Column4489"/>
    <tableColumn id="4504" xr3:uid="{ACBAA22C-861F-4A23-BA79-2803F09FE7AD}" name="Column4490"/>
    <tableColumn id="4505" xr3:uid="{C2B49EC8-FD1F-46BA-8900-89EF0B9AD8B4}" name="Column4491"/>
    <tableColumn id="4506" xr3:uid="{DB950C9F-291C-4483-81C2-0EBB03F1A933}" name="Column4492"/>
    <tableColumn id="4507" xr3:uid="{B9C21B85-0778-4EE3-BFFE-FA0FF98A3C95}" name="Column4493"/>
    <tableColumn id="4508" xr3:uid="{3131D833-4A1C-495D-B126-809DCE37BDEC}" name="Column4494"/>
    <tableColumn id="4509" xr3:uid="{7626779A-B992-4E83-9C85-E341458C8C48}" name="Column4495"/>
    <tableColumn id="4510" xr3:uid="{9CD86E1F-597B-4417-A15B-31080910AD36}" name="Column4496"/>
    <tableColumn id="4511" xr3:uid="{4E0DF7BD-90E0-4997-9E45-89B8352F7F4D}" name="Column4497"/>
    <tableColumn id="4512" xr3:uid="{F4EAE7B6-5B46-4BFA-A8E8-C2D3A34A41B0}" name="Column4498"/>
    <tableColumn id="4513" xr3:uid="{4BA722C7-8DD4-43DE-8138-AE759DC5B6E1}" name="Column4499"/>
    <tableColumn id="4514" xr3:uid="{ED87BFBE-27E2-4481-A1BF-FEBEE39C7495}" name="Column4500"/>
    <tableColumn id="4515" xr3:uid="{8CBCDF82-5E77-46C8-AD0C-3804315341DC}" name="Column4501"/>
    <tableColumn id="4516" xr3:uid="{7E6C8533-C64F-41A6-B8A8-5A9F4BAA67A0}" name="Column4502"/>
    <tableColumn id="4517" xr3:uid="{966632CE-FB64-44AB-8D36-C7D24EB86AFE}" name="Column4503"/>
    <tableColumn id="4518" xr3:uid="{EBBA1C46-1348-4705-9324-8E8FF4094201}" name="Column4504"/>
    <tableColumn id="4519" xr3:uid="{E66C1B4C-494B-43A1-9C2A-3C3CF2D0174B}" name="Column4505"/>
    <tableColumn id="4520" xr3:uid="{47A15A2A-4D64-4E70-8E2A-8733A6282D66}" name="Column4506"/>
    <tableColumn id="4521" xr3:uid="{B58B9A34-395B-46A2-934B-C156B54438BB}" name="Column4507"/>
    <tableColumn id="4522" xr3:uid="{CED6E4CA-BC21-44B9-9E53-6392AAF0AF21}" name="Column4508"/>
    <tableColumn id="4523" xr3:uid="{DFBFECCB-CC58-496A-B1B9-061B7CCCEE99}" name="Column4509"/>
    <tableColumn id="4524" xr3:uid="{516DA01B-0A36-4A6E-AEB9-F66B7C3C0AFE}" name="Column4510"/>
    <tableColumn id="4525" xr3:uid="{4629319A-EE55-4839-B043-0546994BE510}" name="Column4511"/>
    <tableColumn id="4526" xr3:uid="{1B9614E6-B715-414D-A69B-058FCDFD74E8}" name="Column4512"/>
    <tableColumn id="4527" xr3:uid="{394A7C24-15B7-4900-B926-E974674257C7}" name="Column4513"/>
    <tableColumn id="4528" xr3:uid="{03DED1DA-C9A0-44C5-8CE7-7581E4F54B4A}" name="Column4514"/>
    <tableColumn id="4529" xr3:uid="{6434FDEE-B0F5-435A-976C-E59CCAD248D0}" name="Column4515"/>
    <tableColumn id="4530" xr3:uid="{835AFB15-359D-4E87-8918-5DF67359AA83}" name="Column4516"/>
    <tableColumn id="4531" xr3:uid="{4706E085-9422-4316-895E-7C78F853D0E6}" name="Column4517"/>
    <tableColumn id="4532" xr3:uid="{9B7A3D9F-6C7F-428B-8C8F-BD55652BDC5B}" name="Column4518"/>
    <tableColumn id="4533" xr3:uid="{3860AEA8-C85B-404D-B3FA-077B88BD54ED}" name="Column4519"/>
    <tableColumn id="4534" xr3:uid="{EB1DB6B4-6A5E-4B77-B2CF-419892C08CD9}" name="Column4520"/>
    <tableColumn id="4535" xr3:uid="{CFDAC87B-4DCD-4E5D-A557-DE9B048D6556}" name="Column4521"/>
    <tableColumn id="4536" xr3:uid="{3A061558-040D-4E4E-8C66-ED4555899BB2}" name="Column4522"/>
    <tableColumn id="4537" xr3:uid="{13BEC0CF-D420-4F7C-856A-F5FC8E030545}" name="Column4523"/>
    <tableColumn id="4538" xr3:uid="{B5F008C3-70CC-465D-BF26-4A46051D4F0D}" name="Column4524"/>
    <tableColumn id="4539" xr3:uid="{DCF199A8-2591-4255-9FB8-628151235B57}" name="Column4525"/>
    <tableColumn id="4540" xr3:uid="{E4CF6657-E5E5-4537-AA96-35C3464404DC}" name="Column4526"/>
    <tableColumn id="4541" xr3:uid="{83A52546-839B-4C2E-AC2F-B0277A744A16}" name="Column4527"/>
    <tableColumn id="4542" xr3:uid="{7085786C-EAB5-454C-B66B-B6BA2A5AD3F1}" name="Column4528"/>
    <tableColumn id="4543" xr3:uid="{4CA707AE-E716-4C0E-AE85-9C98E59EB8BF}" name="Column4529"/>
    <tableColumn id="4544" xr3:uid="{C53F04CC-901B-4C99-AB1B-B7E896959A04}" name="Column4530"/>
    <tableColumn id="4545" xr3:uid="{34706E21-45AA-46B6-83FB-4324E439CBE4}" name="Column4531"/>
    <tableColumn id="4546" xr3:uid="{EB13A9D9-7B18-4E85-9A27-55A4353EC173}" name="Column4532"/>
    <tableColumn id="4547" xr3:uid="{D30617C0-2E8C-4C4C-98AD-67814B5487BE}" name="Column4533"/>
    <tableColumn id="4548" xr3:uid="{94334688-E1EB-4BC2-9377-3F44E8FA827F}" name="Column4534"/>
    <tableColumn id="4549" xr3:uid="{99FBA669-59A1-4DE0-8467-F858197E6771}" name="Column4535"/>
    <tableColumn id="4550" xr3:uid="{E896983E-16F6-4F7E-B2E4-90E671B715AE}" name="Column4536"/>
    <tableColumn id="4551" xr3:uid="{51C751FD-807D-4D83-9F6F-412ED8327602}" name="Column4537"/>
    <tableColumn id="4552" xr3:uid="{5646842A-FD40-4B2B-A37A-C700BABA5213}" name="Column4538"/>
    <tableColumn id="4553" xr3:uid="{EC01D3DE-EB9C-488B-A65F-3DE72229F2A1}" name="Column4539"/>
    <tableColumn id="4554" xr3:uid="{6692199A-D707-44E9-90C3-377D82A519DC}" name="Column4540"/>
    <tableColumn id="4555" xr3:uid="{564DFB0E-694A-48CC-AE13-4D7A6FD61706}" name="Column4541"/>
    <tableColumn id="4556" xr3:uid="{90BC9736-2788-4628-9DD3-0CD618E208B4}" name="Column4542"/>
    <tableColumn id="4557" xr3:uid="{8EA41E3E-DF9C-4213-9A2E-2D157FEE2606}" name="Column4543"/>
    <tableColumn id="4558" xr3:uid="{674605C7-77DB-4F36-B365-7368F92A874C}" name="Column4544"/>
    <tableColumn id="4559" xr3:uid="{7F11CD88-31EF-4A10-AD18-0FAE3F222971}" name="Column4545"/>
    <tableColumn id="4560" xr3:uid="{DF1FA8D0-CA5D-4E11-809B-56E71CDD6B3B}" name="Column4546"/>
    <tableColumn id="4561" xr3:uid="{23192319-6702-48D7-A2C6-DE698757008F}" name="Column4547"/>
    <tableColumn id="4562" xr3:uid="{167FED8D-78F6-442A-A217-B0B6D6550132}" name="Column4548"/>
    <tableColumn id="4563" xr3:uid="{D4670CEB-F877-4492-A069-6DCCBF9451CC}" name="Column4549"/>
    <tableColumn id="4564" xr3:uid="{27712F2A-4952-49AA-83A1-5766D0AF0DFA}" name="Column4550"/>
    <tableColumn id="4565" xr3:uid="{F1E6A1E5-DDFA-4723-B2F4-ACBCB0AC4E1F}" name="Column4551"/>
    <tableColumn id="4566" xr3:uid="{FD690F79-E09E-4C6C-B27D-268135DF4D23}" name="Column4552"/>
    <tableColumn id="4567" xr3:uid="{40BA7330-53DF-4018-A340-8433401702FC}" name="Column4553"/>
    <tableColumn id="4568" xr3:uid="{07BF908F-94CC-482F-B2D1-77C13BF8E336}" name="Column4554"/>
    <tableColumn id="4569" xr3:uid="{E7109434-D114-4035-A723-AD211BC8BB79}" name="Column4555"/>
    <tableColumn id="4570" xr3:uid="{79EE79CB-69CF-4487-B9A3-E3A917F0991A}" name="Column4556"/>
    <tableColumn id="4571" xr3:uid="{67A5F333-4821-4A6D-A88C-AFC3FBB43B89}" name="Column4557"/>
    <tableColumn id="4572" xr3:uid="{94D959EE-0F7B-4EFE-9512-614EF85D7F28}" name="Column4558"/>
    <tableColumn id="4573" xr3:uid="{F84332F7-8B78-420B-9347-91FBD21B3B58}" name="Column4559"/>
    <tableColumn id="4574" xr3:uid="{FAA7CCA0-3A2A-4FBF-82AF-D8B1E466C0D2}" name="Column4560"/>
    <tableColumn id="4575" xr3:uid="{C6E29D76-FB37-4706-937D-58A34AE2DA76}" name="Column4561"/>
    <tableColumn id="4576" xr3:uid="{F5F4A262-2A55-49DA-BF22-A0D6B39F1726}" name="Column4562"/>
    <tableColumn id="4577" xr3:uid="{BF99EFBB-4DF5-48DF-8B27-27D87217D78A}" name="Column4563"/>
    <tableColumn id="4578" xr3:uid="{4555CCA5-25ED-49DE-83E6-02ACEB3F6900}" name="Column4564"/>
    <tableColumn id="4579" xr3:uid="{40E32DCB-6A8A-410B-9316-A28F69718D69}" name="Column4565"/>
    <tableColumn id="4580" xr3:uid="{8FFF154F-6142-48A3-9536-1748E1901982}" name="Column4566"/>
    <tableColumn id="4581" xr3:uid="{9EF6542B-DB5C-4D22-AB39-510B94C278F5}" name="Column4567"/>
    <tableColumn id="4582" xr3:uid="{BCFA2857-1907-4876-9F22-B6C780668EA6}" name="Column4568"/>
    <tableColumn id="4583" xr3:uid="{CB3E95AA-F280-4723-9FDA-7E83688AF044}" name="Column4569"/>
    <tableColumn id="4584" xr3:uid="{102121C6-8986-4FC3-A522-4521A5B516DE}" name="Column4570"/>
    <tableColumn id="4585" xr3:uid="{DD79E5FA-BDB6-40F8-B4A4-3F1412F3AB69}" name="Column4571"/>
    <tableColumn id="4586" xr3:uid="{A463B93A-B2A8-4684-AA5F-6029BBCD9913}" name="Column4572"/>
    <tableColumn id="4587" xr3:uid="{83AC7F9D-04DD-49E8-BD46-B2061F919A6E}" name="Column4573"/>
    <tableColumn id="4588" xr3:uid="{C86CCC1C-CBBC-4820-B69D-6C0A312B44EF}" name="Column4574"/>
    <tableColumn id="4589" xr3:uid="{7B0DA3A0-21E2-4EE8-B66A-7F15688A25F5}" name="Column4575"/>
    <tableColumn id="4590" xr3:uid="{9D399B3E-7437-4AE2-B4DB-E5E78FFBDEB9}" name="Column4576"/>
    <tableColumn id="4591" xr3:uid="{C039FFB7-3B28-4C25-8D50-1E195C7EFC18}" name="Column4577"/>
    <tableColumn id="4592" xr3:uid="{D4993BA0-BBA5-4638-83A2-AC421921DDB4}" name="Column4578"/>
    <tableColumn id="4593" xr3:uid="{8DF7F202-9E70-44A1-AEBC-9227431DADBE}" name="Column4579"/>
    <tableColumn id="4594" xr3:uid="{DC43670B-4A8E-4C0F-A34E-A0287D6C413C}" name="Column4580"/>
    <tableColumn id="4595" xr3:uid="{C53F4342-C17E-406E-A17F-E3DF07D915DF}" name="Column4581"/>
    <tableColumn id="4596" xr3:uid="{BF290B80-93F0-4552-9D52-6E178E2BD34F}" name="Column4582"/>
    <tableColumn id="4597" xr3:uid="{5346E3EC-973D-43F6-88A3-2E6DCABBEBDB}" name="Column4583"/>
    <tableColumn id="4598" xr3:uid="{B0E98442-10DC-431A-86A9-CA40A6B34ACE}" name="Column4584"/>
    <tableColumn id="4599" xr3:uid="{2EA8D54A-89D8-4716-A394-CC4A8BBE1F08}" name="Column4585"/>
    <tableColumn id="4600" xr3:uid="{955742D1-05E8-4DE5-8625-B67BF427105A}" name="Column4586"/>
    <tableColumn id="4601" xr3:uid="{079DE81F-3A5A-4ED3-93E9-CC6BF9124A4E}" name="Column4587"/>
    <tableColumn id="4602" xr3:uid="{E4BE55B9-F0A1-4949-9EF4-84F8D69592FB}" name="Column4588"/>
    <tableColumn id="4603" xr3:uid="{281B07E5-5D29-4FEC-946A-3B08E74EC329}" name="Column4589"/>
    <tableColumn id="4604" xr3:uid="{EAC4FC31-7536-4F77-9518-03B5669123F0}" name="Column4590"/>
    <tableColumn id="4605" xr3:uid="{6A589A1B-4319-457A-A2FF-90D47703608B}" name="Column4591"/>
    <tableColumn id="4606" xr3:uid="{FA8C31D1-9C63-42E3-93F7-EC0C2BA18D1E}" name="Column4592"/>
    <tableColumn id="4607" xr3:uid="{B879F95D-0A63-49F9-B0B3-2A5C3A90348F}" name="Column4593"/>
    <tableColumn id="4608" xr3:uid="{717A8D95-48C6-4845-9956-E1822C286405}" name="Column4594"/>
    <tableColumn id="4609" xr3:uid="{30B74B15-7537-4BEB-92B2-23AD88F026E8}" name="Column4595"/>
    <tableColumn id="4610" xr3:uid="{F8CE5E85-FFE6-41A0-A662-33C88BD00068}" name="Column4596"/>
    <tableColumn id="4611" xr3:uid="{F0B84EA4-25D2-4D5D-A782-1640445733C3}" name="Column4597"/>
    <tableColumn id="4612" xr3:uid="{DE0A0094-A5DD-49E2-8E88-8C7247107A0D}" name="Column4598"/>
    <tableColumn id="4613" xr3:uid="{52FB0131-B8BD-485F-9D13-652B4CFC24FA}" name="Column4599"/>
    <tableColumn id="4614" xr3:uid="{E08F11BD-D8C2-499B-B267-88EC0DEEED45}" name="Column4600"/>
    <tableColumn id="4615" xr3:uid="{D856DBC5-220B-41D5-A165-CAFFD1D42778}" name="Column4601"/>
    <tableColumn id="4616" xr3:uid="{F5E338C9-D34F-4DF3-A22D-3C248E9AB0C4}" name="Column4602"/>
    <tableColumn id="4617" xr3:uid="{BB60A941-482A-423E-88E7-6B1A816A3DC6}" name="Column4603"/>
    <tableColumn id="4618" xr3:uid="{BF7F761E-F301-442E-8E88-5CC3E7C903C6}" name="Column4604"/>
    <tableColumn id="4619" xr3:uid="{3CBC4A7B-C055-41A1-A869-C03A29C32170}" name="Column4605"/>
    <tableColumn id="4620" xr3:uid="{3BDD799D-7495-4C6F-8CC0-F679829375BB}" name="Column4606"/>
    <tableColumn id="4621" xr3:uid="{DD798709-FF33-4F83-BCB0-B060925666B4}" name="Column4607"/>
    <tableColumn id="4622" xr3:uid="{A707AEAA-FCFE-40AF-9448-CEFEA5C16DAE}" name="Column4608"/>
    <tableColumn id="4623" xr3:uid="{97BDFF32-B0D2-4D42-B809-E836C0A238BC}" name="Column4609"/>
    <tableColumn id="4624" xr3:uid="{90DD2EDB-5AB2-4D07-9E50-74934459DC14}" name="Column4610"/>
    <tableColumn id="4625" xr3:uid="{4EDED57A-7A4C-447D-A0C5-9BAC09F5C98E}" name="Column4611"/>
    <tableColumn id="4626" xr3:uid="{6A7BDAB5-0472-4B69-94DF-6B59267916C5}" name="Column4612"/>
    <tableColumn id="4627" xr3:uid="{A2D54ADA-7EE3-43D9-B413-ECF863629061}" name="Column4613"/>
    <tableColumn id="4628" xr3:uid="{2FBE8604-976B-46EA-83FB-A31958E1E8E6}" name="Column4614"/>
    <tableColumn id="4629" xr3:uid="{C0B1C2A3-F736-4984-81B0-F186566B116B}" name="Column4615"/>
    <tableColumn id="4630" xr3:uid="{07700B01-D977-44EC-B67A-38703D4588F3}" name="Column4616"/>
    <tableColumn id="4631" xr3:uid="{CA7410B2-5726-4E43-BD03-B4F6966437F7}" name="Column4617"/>
    <tableColumn id="4632" xr3:uid="{88106FD8-7613-40D9-8668-F97EBDC50549}" name="Column4618"/>
    <tableColumn id="4633" xr3:uid="{41E27B5B-08C8-40B6-9571-0A544BEC8515}" name="Column4619"/>
    <tableColumn id="4634" xr3:uid="{77788063-C59A-47EA-AE60-06D4721B18D5}" name="Column4620"/>
    <tableColumn id="4635" xr3:uid="{2975BEB1-77DA-40AE-A6CE-94D2A7BF6F82}" name="Column4621"/>
    <tableColumn id="4636" xr3:uid="{498586E0-C8AB-4566-BE10-C15778F09F23}" name="Column4622"/>
    <tableColumn id="4637" xr3:uid="{E3FE65BF-7FE0-47F6-9DEE-48F6A741A5B9}" name="Column4623"/>
    <tableColumn id="4638" xr3:uid="{746FAB3E-0076-4A1B-98D6-BEA53FA29528}" name="Column4624"/>
    <tableColumn id="4639" xr3:uid="{84CE694A-1F29-4E99-91E0-481F1396F6BD}" name="Column4625"/>
    <tableColumn id="4640" xr3:uid="{87B77A16-ECE7-466E-A8C4-941CB10E6AC8}" name="Column4626"/>
    <tableColumn id="4641" xr3:uid="{7A0D0230-14A7-463F-A166-D13F10772D1D}" name="Column4627"/>
    <tableColumn id="4642" xr3:uid="{59FB9B82-DFD6-4169-B2EF-833E74F080D2}" name="Column4628"/>
    <tableColumn id="4643" xr3:uid="{E007CDC4-3C60-427D-A717-E2FAA316A2C0}" name="Column4629"/>
    <tableColumn id="4644" xr3:uid="{8C711A3E-7911-480E-970A-2E22B2028017}" name="Column4630"/>
    <tableColumn id="4645" xr3:uid="{20B53578-3E1F-4C43-B187-321A63ADF216}" name="Column4631"/>
    <tableColumn id="4646" xr3:uid="{26073294-F1F1-41FB-A85D-954F22E1B901}" name="Column4632"/>
    <tableColumn id="4647" xr3:uid="{F742FE43-70B8-427D-B8C5-303D07EBDFB4}" name="Column4633"/>
    <tableColumn id="4648" xr3:uid="{A1DBADDC-A756-4BB2-99F6-249C25B83C3C}" name="Column4634"/>
    <tableColumn id="4649" xr3:uid="{34E08D9B-EE76-4D0D-93E2-93748EA6B472}" name="Column4635"/>
    <tableColumn id="4650" xr3:uid="{C88EC70E-205C-4189-BA77-4F978BACB496}" name="Column4636"/>
    <tableColumn id="4651" xr3:uid="{813FE40C-9C2D-46E5-AF3A-0576582AB293}" name="Column4637"/>
    <tableColumn id="4652" xr3:uid="{DBE6CD26-272E-4B31-AE81-5327F356F79A}" name="Column4638"/>
    <tableColumn id="4653" xr3:uid="{D7992E86-14B0-49D1-AFD5-D58DF689D3EB}" name="Column4639"/>
    <tableColumn id="4654" xr3:uid="{2DE832F6-D5CF-41F9-80C0-90A7591438EB}" name="Column4640"/>
    <tableColumn id="4655" xr3:uid="{58050CFA-9757-48DE-BC0F-E4CB351256D1}" name="Column4641"/>
    <tableColumn id="4656" xr3:uid="{72CBDB36-A7F6-4DD4-A948-30DAEDF6E7C6}" name="Column4642"/>
    <tableColumn id="4657" xr3:uid="{6B454119-D0D2-4143-B26D-8C460FF9F3E8}" name="Column4643"/>
    <tableColumn id="4658" xr3:uid="{C943BAE0-2C43-420B-944C-75B65788E849}" name="Column4644"/>
    <tableColumn id="4659" xr3:uid="{C6876891-9F2C-4731-AF34-97624F6C906E}" name="Column4645"/>
    <tableColumn id="4660" xr3:uid="{27FBD67B-E69B-4780-BE3B-BA315882EC56}" name="Column4646"/>
    <tableColumn id="4661" xr3:uid="{670345CE-AD44-4F3A-81BB-95857AF3437A}" name="Column4647"/>
    <tableColumn id="4662" xr3:uid="{BC15C855-9785-45D1-9D5C-523C575DA2E8}" name="Column4648"/>
    <tableColumn id="4663" xr3:uid="{B78799ED-9B55-45BF-8F19-6F27458D2666}" name="Column4649"/>
    <tableColumn id="4664" xr3:uid="{B53AA804-AE07-40C7-B511-62ED344FA113}" name="Column4650"/>
    <tableColumn id="4665" xr3:uid="{9231C972-89F4-4870-8060-DA8E0411671C}" name="Column4651"/>
    <tableColumn id="4666" xr3:uid="{E9D5A02B-60FD-4441-B874-DDC9CCAC4CA8}" name="Column4652"/>
    <tableColumn id="4667" xr3:uid="{C0005AED-1EF6-4F17-912C-D2CC80AFD7AB}" name="Column4653"/>
    <tableColumn id="4668" xr3:uid="{31A919E2-3FED-414A-9A32-15026C63C883}" name="Column4654"/>
    <tableColumn id="4669" xr3:uid="{3C65058F-A01E-49D8-9B0D-C0CAEE612000}" name="Column4655"/>
    <tableColumn id="4670" xr3:uid="{8E3B5AC9-37A9-4E73-A596-D2AF4BD1F408}" name="Column4656"/>
    <tableColumn id="4671" xr3:uid="{2C0BD3E3-F3CA-48FC-9B92-F91EB8FAFB8A}" name="Column4657"/>
    <tableColumn id="4672" xr3:uid="{68D8F03C-B774-441E-8F30-AE60F4527E2F}" name="Column4658"/>
    <tableColumn id="4673" xr3:uid="{5F682F52-273B-4DE3-A26A-10D423915D6A}" name="Column4659"/>
    <tableColumn id="4674" xr3:uid="{947B8E84-A5CB-4112-B931-576732A72DA2}" name="Column4660"/>
    <tableColumn id="4675" xr3:uid="{B67586EB-ECCA-4C70-A904-F98E1F3652CA}" name="Column4661"/>
    <tableColumn id="4676" xr3:uid="{E68ABFF8-461E-43AC-B373-6C1C04C30F53}" name="Column4662"/>
    <tableColumn id="4677" xr3:uid="{E15D3184-FAD9-46A4-B830-E7E2437D1695}" name="Column4663"/>
    <tableColumn id="4678" xr3:uid="{CFC08B76-C648-4786-9FE7-CBAA33F5072C}" name="Column4664"/>
    <tableColumn id="4679" xr3:uid="{2A4DEB88-596B-429B-9CAA-B21DAB27C92E}" name="Column4665"/>
    <tableColumn id="4680" xr3:uid="{AFAABF2A-61A9-4957-BB11-B800391E8945}" name="Column4666"/>
    <tableColumn id="4681" xr3:uid="{D5BE9040-7CC1-4531-8B90-9DEE86CC173A}" name="Column4667"/>
    <tableColumn id="4682" xr3:uid="{3EF623B6-C899-4F9B-949C-3C38E651DCC0}" name="Column4668"/>
    <tableColumn id="4683" xr3:uid="{DBC63D4D-04D4-4FBF-BC74-09C3D5D84781}" name="Column4669"/>
    <tableColumn id="4684" xr3:uid="{5DF44A07-16F2-4C3E-BABC-5A3290FE6676}" name="Column4670"/>
    <tableColumn id="4685" xr3:uid="{4C749B0E-56C9-4FFE-8FC1-BCFCE8EA9DE0}" name="Column4671"/>
    <tableColumn id="4686" xr3:uid="{DB994406-92AA-4BDA-B1C5-0A0C6DF12E21}" name="Column4672"/>
    <tableColumn id="4687" xr3:uid="{C82DC8D9-CA10-43D9-8A86-EDAF2A1B2E93}" name="Column4673"/>
    <tableColumn id="4688" xr3:uid="{02163AAC-25FD-48EE-916A-6064BEA69AF4}" name="Column4674"/>
    <tableColumn id="4689" xr3:uid="{4C78C937-9EC3-4521-A6D8-C80945123634}" name="Column4675"/>
    <tableColumn id="4690" xr3:uid="{6C1A3C01-4172-4C48-A275-27CC1ADB5EA7}" name="Column4676"/>
    <tableColumn id="4691" xr3:uid="{9895638D-EB0D-4231-B85D-C398AC6313F1}" name="Column4677"/>
    <tableColumn id="4692" xr3:uid="{E72B0D19-5432-4E36-8DC0-6B46C07F5459}" name="Column4678"/>
    <tableColumn id="4693" xr3:uid="{DF85D5A2-2001-45E2-BFE1-FB7F6043222E}" name="Column4679"/>
    <tableColumn id="4694" xr3:uid="{5EB39363-DA1C-4DC8-B828-85A712F67951}" name="Column4680"/>
    <tableColumn id="4695" xr3:uid="{98A2320A-ED33-4154-9F4A-28EABAB0CD36}" name="Column4681"/>
    <tableColumn id="4696" xr3:uid="{AF89E3A1-8554-4855-B83C-CCB483533F7D}" name="Column4682"/>
    <tableColumn id="4697" xr3:uid="{1578A0D3-3156-432A-9571-742DD145E9CA}" name="Column4683"/>
    <tableColumn id="4698" xr3:uid="{EEA749C1-8E65-4B6E-A0E7-21D9147C94F3}" name="Column4684"/>
    <tableColumn id="4699" xr3:uid="{4E8F9007-5C24-48F8-80FA-A093950E52EE}" name="Column4685"/>
    <tableColumn id="4700" xr3:uid="{E33EAE4D-B16A-48CC-9577-5F73532CEF1D}" name="Column4686"/>
    <tableColumn id="4701" xr3:uid="{4A20BC3C-D436-46DC-904A-7BA56B57A0BF}" name="Column4687"/>
    <tableColumn id="4702" xr3:uid="{71E75C47-AF96-4663-AC60-D4827F67FD46}" name="Column4688"/>
    <tableColumn id="4703" xr3:uid="{BA5B2478-F3FA-453F-BFA0-F0443AC17FD1}" name="Column4689"/>
    <tableColumn id="4704" xr3:uid="{360AED1A-B749-4F87-A99F-5EC5E1FCA4F5}" name="Column4690"/>
    <tableColumn id="4705" xr3:uid="{907995BC-DDC9-48A3-BEF3-B76FC0643DF4}" name="Column4691"/>
    <tableColumn id="4706" xr3:uid="{D8352924-D66D-4ACE-BA27-DF2374BA4B85}" name="Column4692"/>
    <tableColumn id="4707" xr3:uid="{74D072EE-32E3-4B09-828F-38B8A02B3C34}" name="Column4693"/>
    <tableColumn id="4708" xr3:uid="{A9E4E276-AB2A-4240-ADC8-0932483210CB}" name="Column4694"/>
    <tableColumn id="4709" xr3:uid="{9ED00787-6E00-47F1-92BB-FFA0FB60CD77}" name="Column4695"/>
    <tableColumn id="4710" xr3:uid="{D2BFA910-FDBE-45D4-A3F1-D4886939017E}" name="Column4696"/>
    <tableColumn id="4711" xr3:uid="{63B5B787-D3BC-4EA0-89D0-D6C1A08034D0}" name="Column4697"/>
    <tableColumn id="4712" xr3:uid="{5773E938-D8F9-49DA-A464-DC3C93C4BEFB}" name="Column4698"/>
    <tableColumn id="4713" xr3:uid="{67602BA1-C50F-444E-B792-8E2A0D51AE1E}" name="Column4699"/>
    <tableColumn id="4714" xr3:uid="{8F3156D5-40DD-4305-A004-A29DCA11A57D}" name="Column4700"/>
    <tableColumn id="4715" xr3:uid="{418168B6-E50B-4739-8D46-8016124BF7D5}" name="Column4701"/>
    <tableColumn id="4716" xr3:uid="{42A320F3-7F98-4D9C-A025-E12B4B369A77}" name="Column4702"/>
    <tableColumn id="4717" xr3:uid="{23F6E0AC-15BF-4091-A0FE-7D1E5DEC2B66}" name="Column4703"/>
    <tableColumn id="4718" xr3:uid="{7BCBA94D-97DB-41C9-B032-D87CA078FA07}" name="Column4704"/>
    <tableColumn id="4719" xr3:uid="{7D461B0E-FA0C-48D9-9E3F-FC63012E43C8}" name="Column4705"/>
    <tableColumn id="4720" xr3:uid="{403734D8-739B-46C8-9ACE-B322A8F2766F}" name="Column4706"/>
    <tableColumn id="4721" xr3:uid="{22715256-C836-4386-9268-108A5E861C68}" name="Column4707"/>
    <tableColumn id="4722" xr3:uid="{371C26F7-299D-4E98-B1B1-827EAE362CF5}" name="Column4708"/>
    <tableColumn id="4723" xr3:uid="{EDAFCADE-0C12-4706-A6B8-81AAB5F6C331}" name="Column4709"/>
    <tableColumn id="4724" xr3:uid="{9211D978-655F-4ACD-AD34-2A92880C783E}" name="Column4710"/>
    <tableColumn id="4725" xr3:uid="{7221EC4C-8DA0-42E3-8B85-0644EB7CEBD1}" name="Column4711"/>
    <tableColumn id="4726" xr3:uid="{9BE27A93-27E4-4879-BF55-87BFA0CA72E1}" name="Column4712"/>
    <tableColumn id="4727" xr3:uid="{C52C60E0-D924-4198-9C36-B8676D49EC1D}" name="Column4713"/>
    <tableColumn id="4728" xr3:uid="{1F5B4779-85D1-4105-BCB2-3B7D98026B11}" name="Column4714"/>
    <tableColumn id="4729" xr3:uid="{C2A9FE1E-4FEC-480B-AE7C-48ED79134665}" name="Column4715"/>
    <tableColumn id="4730" xr3:uid="{8BCA54C8-F83D-40C2-87F5-DF7C59959384}" name="Column4716"/>
    <tableColumn id="4731" xr3:uid="{594C362E-FF2D-4C47-8CD8-DF0B3E4B5DA0}" name="Column4717"/>
    <tableColumn id="4732" xr3:uid="{B5EAEBD2-E10B-4680-852D-7569385BFD4A}" name="Column4718"/>
    <tableColumn id="4733" xr3:uid="{78F8E664-8715-4526-B2FD-0AE02FEADFC7}" name="Column4719"/>
    <tableColumn id="4734" xr3:uid="{42CF05D3-CFC9-4424-AA12-13D15F94F98C}" name="Column4720"/>
    <tableColumn id="4735" xr3:uid="{EEEB406A-0AC8-4937-82E0-AD0C59B9C24B}" name="Column4721"/>
    <tableColumn id="4736" xr3:uid="{A1E9BFCD-5F51-455B-9E95-654A1212D909}" name="Column4722"/>
    <tableColumn id="4737" xr3:uid="{86759EBF-E328-4D8D-B535-1BFD432242E4}" name="Column4723"/>
    <tableColumn id="4738" xr3:uid="{3F47E435-6B23-4555-AC64-3423ECF61ED1}" name="Column4724"/>
    <tableColumn id="4739" xr3:uid="{E394F9D1-EA11-4221-BDF2-B680A4B2E97E}" name="Column4725"/>
    <tableColumn id="4740" xr3:uid="{E7313DAF-44F2-4EAE-B4B4-E25CBD768814}" name="Column4726"/>
    <tableColumn id="4741" xr3:uid="{BC21CDAF-B1D4-4276-A10D-A91C3F27595B}" name="Column4727"/>
    <tableColumn id="4742" xr3:uid="{52115329-E0EA-4B5A-8179-34982285F2BF}" name="Column4728"/>
    <tableColumn id="4743" xr3:uid="{215FA4EB-376F-49AB-8C16-DBD62468DD08}" name="Column4729"/>
    <tableColumn id="4744" xr3:uid="{4D22BB3E-A9C1-45C3-A57C-8299EDD820BA}" name="Column4730"/>
    <tableColumn id="4745" xr3:uid="{A88809E0-3F1D-4EC0-9EAF-011D2EA98D21}" name="Column4731"/>
    <tableColumn id="4746" xr3:uid="{739C238B-B6DE-4619-8E7D-ACF48D17FA95}" name="Column4732"/>
    <tableColumn id="4747" xr3:uid="{CBBAC15A-6507-4237-904A-9E2899F39974}" name="Column4733"/>
    <tableColumn id="4748" xr3:uid="{C574D93A-AABA-4219-9188-10E5F56BF50D}" name="Column4734"/>
    <tableColumn id="4749" xr3:uid="{9133E6C5-FC9B-48A5-80BD-32E00EADDBAB}" name="Column4735"/>
    <tableColumn id="4750" xr3:uid="{0A63E26A-0B1B-4B86-82B2-F9C0CFD8E4B9}" name="Column4736"/>
    <tableColumn id="4751" xr3:uid="{173D2633-F012-4B0B-AA85-2031BD2318C4}" name="Column4737"/>
    <tableColumn id="4752" xr3:uid="{CAFE6693-E4CF-4CF7-8D51-B4B5B8A1CC7C}" name="Column4738"/>
    <tableColumn id="4753" xr3:uid="{D9E78DEB-5679-42A4-9888-17ABE20500A2}" name="Column4739"/>
    <tableColumn id="4754" xr3:uid="{36FD225D-5B13-4492-BBFB-439B6DBBD7C3}" name="Column4740"/>
    <tableColumn id="4755" xr3:uid="{076233AC-38AC-439C-861F-4D1CD84F8AF9}" name="Column4741"/>
    <tableColumn id="4756" xr3:uid="{D8847AB9-FFC1-4C6A-A007-39D8F705BD46}" name="Column4742"/>
    <tableColumn id="4757" xr3:uid="{E2E90A64-5383-47DA-82EC-E4F9E966B4C6}" name="Column4743"/>
    <tableColumn id="4758" xr3:uid="{D6726454-A527-40B1-B89F-42CA71B5BB11}" name="Column4744"/>
    <tableColumn id="4759" xr3:uid="{2020A199-ED63-4BB0-A776-091B0CA7883C}" name="Column4745"/>
    <tableColumn id="4760" xr3:uid="{2526D0D2-34CB-44DC-9E99-42D798B117A5}" name="Column4746"/>
    <tableColumn id="4761" xr3:uid="{33A808CA-BD9F-4098-BCB4-52A5BC4F3873}" name="Column4747"/>
    <tableColumn id="4762" xr3:uid="{7E0C0158-88B1-441C-BF80-89C49DCC0BDF}" name="Column4748"/>
    <tableColumn id="4763" xr3:uid="{1F0518A5-EF23-4DBA-85FE-FEC20B360A8A}" name="Column4749"/>
    <tableColumn id="4764" xr3:uid="{8413917F-4A93-465C-B37D-8F548794472A}" name="Column4750"/>
    <tableColumn id="4765" xr3:uid="{A8043C38-4607-4939-B6E6-BE3BC4770F14}" name="Column4751"/>
    <tableColumn id="4766" xr3:uid="{62C9EA39-93DE-4599-9749-1E239F95D108}" name="Column4752"/>
    <tableColumn id="4767" xr3:uid="{34C74F98-C228-4F6A-920B-CBEE98922E1C}" name="Column4753"/>
    <tableColumn id="4768" xr3:uid="{9BDC189D-4570-4431-8FF5-51D41272EAC5}" name="Column4754"/>
    <tableColumn id="4769" xr3:uid="{2050FD68-779E-4DDB-B37A-8B09603C91AB}" name="Column4755"/>
    <tableColumn id="4770" xr3:uid="{1B312883-1D2D-41D5-98E9-397F5A03B95E}" name="Column4756"/>
    <tableColumn id="4771" xr3:uid="{666F23AC-250D-4F99-B843-9C08759E7CB3}" name="Column4757"/>
    <tableColumn id="4772" xr3:uid="{8A423E74-DCF4-4676-9B09-81FABB6CD14F}" name="Column4758"/>
    <tableColumn id="4773" xr3:uid="{F9F1D9D0-5EF3-4AF8-AE19-D5DC34EF77A6}" name="Column4759"/>
    <tableColumn id="4774" xr3:uid="{D54B1692-766B-419A-AB95-A4AE761E254F}" name="Column4760"/>
    <tableColumn id="4775" xr3:uid="{553A2BE2-D69F-492E-91EC-7B69241C8669}" name="Column4761"/>
    <tableColumn id="4776" xr3:uid="{9ACBDE8B-5BD1-498A-85F6-6CB619DED06A}" name="Column4762"/>
    <tableColumn id="4777" xr3:uid="{4E6B4EDE-A5B0-468F-B01B-6288CDC0611E}" name="Column4763"/>
    <tableColumn id="4778" xr3:uid="{070CE9A7-40EB-4243-853A-4FC37D01AA0E}" name="Column4764"/>
    <tableColumn id="4779" xr3:uid="{19A9F5F2-3EF6-4A66-866D-EE9DBA3F2CA1}" name="Column4765"/>
    <tableColumn id="4780" xr3:uid="{3E358667-41CF-4D59-8265-17A4F2813E92}" name="Column4766"/>
    <tableColumn id="4781" xr3:uid="{4C41F276-09FA-4928-AB64-23D424CDE928}" name="Column4767"/>
    <tableColumn id="4782" xr3:uid="{F7B44E6C-6413-4FF5-8A0D-F188A6DB7A45}" name="Column4768"/>
    <tableColumn id="4783" xr3:uid="{1E24A256-DB3A-4682-9E1E-936A9DACA8E5}" name="Column4769"/>
    <tableColumn id="4784" xr3:uid="{3FAABF1D-682F-47E5-AFBC-E3F16BE43ADB}" name="Column4770"/>
    <tableColumn id="4785" xr3:uid="{2DD8A237-13AE-441B-8F7C-26FD84907A9D}" name="Column4771"/>
    <tableColumn id="4786" xr3:uid="{68820799-8764-4B3C-AC80-E89DC496088A}" name="Column4772"/>
    <tableColumn id="4787" xr3:uid="{F553F01B-595B-41F8-97BC-3E65BE6B13A2}" name="Column4773"/>
    <tableColumn id="4788" xr3:uid="{E69C7436-B079-4F51-8DF0-259D152E2988}" name="Column4774"/>
    <tableColumn id="4789" xr3:uid="{AF0DD347-09A6-430C-9739-DD9ED27530C2}" name="Column4775"/>
    <tableColumn id="4790" xr3:uid="{5D55CEF6-7018-4B07-9FFB-E7DB765E7F4A}" name="Column4776"/>
    <tableColumn id="4791" xr3:uid="{5B1DF2CB-E0D8-4148-9FFD-48CAA9A0B3B5}" name="Column4777"/>
    <tableColumn id="4792" xr3:uid="{C68FFD60-3DD1-4240-B193-2D514A04870D}" name="Column4778"/>
    <tableColumn id="4793" xr3:uid="{A57DF722-08C3-42F6-A2B9-953D159F6FDC}" name="Column4779"/>
    <tableColumn id="4794" xr3:uid="{ACCCA2D4-B324-4AEF-9AEF-08FEEA5ADA9A}" name="Column4780"/>
    <tableColumn id="4795" xr3:uid="{076FF1BA-0657-420C-B320-DBD17B10A080}" name="Column4781"/>
    <tableColumn id="4796" xr3:uid="{BA9D29AB-100C-4CC0-BE23-DA36D2B212A0}" name="Column4782"/>
    <tableColumn id="4797" xr3:uid="{CE49E33A-8B5B-45C6-B7FC-1D18464BF7FA}" name="Column4783"/>
    <tableColumn id="4798" xr3:uid="{EB121ED8-DD20-4A4B-B55A-ABAD1A443509}" name="Column4784"/>
    <tableColumn id="4799" xr3:uid="{364E8179-62BA-4034-9F45-325860B5F7D5}" name="Column4785"/>
    <tableColumn id="4800" xr3:uid="{50F2077B-CEB6-421B-A482-E90C7804D32A}" name="Column4786"/>
    <tableColumn id="4801" xr3:uid="{7EFD1A70-7EDD-43BE-8EAA-84592E98EC32}" name="Column4787"/>
    <tableColumn id="4802" xr3:uid="{6DCF827C-BC2B-42E5-B601-ADFE791D0935}" name="Column4788"/>
    <tableColumn id="4803" xr3:uid="{B896F1C0-2E3E-4621-AD5E-11004CF1770D}" name="Column4789"/>
    <tableColumn id="4804" xr3:uid="{D0A66843-569B-4190-B340-A5D8F05AC384}" name="Column4790"/>
    <tableColumn id="4805" xr3:uid="{B55E03FE-3C56-4BF5-B867-ECEE5C3A906F}" name="Column4791"/>
    <tableColumn id="4806" xr3:uid="{87A10770-26C5-40DD-9430-2CC1FAEC01D2}" name="Column4792"/>
    <tableColumn id="4807" xr3:uid="{AD91F129-C2FF-4FF6-B5E4-0FFD7CD43C19}" name="Column4793"/>
    <tableColumn id="4808" xr3:uid="{3C5109B3-0B4C-4EE9-A12D-8DBAE85768B3}" name="Column4794"/>
    <tableColumn id="4809" xr3:uid="{9636097B-104F-421F-B6E5-F508F6F6316D}" name="Column4795"/>
    <tableColumn id="4810" xr3:uid="{38F71EE6-0EF6-41A5-9926-6FECF8BDAA97}" name="Column4796"/>
    <tableColumn id="4811" xr3:uid="{CCD0558A-D85A-4D6B-8DA6-10BFD60F5B25}" name="Column4797"/>
    <tableColumn id="4812" xr3:uid="{5E8F9E0D-F1B7-4656-AFA2-238305AA02F9}" name="Column4798"/>
    <tableColumn id="4813" xr3:uid="{20F2C44A-E43C-4400-AF38-526AFC688A27}" name="Column4799"/>
    <tableColumn id="4814" xr3:uid="{8F99ECCF-FB3B-4E1C-BFB0-632E774953AE}" name="Column4800"/>
    <tableColumn id="4815" xr3:uid="{0614AB3A-156A-47DE-AB67-47A399ED6F2C}" name="Column4801"/>
    <tableColumn id="4816" xr3:uid="{9ED02987-E874-4244-9963-46F1D142E994}" name="Column4802"/>
    <tableColumn id="4817" xr3:uid="{341E4491-F1C1-4712-8B98-3AF67852E73C}" name="Column4803"/>
    <tableColumn id="4818" xr3:uid="{BD6CF6D0-25A3-4896-9016-38304B208F21}" name="Column4804"/>
    <tableColumn id="4819" xr3:uid="{B021F848-88AC-4F27-B050-759AB8593D57}" name="Column4805"/>
    <tableColumn id="4820" xr3:uid="{7EC231F0-63DD-4072-B01E-B3DF9E78263A}" name="Column4806"/>
    <tableColumn id="4821" xr3:uid="{98AEDEC3-97B7-4EFB-916B-650032169DC1}" name="Column4807"/>
    <tableColumn id="4822" xr3:uid="{833D8C01-7987-445D-8923-324231B3E072}" name="Column4808"/>
    <tableColumn id="4823" xr3:uid="{0007E091-C2E1-4DE6-AE2D-E4990B6086D6}" name="Column4809"/>
    <tableColumn id="4824" xr3:uid="{290B3637-75D2-4895-A667-86A31437E541}" name="Column4810"/>
    <tableColumn id="4825" xr3:uid="{6E1A2190-720A-4EF9-98F2-DA1085FD8472}" name="Column4811"/>
    <tableColumn id="4826" xr3:uid="{9D1A0F26-6BCF-4D1D-838B-808B59977D49}" name="Column4812"/>
    <tableColumn id="4827" xr3:uid="{F9357EDF-B30E-4B1B-90FF-FFCECF463A62}" name="Column4813"/>
    <tableColumn id="4828" xr3:uid="{AF7F1281-3266-4535-A22D-73147243D4BA}" name="Column4814"/>
    <tableColumn id="4829" xr3:uid="{C654A35A-5C87-4F7E-B5D7-8A604552D91F}" name="Column4815"/>
    <tableColumn id="4830" xr3:uid="{D859220D-938F-4FCB-8683-ED4638265612}" name="Column4816"/>
    <tableColumn id="4831" xr3:uid="{0B81A9D4-AD67-4485-934C-422DE7A3C4C1}" name="Column4817"/>
    <tableColumn id="4832" xr3:uid="{EE50DEE2-43D5-415F-9A44-D1260A0532C9}" name="Column4818"/>
    <tableColumn id="4833" xr3:uid="{509890B5-A9BD-468F-8DDF-8ED60DEE79E7}" name="Column4819"/>
    <tableColumn id="4834" xr3:uid="{86035684-7E83-4298-8C85-99AF5A3FD7AC}" name="Column4820"/>
    <tableColumn id="4835" xr3:uid="{C2EAC494-19A6-477B-883C-92AE0D7049F1}" name="Column4821"/>
    <tableColumn id="4836" xr3:uid="{B28515B3-61B0-4C98-A263-CEF18C67688F}" name="Column4822"/>
    <tableColumn id="4837" xr3:uid="{8BF32E5A-B3DC-48CF-B1F9-AD2D4CB6CFC3}" name="Column4823"/>
    <tableColumn id="4838" xr3:uid="{944E15B8-50E8-4479-A67C-69FA5866F436}" name="Column4824"/>
    <tableColumn id="4839" xr3:uid="{322B8994-25BA-484D-9546-9A297B3D7770}" name="Column4825"/>
    <tableColumn id="4840" xr3:uid="{3BE6824B-C75C-4459-A9CE-6FBAFB8D4635}" name="Column4826"/>
    <tableColumn id="4841" xr3:uid="{26FF4BFD-F097-4FEE-874A-BBEA4A9CB749}" name="Column4827"/>
    <tableColumn id="4842" xr3:uid="{365A48A1-AE82-4172-86CF-C96DA5A47291}" name="Column4828"/>
    <tableColumn id="4843" xr3:uid="{1A9EF6C1-1368-43AF-9717-33DC93741635}" name="Column4829"/>
    <tableColumn id="4844" xr3:uid="{DD3E76C7-2648-4720-A650-F9B191F7591A}" name="Column4830"/>
    <tableColumn id="4845" xr3:uid="{5BDCE74E-9A74-4B9C-9EAD-414620EF993E}" name="Column4831"/>
    <tableColumn id="4846" xr3:uid="{D98A55EA-BBAC-43BE-A35A-4382AAD58C3B}" name="Column4832"/>
    <tableColumn id="4847" xr3:uid="{63994E99-144B-476B-B472-BE3648DA181A}" name="Column4833"/>
    <tableColumn id="4848" xr3:uid="{E5BDAEF0-AD6F-4F83-9AE5-F86282C3DE81}" name="Column4834"/>
    <tableColumn id="4849" xr3:uid="{8EF613BA-6A03-4422-B681-80308013F3CD}" name="Column4835"/>
    <tableColumn id="4850" xr3:uid="{0A43F076-6929-4D5A-B4FB-A275577D9FAF}" name="Column4836"/>
    <tableColumn id="4851" xr3:uid="{4A7C5A13-9D07-4FAC-8FC6-B90D4F87344C}" name="Column4837"/>
    <tableColumn id="4852" xr3:uid="{FDA4FB81-79D4-4786-BD29-9E41A644F494}" name="Column4838"/>
    <tableColumn id="4853" xr3:uid="{2871CC85-8AC0-4007-BCDB-1200AE999568}" name="Column4839"/>
    <tableColumn id="4854" xr3:uid="{DEB65116-E5F2-4038-BB3F-F385CCBBA860}" name="Column4840"/>
    <tableColumn id="4855" xr3:uid="{04A39F77-CC5C-4D99-96CD-CCE1967C5347}" name="Column4841"/>
    <tableColumn id="4856" xr3:uid="{9D1E0239-14BC-43C7-BEAE-384FE46D999E}" name="Column4842"/>
    <tableColumn id="4857" xr3:uid="{696BE9A0-295E-45B8-9C7C-5CCC2F96DB2F}" name="Column4843"/>
    <tableColumn id="4858" xr3:uid="{FD3A39D7-0540-4D82-919E-109A5C452355}" name="Column4844"/>
    <tableColumn id="4859" xr3:uid="{22EBE66F-0947-404A-A206-7B38EA931FE3}" name="Column4845"/>
    <tableColumn id="4860" xr3:uid="{32D097B6-7335-4335-ADDC-7BAA805DFC63}" name="Column4846"/>
    <tableColumn id="4861" xr3:uid="{A529C5E6-75F7-454D-BE19-421E8E47C4F2}" name="Column4847"/>
    <tableColumn id="4862" xr3:uid="{00A07F33-90C3-49E5-A3C6-F1ED40E65808}" name="Column4848"/>
    <tableColumn id="4863" xr3:uid="{0DFF4F29-E8D8-487A-96D6-59D8525BC53C}" name="Column4849"/>
    <tableColumn id="4864" xr3:uid="{6E348FAE-1765-46D1-8D6C-4258937087AD}" name="Column4850"/>
    <tableColumn id="4865" xr3:uid="{7EC87449-D8E2-4D2C-BE42-D3B79C667D40}" name="Column4851"/>
    <tableColumn id="4866" xr3:uid="{F74B694E-DD07-487F-888D-80909444CCE4}" name="Column4852"/>
    <tableColumn id="4867" xr3:uid="{BE213B91-B9D9-4AA4-836A-44C7D4DDB5E3}" name="Column4853"/>
    <tableColumn id="4868" xr3:uid="{05D5357E-0E01-4581-8CE0-0F416B84F996}" name="Column4854"/>
    <tableColumn id="4869" xr3:uid="{5937243E-A179-4EBF-856A-49C98D4A964F}" name="Column4855"/>
    <tableColumn id="4870" xr3:uid="{7157CB0B-BC37-45F4-9551-68728044B552}" name="Column4856"/>
    <tableColumn id="4871" xr3:uid="{497900E0-BC19-4287-BE52-66C2E2D14A33}" name="Column4857"/>
    <tableColumn id="4872" xr3:uid="{B08E4331-9FFC-4F15-9A52-21909A2BB860}" name="Column4858"/>
    <tableColumn id="4873" xr3:uid="{F049E95B-2960-49EB-A268-D299FA8AF993}" name="Column4859"/>
    <tableColumn id="4874" xr3:uid="{89C03C95-B902-4D03-9E68-C7D981F78785}" name="Column4860"/>
    <tableColumn id="4875" xr3:uid="{E886642D-C606-4275-8C2F-947AE89DF3E7}" name="Column4861"/>
    <tableColumn id="4876" xr3:uid="{41701A44-8F96-471D-951E-48E591819B77}" name="Column4862"/>
    <tableColumn id="4877" xr3:uid="{DE9A0D3F-0A4E-4539-8429-95F36B5E5E08}" name="Column4863"/>
    <tableColumn id="4878" xr3:uid="{4EF146EE-BFFF-4902-9707-97483DEE35C5}" name="Column4864"/>
    <tableColumn id="4879" xr3:uid="{AE736BDA-737B-4BE1-ADA0-816DD3EA8D69}" name="Column4865"/>
    <tableColumn id="4880" xr3:uid="{05E4CE49-F6A3-4C4C-AB8E-C86BC3312C5B}" name="Column4866"/>
    <tableColumn id="4881" xr3:uid="{0D8B9E89-3364-419C-BD9C-5EAAF90592AA}" name="Column4867"/>
    <tableColumn id="4882" xr3:uid="{568B5C79-A04B-490E-A737-9EA96845657C}" name="Column4868"/>
    <tableColumn id="4883" xr3:uid="{8974332D-092E-43EE-A592-5174A0F2B602}" name="Column4869"/>
    <tableColumn id="4884" xr3:uid="{DD58B484-1227-4E36-B4C4-D1F0CFD5D7D8}" name="Column4870"/>
    <tableColumn id="4885" xr3:uid="{9DEF0C97-0764-4734-BE14-040F679BD333}" name="Column4871"/>
    <tableColumn id="4886" xr3:uid="{CD750121-1E08-4A75-997B-80E8921F3630}" name="Column4872"/>
    <tableColumn id="4887" xr3:uid="{B9D8D7D9-22B2-4159-93EA-0CC630C147AF}" name="Column4873"/>
    <tableColumn id="4888" xr3:uid="{E85FB1AC-F27C-4B26-AED9-26337602F09C}" name="Column4874"/>
    <tableColumn id="4889" xr3:uid="{6904967A-6024-4BC0-81EA-92B747A1A930}" name="Column4875"/>
    <tableColumn id="4890" xr3:uid="{FF88F2A9-5B95-4C4F-9255-F86639D1048B}" name="Column4876"/>
    <tableColumn id="4891" xr3:uid="{A5EDDF6F-B22C-492F-BAC9-26B2617A1315}" name="Column4877"/>
    <tableColumn id="4892" xr3:uid="{2549FB37-0116-4DAA-A9CB-8C493ECD9088}" name="Column4878"/>
    <tableColumn id="4893" xr3:uid="{43256574-3403-4508-9ADA-51A2D5830F98}" name="Column4879"/>
    <tableColumn id="4894" xr3:uid="{0AEFA4FE-E4D5-4223-A7E6-BCA3F0FB5987}" name="Column4880"/>
    <tableColumn id="4895" xr3:uid="{78CC238F-271A-4E03-B635-C5D28BADDD4D}" name="Column4881"/>
    <tableColumn id="4896" xr3:uid="{9F9169E2-195B-42F6-B550-009B91D985BB}" name="Column4882"/>
    <tableColumn id="4897" xr3:uid="{E36A892F-EDAE-47A6-A293-5FE08AE7202F}" name="Column4883"/>
    <tableColumn id="4898" xr3:uid="{FD9D8D4B-4020-48CF-B3CB-DDA1CACF6532}" name="Column4884"/>
    <tableColumn id="4899" xr3:uid="{F7801993-6D07-4F70-87B1-1B84FB0B6A1B}" name="Column4885"/>
    <tableColumn id="4900" xr3:uid="{2B4FF25A-E3EC-4BE9-AB7F-B7B6D92F4673}" name="Column4886"/>
    <tableColumn id="4901" xr3:uid="{F9DA4D15-4DB4-43C9-BB29-E236BC797347}" name="Column4887"/>
    <tableColumn id="4902" xr3:uid="{264D6CD2-2F19-4232-BD17-7FD779FEF1AC}" name="Column4888"/>
    <tableColumn id="4903" xr3:uid="{F184C92C-DBA1-4639-8AD2-8DE4E749259D}" name="Column4889"/>
    <tableColumn id="4904" xr3:uid="{0FF4C0BE-0AA2-42D8-AD7A-E6BFAA566BFF}" name="Column4890"/>
    <tableColumn id="4905" xr3:uid="{0D533617-3D95-45AA-A987-5DA0928F7BBD}" name="Column4891"/>
    <tableColumn id="4906" xr3:uid="{D0EAAD4F-A229-4C16-89F8-31CBB53A7B15}" name="Column4892"/>
    <tableColumn id="4907" xr3:uid="{8909552C-E252-486A-8304-80F38F7D2C9B}" name="Column4893"/>
    <tableColumn id="4908" xr3:uid="{E041CB59-E32A-456A-A579-03470BA2D7AA}" name="Column4894"/>
    <tableColumn id="4909" xr3:uid="{7055B087-7557-49DC-A33A-37C0A11EB8C7}" name="Column4895"/>
    <tableColumn id="4910" xr3:uid="{4343A12E-CA17-43C1-AE38-6EBDC3A8F6C1}" name="Column4896"/>
    <tableColumn id="4911" xr3:uid="{C3E5F11D-1E1D-422D-9B62-0017B9627E96}" name="Column4897"/>
    <tableColumn id="4912" xr3:uid="{15987E68-18BD-4A6F-BF8C-0AC49B2EE86D}" name="Column4898"/>
    <tableColumn id="4913" xr3:uid="{D812ADAD-0F4B-44B1-BDD0-7E1500A53EE1}" name="Column4899"/>
    <tableColumn id="4914" xr3:uid="{6A170332-F37A-460E-89EC-D1EC4F629080}" name="Column4900"/>
    <tableColumn id="4915" xr3:uid="{B980273E-D7A3-4340-9FFF-9A7E17B527F0}" name="Column4901"/>
    <tableColumn id="4916" xr3:uid="{6AEA3E6F-5C75-44CC-BECB-594CDBBA85CF}" name="Column4902"/>
    <tableColumn id="4917" xr3:uid="{60C5552D-F8BD-4674-BF09-941F00B9CB06}" name="Column4903"/>
    <tableColumn id="4918" xr3:uid="{7AA35E92-9022-4897-AB2B-1D74750CE6AF}" name="Column4904"/>
    <tableColumn id="4919" xr3:uid="{13690D11-00D9-488F-A979-B80E4E4AB8B9}" name="Column4905"/>
    <tableColumn id="4920" xr3:uid="{217AA707-6314-4ADA-BA42-F1E0C9F180F5}" name="Column4906"/>
    <tableColumn id="4921" xr3:uid="{AD99C766-C140-4674-A456-72A55F39C517}" name="Column4907"/>
    <tableColumn id="4922" xr3:uid="{2406009A-17AB-4E17-B823-4DE209F2CCCC}" name="Column4908"/>
    <tableColumn id="4923" xr3:uid="{63FE9D4A-E74D-444B-AC43-0ABBE75B6810}" name="Column4909"/>
    <tableColumn id="4924" xr3:uid="{F548E607-C69E-425B-9741-FABAEC15B90F}" name="Column4910"/>
    <tableColumn id="4925" xr3:uid="{F2BD0C36-6174-4603-95E9-D1C2B7F8D067}" name="Column4911"/>
    <tableColumn id="4926" xr3:uid="{DEC7385B-8377-46D1-ADDD-CACBC4AA3638}" name="Column4912"/>
    <tableColumn id="4927" xr3:uid="{E2B87670-F612-4B0B-84D7-A6EAEA09B859}" name="Column4913"/>
    <tableColumn id="4928" xr3:uid="{FD9672F8-EA7E-401E-8B4D-C49D152037B4}" name="Column4914"/>
    <tableColumn id="4929" xr3:uid="{7FA32A6B-29BC-43B2-8EA5-4DC711CE13C4}" name="Column4915"/>
    <tableColumn id="4930" xr3:uid="{4C456E0E-C96E-431E-BC21-F7C89F462004}" name="Column4916"/>
    <tableColumn id="4931" xr3:uid="{540D0862-98F6-48E5-B125-9DC8A5B3D273}" name="Column4917"/>
    <tableColumn id="4932" xr3:uid="{A60A7B1D-5105-4E3B-B9FD-AED518039C5A}" name="Column4918"/>
    <tableColumn id="4933" xr3:uid="{4BBBAC8F-FE9A-405B-8691-0B396173E2B2}" name="Column4919"/>
    <tableColumn id="4934" xr3:uid="{A239D0AD-F16D-40F5-BE17-DC69BCCE6CF0}" name="Column4920"/>
    <tableColumn id="4935" xr3:uid="{B52053C5-ED84-41EF-85BC-FD21B537ABCB}" name="Column4921"/>
    <tableColumn id="4936" xr3:uid="{38E581A4-A1E2-4C6C-BEE8-94A1CD6576B0}" name="Column4922"/>
    <tableColumn id="4937" xr3:uid="{B6ED7547-F386-4620-8F10-34CAF7EEAFEE}" name="Column4923"/>
    <tableColumn id="4938" xr3:uid="{E60BF785-6BE4-4E58-B006-8F5C61F2E312}" name="Column4924"/>
    <tableColumn id="4939" xr3:uid="{45A26279-F20A-49B9-A7E0-1CE4390CB07D}" name="Column4925"/>
    <tableColumn id="4940" xr3:uid="{D97EF1C8-7575-4D95-8D26-56E8CEB97AD0}" name="Column4926"/>
    <tableColumn id="4941" xr3:uid="{FBA416C9-2FA7-44E9-B1D1-95731A4173EB}" name="Column4927"/>
    <tableColumn id="4942" xr3:uid="{1F7D00F8-E444-4287-8BD9-FCF662CB01A9}" name="Column4928"/>
    <tableColumn id="4943" xr3:uid="{4EECEDEC-816D-4218-9DCF-ED110815459E}" name="Column4929"/>
    <tableColumn id="4944" xr3:uid="{A7040021-8E88-4F91-8750-042008DDD9D0}" name="Column4930"/>
    <tableColumn id="4945" xr3:uid="{6CA646E3-2688-4A2F-BB78-52BC46D68D66}" name="Column4931"/>
    <tableColumn id="4946" xr3:uid="{7D91CF2D-3C8F-4199-803C-7E4A0A95DC3C}" name="Column4932"/>
    <tableColumn id="4947" xr3:uid="{6F321184-6328-44D9-A790-0B3AD13F6657}" name="Column4933"/>
    <tableColumn id="4948" xr3:uid="{B7AB1BAD-5B99-4277-9468-D765B67C36AA}" name="Column4934"/>
    <tableColumn id="4949" xr3:uid="{5E697CB4-A7DB-4BB1-BAD7-1DB8DA9707D4}" name="Column4935"/>
    <tableColumn id="4950" xr3:uid="{7EAC835A-751B-4576-AAE9-6C9E67251105}" name="Column4936"/>
    <tableColumn id="4951" xr3:uid="{D656B9D3-57E7-4188-8FF9-64FF45C2D7FF}" name="Column4937"/>
    <tableColumn id="4952" xr3:uid="{EBB8245B-6E46-4021-81BB-0E784AF0C274}" name="Column4938"/>
    <tableColumn id="4953" xr3:uid="{552172D3-4D07-4D56-B45C-F749FF66CCE6}" name="Column4939"/>
    <tableColumn id="4954" xr3:uid="{67970125-61F4-42A9-9BA3-735CBB08CA26}" name="Column4940"/>
    <tableColumn id="4955" xr3:uid="{E9AA2193-B8A7-4BE9-9863-CB6869798E5C}" name="Column4941"/>
    <tableColumn id="4956" xr3:uid="{9BD3052C-BD0C-47A1-86AB-A07EA2A9AE9C}" name="Column4942"/>
    <tableColumn id="4957" xr3:uid="{2629D5B6-6825-4AEA-BDAE-AEE809107DB4}" name="Column4943"/>
    <tableColumn id="4958" xr3:uid="{DCF9C171-2F57-43EB-A5A5-BABB5583CB1A}" name="Column4944"/>
    <tableColumn id="4959" xr3:uid="{685B4E8D-C2DE-4219-85BD-7F3B6BA1DBFD}" name="Column4945"/>
    <tableColumn id="4960" xr3:uid="{DCF39E8B-9761-404F-864B-552DC795A139}" name="Column4946"/>
    <tableColumn id="4961" xr3:uid="{39D99C73-4752-481F-8766-AC7DD3256B50}" name="Column4947"/>
    <tableColumn id="4962" xr3:uid="{79D4246F-86DD-4349-8DB7-3EFEC1A01D09}" name="Column4948"/>
    <tableColumn id="4963" xr3:uid="{0668A210-2107-4FE1-8F9A-90F32AC67FAF}" name="Column4949"/>
    <tableColumn id="4964" xr3:uid="{BE5346BA-0D7B-4863-AEB2-80F3C716940B}" name="Column4950"/>
    <tableColumn id="4965" xr3:uid="{C1077BC1-1AC1-47D2-A43E-0D035A47EBC8}" name="Column4951"/>
    <tableColumn id="4966" xr3:uid="{5C5A62B1-A837-43AC-86E5-5590E1F26C04}" name="Column4952"/>
    <tableColumn id="4967" xr3:uid="{974AD92F-1F52-42DB-80EC-F2D78CB85856}" name="Column4953"/>
    <tableColumn id="4968" xr3:uid="{D1F07605-0C32-49C6-9C28-09BA5F59B8C2}" name="Column4954"/>
    <tableColumn id="4969" xr3:uid="{B5D7DF0A-690A-4D0B-96C5-BAC810F269FB}" name="Column4955"/>
    <tableColumn id="4970" xr3:uid="{58C284C3-7101-47E0-B3B7-B356498DFD2C}" name="Column4956"/>
    <tableColumn id="4971" xr3:uid="{52AB8EB2-C87A-49E5-9F8F-4ECA65790A72}" name="Column4957"/>
    <tableColumn id="4972" xr3:uid="{C70CC806-ABA5-4AF2-99E6-06E690ED818E}" name="Column4958"/>
    <tableColumn id="4973" xr3:uid="{B08FD39F-F40D-4FE0-B577-5AA1B2EBD6CC}" name="Column4959"/>
    <tableColumn id="4974" xr3:uid="{07328F88-F0F2-4753-AF09-EE44D65FE10E}" name="Column4960"/>
    <tableColumn id="4975" xr3:uid="{DC5C1757-8DCD-452F-B5DF-DFE8CEBA10CB}" name="Column4961"/>
    <tableColumn id="4976" xr3:uid="{DA9D4D4F-74B5-4BEE-BAA1-4C6901419699}" name="Column4962"/>
    <tableColumn id="4977" xr3:uid="{34F14036-2741-419C-9656-B1FAB7E57164}" name="Column4963"/>
    <tableColumn id="4978" xr3:uid="{8F8F538A-4B29-4F50-B769-56304F41DF59}" name="Column4964"/>
    <tableColumn id="4979" xr3:uid="{9D1297F5-FE06-4412-815E-106916B0D828}" name="Column4965"/>
    <tableColumn id="4980" xr3:uid="{8275AEC7-1C9B-4951-8026-63407D438B04}" name="Column4966"/>
    <tableColumn id="4981" xr3:uid="{2CC7E292-7DAA-47C3-B289-412FADEE3A2C}" name="Column4967"/>
    <tableColumn id="4982" xr3:uid="{A0BC4724-E0AC-4223-99C5-FEDD2C2D33C0}" name="Column4968"/>
    <tableColumn id="4983" xr3:uid="{F542919C-CC37-440F-AF6D-C2B7D02A5180}" name="Column4969"/>
    <tableColumn id="4984" xr3:uid="{181D1260-F3CB-4F2B-8281-EB15725FC27A}" name="Column4970"/>
    <tableColumn id="4985" xr3:uid="{6ACC60B8-8F2C-4C28-90CA-A41A7D8A9C52}" name="Column4971"/>
    <tableColumn id="4986" xr3:uid="{87FEE30F-5F36-4F18-B5E6-D18435CD437C}" name="Column4972"/>
    <tableColumn id="4987" xr3:uid="{B63E7C16-27C0-46B7-933D-051D01F26C25}" name="Column4973"/>
    <tableColumn id="4988" xr3:uid="{227E2DFE-6DE3-448F-9C17-819A91779123}" name="Column4974"/>
    <tableColumn id="4989" xr3:uid="{377B1AFD-C847-499E-80BA-0005E2A0DDDB}" name="Column4975"/>
    <tableColumn id="4990" xr3:uid="{551C3229-CE1A-4852-8D4F-B4BB7E0CA0E4}" name="Column4976"/>
    <tableColumn id="4991" xr3:uid="{5B16DA4B-01D8-45E1-A00A-94D9666FF0A8}" name="Column4977"/>
    <tableColumn id="4992" xr3:uid="{272915EF-A83F-4258-BBA4-58A0277B72C8}" name="Column4978"/>
    <tableColumn id="4993" xr3:uid="{919E76ED-C658-4D3E-B065-1F78338C71DA}" name="Column4979"/>
    <tableColumn id="4994" xr3:uid="{EFDA8BF7-E9C4-444A-8AC5-7061BCF8DBF3}" name="Column4980"/>
    <tableColumn id="4995" xr3:uid="{9E50A30F-E721-4B4C-AEB9-5973B65D0885}" name="Column4981"/>
    <tableColumn id="4996" xr3:uid="{4C069B9C-8D90-4DA3-A40B-04002354F476}" name="Column4982"/>
    <tableColumn id="4997" xr3:uid="{48299384-969C-4DBE-9FB4-37D264442056}" name="Column4983"/>
    <tableColumn id="4998" xr3:uid="{EA091CDE-DE50-4F43-B8DF-D8BACCB6DD26}" name="Column4984"/>
    <tableColumn id="4999" xr3:uid="{F1DECE38-8CE2-4D87-A836-7B1D5C672C84}" name="Column4985"/>
    <tableColumn id="5000" xr3:uid="{FDEF77BC-D83C-48D6-9D16-EF1210C08260}" name="Column4986"/>
    <tableColumn id="5001" xr3:uid="{3424A14A-63F5-425E-9CB6-A709FE82630F}" name="Column4987"/>
    <tableColumn id="5002" xr3:uid="{0C59FB20-F987-432A-9C4B-21C074A30327}" name="Column4988"/>
    <tableColumn id="5003" xr3:uid="{217E4136-EE0E-42BD-B009-2DCBDBE78585}" name="Column4989"/>
    <tableColumn id="5004" xr3:uid="{1316BFBB-404D-4412-BE2F-FFA4DBF7BA3F}" name="Column4990"/>
    <tableColumn id="5005" xr3:uid="{0CD853C3-519F-4068-B5E2-D032243233D1}" name="Column4991"/>
    <tableColumn id="5006" xr3:uid="{EF247E57-B9C8-45C9-AD88-4BE45613A45B}" name="Column4992"/>
    <tableColumn id="5007" xr3:uid="{C7F52DEF-1860-44D8-A4F8-9FB35B991815}" name="Column4993"/>
    <tableColumn id="5008" xr3:uid="{79EB42A2-D52B-46BC-9814-25122AB38A62}" name="Column4994"/>
    <tableColumn id="5009" xr3:uid="{DA72C144-D96E-4447-897F-89F7A9C46ED0}" name="Column4995"/>
    <tableColumn id="5010" xr3:uid="{60EEEACA-A1E9-4396-B651-1F87E92DFF88}" name="Column4996"/>
    <tableColumn id="5011" xr3:uid="{7F9C13DC-1DD8-437B-BFF4-0BF3B58DA802}" name="Column4997"/>
    <tableColumn id="5012" xr3:uid="{1F466895-BE2A-4B6D-A5F2-6DAA73762F4D}" name="Column4998"/>
    <tableColumn id="5013" xr3:uid="{EABCB1FA-703D-4C12-A754-036FC9B71481}" name="Column4999"/>
    <tableColumn id="5014" xr3:uid="{2186597D-31DB-4731-8DBB-F16EE5DE42B2}" name="Column5000"/>
    <tableColumn id="5015" xr3:uid="{91D8F8C1-2337-406C-9BC6-8DDA57A0D9AE}" name="Column5001"/>
    <tableColumn id="5016" xr3:uid="{E5936CBD-051C-4C2C-B298-8F7F2941056B}" name="Column5002"/>
    <tableColumn id="5017" xr3:uid="{667E62D6-5057-4C21-B388-4C11E90AFBA5}" name="Column5003"/>
    <tableColumn id="5018" xr3:uid="{109C3BE7-0B81-457E-9C74-FB273DACF07B}" name="Column5004"/>
    <tableColumn id="5019" xr3:uid="{514547D3-55BF-4E04-8894-768E0580A9DB}" name="Column5005"/>
    <tableColumn id="5020" xr3:uid="{7B16F18B-DF1F-4CAF-82B7-BDAAB343B71C}" name="Column5006"/>
    <tableColumn id="5021" xr3:uid="{BBC95501-5841-41CD-92FD-A8906FE4A0FD}" name="Column5007"/>
    <tableColumn id="5022" xr3:uid="{FE99391F-C3AF-428E-877F-DFBF1C7936FB}" name="Column5008"/>
    <tableColumn id="5023" xr3:uid="{830DA929-B78F-4F78-8471-CAD00B943242}" name="Column5009"/>
    <tableColumn id="5024" xr3:uid="{4B6E93E3-0823-46FD-94D1-46C099D87096}" name="Column5010"/>
    <tableColumn id="5025" xr3:uid="{8E5532E8-CADE-48E1-9D18-53A7F99BD2D0}" name="Column5011"/>
    <tableColumn id="5026" xr3:uid="{0B0C6A42-034F-444C-94EF-F38CB7F6E217}" name="Column5012"/>
    <tableColumn id="5027" xr3:uid="{3C93E6EA-1621-4029-AF60-AE17DDD7D314}" name="Column5013"/>
    <tableColumn id="5028" xr3:uid="{0C7542BB-912B-41D9-9EDF-40EC56AC4D3E}" name="Column5014"/>
    <tableColumn id="5029" xr3:uid="{CF64B7BF-D765-4D3D-AF2B-6B3AAC3392AB}" name="Column5015"/>
    <tableColumn id="5030" xr3:uid="{8A7996DF-9D83-421C-A8F5-D584FCE6D136}" name="Column5016"/>
    <tableColumn id="5031" xr3:uid="{9EA9D380-8AE9-4B1F-B5AE-E3B73810C8DF}" name="Column5017"/>
    <tableColumn id="5032" xr3:uid="{830CEC71-E3FE-4417-87EE-D39C5DF385F1}" name="Column5018"/>
    <tableColumn id="5033" xr3:uid="{89840DFB-244A-49D4-9AFE-C37A8FBA1F35}" name="Column5019"/>
    <tableColumn id="5034" xr3:uid="{319D4868-35D0-43F9-A6A3-EBDE391748CE}" name="Column5020"/>
    <tableColumn id="5035" xr3:uid="{BF987A20-FD9A-47F6-A2A2-5333E9C2678D}" name="Column5021"/>
    <tableColumn id="5036" xr3:uid="{B020DF72-AD60-4B28-8FBA-E7EF72669F5C}" name="Column5022"/>
    <tableColumn id="5037" xr3:uid="{AE3D6A4D-ED5B-49A9-9048-3727185C0A2B}" name="Column5023"/>
    <tableColumn id="5038" xr3:uid="{B2C9FF55-B8F6-4E80-998D-77A604B6F22B}" name="Column5024"/>
    <tableColumn id="5039" xr3:uid="{80BCEF94-CBD2-4642-ABBF-94742D6B1B96}" name="Column5025"/>
    <tableColumn id="5040" xr3:uid="{02C9C0CD-6F63-49C6-ABDC-AE8AD5ECD1C6}" name="Column5026"/>
    <tableColumn id="5041" xr3:uid="{3369E35E-E7E4-475A-8388-C6D2A65E4D06}" name="Column5027"/>
    <tableColumn id="5042" xr3:uid="{B15A6015-AED9-4463-A436-A91CAC686ED5}" name="Column5028"/>
    <tableColumn id="5043" xr3:uid="{FE8948AA-3D80-4BF8-B3C5-E73D1342E1DD}" name="Column5029"/>
    <tableColumn id="5044" xr3:uid="{7F2E6A99-FD31-4A5A-82DC-2A687DC624A7}" name="Column5030"/>
    <tableColumn id="5045" xr3:uid="{AAD3CC9E-AD06-4F4B-BD6C-F769E0C643AA}" name="Column5031"/>
    <tableColumn id="5046" xr3:uid="{57AD3DE1-BF21-40EF-B896-CD76A021F364}" name="Column5032"/>
    <tableColumn id="5047" xr3:uid="{E9FAD6E0-08F9-4EFA-9A63-D8B1D7DBE3C0}" name="Column5033"/>
    <tableColumn id="5048" xr3:uid="{A4FBCD89-0CA2-4825-83A8-5E9F6AD5621D}" name="Column5034"/>
    <tableColumn id="5049" xr3:uid="{E1E50A64-AEC7-4C79-83A9-1FA15CFCBD7A}" name="Column5035"/>
    <tableColumn id="5050" xr3:uid="{96C72D2A-6CD0-44CF-823F-1D967A34DBCB}" name="Column5036"/>
    <tableColumn id="5051" xr3:uid="{C4127E6A-08B6-4CEF-B505-FD45D94A5A9A}" name="Column5037"/>
    <tableColumn id="5052" xr3:uid="{499811E1-B49F-4142-B5B6-5CA1641B4703}" name="Column5038"/>
    <tableColumn id="5053" xr3:uid="{0E7925D3-3ED0-4F52-A0C4-06D171145DC2}" name="Column5039"/>
    <tableColumn id="5054" xr3:uid="{1D3FF977-A63D-479F-92C4-B6751ED8FE1C}" name="Column5040"/>
    <tableColumn id="5055" xr3:uid="{A4722572-40EE-4A95-884A-680118896729}" name="Column5041"/>
    <tableColumn id="5056" xr3:uid="{862E17C0-7C98-41FA-82CC-F82D13D8A44E}" name="Column5042"/>
    <tableColumn id="5057" xr3:uid="{9756E5BC-C7FF-44C2-A1C8-8C1FB1E3CC30}" name="Column5043"/>
    <tableColumn id="5058" xr3:uid="{B1C8EEDE-AAAB-4839-BD25-DCC3E3EEA30B}" name="Column5044"/>
    <tableColumn id="5059" xr3:uid="{F72D4D12-C4A7-4213-93B5-2D7B22B64196}" name="Column5045"/>
    <tableColumn id="5060" xr3:uid="{9D28E833-782C-47FE-96E2-F04C680CCE39}" name="Column5046"/>
    <tableColumn id="5061" xr3:uid="{8003DC9D-1ECC-4121-8310-D272C91DA42D}" name="Column5047"/>
    <tableColumn id="5062" xr3:uid="{D447FFCA-3941-4BC8-81FF-ABFD0E3743F0}" name="Column5048"/>
    <tableColumn id="5063" xr3:uid="{D3A7B799-C3D0-4653-B821-B2D5E6167975}" name="Column5049"/>
    <tableColumn id="5064" xr3:uid="{8B7843DB-4202-44D4-B9A3-036B0F290F1D}" name="Column5050"/>
    <tableColumn id="5065" xr3:uid="{059436D9-35B1-48CE-B768-ECD6579BE357}" name="Column5051"/>
    <tableColumn id="5066" xr3:uid="{789BE6E9-01A5-4B3F-A737-AFF53C244805}" name="Column5052"/>
    <tableColumn id="5067" xr3:uid="{C69B1A5C-497D-4127-8F68-571ED7B29AF1}" name="Column5053"/>
    <tableColumn id="5068" xr3:uid="{F642DDEE-0A35-415A-8040-F55F035C50DD}" name="Column5054"/>
    <tableColumn id="5069" xr3:uid="{7B36BF6C-DD19-4181-8D61-5C3AFF87DB4D}" name="Column5055"/>
    <tableColumn id="5070" xr3:uid="{214342CA-9CBB-4035-908B-80528C286C12}" name="Column5056"/>
    <tableColumn id="5071" xr3:uid="{BCEB4589-0B34-4618-9C82-55E37EF89AA0}" name="Column5057"/>
    <tableColumn id="5072" xr3:uid="{C2597B83-9AFB-4936-8F61-C20D39423556}" name="Column5058"/>
    <tableColumn id="5073" xr3:uid="{4786A3BD-D59D-4303-B178-A2151D45F127}" name="Column5059"/>
    <tableColumn id="5074" xr3:uid="{9611DB1D-9806-41ED-AE25-BBE094C4F2C7}" name="Column5060"/>
    <tableColumn id="5075" xr3:uid="{2D4FE370-1FAB-447C-8FE9-8FA6EFA562B6}" name="Column5061"/>
    <tableColumn id="5076" xr3:uid="{7C50A951-E87A-455F-AA2D-DCFA65A20510}" name="Column5062"/>
    <tableColumn id="5077" xr3:uid="{1C479AD1-987F-4F97-9D25-90A868535F05}" name="Column5063"/>
    <tableColumn id="5078" xr3:uid="{2E212CE9-7F86-4826-8450-6BF58707513B}" name="Column5064"/>
    <tableColumn id="5079" xr3:uid="{748FAD5C-2C84-493E-ACF4-0D3B4C892896}" name="Column5065"/>
    <tableColumn id="5080" xr3:uid="{C3B4EA23-BD50-47A0-90DE-ACFFB6B635FD}" name="Column5066"/>
    <tableColumn id="5081" xr3:uid="{2EE39401-CBA0-4840-B641-C61E780BF6B7}" name="Column5067"/>
    <tableColumn id="5082" xr3:uid="{9C5E4FBC-5744-4B22-9DE1-5A2738EB9354}" name="Column5068"/>
    <tableColumn id="5083" xr3:uid="{4E0A6952-5910-40F0-A3B3-06C2EA61091A}" name="Column5069"/>
    <tableColumn id="5084" xr3:uid="{9F40844B-F53C-4BF3-9987-80B40275889E}" name="Column5070"/>
    <tableColumn id="5085" xr3:uid="{8E2ED4CB-BD3D-4736-B4CC-894A0834A083}" name="Column5071"/>
    <tableColumn id="5086" xr3:uid="{CF6F42CB-E904-46DA-BF2D-985D180BE310}" name="Column5072"/>
    <tableColumn id="5087" xr3:uid="{C4C115AB-6E32-442B-9D97-7F63F5760316}" name="Column5073"/>
    <tableColumn id="5088" xr3:uid="{00D71B02-6823-4D02-BC88-054441E70CC0}" name="Column5074"/>
    <tableColumn id="5089" xr3:uid="{128D2FFA-441D-400A-86EA-0FBB2B39A38F}" name="Column5075"/>
    <tableColumn id="5090" xr3:uid="{B1A6871F-CB91-4356-9116-DEA94EED3690}" name="Column5076"/>
    <tableColumn id="5091" xr3:uid="{7318CDE5-038F-490A-B10A-D033D7ED2804}" name="Column5077"/>
    <tableColumn id="5092" xr3:uid="{8D9A0FB2-B83C-425F-A28F-CBB30886AF52}" name="Column5078"/>
    <tableColumn id="5093" xr3:uid="{B4C81B7B-AD56-4162-8C53-BE9D8B930124}" name="Column5079"/>
    <tableColumn id="5094" xr3:uid="{F8CCB8AE-06B8-4FD1-B51F-0037CED24619}" name="Column5080"/>
    <tableColumn id="5095" xr3:uid="{0D49D455-3F31-40AF-B044-C509D086920C}" name="Column5081"/>
    <tableColumn id="5096" xr3:uid="{A2D5BCDB-0EC9-4BB5-A9DA-033847541B23}" name="Column5082"/>
    <tableColumn id="5097" xr3:uid="{AF1ECE7C-F92E-4BCF-BB11-6C63DDF0BEF0}" name="Column5083"/>
    <tableColumn id="5098" xr3:uid="{9DD8C749-8026-4290-B2E3-E7E260D608EF}" name="Column5084"/>
    <tableColumn id="5099" xr3:uid="{EAE04CE0-771A-467B-A2D7-ED73DC993975}" name="Column5085"/>
    <tableColumn id="5100" xr3:uid="{2B7FF8B1-28A2-4DCF-908E-E2B017E1C69E}" name="Column5086"/>
    <tableColumn id="5101" xr3:uid="{5119E619-D131-4276-87B6-06F4B7DF2B9B}" name="Column5087"/>
    <tableColumn id="5102" xr3:uid="{DE28AB23-699E-4F5E-BB27-BA4483DC3650}" name="Column5088"/>
    <tableColumn id="5103" xr3:uid="{1EBBD248-ABB5-4833-A8EC-BA6B2B1A87D3}" name="Column5089"/>
    <tableColumn id="5104" xr3:uid="{FBB02E23-4242-445F-B219-36C5EABE26EC}" name="Column5090"/>
    <tableColumn id="5105" xr3:uid="{067CE80D-35FF-44CA-8E5F-D8BA051396D1}" name="Column5091"/>
    <tableColumn id="5106" xr3:uid="{02351BD5-F1FF-4FA2-87FD-A2E3F3377058}" name="Column5092"/>
    <tableColumn id="5107" xr3:uid="{B6815A3C-B58F-47CE-8696-721128AFE16F}" name="Column5093"/>
    <tableColumn id="5108" xr3:uid="{00F9CF58-E813-4B2C-84CA-83FF6C69CAF1}" name="Column5094"/>
    <tableColumn id="5109" xr3:uid="{5FCBA3A2-E2F9-4B5A-9838-D0049E80F498}" name="Column5095"/>
    <tableColumn id="5110" xr3:uid="{74E49C36-BA2D-46FA-8611-2D8FA1708E58}" name="Column5096"/>
    <tableColumn id="5111" xr3:uid="{E27D3D3C-4B13-4360-8B4A-D8B5479C01B3}" name="Column5097"/>
    <tableColumn id="5112" xr3:uid="{93279B31-EDC7-4AC6-BAE4-26CD1289B28A}" name="Column5098"/>
    <tableColumn id="5113" xr3:uid="{64D7E5A2-BE67-49B5-BB74-933E7FC1C580}" name="Column5099"/>
    <tableColumn id="5114" xr3:uid="{C406AB37-A1A2-4D47-819D-E80E35030E94}" name="Column5100"/>
    <tableColumn id="5115" xr3:uid="{A8947D88-0B2D-42D5-B591-B09000C46984}" name="Column5101"/>
    <tableColumn id="5116" xr3:uid="{4DD7DDA9-122A-44E6-967C-C77AFB3E0727}" name="Column5102"/>
    <tableColumn id="5117" xr3:uid="{CEE43E56-64EA-499B-A678-9FEEC70DD8A7}" name="Column5103"/>
    <tableColumn id="5118" xr3:uid="{7F19E5B0-033C-4C6C-AD26-82A2C61FD17A}" name="Column5104"/>
    <tableColumn id="5119" xr3:uid="{4312D742-B459-4872-A86D-ACBA86003FEA}" name="Column5105"/>
    <tableColumn id="5120" xr3:uid="{44668094-8E3D-4D1E-AE01-8AD9841FA40C}" name="Column5106"/>
    <tableColumn id="5121" xr3:uid="{0D504CCA-7713-4768-B05A-233688802A31}" name="Column5107"/>
    <tableColumn id="5122" xr3:uid="{B56D8580-423D-495C-AFEF-D985829843A7}" name="Column5108"/>
    <tableColumn id="5123" xr3:uid="{9598C843-87EB-4FC6-A4BB-87D96029746B}" name="Column5109"/>
    <tableColumn id="5124" xr3:uid="{A2F03FEA-BC29-43DC-854E-96FEFE8FAC78}" name="Column5110"/>
    <tableColumn id="5125" xr3:uid="{27AED812-9A33-4527-B1D3-038D206E0DCB}" name="Column5111"/>
    <tableColumn id="5126" xr3:uid="{416BB62B-7240-4563-959D-99926574DFA6}" name="Column5112"/>
    <tableColumn id="5127" xr3:uid="{62A03276-96CB-4B10-8AB6-D0A81F6C68E9}" name="Column5113"/>
    <tableColumn id="5128" xr3:uid="{13780042-311A-4872-B1C1-FABC210F9CEF}" name="Column5114"/>
    <tableColumn id="5129" xr3:uid="{7AA2925B-FF1C-4DF6-849A-BB5EE1B7A628}" name="Column5115"/>
    <tableColumn id="5130" xr3:uid="{36226851-BB7A-477F-8CDF-1DBAB6A9F88A}" name="Column5116"/>
    <tableColumn id="5131" xr3:uid="{E9838B24-DE6E-499D-97D3-26B802CDF660}" name="Column5117"/>
    <tableColumn id="5132" xr3:uid="{B428C5C9-6A3D-4828-918D-7D0D7A1742E6}" name="Column5118"/>
    <tableColumn id="5133" xr3:uid="{3336622E-F395-4B6F-AA94-A82789E3EA64}" name="Column5119"/>
    <tableColumn id="5134" xr3:uid="{6ED15D89-03ED-4CFB-93C3-F1E1E1788A8E}" name="Column5120"/>
    <tableColumn id="5135" xr3:uid="{4A898DC0-978F-4D22-9AD7-6A0DF0F08BC0}" name="Column5121"/>
    <tableColumn id="5136" xr3:uid="{022A4BBC-F02D-475C-B977-F1A31969DB45}" name="Column5122"/>
    <tableColumn id="5137" xr3:uid="{6E6EABC5-B620-48ED-B258-10CF0712A076}" name="Column5123"/>
    <tableColumn id="5138" xr3:uid="{51418144-62AF-4B58-A980-B2D1688FECF1}" name="Column5124"/>
    <tableColumn id="5139" xr3:uid="{265C4272-56B2-417F-AA5F-B69F4AB5F527}" name="Column5125"/>
    <tableColumn id="5140" xr3:uid="{9BDCD54A-F814-4EE1-B1C7-91A861816727}" name="Column5126"/>
    <tableColumn id="5141" xr3:uid="{3A878414-95C6-4F3F-AE0D-CA9F36E9A367}" name="Column5127"/>
    <tableColumn id="5142" xr3:uid="{AF5EBDB1-5986-4AD2-B46F-4DFB4F5B6220}" name="Column5128"/>
    <tableColumn id="5143" xr3:uid="{D75CEC18-4661-49EB-A6BD-6EBEA3C35C0C}" name="Column5129"/>
    <tableColumn id="5144" xr3:uid="{9C929F1A-CFEA-4E36-9F8B-BAB73D5F09CF}" name="Column5130"/>
    <tableColumn id="5145" xr3:uid="{CB409A30-B46D-4438-BEA0-45AF3BF1B453}" name="Column5131"/>
    <tableColumn id="5146" xr3:uid="{F34A3A79-CC21-4F7E-B8A2-08628A62D543}" name="Column5132"/>
    <tableColumn id="5147" xr3:uid="{FAE13EE8-96AB-495F-80BF-98FF500CCBA3}" name="Column5133"/>
    <tableColumn id="5148" xr3:uid="{72F98305-69E0-410D-88C8-A14D0A764012}" name="Column5134"/>
    <tableColumn id="5149" xr3:uid="{CD104718-E600-400E-80FF-63D366AA4378}" name="Column5135"/>
    <tableColumn id="5150" xr3:uid="{10CC5255-B52A-4E8D-A002-3845E2833EB5}" name="Column5136"/>
    <tableColumn id="5151" xr3:uid="{0F8CE930-135B-4DD8-A57B-FCCB373AE59B}" name="Column5137"/>
    <tableColumn id="5152" xr3:uid="{598FF411-E8D4-469C-AEDB-2D20746B688C}" name="Column5138"/>
    <tableColumn id="5153" xr3:uid="{22CEA2D1-5E12-46BC-B31C-EEDF5C9EDEBA}" name="Column5139"/>
    <tableColumn id="5154" xr3:uid="{E71C0900-C115-4437-B553-ADF34B1FF2A6}" name="Column5140"/>
    <tableColumn id="5155" xr3:uid="{B773D1B0-65A4-4A9E-8072-C74D253BF669}" name="Column5141"/>
    <tableColumn id="5156" xr3:uid="{7401A8AB-4D67-4BDE-846D-D98A04886668}" name="Column5142"/>
    <tableColumn id="5157" xr3:uid="{49460041-3DAF-40DB-A69E-D5A25DC21867}" name="Column5143"/>
    <tableColumn id="5158" xr3:uid="{2E8E6DAE-99E3-4C33-8C5A-FF3358CB1BC0}" name="Column5144"/>
    <tableColumn id="5159" xr3:uid="{A0BDCA81-E004-4101-AAAF-BCD0D8E0F6C1}" name="Column5145"/>
    <tableColumn id="5160" xr3:uid="{FB4A3711-E816-4C11-BBAD-47B75B2C380A}" name="Column5146"/>
    <tableColumn id="5161" xr3:uid="{6D3EC461-C853-4189-B422-20F74E675392}" name="Column5147"/>
    <tableColumn id="5162" xr3:uid="{E21543A0-9C30-41D5-A251-02FFE1228CA0}" name="Column5148"/>
    <tableColumn id="5163" xr3:uid="{53FF56AC-A041-4FA4-979D-8D8AC784D92B}" name="Column5149"/>
    <tableColumn id="5164" xr3:uid="{BA3D604F-7244-49A6-983B-B94FA0D2F124}" name="Column5150"/>
    <tableColumn id="5165" xr3:uid="{1BDDE449-B867-4696-A8A6-56AC023153DD}" name="Column5151"/>
    <tableColumn id="5166" xr3:uid="{DE81C797-E318-41D5-972C-1EE659DF84F6}" name="Column5152"/>
    <tableColumn id="5167" xr3:uid="{4A144220-63CC-4D66-BD49-A52C5CF7E280}" name="Column5153"/>
    <tableColumn id="5168" xr3:uid="{A2C5F8EA-73E1-474B-9724-8AF6DD5113BD}" name="Column5154"/>
    <tableColumn id="5169" xr3:uid="{A5E036B4-9BA9-4AF7-BAB3-6E849207F506}" name="Column5155"/>
    <tableColumn id="5170" xr3:uid="{42C19B5B-4AD7-4AEF-B967-796B6D0229C4}" name="Column5156"/>
    <tableColumn id="5171" xr3:uid="{9EB289C5-48A3-4B60-9143-C1E66E71607B}" name="Column5157"/>
    <tableColumn id="5172" xr3:uid="{7CE4C9D7-581F-4C0D-B4B7-91D53CE05468}" name="Column5158"/>
    <tableColumn id="5173" xr3:uid="{C0F4C337-5385-47F9-B6A2-22EC3B38B16F}" name="Column5159"/>
    <tableColumn id="5174" xr3:uid="{C98E83C1-4CD3-4D1E-B677-C67DF91D6884}" name="Column5160"/>
    <tableColumn id="5175" xr3:uid="{89ACA207-9E44-449C-B075-DFC0CEE503AC}" name="Column5161"/>
    <tableColumn id="5176" xr3:uid="{A0F646F3-F742-429B-AA7B-3974AD843742}" name="Column5162"/>
    <tableColumn id="5177" xr3:uid="{2807AAC8-217F-4935-B5B8-B501D369FDDE}" name="Column5163"/>
    <tableColumn id="5178" xr3:uid="{C67B3BE4-A91B-4D9C-86F5-8CA32BBF1932}" name="Column5164"/>
    <tableColumn id="5179" xr3:uid="{0A50A3AE-1498-4F51-8553-00218B686DF2}" name="Column5165"/>
    <tableColumn id="5180" xr3:uid="{2C893024-A9A3-427F-AA98-B8DF008F047B}" name="Column5166"/>
    <tableColumn id="5181" xr3:uid="{894EA9A9-409E-40E0-8AFD-AA9C8719F12B}" name="Column5167"/>
    <tableColumn id="5182" xr3:uid="{5141F437-B71E-4A6F-B3BF-1B7A576025C9}" name="Column5168"/>
    <tableColumn id="5183" xr3:uid="{D50EEED5-0382-4F4A-A81B-02E5659D9962}" name="Column5169"/>
    <tableColumn id="5184" xr3:uid="{B0FDADD1-8228-40FC-9DD0-D25907FF3E32}" name="Column5170"/>
    <tableColumn id="5185" xr3:uid="{F8D5C240-9B1D-46B3-A9BA-721C3B2F71EF}" name="Column5171"/>
    <tableColumn id="5186" xr3:uid="{A6C4CF0C-1F88-4049-8206-083FB4047105}" name="Column5172"/>
    <tableColumn id="5187" xr3:uid="{75E47125-9818-4B34-9314-1498DA893B6B}" name="Column5173"/>
    <tableColumn id="5188" xr3:uid="{F7DF19D9-05A3-4EBB-99E5-587E70D1BC2E}" name="Column5174"/>
    <tableColumn id="5189" xr3:uid="{734D8207-2ADD-485C-89C1-EA94C7379C90}" name="Column5175"/>
    <tableColumn id="5190" xr3:uid="{98A98640-BB47-4916-9D41-4FFDE7DA7F04}" name="Column5176"/>
    <tableColumn id="5191" xr3:uid="{CF140377-768A-48FB-96BC-6EDF47A04922}" name="Column5177"/>
    <tableColumn id="5192" xr3:uid="{56F38F10-818E-45BC-AD7E-498FE456161F}" name="Column5178"/>
    <tableColumn id="5193" xr3:uid="{7F53012C-A692-4E52-B5A9-70BB04F1B3E4}" name="Column5179"/>
    <tableColumn id="5194" xr3:uid="{234F1D26-7D4F-46EA-AA54-B5E647A54001}" name="Column5180"/>
    <tableColumn id="5195" xr3:uid="{6256AF09-2AEA-4633-930C-4FE0085744DD}" name="Column5181"/>
    <tableColumn id="5196" xr3:uid="{CFEC41C7-806D-4DA7-829F-9645061F6134}" name="Column5182"/>
    <tableColumn id="5197" xr3:uid="{67EB9EE7-4A33-4E54-B7F7-6088766DFC34}" name="Column5183"/>
    <tableColumn id="5198" xr3:uid="{FD9E9CD1-61FD-42D6-B869-DB2576FA5E6B}" name="Column5184"/>
    <tableColumn id="5199" xr3:uid="{B06188D3-FFFF-4B21-9059-9FB823E8E3AC}" name="Column5185"/>
    <tableColumn id="5200" xr3:uid="{AC23154C-A2A7-4A34-93E8-50337F66BDA7}" name="Column5186"/>
    <tableColumn id="5201" xr3:uid="{732910D8-4BF4-4ECD-9FF2-2662EBF5B613}" name="Column5187"/>
    <tableColumn id="5202" xr3:uid="{E2BB6B1D-763F-48CD-9D89-25B49F940629}" name="Column5188"/>
    <tableColumn id="5203" xr3:uid="{EC1C5835-9A51-4EBC-ADC5-65AAD2F9283C}" name="Column5189"/>
    <tableColumn id="5204" xr3:uid="{472A7863-FE47-489E-ADE2-02C620FA7803}" name="Column5190"/>
    <tableColumn id="5205" xr3:uid="{6C66CC67-A44C-4861-A68F-A171752BA468}" name="Column5191"/>
    <tableColumn id="5206" xr3:uid="{8CDA3511-F902-4BCE-B9B6-6894A95012B9}" name="Column5192"/>
    <tableColumn id="5207" xr3:uid="{32348C93-4E2D-4A2A-8941-6B78275BF475}" name="Column5193"/>
    <tableColumn id="5208" xr3:uid="{DDBF1D9B-9510-4F58-A3FD-EE6CB0570BCE}" name="Column5194"/>
    <tableColumn id="5209" xr3:uid="{1817E952-52FA-4786-827B-7BD2F59D938E}" name="Column5195"/>
    <tableColumn id="5210" xr3:uid="{E1655C88-0366-4C01-8CC9-19D0F1717626}" name="Column5196"/>
    <tableColumn id="5211" xr3:uid="{183D4FCD-4254-45E0-88E5-76AD9D81B103}" name="Column5197"/>
    <tableColumn id="5212" xr3:uid="{08F6C494-4B7F-4CF7-AEAD-400392BEBF6D}" name="Column5198"/>
    <tableColumn id="5213" xr3:uid="{8B1A8BAE-2070-40A4-A7FE-A5138E5648D9}" name="Column5199"/>
    <tableColumn id="5214" xr3:uid="{F707D183-A5D9-438A-B1C5-FC0ED5C46C9E}" name="Column5200"/>
    <tableColumn id="5215" xr3:uid="{4FC6134A-46CF-47E8-94E3-096D09568383}" name="Column5201"/>
    <tableColumn id="5216" xr3:uid="{89AC8B7C-1722-4DC3-98CF-6E6009085587}" name="Column5202"/>
    <tableColumn id="5217" xr3:uid="{96ECBC19-7352-4122-9A09-42534FA682C5}" name="Column5203"/>
    <tableColumn id="5218" xr3:uid="{882675A3-2035-448A-B9B1-027AB37DD8BF}" name="Column5204"/>
    <tableColumn id="5219" xr3:uid="{AC745506-8F1D-4969-B61D-C00FE4FDADAB}" name="Column5205"/>
    <tableColumn id="5220" xr3:uid="{AF08CB3A-491E-4628-9CC1-7FB04C8D82DC}" name="Column5206"/>
    <tableColumn id="5221" xr3:uid="{7E9EC89D-87C2-4D10-8029-B359D357D3C4}" name="Column5207"/>
    <tableColumn id="5222" xr3:uid="{8B93B246-0566-4479-8944-B60FDF4B63B8}" name="Column5208"/>
    <tableColumn id="5223" xr3:uid="{C46644A8-5AFC-47A2-B25D-90740E8CFC23}" name="Column5209"/>
    <tableColumn id="5224" xr3:uid="{44CF90AE-5726-4FAA-91DB-A7FC9C1F3FD0}" name="Column5210"/>
    <tableColumn id="5225" xr3:uid="{0AFA8068-EB8E-4B56-95F3-9BB38FD87014}" name="Column5211"/>
    <tableColumn id="5226" xr3:uid="{9D676E2E-F531-4010-9047-9E9D066C16C7}" name="Column5212"/>
    <tableColumn id="5227" xr3:uid="{72D9ED19-4BEA-41C0-982A-5D073E14BD1C}" name="Column5213"/>
    <tableColumn id="5228" xr3:uid="{D8706C1F-9CF0-4C95-B173-FB88E647DFD0}" name="Column5214"/>
    <tableColumn id="5229" xr3:uid="{832FA27E-189A-435A-8D93-1FE6FC4284C4}" name="Column5215"/>
    <tableColumn id="5230" xr3:uid="{FFF09A46-74E8-415E-A4B9-B72D5FA34244}" name="Column5216"/>
    <tableColumn id="5231" xr3:uid="{621EFF1D-90AD-4025-9E18-144CA366FAA0}" name="Column5217"/>
    <tableColumn id="5232" xr3:uid="{CF3DD007-6BB3-40D6-9E61-8F8AFF11683C}" name="Column5218"/>
    <tableColumn id="5233" xr3:uid="{8B569730-B207-4791-BF47-B6875E7C7A33}" name="Column5219"/>
    <tableColumn id="5234" xr3:uid="{62574AC3-5B43-4E51-B220-5021D344F129}" name="Column5220"/>
    <tableColumn id="5235" xr3:uid="{AC8BEC01-E1FB-42FB-BF45-5089567527A7}" name="Column5221"/>
    <tableColumn id="5236" xr3:uid="{C438899D-225D-4E61-9F4D-1D6669C4834A}" name="Column5222"/>
    <tableColumn id="5237" xr3:uid="{3ED9061D-5031-4E6E-ACB8-1E8FC5A8DC50}" name="Column5223"/>
    <tableColumn id="5238" xr3:uid="{E92CCFF2-6E74-4F64-B09A-FA9BAAAEE3A3}" name="Column5224"/>
    <tableColumn id="5239" xr3:uid="{C814CD23-CD4D-4D49-87EB-AF6E5B7360A0}" name="Column5225"/>
    <tableColumn id="5240" xr3:uid="{E2E3EF79-417E-4FA9-8BF2-D891192DE770}" name="Column5226"/>
    <tableColumn id="5241" xr3:uid="{9E4E265E-6937-418D-9E2C-0492EEC4A4AC}" name="Column5227"/>
    <tableColumn id="5242" xr3:uid="{497232CC-0D21-4969-80FD-C50879D7E75B}" name="Column5228"/>
    <tableColumn id="5243" xr3:uid="{5F52E2EC-96E4-44CD-BAB1-E3792E49E46B}" name="Column5229"/>
    <tableColumn id="5244" xr3:uid="{64320909-E142-4122-8C24-E837ADB4F1D2}" name="Column5230"/>
    <tableColumn id="5245" xr3:uid="{C062E46C-4948-4777-BB3C-8157DFE333C2}" name="Column5231"/>
    <tableColumn id="5246" xr3:uid="{72E0A18D-5EE3-4C8C-9490-F64F74D0F804}" name="Column5232"/>
    <tableColumn id="5247" xr3:uid="{C8941E6E-A81F-4EFD-88F4-187856FA4A1A}" name="Column5233"/>
    <tableColumn id="5248" xr3:uid="{AAAA8303-77E5-4397-A27A-55ED6E931337}" name="Column5234"/>
    <tableColumn id="5249" xr3:uid="{E0765328-012A-494C-B0F3-F7021E4D00B2}" name="Column5235"/>
    <tableColumn id="5250" xr3:uid="{C2FD19AD-D501-4906-B8F9-E4340478DF11}" name="Column5236"/>
    <tableColumn id="5251" xr3:uid="{044F39F5-CD75-4FFA-BC33-1F6C2589B355}" name="Column5237"/>
    <tableColumn id="5252" xr3:uid="{0B860BFC-FC2F-4BB3-B195-529856EE87D5}" name="Column5238"/>
    <tableColumn id="5253" xr3:uid="{22FC61BE-7957-4237-BDBA-C33FC538CCE6}" name="Column5239"/>
    <tableColumn id="5254" xr3:uid="{4E35084D-846B-4639-8F41-1CB95B8B9E47}" name="Column5240"/>
    <tableColumn id="5255" xr3:uid="{92842A77-53BA-4EB3-BF8D-7118A019569A}" name="Column5241"/>
    <tableColumn id="5256" xr3:uid="{39AAF9E7-E676-4844-AE4B-791DA7B22D92}" name="Column5242"/>
    <tableColumn id="5257" xr3:uid="{45CDC00F-836E-42F1-A104-14B26A9611DA}" name="Column5243"/>
    <tableColumn id="5258" xr3:uid="{39CE6423-D190-4378-9C87-9C580443AF57}" name="Column5244"/>
    <tableColumn id="5259" xr3:uid="{082B331B-5928-41E1-A6DC-15AB52FA60A8}" name="Column5245"/>
    <tableColumn id="5260" xr3:uid="{45FF98C5-FB99-4FD3-B18B-24CED0EC3C1B}" name="Column5246"/>
    <tableColumn id="5261" xr3:uid="{71848C15-B625-4590-BD06-C0E67DC5C68D}" name="Column5247"/>
    <tableColumn id="5262" xr3:uid="{9AEF808A-50DE-4B8A-99CC-2FB498FBC3CB}" name="Column5248"/>
    <tableColumn id="5263" xr3:uid="{FA49EE8B-B51F-4ADF-9BCE-1640C9FEAEA9}" name="Column5249"/>
    <tableColumn id="5264" xr3:uid="{71DAECBF-BBF1-4297-A57A-ADB2B6388379}" name="Column5250"/>
    <tableColumn id="5265" xr3:uid="{C170FC6C-2ADA-44EB-B4AD-62D728C23699}" name="Column5251"/>
    <tableColumn id="5266" xr3:uid="{99459951-2E79-4B1E-BF86-891282FAD2E1}" name="Column5252"/>
    <tableColumn id="5267" xr3:uid="{E7809EE8-3838-4C0B-9EA5-DEE96AD1CF39}" name="Column5253"/>
    <tableColumn id="5268" xr3:uid="{94A32BBB-7BE8-4A86-B62A-1E658437050E}" name="Column5254"/>
    <tableColumn id="5269" xr3:uid="{EDC060D0-B05C-4D20-AB8E-E50C2834E640}" name="Column5255"/>
    <tableColumn id="5270" xr3:uid="{28F723FF-8319-483D-B623-FEE8F0DD6337}" name="Column5256"/>
    <tableColumn id="5271" xr3:uid="{0A78CDBE-588F-4C82-861E-9D4F3F24817A}" name="Column5257"/>
    <tableColumn id="5272" xr3:uid="{E6B985A2-B082-4D9B-BEB8-206BB80E7583}" name="Column5258"/>
    <tableColumn id="5273" xr3:uid="{47B5354B-ACB5-49ED-B25B-492209C44847}" name="Column5259"/>
    <tableColumn id="5274" xr3:uid="{9C144259-A2CA-4B06-9A80-099B0DC7658C}" name="Column5260"/>
    <tableColumn id="5275" xr3:uid="{7A30A6F5-5D57-45EC-8A84-1FAB5CC22D3E}" name="Column5261"/>
    <tableColumn id="5276" xr3:uid="{9ADD1616-2197-488C-AA01-9A5907C38BE3}" name="Column5262"/>
    <tableColumn id="5277" xr3:uid="{EB939F55-6A58-480B-BE24-5F538E0A448A}" name="Column5263"/>
    <tableColumn id="5278" xr3:uid="{66B58F32-BDA1-4907-8BD6-56DA42BEA29C}" name="Column5264"/>
    <tableColumn id="5279" xr3:uid="{5089385F-B7B2-4C30-9BD8-B19A100D633A}" name="Column5265"/>
    <tableColumn id="5280" xr3:uid="{7F647422-8599-4008-9175-040532898A6E}" name="Column5266"/>
    <tableColumn id="5281" xr3:uid="{8B0B7D19-FCB2-46D9-8E78-7BF9F89957AD}" name="Column5267"/>
    <tableColumn id="5282" xr3:uid="{104AE917-39F3-4E6D-B154-57F73C1A599F}" name="Column5268"/>
    <tableColumn id="5283" xr3:uid="{2CAB70EC-680A-48CF-8A0A-40C7362E17AE}" name="Column5269"/>
    <tableColumn id="5284" xr3:uid="{2A58BF78-2299-4784-8F64-541123ED02F2}" name="Column5270"/>
    <tableColumn id="5285" xr3:uid="{2EA85626-D13D-4BA1-B8CA-752F64E56A0E}" name="Column5271"/>
    <tableColumn id="5286" xr3:uid="{90EE42EB-B019-4936-8241-EB22DDE21C06}" name="Column5272"/>
    <tableColumn id="5287" xr3:uid="{89DBBF7D-BF7A-4BA8-8D05-BB1E9E36F601}" name="Column5273"/>
    <tableColumn id="5288" xr3:uid="{0A7F3A92-3AE2-46A2-9FDA-C82454965C9B}" name="Column5274"/>
    <tableColumn id="5289" xr3:uid="{7C186F3D-1CE8-43E3-A7B2-3786B1B3D2DB}" name="Column5275"/>
    <tableColumn id="5290" xr3:uid="{316F8750-5473-4D20-B770-E02637A0017C}" name="Column5276"/>
    <tableColumn id="5291" xr3:uid="{41EC2185-1430-4550-9453-33823A8717F7}" name="Column5277"/>
    <tableColumn id="5292" xr3:uid="{64543ACF-E0F9-4C5A-A39F-93AA990E8D09}" name="Column5278"/>
    <tableColumn id="5293" xr3:uid="{E40C2090-E58E-49F8-8600-ECE0F3BB6FE6}" name="Column5279"/>
    <tableColumn id="5294" xr3:uid="{2063EFB1-5003-4AF3-9936-A95FD47EAA4C}" name="Column5280"/>
    <tableColumn id="5295" xr3:uid="{D824B848-D8D3-4846-AC03-26E988684F91}" name="Column5281"/>
    <tableColumn id="5296" xr3:uid="{C6534345-C10B-402C-AF35-76D2BDF30E32}" name="Column5282"/>
    <tableColumn id="5297" xr3:uid="{32976E38-0AE3-4D4A-B111-AB65AFBA5FD1}" name="Column5283"/>
    <tableColumn id="5298" xr3:uid="{FF90B597-9342-4FBA-A345-3A87B7DD3F8D}" name="Column5284"/>
    <tableColumn id="5299" xr3:uid="{10BAE620-D762-42D2-80E7-D9B4D9C7FAEB}" name="Column5285"/>
    <tableColumn id="5300" xr3:uid="{9172EA29-E9EB-4EF9-971C-89A81C1482E9}" name="Column5286"/>
    <tableColumn id="5301" xr3:uid="{51EA98A7-D525-4989-8197-BED03B5CD2DC}" name="Column5287"/>
    <tableColumn id="5302" xr3:uid="{9E6B6182-4859-4845-BE63-D3A9165AE240}" name="Column5288"/>
    <tableColumn id="5303" xr3:uid="{4308BABF-339B-4F3F-BC40-805F938A9E3A}" name="Column5289"/>
    <tableColumn id="5304" xr3:uid="{A666BBF9-6263-4A88-81A0-1533911239C4}" name="Column5290"/>
    <tableColumn id="5305" xr3:uid="{0D2551DD-BF0B-4047-809D-433D4DD00DB4}" name="Column5291"/>
    <tableColumn id="5306" xr3:uid="{DF450E14-3CA9-4A7D-A362-6F151ABED628}" name="Column5292"/>
    <tableColumn id="5307" xr3:uid="{57ACA736-6ACB-41FF-A9EB-23A7E59ED86F}" name="Column5293"/>
    <tableColumn id="5308" xr3:uid="{29F5E7A7-95F0-46ED-8B9B-C3311F304297}" name="Column5294"/>
    <tableColumn id="5309" xr3:uid="{74CE3E44-2CC1-4B4D-BCAA-1A9C6271ED5F}" name="Column5295"/>
    <tableColumn id="5310" xr3:uid="{3146EFC7-6F03-4EA0-B5FF-00142DDBDEF3}" name="Column5296"/>
    <tableColumn id="5311" xr3:uid="{1F34E309-AAFA-4501-A033-20A90F29DB91}" name="Column5297"/>
    <tableColumn id="5312" xr3:uid="{F9E6144A-B47B-4807-BF49-F1C63B8D486A}" name="Column5298"/>
    <tableColumn id="5313" xr3:uid="{87E5D360-A375-4676-81B3-9BF82D342FBA}" name="Column5299"/>
    <tableColumn id="5314" xr3:uid="{3B1A87A5-8B1E-41D2-9BF5-31B8D06B1541}" name="Column5300"/>
    <tableColumn id="5315" xr3:uid="{ACED6BD8-8CAF-4B83-AB8B-6BB05DE9DC43}" name="Column5301"/>
    <tableColumn id="5316" xr3:uid="{A07C5318-179E-4CC8-9470-DCCC3EB322EB}" name="Column5302"/>
    <tableColumn id="5317" xr3:uid="{DD9CA330-D385-4F46-818F-C168427D187A}" name="Column5303"/>
    <tableColumn id="5318" xr3:uid="{7EFE6F80-EFD1-4C1C-A11B-5F711C26D9A7}" name="Column5304"/>
    <tableColumn id="5319" xr3:uid="{50E14390-6E31-49BB-8551-5603B81C837C}" name="Column5305"/>
    <tableColumn id="5320" xr3:uid="{6D4F7B9A-8257-47D8-A7B1-740ADD7EB92C}" name="Column5306"/>
    <tableColumn id="5321" xr3:uid="{9DA4C16A-1235-4409-89F3-BB99BAA7A0F5}" name="Column5307"/>
    <tableColumn id="5322" xr3:uid="{CDDA6FB1-D378-4067-817E-FD6DBA1C4975}" name="Column5308"/>
    <tableColumn id="5323" xr3:uid="{98571312-5C52-4761-8F5F-B012F369F6BC}" name="Column5309"/>
    <tableColumn id="5324" xr3:uid="{93137474-B0FB-4318-908A-BA24214709B6}" name="Column5310"/>
    <tableColumn id="5325" xr3:uid="{B520A6B9-4FDA-425D-9F95-33427F79B46A}" name="Column5311"/>
    <tableColumn id="5326" xr3:uid="{8EC57ADC-229C-456C-93A8-F1A504D0C95A}" name="Column5312"/>
    <tableColumn id="5327" xr3:uid="{DA89380E-0C12-4A83-A534-80CCA81BA3B6}" name="Column5313"/>
    <tableColumn id="5328" xr3:uid="{22D7B4BA-3463-4938-9959-9F21A520A36B}" name="Column5314"/>
    <tableColumn id="5329" xr3:uid="{EF2D4DFA-386D-4374-B10B-75606667648B}" name="Column5315"/>
    <tableColumn id="5330" xr3:uid="{0075DA2D-B529-4D99-B158-8F570392F3EA}" name="Column5316"/>
    <tableColumn id="5331" xr3:uid="{07F9AFFF-6FB9-4281-AC4E-B405055518FE}" name="Column5317"/>
    <tableColumn id="5332" xr3:uid="{83B0B869-92AE-4BAF-9592-2FB1874DC463}" name="Column5318"/>
    <tableColumn id="5333" xr3:uid="{DD3E80D8-FA91-4562-8489-F6EC919294B4}" name="Column5319"/>
    <tableColumn id="5334" xr3:uid="{43841E29-F55E-4935-B11F-F9E991276503}" name="Column5320"/>
    <tableColumn id="5335" xr3:uid="{D5C0B58A-0499-4F9A-AB3F-1F9F22A6BE42}" name="Column5321"/>
    <tableColumn id="5336" xr3:uid="{F44D6FE5-C6B1-4C67-B14F-6A5BBE03D75D}" name="Column5322"/>
    <tableColumn id="5337" xr3:uid="{45F7EA13-9AED-43F8-802F-9E979024EE30}" name="Column5323"/>
    <tableColumn id="5338" xr3:uid="{FA0DC262-1E13-496C-A8AC-BF2B140A45AA}" name="Column5324"/>
    <tableColumn id="5339" xr3:uid="{2A0ABFC9-2067-4A03-ABB5-1D6AC5B3A36C}" name="Column5325"/>
    <tableColumn id="5340" xr3:uid="{FD1908BD-33DB-4C9C-AD1E-47E3BF8A1D1E}" name="Column5326"/>
    <tableColumn id="5341" xr3:uid="{7F40CB3C-FBBA-455B-99F7-8A01848D436E}" name="Column5327"/>
    <tableColumn id="5342" xr3:uid="{036AD60E-7547-4522-B9F9-8A1A7FB2624E}" name="Column5328"/>
    <tableColumn id="5343" xr3:uid="{FCDEFDA5-975D-4B8E-B3C2-0332A4ADBA62}" name="Column5329"/>
    <tableColumn id="5344" xr3:uid="{696BAA02-BBF7-41B9-8FDD-6B53E6F3B2CE}" name="Column5330"/>
    <tableColumn id="5345" xr3:uid="{05CA02EF-A250-40A0-813C-CEC207ABA2ED}" name="Column5331"/>
    <tableColumn id="5346" xr3:uid="{610FD1FC-FC21-4FEC-B51F-EB3D6239710B}" name="Column5332"/>
    <tableColumn id="5347" xr3:uid="{3C694E61-5489-41F2-9134-E1A7140C9E34}" name="Column5333"/>
    <tableColumn id="5348" xr3:uid="{8C0967DF-279C-49C6-9817-BDC147090528}" name="Column5334"/>
    <tableColumn id="5349" xr3:uid="{63691A92-CC8D-4E42-831C-6F08E1ABEDEA}" name="Column5335"/>
    <tableColumn id="5350" xr3:uid="{2196BEE2-F751-4E93-AC13-E9FAAF7A2B90}" name="Column5336"/>
    <tableColumn id="5351" xr3:uid="{320B27A7-722D-4720-A974-0C6603D54E5F}" name="Column5337"/>
    <tableColumn id="5352" xr3:uid="{2043EBE1-4F22-4CDE-B200-F47BD9756A62}" name="Column5338"/>
    <tableColumn id="5353" xr3:uid="{FD44E75F-1384-4A6D-9FE5-D40636D92DDA}" name="Column5339"/>
    <tableColumn id="5354" xr3:uid="{6CBE214C-ACC1-4E40-B946-E7B58D845246}" name="Column5340"/>
    <tableColumn id="5355" xr3:uid="{0D65D133-CAC2-4133-A4CE-CBDAFA0CB29B}" name="Column5341"/>
    <tableColumn id="5356" xr3:uid="{6D6EF26C-4CAB-4DDF-86CD-63D67F8FE3F3}" name="Column5342"/>
    <tableColumn id="5357" xr3:uid="{B3DFE666-1E86-437A-AA95-85A247A2FC09}" name="Column5343"/>
    <tableColumn id="5358" xr3:uid="{11246B7C-CCCA-422D-883E-67CA9F32645B}" name="Column5344"/>
    <tableColumn id="5359" xr3:uid="{72DE05F1-7ED8-41F0-A1F5-8FC3D18A23AF}" name="Column5345"/>
    <tableColumn id="5360" xr3:uid="{593343B8-D573-4CED-B902-7CA4C3DC6523}" name="Column5346"/>
    <tableColumn id="5361" xr3:uid="{2703C8CC-90DE-40CB-B133-560555756A69}" name="Column5347"/>
    <tableColumn id="5362" xr3:uid="{1B7C212F-F440-4C03-B25D-A01EAFBC08B6}" name="Column5348"/>
    <tableColumn id="5363" xr3:uid="{6DBA26B2-BCBB-4C45-ADD8-F31C8E202EA1}" name="Column5349"/>
    <tableColumn id="5364" xr3:uid="{B630AD04-BF1D-4133-BD22-383C56D8D378}" name="Column5350"/>
    <tableColumn id="5365" xr3:uid="{E09C72FC-AD34-4CE2-8361-3F8450A446B9}" name="Column5351"/>
    <tableColumn id="5366" xr3:uid="{421E87FF-2E3B-48E1-86FF-66390722261D}" name="Column5352"/>
    <tableColumn id="5367" xr3:uid="{C1118252-DAE3-43C7-98C5-D83AE2A9A03B}" name="Column5353"/>
    <tableColumn id="5368" xr3:uid="{71707258-3338-49F7-846E-795A716FED85}" name="Column5354"/>
    <tableColumn id="5369" xr3:uid="{EE22122A-9D72-49C5-8C7B-CFD1CAD3C883}" name="Column5355"/>
    <tableColumn id="5370" xr3:uid="{EA1968CA-E3C5-4F94-B944-034C9C05E48F}" name="Column5356"/>
    <tableColumn id="5371" xr3:uid="{3164BD0E-3EBD-44E2-92F5-86D47F1BE1FC}" name="Column5357"/>
    <tableColumn id="5372" xr3:uid="{D97DBC53-9B6C-4E83-B62D-1AC8B194A2C0}" name="Column5358"/>
    <tableColumn id="5373" xr3:uid="{279E77DD-3425-4CA7-94A3-6B781A20B640}" name="Column5359"/>
    <tableColumn id="5374" xr3:uid="{2C0B1A28-22DE-448B-8696-3DCF10FD9116}" name="Column5360"/>
    <tableColumn id="5375" xr3:uid="{85E72F20-2A57-40ED-A346-99940AB8C0D4}" name="Column5361"/>
    <tableColumn id="5376" xr3:uid="{4551D37D-2E57-4B03-8F8C-84EB467FF571}" name="Column5362"/>
    <tableColumn id="5377" xr3:uid="{A5C170D5-46A0-4244-B412-6D55A56102B4}" name="Column5363"/>
    <tableColumn id="5378" xr3:uid="{46D79107-F842-46C7-AF61-D51EB7E7FD39}" name="Column5364"/>
    <tableColumn id="5379" xr3:uid="{8C1FABE3-6B15-4C3A-B3C6-98837DA8D5A2}" name="Column5365"/>
    <tableColumn id="5380" xr3:uid="{6ED1BE94-B16F-4C4B-9407-F140B176F942}" name="Column5366"/>
    <tableColumn id="5381" xr3:uid="{CA3CFA85-517C-4580-974F-FFCA60CFA355}" name="Column5367"/>
    <tableColumn id="5382" xr3:uid="{C35E945F-1412-4D00-A4C1-66E76DDAE94C}" name="Column5368"/>
    <tableColumn id="5383" xr3:uid="{EA1F33E9-DB52-44AB-B562-C92243FC2C56}" name="Column5369"/>
    <tableColumn id="5384" xr3:uid="{1270964F-8C58-4CD3-8DCF-CF1DEB5BAB8C}" name="Column5370"/>
    <tableColumn id="5385" xr3:uid="{BB659FEB-65C6-414E-8C22-1F4CEA39AE25}" name="Column5371"/>
    <tableColumn id="5386" xr3:uid="{D1BEB591-6095-40CF-84A3-8B63267FFEE6}" name="Column5372"/>
    <tableColumn id="5387" xr3:uid="{CAC2791A-496B-4C44-AF1C-0F750BF567C8}" name="Column5373"/>
    <tableColumn id="5388" xr3:uid="{FC1536FD-2CAA-49C4-9771-F78317807A81}" name="Column5374"/>
    <tableColumn id="5389" xr3:uid="{5D7166D1-7053-4AC9-99DE-C4D00ECDB86F}" name="Column5375"/>
    <tableColumn id="5390" xr3:uid="{2BA49BFD-2996-440C-9DBE-F06053B52B0C}" name="Column5376"/>
    <tableColumn id="5391" xr3:uid="{2E8ECDAE-9B5F-4B41-A41B-A7AD72C0A49C}" name="Column5377"/>
    <tableColumn id="5392" xr3:uid="{01E18447-E966-45D8-B781-5927344E31D7}" name="Column5378"/>
    <tableColumn id="5393" xr3:uid="{9C63BDE4-30DD-4E48-BA05-5C77601CF2C8}" name="Column5379"/>
    <tableColumn id="5394" xr3:uid="{4984A03D-64D9-49EC-9DAE-25AA10B0D8F1}" name="Column5380"/>
    <tableColumn id="5395" xr3:uid="{2C49E158-95D4-4842-8E3C-1452FDA673CF}" name="Column5381"/>
    <tableColumn id="5396" xr3:uid="{23166451-51E6-47B4-992C-4EB8620D6049}" name="Column5382"/>
    <tableColumn id="5397" xr3:uid="{7FCB2379-6AD3-49B6-A600-D06B848B6118}" name="Column5383"/>
    <tableColumn id="5398" xr3:uid="{0761A607-B41A-41AC-BCFE-65354794E9C0}" name="Column5384"/>
    <tableColumn id="5399" xr3:uid="{D57D3FB0-DBC0-48B6-B5E8-52C5C221B223}" name="Column5385"/>
    <tableColumn id="5400" xr3:uid="{6DD6E0B8-DD0C-45AA-8FFA-2DBC6CF6F6B6}" name="Column5386"/>
    <tableColumn id="5401" xr3:uid="{671CC853-BC49-4740-9166-01D9E4F7485D}" name="Column5387"/>
    <tableColumn id="5402" xr3:uid="{65297F49-8855-44B4-88BC-76EE8CE302A5}" name="Column5388"/>
    <tableColumn id="5403" xr3:uid="{2417C878-3436-46C0-AB81-D6D2F3547854}" name="Column5389"/>
    <tableColumn id="5404" xr3:uid="{38B38033-4901-437D-8889-6C97AAAD78E6}" name="Column5390"/>
    <tableColumn id="5405" xr3:uid="{D7F521BE-F7E7-420F-B434-207BFC530B41}" name="Column5391"/>
    <tableColumn id="5406" xr3:uid="{97612ECF-FAEB-4CCA-A3FD-53A2852B3D03}" name="Column5392"/>
    <tableColumn id="5407" xr3:uid="{F34FAF76-EED4-4FAC-8485-C1EA664AB96A}" name="Column5393"/>
    <tableColumn id="5408" xr3:uid="{576449CB-D4F6-4584-B90D-ECF3FC85FE9B}" name="Column5394"/>
    <tableColumn id="5409" xr3:uid="{8C70D6C0-3136-4F3D-92B3-5D78110F64BE}" name="Column5395"/>
    <tableColumn id="5410" xr3:uid="{1E37F826-2E4F-4B2F-8E9A-646CA48BFD7A}" name="Column5396"/>
    <tableColumn id="5411" xr3:uid="{5AB85C5F-0BC8-4BDE-95F8-FBE879AA11E2}" name="Column5397"/>
    <tableColumn id="5412" xr3:uid="{AC6910B1-0A5A-4B2A-AC81-9B5966F6AE90}" name="Column5398"/>
    <tableColumn id="5413" xr3:uid="{EFAB81B1-903C-48DD-ABFA-4B86C7D2E6BC}" name="Column5399"/>
    <tableColumn id="5414" xr3:uid="{1E41F79F-9E41-4CD9-AB9C-8CB3EEC36B70}" name="Column5400"/>
    <tableColumn id="5415" xr3:uid="{F06C53B6-21FA-4F28-B5C6-6DCD22BB92A7}" name="Column5401"/>
    <tableColumn id="5416" xr3:uid="{8F77D260-1322-40FC-841C-10986744608F}" name="Column5402"/>
    <tableColumn id="5417" xr3:uid="{4C72DC92-A285-4D3E-8006-903DE537D081}" name="Column5403"/>
    <tableColumn id="5418" xr3:uid="{8504832B-F738-4125-B57A-D2D21A409DD9}" name="Column5404"/>
    <tableColumn id="5419" xr3:uid="{18C528B5-73A0-458F-A767-15EF08BB0DB5}" name="Column5405"/>
    <tableColumn id="5420" xr3:uid="{41D37455-D511-4992-AABF-AB4AC6B25E33}" name="Column5406"/>
    <tableColumn id="5421" xr3:uid="{DB9040B5-21E4-49E5-9B71-6109875A17F0}" name="Column5407"/>
    <tableColumn id="5422" xr3:uid="{A604EA83-703B-496F-9494-9D2F966D012B}" name="Column5408"/>
    <tableColumn id="5423" xr3:uid="{6CEB1CE6-559D-428F-91E8-6E254D610C83}" name="Column5409"/>
    <tableColumn id="5424" xr3:uid="{2ACCAD7D-AF3E-45FE-9FB6-FC371E1C942D}" name="Column5410"/>
    <tableColumn id="5425" xr3:uid="{A7566D95-7242-4333-9368-1AA297A782C2}" name="Column5411"/>
    <tableColumn id="5426" xr3:uid="{AF0F5B4B-70C6-4DFA-9555-5153E82AEFC8}" name="Column5412"/>
    <tableColumn id="5427" xr3:uid="{76217957-3779-4EB9-96B1-73793B9DC166}" name="Column5413"/>
    <tableColumn id="5428" xr3:uid="{A5687EE2-A01D-4B9E-B0BD-6921B68A8137}" name="Column5414"/>
    <tableColumn id="5429" xr3:uid="{6AD9E137-8553-4605-9189-99CB48DDA5BC}" name="Column5415"/>
    <tableColumn id="5430" xr3:uid="{8FBE3AE2-609A-4958-A297-BCB2AC0CDE83}" name="Column5416"/>
    <tableColumn id="5431" xr3:uid="{500A4582-7A49-4210-9CFD-C091D4AE79CA}" name="Column5417"/>
    <tableColumn id="5432" xr3:uid="{7C75CA08-61B5-4F9B-9D67-480CDB21C5FB}" name="Column5418"/>
    <tableColumn id="5433" xr3:uid="{7D23D383-F823-4C67-B667-0010A8D197C5}" name="Column5419"/>
    <tableColumn id="5434" xr3:uid="{21674F2A-4008-4A8D-BE96-6992907A99B8}" name="Column5420"/>
    <tableColumn id="5435" xr3:uid="{96642BCB-8BD5-442C-9A5E-7DA17942949C}" name="Column5421"/>
    <tableColumn id="5436" xr3:uid="{D207318B-B578-44DF-9CF5-86BC20735744}" name="Column5422"/>
    <tableColumn id="5437" xr3:uid="{4BCB91E5-8ACF-45F3-B2D5-3FA3A072E0FF}" name="Column5423"/>
    <tableColumn id="5438" xr3:uid="{C44843EB-179D-47B9-9052-6F0BBF71EE50}" name="Column5424"/>
    <tableColumn id="5439" xr3:uid="{46987559-A075-4F03-B662-0E4B57CFE786}" name="Column5425"/>
    <tableColumn id="5440" xr3:uid="{DECADEDE-ADEF-49B0-A6DD-5E077B28C41B}" name="Column5426"/>
    <tableColumn id="5441" xr3:uid="{732E76E8-44E1-49B9-AC71-DB839B62C580}" name="Column5427"/>
    <tableColumn id="5442" xr3:uid="{5C4AC33D-81CB-47E6-8F21-F15E57DD8B3A}" name="Column5428"/>
    <tableColumn id="5443" xr3:uid="{6FB17640-B34D-4692-94D9-1CA9C3792F54}" name="Column5429"/>
    <tableColumn id="5444" xr3:uid="{6A16C010-C36B-41AF-A12D-41E43FF32B37}" name="Column5430"/>
    <tableColumn id="5445" xr3:uid="{A9A4F710-4161-4044-B766-02359515F1D6}" name="Column5431"/>
    <tableColumn id="5446" xr3:uid="{B8E23EA6-A949-484C-97BD-CEDE3D45A666}" name="Column5432"/>
    <tableColumn id="5447" xr3:uid="{C1C9347C-E16D-449E-9AAE-FEF88A586417}" name="Column5433"/>
    <tableColumn id="5448" xr3:uid="{CE5CB0B9-0731-4728-8392-5304F189AC28}" name="Column5434"/>
    <tableColumn id="5449" xr3:uid="{8B91EDE7-AA30-4F8F-83A4-798163721772}" name="Column5435"/>
    <tableColumn id="5450" xr3:uid="{73A6A295-9832-462B-A61E-B94CBB0CF1FB}" name="Column5436"/>
    <tableColumn id="5451" xr3:uid="{DB70823F-6568-4820-BE13-A0D223EC3302}" name="Column5437"/>
    <tableColumn id="5452" xr3:uid="{BCB2141B-62C5-48FD-8C22-06C0D824D0BC}" name="Column5438"/>
    <tableColumn id="5453" xr3:uid="{91E898D3-2927-43DE-91E7-F5FC2ADC313C}" name="Column5439"/>
    <tableColumn id="5454" xr3:uid="{806BE27F-904D-4FBE-B274-DDF425DCEFD5}" name="Column5440"/>
    <tableColumn id="5455" xr3:uid="{42F3E7D3-B336-4CC2-A9E8-0FB38F1F3A0B}" name="Column5441"/>
    <tableColumn id="5456" xr3:uid="{5978B41F-8DA7-4252-B463-CEABE54809CD}" name="Column5442"/>
    <tableColumn id="5457" xr3:uid="{F10D8627-E4A4-47F1-9DC4-1B54905F0EE8}" name="Column5443"/>
    <tableColumn id="5458" xr3:uid="{22C325A8-18A4-4E9E-9970-97640E5A14D6}" name="Column5444"/>
    <tableColumn id="5459" xr3:uid="{CB0DCA55-92B5-47AB-A9DA-A22D7CAA7999}" name="Column5445"/>
    <tableColumn id="5460" xr3:uid="{6E0A526E-09E8-4057-838C-D1E01C062F21}" name="Column5446"/>
    <tableColumn id="5461" xr3:uid="{1845E949-A2D5-424D-93CA-4F59C21A258A}" name="Column5447"/>
    <tableColumn id="5462" xr3:uid="{5362083D-F063-472A-9345-544F3E421EA2}" name="Column5448"/>
    <tableColumn id="5463" xr3:uid="{89F8A162-8ED7-419B-876C-50D972036544}" name="Column5449"/>
    <tableColumn id="5464" xr3:uid="{2847F58A-438D-4637-BEAC-06B7C5AE35A8}" name="Column5450"/>
    <tableColumn id="5465" xr3:uid="{18160C07-D362-4BF8-8607-48481186C25A}" name="Column5451"/>
    <tableColumn id="5466" xr3:uid="{DBEB39C1-C4C2-4F75-8FB4-3F2452E0B45A}" name="Column5452"/>
    <tableColumn id="5467" xr3:uid="{99F03D74-54AB-4DE4-990E-1C14448E0DAE}" name="Column5453"/>
    <tableColumn id="5468" xr3:uid="{FD4FB181-DC7C-4BBF-BB74-C054FD98C949}" name="Column5454"/>
    <tableColumn id="5469" xr3:uid="{534A2C0E-A5B8-483C-87FD-E6EE2C8B5F69}" name="Column5455"/>
    <tableColumn id="5470" xr3:uid="{60EA587D-9026-4B98-81D2-9F3D08D39161}" name="Column5456"/>
    <tableColumn id="5471" xr3:uid="{C90BB658-B5D2-4777-9630-2526BAFD5DC7}" name="Column5457"/>
    <tableColumn id="5472" xr3:uid="{95B9793F-F7C7-4B1A-BCBF-37F6C1A4CC8B}" name="Column5458"/>
    <tableColumn id="5473" xr3:uid="{42333D9B-9542-4F32-8C22-0B6B8FADE538}" name="Column5459"/>
    <tableColumn id="5474" xr3:uid="{7F49A27A-14C9-4ACE-BB03-097CBBDE1569}" name="Column5460"/>
    <tableColumn id="5475" xr3:uid="{221000CD-BA0A-46DB-BA4A-908AE7B71956}" name="Column5461"/>
    <tableColumn id="5476" xr3:uid="{24BEC8FD-84D0-46BA-98C8-270584B4AF0D}" name="Column5462"/>
    <tableColumn id="5477" xr3:uid="{DD71EA40-2B17-47C7-BE25-C56392BF1AD3}" name="Column5463"/>
    <tableColumn id="5478" xr3:uid="{D1D249F4-9348-4644-8535-9598181DB796}" name="Column5464"/>
    <tableColumn id="5479" xr3:uid="{2EBECEAF-440E-4509-BC5D-6E3D37066B90}" name="Column5465"/>
    <tableColumn id="5480" xr3:uid="{1F83FF1C-1B52-4EC4-98BB-3A70490D3BE6}" name="Column5466"/>
    <tableColumn id="5481" xr3:uid="{C9238533-7982-4341-95F0-30F6DE2E927B}" name="Column5467"/>
    <tableColumn id="5482" xr3:uid="{D617592B-2493-4AD4-8638-3EA55D88293D}" name="Column5468"/>
    <tableColumn id="5483" xr3:uid="{A699AB9E-1A65-47AD-ADC4-D5649B361C74}" name="Column5469"/>
    <tableColumn id="5484" xr3:uid="{89B39708-78B8-4B4B-A1B9-C0CFC261EFF7}" name="Column5470"/>
    <tableColumn id="5485" xr3:uid="{2F407423-7395-4AD3-9E24-866B8C7AAC84}" name="Column5471"/>
    <tableColumn id="5486" xr3:uid="{569C34DC-5CC2-4E5A-BBE1-7645A6E48042}" name="Column5472"/>
    <tableColumn id="5487" xr3:uid="{1D8177B8-368D-43AE-BEDF-E3A20BF9733F}" name="Column5473"/>
    <tableColumn id="5488" xr3:uid="{4A6E54B9-D7C5-41CD-8816-B780E33B0752}" name="Column5474"/>
    <tableColumn id="5489" xr3:uid="{17981DF2-3C68-4190-B950-4AD873E6B259}" name="Column5475"/>
    <tableColumn id="5490" xr3:uid="{C0CFE521-41FA-4F18-A3FA-B02CE455DCA8}" name="Column5476"/>
    <tableColumn id="5491" xr3:uid="{AD3E102D-FE84-4BEB-9C42-1A30A03BFFC8}" name="Column5477"/>
    <tableColumn id="5492" xr3:uid="{54C9F5E8-4F11-45A7-98F3-A82B07A4134F}" name="Column5478"/>
    <tableColumn id="5493" xr3:uid="{BB029818-8CEC-401A-9447-88D54C3C5F0F}" name="Column5479"/>
    <tableColumn id="5494" xr3:uid="{08BE9795-4DCB-4DD1-89BC-71B4D28EEF3A}" name="Column5480"/>
    <tableColumn id="5495" xr3:uid="{E0600C9D-D23B-40A0-9CC0-7050F66DA111}" name="Column5481"/>
    <tableColumn id="5496" xr3:uid="{F5D56E2D-8336-49B6-85FF-0B263DFAAC51}" name="Column5482"/>
    <tableColumn id="5497" xr3:uid="{6BA11D13-FEF7-48FD-A9D6-B0DFCFC317BE}" name="Column5483"/>
    <tableColumn id="5498" xr3:uid="{A4166AD6-8D73-46C4-91E7-577E40E410E2}" name="Column5484"/>
    <tableColumn id="5499" xr3:uid="{2F6C210C-C052-4F99-90DB-37BCF33965E9}" name="Column5485"/>
    <tableColumn id="5500" xr3:uid="{78C9CF82-5A30-4A0A-AB55-2CB3A8D501B4}" name="Column5486"/>
    <tableColumn id="5501" xr3:uid="{9D7861DB-46D2-491F-B114-0A347680A1AE}" name="Column5487"/>
    <tableColumn id="5502" xr3:uid="{03705676-8CC3-4F34-BCE3-7A676B6AC852}" name="Column5488"/>
    <tableColumn id="5503" xr3:uid="{9F7F0660-E555-4703-98E5-A5AAA6C83670}" name="Column5489"/>
    <tableColumn id="5504" xr3:uid="{AA999A84-B7D8-49E0-B087-26538332C81D}" name="Column5490"/>
    <tableColumn id="5505" xr3:uid="{F9833927-631E-48B2-9986-08193B875956}" name="Column5491"/>
    <tableColumn id="5506" xr3:uid="{44EA05BD-CE54-4BB0-A30E-F7B07F125943}" name="Column5492"/>
    <tableColumn id="5507" xr3:uid="{53219D07-2455-4CE3-86C9-E0CFB910CE78}" name="Column5493"/>
    <tableColumn id="5508" xr3:uid="{5F68057B-3F34-4061-9206-19FFFF107BEE}" name="Column5494"/>
    <tableColumn id="5509" xr3:uid="{AB87C10D-ADD6-43AA-8532-B576AEB33858}" name="Column5495"/>
    <tableColumn id="5510" xr3:uid="{6D9BF327-A5D6-423A-B321-C2F46D2CED26}" name="Column5496"/>
    <tableColumn id="5511" xr3:uid="{2DF1F5B7-2FB8-4197-857A-F17662D960C3}" name="Column5497"/>
    <tableColumn id="5512" xr3:uid="{E566FC50-0815-4DC4-8A40-58753DB05689}" name="Column5498"/>
    <tableColumn id="5513" xr3:uid="{AFFBABD2-3EEB-488D-9E4B-9821563E5968}" name="Column5499"/>
    <tableColumn id="5514" xr3:uid="{7AEB76B8-72B2-44CA-A818-CFA71B229262}" name="Column5500"/>
    <tableColumn id="5515" xr3:uid="{2DD158B3-B524-402B-9A09-028486E4CBDE}" name="Column5501"/>
    <tableColumn id="5516" xr3:uid="{1F0EA0C3-22AF-4AE5-B9E8-7C8E4B69EF06}" name="Column5502"/>
    <tableColumn id="5517" xr3:uid="{7BAAB42C-1378-497A-BC08-F2E873F8581B}" name="Column5503"/>
    <tableColumn id="5518" xr3:uid="{B431C153-3BAF-4844-80FA-05E87B2FF803}" name="Column5504"/>
    <tableColumn id="5519" xr3:uid="{1C86A549-382F-4ECB-A644-FADAFFB2F0C1}" name="Column5505"/>
    <tableColumn id="5520" xr3:uid="{6354EC93-75C9-4AB7-8A07-9357256C95D4}" name="Column5506"/>
    <tableColumn id="5521" xr3:uid="{71449AC4-410E-43AC-BB52-1EFD2D3ECC3F}" name="Column5507"/>
    <tableColumn id="5522" xr3:uid="{61F44D64-5E67-4ACD-93A1-CEED2E37B1D3}" name="Column5508"/>
    <tableColumn id="5523" xr3:uid="{790DC57D-FB6E-4900-B701-02CE726B5E9F}" name="Column5509"/>
    <tableColumn id="5524" xr3:uid="{9D7D96F0-191D-4D90-88DB-FD9C30E5D11E}" name="Column5510"/>
    <tableColumn id="5525" xr3:uid="{F56A2839-EFD2-46E7-B941-8E275E47222B}" name="Column5511"/>
    <tableColumn id="5526" xr3:uid="{1E6CFBA1-9BA6-4B99-A4D2-ACD67C4BD7B4}" name="Column5512"/>
    <tableColumn id="5527" xr3:uid="{0E01B79C-6029-4554-9DA9-40478ADA5B5A}" name="Column5513"/>
    <tableColumn id="5528" xr3:uid="{E1A114D7-A140-4D0B-B4F9-8853CDF450E3}" name="Column5514"/>
    <tableColumn id="5529" xr3:uid="{BE379F4A-92B0-4B98-BD33-76E503ED2BC2}" name="Column5515"/>
    <tableColumn id="5530" xr3:uid="{D2159502-8487-465A-BB90-C7E840AE5293}" name="Column5516"/>
    <tableColumn id="5531" xr3:uid="{BFED563F-5D49-47C4-978E-146A22E7F9AE}" name="Column5517"/>
    <tableColumn id="5532" xr3:uid="{37C6CD02-9DFE-4B50-B716-62D023C472D4}" name="Column5518"/>
    <tableColumn id="5533" xr3:uid="{7331174C-2E45-4D8D-BD71-7F56E0C72247}" name="Column5519"/>
    <tableColumn id="5534" xr3:uid="{4A693D78-D5FD-4A1F-9DE0-F1C16C5DB0B6}" name="Column5520"/>
    <tableColumn id="5535" xr3:uid="{FEA430FC-5AC3-4909-84F2-D58A3C0EBF0B}" name="Column5521"/>
    <tableColumn id="5536" xr3:uid="{B42B1B0F-B9F2-4E12-8A5F-C84D44FF9E1D}" name="Column5522"/>
    <tableColumn id="5537" xr3:uid="{2307F172-A423-4FC9-9B1E-7B810A4DF6FA}" name="Column5523"/>
    <tableColumn id="5538" xr3:uid="{A7024C96-05E5-4548-BEB0-0F0D1D3608A2}" name="Column5524"/>
    <tableColumn id="5539" xr3:uid="{E3BF2A9A-39BD-4DA8-A5D0-BDF918CE943F}" name="Column5525"/>
    <tableColumn id="5540" xr3:uid="{4AE485E8-4FE0-44C5-AF42-3F7C6F5DEF31}" name="Column5526"/>
    <tableColumn id="5541" xr3:uid="{C1C5F819-731F-4F60-99F6-AE23C839A056}" name="Column5527"/>
    <tableColumn id="5542" xr3:uid="{4FA9B406-0EB3-4E11-B6E4-092636460298}" name="Column5528"/>
    <tableColumn id="5543" xr3:uid="{FACDA199-B4A5-45E6-AB54-A37E0E84EF8A}" name="Column5529"/>
    <tableColumn id="5544" xr3:uid="{C494C89A-D0D6-40AB-BA2D-E8612B3119A5}" name="Column5530"/>
    <tableColumn id="5545" xr3:uid="{16838788-F3FB-4293-8624-FC5D886D0591}" name="Column5531"/>
    <tableColumn id="5546" xr3:uid="{88BF2BD2-51EA-43EA-8D31-09F748EE2D86}" name="Column5532"/>
    <tableColumn id="5547" xr3:uid="{58ACA01E-A61C-4504-B3B5-437BFF5BA406}" name="Column5533"/>
    <tableColumn id="5548" xr3:uid="{AF814B89-7B6F-4C18-B928-872C9E77A7D3}" name="Column5534"/>
    <tableColumn id="5549" xr3:uid="{4CD66EB0-DE72-4A87-9728-1DA6B9995EF1}" name="Column5535"/>
    <tableColumn id="5550" xr3:uid="{4CE10583-4DE9-45E9-9F4E-D7EA27789605}" name="Column5536"/>
    <tableColumn id="5551" xr3:uid="{C53942D2-2538-4896-9231-69319AF76080}" name="Column5537"/>
    <tableColumn id="5552" xr3:uid="{B011B535-AFBC-43FC-AFE5-CEE9E9E70365}" name="Column5538"/>
    <tableColumn id="5553" xr3:uid="{63F76D27-7B9A-4269-9C73-6C661357E5F9}" name="Column5539"/>
    <tableColumn id="5554" xr3:uid="{FD46AD12-87B0-4BAF-97BF-7C7A91C908EA}" name="Column5540"/>
    <tableColumn id="5555" xr3:uid="{8A1046BA-CDAF-4B5B-A603-309F93DD94A9}" name="Column5541"/>
    <tableColumn id="5556" xr3:uid="{66C3E8AB-0600-418A-9BDC-73F002DE204C}" name="Column5542"/>
    <tableColumn id="5557" xr3:uid="{CEEA67AA-3932-4B73-8926-AC337480C5EC}" name="Column5543"/>
    <tableColumn id="5558" xr3:uid="{89BB604D-7B43-412D-ABC4-1B411B036A94}" name="Column5544"/>
    <tableColumn id="5559" xr3:uid="{CE45F518-D122-49AC-820A-AAD9D12052AB}" name="Column5545"/>
    <tableColumn id="5560" xr3:uid="{76DBB6E2-470D-450E-BD05-10FDE0730AE7}" name="Column5546"/>
    <tableColumn id="5561" xr3:uid="{3E935203-8547-4BB4-AB59-70708E6FD551}" name="Column5547"/>
    <tableColumn id="5562" xr3:uid="{D21C778F-06C9-48B1-AB90-E8CBC4D3333F}" name="Column5548"/>
    <tableColumn id="5563" xr3:uid="{8637CF38-D357-4AC9-A68E-2B335604688E}" name="Column5549"/>
    <tableColumn id="5564" xr3:uid="{130C8A36-BD62-41DD-8057-E07AB33D11F7}" name="Column5550"/>
    <tableColumn id="5565" xr3:uid="{38A3620A-5782-433A-B8E4-DA089A9503E1}" name="Column5551"/>
    <tableColumn id="5566" xr3:uid="{F032C10A-1543-45A0-BB49-2D19C456184D}" name="Column5552"/>
    <tableColumn id="5567" xr3:uid="{4F94A02F-F7BB-4DFE-891D-A087E558739E}" name="Column5553"/>
    <tableColumn id="5568" xr3:uid="{24452A01-AEFB-4CEA-8FDF-114462CD3822}" name="Column5554"/>
    <tableColumn id="5569" xr3:uid="{54857B80-1AAE-4CA7-B912-E0AED94CD956}" name="Column5555"/>
    <tableColumn id="5570" xr3:uid="{2B350B19-9909-4781-9DC5-C9480C286881}" name="Column5556"/>
    <tableColumn id="5571" xr3:uid="{CFDE06E9-25A5-423F-8807-5C8F481A2A46}" name="Column5557"/>
    <tableColumn id="5572" xr3:uid="{ACD61674-85F9-4629-A5DB-A05C7F701658}" name="Column5558"/>
    <tableColumn id="5573" xr3:uid="{DC812CFB-EAA5-4189-A82C-139C870BEB04}" name="Column5559"/>
    <tableColumn id="5574" xr3:uid="{DADED668-2ADA-4BF8-969B-A4F6F21E2652}" name="Column5560"/>
    <tableColumn id="5575" xr3:uid="{7651FD39-9A6C-48ED-99AC-1EADC67A5ABB}" name="Column5561"/>
    <tableColumn id="5576" xr3:uid="{F30E8A85-5B77-4911-8CFA-90C1F134A7A8}" name="Column5562"/>
    <tableColumn id="5577" xr3:uid="{BC644D84-477E-4CE1-BA0E-29730066374D}" name="Column5563"/>
    <tableColumn id="5578" xr3:uid="{FFDFC6E2-FC82-4F8C-92CC-F2DD4B181E02}" name="Column5564"/>
    <tableColumn id="5579" xr3:uid="{81A95597-B7EA-4E0A-ABFF-EB378A61683E}" name="Column5565"/>
    <tableColumn id="5580" xr3:uid="{67644E92-2E3A-4B2E-8643-6F81DDB4EBA6}" name="Column5566"/>
    <tableColumn id="5581" xr3:uid="{07861EFF-6CFB-40ED-A331-E641137374FA}" name="Column5567"/>
    <tableColumn id="5582" xr3:uid="{1271E7AF-66C5-4E9D-9D60-AE8F6396319B}" name="Column5568"/>
    <tableColumn id="5583" xr3:uid="{9553CED9-4DD8-46FF-95A4-40142CC354E2}" name="Column5569"/>
    <tableColumn id="5584" xr3:uid="{E8B16F82-3CFE-48CD-B2E7-D94FB379E16B}" name="Column5570"/>
    <tableColumn id="5585" xr3:uid="{EBEA2AD4-3B04-43BF-A4E6-997651AAACD3}" name="Column5571"/>
    <tableColumn id="5586" xr3:uid="{E78F5C64-2DBC-417D-AE90-D61AAA6C4D9A}" name="Column5572"/>
    <tableColumn id="5587" xr3:uid="{BDE5D24C-0AEF-4605-BE6D-F0FC2B53187C}" name="Column5573"/>
    <tableColumn id="5588" xr3:uid="{E3F17A1A-B1E6-4591-B49E-BCD3503FC40A}" name="Column5574"/>
    <tableColumn id="5589" xr3:uid="{5FCC2554-BAF6-4197-9B92-B29E4E593807}" name="Column5575"/>
    <tableColumn id="5590" xr3:uid="{1C14D299-B47E-4B2A-A76A-8B78C2111E0E}" name="Column5576"/>
    <tableColumn id="5591" xr3:uid="{15017668-E2CA-4094-8262-B318B3C33B41}" name="Column5577"/>
    <tableColumn id="5592" xr3:uid="{4B3D4E0C-5807-4257-947F-B8CB94549AAF}" name="Column5578"/>
    <tableColumn id="5593" xr3:uid="{B0CA965A-E24C-4AB2-8BC2-A0A10AE30ED4}" name="Column5579"/>
    <tableColumn id="5594" xr3:uid="{BB294FF4-0D35-4124-A007-3126331BFBD6}" name="Column5580"/>
    <tableColumn id="5595" xr3:uid="{B4E62E0D-2F72-401F-93C5-55187CA445EB}" name="Column5581"/>
    <tableColumn id="5596" xr3:uid="{B643B4ED-A4F5-4321-A15E-4208382E281E}" name="Column5582"/>
    <tableColumn id="5597" xr3:uid="{D98EC95E-C88B-4096-94D0-A0521514AD19}" name="Column5583"/>
    <tableColumn id="5598" xr3:uid="{87364197-0E4B-4216-87A5-F9171448F530}" name="Column5584"/>
    <tableColumn id="5599" xr3:uid="{7A124386-C607-4144-82C4-69B8604AC4F6}" name="Column5585"/>
    <tableColumn id="5600" xr3:uid="{39395EE7-2FB4-444A-8283-239B341F4742}" name="Column5586"/>
    <tableColumn id="5601" xr3:uid="{5495E399-95C1-4D0A-9638-A7463F638070}" name="Column5587"/>
    <tableColumn id="5602" xr3:uid="{4BBA1A92-D49B-4F3D-97C8-3D67E9AFAC90}" name="Column5588"/>
    <tableColumn id="5603" xr3:uid="{B93B22B7-AFE0-4A7C-BC25-951582A994B3}" name="Column5589"/>
    <tableColumn id="5604" xr3:uid="{72732398-000A-4B6F-868F-7732B17D466D}" name="Column5590"/>
    <tableColumn id="5605" xr3:uid="{202F6351-2D95-4C73-97F7-7CA339576D26}" name="Column5591"/>
    <tableColumn id="5606" xr3:uid="{76F7BD23-DA0F-4668-9EEF-747EFD010E6E}" name="Column5592"/>
    <tableColumn id="5607" xr3:uid="{3075CBA3-590E-4F19-BE4C-C3C3CB10D6A0}" name="Column5593"/>
    <tableColumn id="5608" xr3:uid="{CFADABC0-9B9C-46DD-8932-F12096B5F706}" name="Column5594"/>
    <tableColumn id="5609" xr3:uid="{FDE5228F-F153-480F-8EFE-D6D7C1040753}" name="Column5595"/>
    <tableColumn id="5610" xr3:uid="{48D3466C-44ED-4FA6-BEB3-816CD0AABA36}" name="Column5596"/>
    <tableColumn id="5611" xr3:uid="{3BF739B0-EFFD-4BBA-BF57-E7F3D5788251}" name="Column5597"/>
    <tableColumn id="5612" xr3:uid="{00F8760C-B3E5-4794-AAC1-E301906AE12A}" name="Column5598"/>
    <tableColumn id="5613" xr3:uid="{D6459669-BAD5-4EEC-BDF6-3086B36A8894}" name="Column5599"/>
    <tableColumn id="5614" xr3:uid="{08D707A0-FB4F-440F-915E-6BDB1B9274CB}" name="Column5600"/>
    <tableColumn id="5615" xr3:uid="{D14254AB-8247-4BB6-BE73-80D609685DD7}" name="Column5601"/>
    <tableColumn id="5616" xr3:uid="{34DA68A3-FBF0-495D-B6C9-B8CF0441625C}" name="Column5602"/>
    <tableColumn id="5617" xr3:uid="{8477A9C4-E295-42E7-BAD9-CA565AE22BFA}" name="Column5603"/>
    <tableColumn id="5618" xr3:uid="{3A8D7D5F-1F35-4AE9-91BF-2C5E4EFCC3AF}" name="Column5604"/>
    <tableColumn id="5619" xr3:uid="{CDD23AEE-97F7-4381-B35B-C03047746A5F}" name="Column5605"/>
    <tableColumn id="5620" xr3:uid="{2D405335-8E4C-455B-8E3E-6055FFB9EE0B}" name="Column5606"/>
    <tableColumn id="5621" xr3:uid="{B363360B-9E03-4CFE-887B-5C8854D65C13}" name="Column5607"/>
    <tableColumn id="5622" xr3:uid="{FDDE305F-C394-4B7A-98E5-E524A9B33EDA}" name="Column5608"/>
    <tableColumn id="5623" xr3:uid="{67A072E2-A57E-4193-BD89-C3AA8C95457E}" name="Column5609"/>
    <tableColumn id="5624" xr3:uid="{25A050A8-8837-405F-9FEA-2DD5B850A480}" name="Column5610"/>
    <tableColumn id="5625" xr3:uid="{09C0D3A3-C0F0-4CC6-AD34-23A77F9EB2B7}" name="Column5611"/>
    <tableColumn id="5626" xr3:uid="{E8543C09-9DD8-4EC9-99A6-258BB34F695D}" name="Column5612"/>
    <tableColumn id="5627" xr3:uid="{A6B25B67-CF1C-4545-B6C9-63B536851DD3}" name="Column5613"/>
    <tableColumn id="5628" xr3:uid="{8080D90C-66F5-456F-9A5F-5ADF3AFEFB05}" name="Column5614"/>
    <tableColumn id="5629" xr3:uid="{D7B7BB4A-FBA0-4C0D-91BF-60476464E4F7}" name="Column5615"/>
    <tableColumn id="5630" xr3:uid="{BA0E921E-D6B1-4B7D-B5BC-D5645B55914F}" name="Column5616"/>
    <tableColumn id="5631" xr3:uid="{131266D7-FCE9-49E1-A935-4DE61C782C23}" name="Column5617"/>
    <tableColumn id="5632" xr3:uid="{E49A8932-DF34-4980-89C4-F77BCAD74CBA}" name="Column5618"/>
    <tableColumn id="5633" xr3:uid="{2188263D-2594-4D7F-9058-6CA629F76483}" name="Column5619"/>
    <tableColumn id="5634" xr3:uid="{9824F9AA-C656-4A0E-9871-78E62F83D8FE}" name="Column5620"/>
    <tableColumn id="5635" xr3:uid="{0B735B12-AB7E-4C7B-B20B-9FB4B64EAF1B}" name="Column5621"/>
    <tableColumn id="5636" xr3:uid="{221D744D-BE63-4DA2-ADBD-29EDCE2C23E7}" name="Column5622"/>
    <tableColumn id="5637" xr3:uid="{9BE91BA4-F577-439A-97B1-B70E1A685D19}" name="Column5623"/>
    <tableColumn id="5638" xr3:uid="{C6DFC684-B1EF-4A4D-8C24-EF913B554E8F}" name="Column5624"/>
    <tableColumn id="5639" xr3:uid="{6BF02032-9FF8-423E-8899-8C9C5AE81922}" name="Column5625"/>
    <tableColumn id="5640" xr3:uid="{302CFD4D-4B26-4EAA-8C7B-03F6B4364D67}" name="Column5626"/>
    <tableColumn id="5641" xr3:uid="{D00C374C-CB4C-46FA-B835-E25261709274}" name="Column5627"/>
    <tableColumn id="5642" xr3:uid="{1D8AEB88-E94E-45C9-A683-311EB8524010}" name="Column5628"/>
    <tableColumn id="5643" xr3:uid="{CFEE6088-A9CC-46B5-8A83-56FC2EC1107D}" name="Column5629"/>
    <tableColumn id="5644" xr3:uid="{3EF13D50-9E18-4549-938C-DA0A7E8A9335}" name="Column5630"/>
    <tableColumn id="5645" xr3:uid="{AC630DE8-034A-460A-B99C-0A1BD2B15C71}" name="Column5631"/>
    <tableColumn id="5646" xr3:uid="{91053850-808B-4670-B9CE-853B77FE778C}" name="Column5632"/>
    <tableColumn id="5647" xr3:uid="{E87127EF-EE23-4A24-AA7D-5CB5C736E4AD}" name="Column5633"/>
    <tableColumn id="5648" xr3:uid="{F61BA037-E04E-4965-811C-CB15E4C4DB16}" name="Column5634"/>
    <tableColumn id="5649" xr3:uid="{A73EF1BB-751A-4DF1-9FF0-12E64B86F654}" name="Column5635"/>
    <tableColumn id="5650" xr3:uid="{D5A14695-1075-458F-B640-1E04401AA6D2}" name="Column5636"/>
    <tableColumn id="5651" xr3:uid="{DA6F82B4-EF6D-47D5-A958-0A4FE6719F6C}" name="Column5637"/>
    <tableColumn id="5652" xr3:uid="{1E4AEB54-8F78-41B5-9720-50CDE6A8329F}" name="Column5638"/>
    <tableColumn id="5653" xr3:uid="{ADAAE8F3-9352-453F-9265-41FB59D15189}" name="Column5639"/>
    <tableColumn id="5654" xr3:uid="{AB909CC5-A18D-46AD-9809-4CE19892F245}" name="Column5640"/>
    <tableColumn id="5655" xr3:uid="{3A905FC4-8F25-46ED-B950-AD14B3D8E491}" name="Column5641"/>
    <tableColumn id="5656" xr3:uid="{D97B70C2-0F40-49AA-AEE8-41CE2CE8ECDE}" name="Column5642"/>
    <tableColumn id="5657" xr3:uid="{86696443-307B-49E4-AACC-19587AC36A1A}" name="Column5643"/>
    <tableColumn id="5658" xr3:uid="{D903DB46-7D02-430F-ABA6-68256E194143}" name="Column5644"/>
    <tableColumn id="5659" xr3:uid="{F8B7841F-297E-4659-A601-20945DCD9766}" name="Column5645"/>
    <tableColumn id="5660" xr3:uid="{48023F4C-6F0A-4F0D-8D71-F490E71D588E}" name="Column5646"/>
    <tableColumn id="5661" xr3:uid="{C1F2932B-5ED8-4B15-B685-9C7F72C33265}" name="Column5647"/>
    <tableColumn id="5662" xr3:uid="{FD4036EA-6C10-4C8E-8DC8-3C10B6C6B938}" name="Column5648"/>
    <tableColumn id="5663" xr3:uid="{FE45BB7D-4B56-427B-9FBE-63E3BCDBD141}" name="Column5649"/>
    <tableColumn id="5664" xr3:uid="{C7BD2DED-0E32-40CF-8155-78F75C876708}" name="Column5650"/>
    <tableColumn id="5665" xr3:uid="{E403BB8B-172C-4DD7-A4EE-09438E5AAF74}" name="Column5651"/>
    <tableColumn id="5666" xr3:uid="{1EE287C4-D664-4D4A-92CB-E25DD8DA6EA5}" name="Column5652"/>
    <tableColumn id="5667" xr3:uid="{6C6EF6D8-1602-4F17-B48C-B9E7B60BCFFC}" name="Column5653"/>
    <tableColumn id="5668" xr3:uid="{B6F09EF3-27A4-45A4-823A-09746AA7A10C}" name="Column5654"/>
    <tableColumn id="5669" xr3:uid="{6DCB874D-43CD-42E6-A182-0888ECE1655C}" name="Column5655"/>
    <tableColumn id="5670" xr3:uid="{5C213D5E-AC89-4C54-83FC-9894FB80EDCB}" name="Column5656"/>
    <tableColumn id="5671" xr3:uid="{5568DD1F-A98F-4B82-BEAC-905092F26039}" name="Column5657"/>
    <tableColumn id="5672" xr3:uid="{647B6682-AFFB-474C-B186-61B651E1771E}" name="Column5658"/>
    <tableColumn id="5673" xr3:uid="{B5ABF02F-7003-4A80-9728-3F52F94FED5B}" name="Column5659"/>
    <tableColumn id="5674" xr3:uid="{F8EF84B3-E97E-434A-9A7B-EE49C683814F}" name="Column5660"/>
    <tableColumn id="5675" xr3:uid="{C18F49CD-DAD1-4F82-9387-773892598E6C}" name="Column5661"/>
    <tableColumn id="5676" xr3:uid="{82BA7ED1-E25E-42F8-8915-90E0CF721539}" name="Column5662"/>
    <tableColumn id="5677" xr3:uid="{65C8353A-3232-4683-9692-01CA122CB115}" name="Column5663"/>
    <tableColumn id="5678" xr3:uid="{5140A31F-3011-4214-9F32-A5449D6AD086}" name="Column5664"/>
    <tableColumn id="5679" xr3:uid="{0A75220A-7EB9-4B96-91DE-9F607B4114E1}" name="Column5665"/>
    <tableColumn id="5680" xr3:uid="{BC5AEBA3-084E-4070-8961-07E7804DC700}" name="Column5666"/>
    <tableColumn id="5681" xr3:uid="{63084879-0E3E-45D0-AE40-FB94D28AD407}" name="Column5667"/>
    <tableColumn id="5682" xr3:uid="{98CE9B79-5658-462D-A7BD-C94950C3256C}" name="Column5668"/>
    <tableColumn id="5683" xr3:uid="{109C41C3-6CD0-4DED-B23D-4A131248019A}" name="Column5669"/>
    <tableColumn id="5684" xr3:uid="{4994FF68-B225-4906-BDC5-547042DCB7DF}" name="Column5670"/>
    <tableColumn id="5685" xr3:uid="{A8A05AF1-E862-42DB-8A7B-4C8031BDD312}" name="Column5671"/>
    <tableColumn id="5686" xr3:uid="{93C488AF-D0F9-40E0-B55F-8A1EE96766C3}" name="Column5672"/>
    <tableColumn id="5687" xr3:uid="{E1A44124-2B26-4F51-BA45-2BBBAEEDC90C}" name="Column5673"/>
    <tableColumn id="5688" xr3:uid="{97E6E402-B8D0-43F0-B291-E87E66FCBFFD}" name="Column5674"/>
    <tableColumn id="5689" xr3:uid="{75315085-25EA-48B7-AFDC-811CBBB0BA3E}" name="Column5675"/>
    <tableColumn id="5690" xr3:uid="{AE67165D-C92C-45E1-9D97-BF8345157993}" name="Column5676"/>
    <tableColumn id="5691" xr3:uid="{AC381942-C100-4A6F-9505-F0F912B0DF76}" name="Column5677"/>
    <tableColumn id="5692" xr3:uid="{0CAC42BC-DCC1-4E4C-A1E9-F1054C3ABD2D}" name="Column5678"/>
    <tableColumn id="5693" xr3:uid="{7B0AF5B9-4F24-4576-9384-6F047F411B7F}" name="Column5679"/>
    <tableColumn id="5694" xr3:uid="{2BDC8A5E-4C64-47E2-BF68-41A65DE2AC07}" name="Column5680"/>
    <tableColumn id="5695" xr3:uid="{412E2B76-3FC2-4DAE-871A-B4F84CD6A0C3}" name="Column5681"/>
    <tableColumn id="5696" xr3:uid="{EB1ACFA4-65B6-486B-88A6-C5C7C5F20CEE}" name="Column5682"/>
    <tableColumn id="5697" xr3:uid="{A56E80DC-955E-49DE-A85F-853F74AA0690}" name="Column5683"/>
    <tableColumn id="5698" xr3:uid="{9473BB77-C3D0-48C9-B22F-F8AFC3436A01}" name="Column5684"/>
    <tableColumn id="5699" xr3:uid="{253B7DB2-2401-4121-989D-1F3DCFF59F85}" name="Column5685"/>
    <tableColumn id="5700" xr3:uid="{65B0BB4E-B5EA-4AE8-A93A-FE856C22F034}" name="Column5686"/>
    <tableColumn id="5701" xr3:uid="{C4FFD4A7-DCEF-4121-A20E-5A1A07EF6A5D}" name="Column5687"/>
    <tableColumn id="5702" xr3:uid="{0F383C01-CB1C-4DC0-92B5-2577ED01A600}" name="Column5688"/>
    <tableColumn id="5703" xr3:uid="{30B97BE9-4011-4D3D-8A49-63E6ABA7ABB0}" name="Column5689"/>
    <tableColumn id="5704" xr3:uid="{0D24B8D6-2D82-4737-B383-96A39229FC39}" name="Column5690"/>
    <tableColumn id="5705" xr3:uid="{52066D78-4021-4E9C-8A73-628693727B56}" name="Column5691"/>
    <tableColumn id="5706" xr3:uid="{68AAC329-573B-41F7-88B2-1059A3A94DEE}" name="Column5692"/>
    <tableColumn id="5707" xr3:uid="{7B13A43D-287E-4B64-90EE-B060A2230097}" name="Column5693"/>
    <tableColumn id="5708" xr3:uid="{DCCA34EB-20B5-4170-B523-D87401307948}" name="Column5694"/>
    <tableColumn id="5709" xr3:uid="{A0A6BAE3-54DE-4946-B95B-5B09CD4B5BF7}" name="Column5695"/>
    <tableColumn id="5710" xr3:uid="{A9AC0972-B460-4094-BD8D-8058CB9FA2F4}" name="Column5696"/>
    <tableColumn id="5711" xr3:uid="{8547AC8B-B834-4DE5-80A6-15C8118948B2}" name="Column5697"/>
    <tableColumn id="5712" xr3:uid="{8EE5CBD2-DE7C-43EF-92E9-3DC74D19DC0C}" name="Column5698"/>
    <tableColumn id="5713" xr3:uid="{BF89E92D-93A8-4BAA-8F77-3FA679C19311}" name="Column5699"/>
    <tableColumn id="5714" xr3:uid="{506FC13A-AB12-4C86-9FAC-0FA433794C24}" name="Column5700"/>
    <tableColumn id="5715" xr3:uid="{907FCD6A-54D8-4E3F-AC38-DDCA1243939C}" name="Column5701"/>
    <tableColumn id="5716" xr3:uid="{8EC06E30-D5AE-4E1F-8ECA-93ECB8030149}" name="Column5702"/>
    <tableColumn id="5717" xr3:uid="{3B312087-4988-4602-8EE7-D23AE771C562}" name="Column5703"/>
    <tableColumn id="5718" xr3:uid="{FD1AF93F-A64D-42C6-AFF0-D5C8BAF426EB}" name="Column5704"/>
    <tableColumn id="5719" xr3:uid="{860B69D4-D460-4006-A6DD-EA9CF3C3A694}" name="Column5705"/>
    <tableColumn id="5720" xr3:uid="{3DEE4597-A5DE-4CA5-8AA3-251CA193854E}" name="Column5706"/>
    <tableColumn id="5721" xr3:uid="{6441D150-715E-45B8-9091-BCCA0FC24112}" name="Column5707"/>
    <tableColumn id="5722" xr3:uid="{141C89BD-789D-42E1-864F-790939415D6F}" name="Column5708"/>
    <tableColumn id="5723" xr3:uid="{EA75FF5B-A5D0-4C66-B281-00E6B539F4B4}" name="Column5709"/>
    <tableColumn id="5724" xr3:uid="{D71879AC-5C2C-4C9E-ACB3-1B5BF35F359D}" name="Column5710"/>
    <tableColumn id="5725" xr3:uid="{C42F200A-B0AC-4C6E-987F-D1233AA45E4D}" name="Column5711"/>
    <tableColumn id="5726" xr3:uid="{3B4EC429-BCC9-4990-B5BD-A32A029F229D}" name="Column5712"/>
    <tableColumn id="5727" xr3:uid="{473C5428-58C2-49DB-A207-DFAA84896B8A}" name="Column5713"/>
    <tableColumn id="5728" xr3:uid="{16DA2815-EDA9-46F6-8207-ED5F8A4ADA02}" name="Column5714"/>
    <tableColumn id="5729" xr3:uid="{7D4680C8-E22B-480A-9FAB-FEC193CF9409}" name="Column5715"/>
    <tableColumn id="5730" xr3:uid="{A85EADC9-61BE-4A2D-8297-A1080D3DEB51}" name="Column5716"/>
    <tableColumn id="5731" xr3:uid="{9FEC40BB-4571-400A-827B-3170035B7B56}" name="Column5717"/>
    <tableColumn id="5732" xr3:uid="{F9DE7517-08CA-44F8-9136-F2A39BFC19CC}" name="Column5718"/>
    <tableColumn id="5733" xr3:uid="{122504DE-269C-44CE-9DE8-69D2EA85AE4F}" name="Column5719"/>
    <tableColumn id="5734" xr3:uid="{AF0FD0E8-D463-4C09-BFA1-FC7FBAF488B1}" name="Column5720"/>
    <tableColumn id="5735" xr3:uid="{6E705BEA-02C7-4AFB-8F25-39F385602BF6}" name="Column5721"/>
    <tableColumn id="5736" xr3:uid="{29C8ACEC-EA48-42E3-85F7-E6FF6C50159C}" name="Column5722"/>
    <tableColumn id="5737" xr3:uid="{87EFA1C6-8C8E-4E03-92F8-FE384C010A6C}" name="Column5723"/>
    <tableColumn id="5738" xr3:uid="{0642CDF5-22F9-4140-870E-E4A7A4F58FE1}" name="Column5724"/>
    <tableColumn id="5739" xr3:uid="{F83532D7-333F-42BE-9EE1-14B270558152}" name="Column5725"/>
    <tableColumn id="5740" xr3:uid="{ADE3308B-E281-486E-9992-520AAD327FBF}" name="Column5726"/>
    <tableColumn id="5741" xr3:uid="{DD89B1CC-B1F3-413F-9A10-5598A9471ED3}" name="Column5727"/>
    <tableColumn id="5742" xr3:uid="{9DB5DC79-BFE4-400B-8642-6D05B17A659E}" name="Column5728"/>
    <tableColumn id="5743" xr3:uid="{FF0B5734-D154-43A6-8B2A-5E7119627B71}" name="Column5729"/>
    <tableColumn id="5744" xr3:uid="{302CCAD5-D47D-478C-8EB0-0B50ADFED9C2}" name="Column5730"/>
    <tableColumn id="5745" xr3:uid="{6040A9FC-5A38-4ED8-8EE2-658718C06008}" name="Column5731"/>
    <tableColumn id="5746" xr3:uid="{FC1F2B3A-DCF8-4948-9464-B9E8D79A6BAD}" name="Column5732"/>
    <tableColumn id="5747" xr3:uid="{F1747A97-9CC5-461D-80DB-7FEFB28BC302}" name="Column5733"/>
    <tableColumn id="5748" xr3:uid="{815D68AA-F4CB-476F-AB67-8EC2A4A65752}" name="Column5734"/>
    <tableColumn id="5749" xr3:uid="{2903EC5B-8E36-404E-8472-1A7AFF295AA2}" name="Column5735"/>
    <tableColumn id="5750" xr3:uid="{7B341825-9B32-4AAD-926A-DF0B4846AFEC}" name="Column5736"/>
    <tableColumn id="5751" xr3:uid="{41A6389E-6B17-4FFD-A560-A3A564185007}" name="Column5737"/>
    <tableColumn id="5752" xr3:uid="{ABEAD533-9981-4346-9F9C-FFC0ACB37723}" name="Column5738"/>
    <tableColumn id="5753" xr3:uid="{EA3795E8-26A3-4C38-9F8D-050E31E2232D}" name="Column5739"/>
    <tableColumn id="5754" xr3:uid="{EC4010EB-596C-4736-B51E-E5DD56AC9AC1}" name="Column5740"/>
    <tableColumn id="5755" xr3:uid="{B7CF47D1-EE67-4B3E-BBDF-84C51974DC79}" name="Column5741"/>
    <tableColumn id="5756" xr3:uid="{A9A4A3DD-FB6D-4E2B-9D97-340F9796BEEC}" name="Column5742"/>
    <tableColumn id="5757" xr3:uid="{DA76849B-581D-4407-ACC3-F1FD2F641A84}" name="Column5743"/>
    <tableColumn id="5758" xr3:uid="{493742DE-CD53-499E-9F2F-FBB95A19D834}" name="Column5744"/>
    <tableColumn id="5759" xr3:uid="{98C0CB68-7FBA-42D7-86D2-481FBD03D06F}" name="Column5745"/>
    <tableColumn id="5760" xr3:uid="{5B9C28C5-548D-4926-A21D-2B0113E36DF5}" name="Column5746"/>
    <tableColumn id="5761" xr3:uid="{FD5531A9-D424-4077-B239-76055EC09D55}" name="Column5747"/>
    <tableColumn id="5762" xr3:uid="{F2E6EF7B-33A0-416D-BC85-2CC8E1AEF474}" name="Column5748"/>
    <tableColumn id="5763" xr3:uid="{773F12AF-BF70-4BBE-A62E-7DF5DD5AA015}" name="Column5749"/>
    <tableColumn id="5764" xr3:uid="{7AEFDE66-93EF-4768-9F60-201F326277FD}" name="Column5750"/>
    <tableColumn id="5765" xr3:uid="{49F79802-9545-4970-AFF3-B7B13AC8F5B6}" name="Column5751"/>
    <tableColumn id="5766" xr3:uid="{D8611688-9296-4FFF-9862-5D192F7B328D}" name="Column5752"/>
    <tableColumn id="5767" xr3:uid="{C31D619A-9B8C-425D-B2DC-68FECB33C50D}" name="Column5753"/>
    <tableColumn id="5768" xr3:uid="{BA569CCE-2C51-4BCC-B471-58C07A8EFCB9}" name="Column5754"/>
    <tableColumn id="5769" xr3:uid="{5297F86A-0A10-4E1D-9B69-C649E41968FB}" name="Column5755"/>
    <tableColumn id="5770" xr3:uid="{E48AD819-0C84-4DA6-A89B-6A81950880CA}" name="Column5756"/>
    <tableColumn id="5771" xr3:uid="{1A707DFF-33AF-4B40-BD6A-BEAF175B9BF0}" name="Column5757"/>
    <tableColumn id="5772" xr3:uid="{11B22233-0200-458C-A72C-F494078AAC2A}" name="Column5758"/>
    <tableColumn id="5773" xr3:uid="{E37B1AEB-112C-4976-9A9F-0ACE0906AF9F}" name="Column5759"/>
    <tableColumn id="5774" xr3:uid="{5EC81A2C-93F7-4187-8030-88F49F2D7025}" name="Column5760"/>
    <tableColumn id="5775" xr3:uid="{9C8583CF-B8DB-4E4B-BB7F-9B13935AFD50}" name="Column5761"/>
    <tableColumn id="5776" xr3:uid="{68FAED40-DEB2-4452-BF0D-26F67F920CD4}" name="Column5762"/>
    <tableColumn id="5777" xr3:uid="{78198CC1-43D8-4243-823B-CCAE68F99826}" name="Column5763"/>
    <tableColumn id="5778" xr3:uid="{C948388B-5F6B-42C4-8DDE-F5819F224F24}" name="Column5764"/>
    <tableColumn id="5779" xr3:uid="{EEC5BA40-9B1E-4E62-8CC5-229A362F4A24}" name="Column5765"/>
    <tableColumn id="5780" xr3:uid="{7799F065-649F-4ED8-BF7F-F0DB69AB9905}" name="Column5766"/>
    <tableColumn id="5781" xr3:uid="{276A1440-6DF8-416B-B8C8-A8D9EEB32F2F}" name="Column5767"/>
    <tableColumn id="5782" xr3:uid="{B5BEA888-5A09-455E-8127-D5316343D5B4}" name="Column5768"/>
    <tableColumn id="5783" xr3:uid="{557C0920-3B42-4FDA-8E0C-99663F8C232E}" name="Column5769"/>
    <tableColumn id="5784" xr3:uid="{A9DCDE74-588E-46CF-A1E9-6B2AEEBF1889}" name="Column5770"/>
    <tableColumn id="5785" xr3:uid="{4652864F-1F6C-4347-8C84-E800C9D693B9}" name="Column5771"/>
    <tableColumn id="5786" xr3:uid="{72293F1D-20B0-440A-AA49-88CFC72BB1F3}" name="Column5772"/>
    <tableColumn id="5787" xr3:uid="{45F38E43-2CCF-47CE-B89F-0542218F42E4}" name="Column5773"/>
    <tableColumn id="5788" xr3:uid="{9E8B3F59-078B-4480-8459-E225808C437A}" name="Column5774"/>
    <tableColumn id="5789" xr3:uid="{35660B9F-C262-4CB5-AC6B-29A37F9BCA9D}" name="Column5775"/>
    <tableColumn id="5790" xr3:uid="{EB2333E6-C59D-4D0F-9B90-D80ED89766D2}" name="Column5776"/>
    <tableColumn id="5791" xr3:uid="{E8929F82-DA51-42F1-B1B7-1929EFBB10F3}" name="Column5777"/>
    <tableColumn id="5792" xr3:uid="{F2CDFC07-ABFC-4E3C-B64D-5FAC12CC5945}" name="Column5778"/>
    <tableColumn id="5793" xr3:uid="{0CA0F5ED-CA06-4E60-967C-241B185BDEA5}" name="Column5779"/>
    <tableColumn id="5794" xr3:uid="{1546765F-0E6F-4E59-8524-FF82D6045445}" name="Column5780"/>
    <tableColumn id="5795" xr3:uid="{CB46A6B7-D903-4691-BD3A-3E8BCF7AE349}" name="Column5781"/>
    <tableColumn id="5796" xr3:uid="{661FB633-89A2-4ACF-B971-49A1497357AA}" name="Column5782"/>
    <tableColumn id="5797" xr3:uid="{3408F74C-1AD2-4207-8F83-3B2AD26BA877}" name="Column5783"/>
    <tableColumn id="5798" xr3:uid="{8BA37C7F-5CC8-4B85-8275-BF68FE4B305D}" name="Column5784"/>
    <tableColumn id="5799" xr3:uid="{10EF5EFF-1CA6-45AA-B72F-9CC8D5193C9F}" name="Column5785"/>
    <tableColumn id="5800" xr3:uid="{4D008AED-C4E7-4E4F-955F-18631CCE3F5A}" name="Column5786"/>
    <tableColumn id="5801" xr3:uid="{B4FABEE4-2812-44C6-B774-3B042088C61C}" name="Column5787"/>
    <tableColumn id="5802" xr3:uid="{D90C4F4D-76D9-4E61-A485-90EFF8BE9654}" name="Column5788"/>
    <tableColumn id="5803" xr3:uid="{81D4A44C-D996-4253-AE54-509BAD8D0D03}" name="Column5789"/>
    <tableColumn id="5804" xr3:uid="{C13D5688-FFF1-4A38-A6C1-E62E1873DA94}" name="Column5790"/>
    <tableColumn id="5805" xr3:uid="{08B249B2-E279-4A37-B458-F6A007D1AB1B}" name="Column5791"/>
    <tableColumn id="5806" xr3:uid="{7DFB53F7-4B1B-4236-A498-713BBB2D54A8}" name="Column5792"/>
    <tableColumn id="5807" xr3:uid="{FAB39F57-7F91-4C11-8BD4-240A88BBC4C0}" name="Column5793"/>
    <tableColumn id="5808" xr3:uid="{8ED2585C-97BD-4B09-80A6-E5E3250C4CDA}" name="Column5794"/>
    <tableColumn id="5809" xr3:uid="{38466824-EC5D-4258-ACC9-CA3039DEFD66}" name="Column5795"/>
    <tableColumn id="5810" xr3:uid="{7FB0BA81-A3B4-4167-9C52-26D08578EBD9}" name="Column5796"/>
    <tableColumn id="5811" xr3:uid="{3ED0C051-8BD7-4237-8BD2-20B640F16190}" name="Column5797"/>
    <tableColumn id="5812" xr3:uid="{6212AE80-7021-4DA6-9B04-62DBB2D61F09}" name="Column5798"/>
    <tableColumn id="5813" xr3:uid="{0AB9FAB5-DC9F-48D0-A1F1-A56E0E1F4CFD}" name="Column5799"/>
    <tableColumn id="5814" xr3:uid="{5A460B88-0DEE-42B5-AEC3-D2C45F5CF76E}" name="Column5800"/>
    <tableColumn id="5815" xr3:uid="{1B71A0A3-1961-4101-AEF9-FF799D9C933A}" name="Column5801"/>
    <tableColumn id="5816" xr3:uid="{F9BFD99A-A711-4B75-AD13-321F05FADB10}" name="Column5802"/>
    <tableColumn id="5817" xr3:uid="{856F4051-90F9-4CFA-B66A-F40584D9F397}" name="Column5803"/>
    <tableColumn id="5818" xr3:uid="{DF92FC6C-4591-4E57-AC80-1255A4D673E9}" name="Column5804"/>
    <tableColumn id="5819" xr3:uid="{75945CC6-B417-4CA5-8883-3316AEBE8C3F}" name="Column5805"/>
    <tableColumn id="5820" xr3:uid="{3845319A-FB11-4AEA-8DCE-4361087B416A}" name="Column5806"/>
    <tableColumn id="5821" xr3:uid="{82D40592-828A-4881-BB9F-37B948A129E0}" name="Column5807"/>
    <tableColumn id="5822" xr3:uid="{D9BD3500-8432-4E66-85CE-AE3C41E87B1F}" name="Column5808"/>
    <tableColumn id="5823" xr3:uid="{52F73AC2-08CD-4FF6-AEAA-EB324048F319}" name="Column5809"/>
    <tableColumn id="5824" xr3:uid="{F315D2E6-ECDA-4977-A6BC-EF1CD24F1D6D}" name="Column5810"/>
    <tableColumn id="5825" xr3:uid="{304F60A2-ECCE-466F-90C8-7A9A4DEFB2BA}" name="Column5811"/>
    <tableColumn id="5826" xr3:uid="{1196F540-39CE-4258-880B-BBD4EF24866A}" name="Column5812"/>
    <tableColumn id="5827" xr3:uid="{56F4246E-510F-4577-8141-97AE5FC7A95F}" name="Column5813"/>
    <tableColumn id="5828" xr3:uid="{8AD9A386-82D6-462B-A5EA-03783983C56F}" name="Column5814"/>
    <tableColumn id="5829" xr3:uid="{F9F42CC2-E0D9-41E1-BD59-A10EBCF1FC58}" name="Column5815"/>
    <tableColumn id="5830" xr3:uid="{F45DCB23-1FA8-4636-B903-43272117C37C}" name="Column5816"/>
    <tableColumn id="5831" xr3:uid="{C63FDF6A-B167-46AC-9FCF-484CEF64C33B}" name="Column5817"/>
    <tableColumn id="5832" xr3:uid="{9CD4E186-36E6-4251-B545-DDC3177CCC16}" name="Column5818"/>
    <tableColumn id="5833" xr3:uid="{0C207535-6D06-43D0-A68D-B76707AFCD01}" name="Column5819"/>
    <tableColumn id="5834" xr3:uid="{67837C9E-3B61-4F32-8205-E176356E1D20}" name="Column5820"/>
    <tableColumn id="5835" xr3:uid="{B2452649-4128-4BF7-88F7-45B6D0486977}" name="Column5821"/>
    <tableColumn id="5836" xr3:uid="{CACA19AA-249B-437A-8AD0-26CBBB72573A}" name="Column5822"/>
    <tableColumn id="5837" xr3:uid="{03501936-4E12-4951-A36A-057120537740}" name="Column5823"/>
    <tableColumn id="5838" xr3:uid="{90A35436-5599-4EF2-8EE1-171E9D115E99}" name="Column5824"/>
    <tableColumn id="5839" xr3:uid="{C74C5289-71DA-4577-A0E3-651D8370FF28}" name="Column5825"/>
    <tableColumn id="5840" xr3:uid="{EAA4282C-9C5A-49D5-A104-38EFFAAB65AB}" name="Column5826"/>
    <tableColumn id="5841" xr3:uid="{DAC748D0-753A-4BE4-9BB7-BC2742D6B549}" name="Column5827"/>
    <tableColumn id="5842" xr3:uid="{C62073C7-3542-4F95-B8C4-0C80F4547384}" name="Column5828"/>
    <tableColumn id="5843" xr3:uid="{B09A1B6E-0C89-479F-88B9-8C07CF8B1893}" name="Column5829"/>
    <tableColumn id="5844" xr3:uid="{DA7AA821-799B-4889-888B-4F30CC28B482}" name="Column5830"/>
    <tableColumn id="5845" xr3:uid="{E1EED1DF-1DD2-4CE7-B001-E00C232CFC99}" name="Column5831"/>
    <tableColumn id="5846" xr3:uid="{8AA6272F-384F-4385-97BE-1F68FF0CAADB}" name="Column5832"/>
    <tableColumn id="5847" xr3:uid="{1E1EE909-955D-4EBF-B31F-1C29E11B54E9}" name="Column5833"/>
    <tableColumn id="5848" xr3:uid="{A2BDA431-A654-487A-A89C-46278E5D267F}" name="Column5834"/>
    <tableColumn id="5849" xr3:uid="{6AF80F6A-AADC-4BA4-B1D1-3B039C97F5C1}" name="Column5835"/>
    <tableColumn id="5850" xr3:uid="{EBED72AC-ABB4-4FBF-B83D-3C7071EB5F4D}" name="Column5836"/>
    <tableColumn id="5851" xr3:uid="{08CD52AD-AFB0-415C-A729-7F9E93EFEEDD}" name="Column5837"/>
    <tableColumn id="5852" xr3:uid="{9EAACE0E-CED3-4903-9850-08B34A999CC7}" name="Column5838"/>
    <tableColumn id="5853" xr3:uid="{403EEA72-F9AD-4F4E-AA76-07EFA414D0A3}" name="Column5839"/>
    <tableColumn id="5854" xr3:uid="{7E141113-3A9C-4F41-8BC1-038835B63F1F}" name="Column5840"/>
    <tableColumn id="5855" xr3:uid="{D88F6E85-E2F9-404B-870A-AAA6B33F0DBE}" name="Column5841"/>
    <tableColumn id="5856" xr3:uid="{F62FA47F-2AB3-41D3-B507-1D5C35C26BE2}" name="Column5842"/>
    <tableColumn id="5857" xr3:uid="{7E1D1E12-9835-4415-80B4-EF6F2822C6F6}" name="Column5843"/>
    <tableColumn id="5858" xr3:uid="{BC32DB7C-D9F7-4396-8D58-F1555D3592DE}" name="Column5844"/>
    <tableColumn id="5859" xr3:uid="{BFA9E802-8A91-4BDC-AF61-D0AE6AE69928}" name="Column5845"/>
    <tableColumn id="5860" xr3:uid="{5C1A0ABE-ECC4-473D-B4E1-44F95647BD03}" name="Column5846"/>
    <tableColumn id="5861" xr3:uid="{637F653C-F28F-4153-9BE3-F935ECDBFB38}" name="Column5847"/>
    <tableColumn id="5862" xr3:uid="{74D8E99D-6DBF-4273-AC93-E1B419C04806}" name="Column5848"/>
    <tableColumn id="5863" xr3:uid="{7F2C3886-4A42-41C7-ACD7-10D11B42756F}" name="Column5849"/>
    <tableColumn id="5864" xr3:uid="{D02043A8-76B4-4D4B-B9C4-29EC9C71E460}" name="Column5850"/>
    <tableColumn id="5865" xr3:uid="{7C5EA4EC-0686-4FBB-9004-90B0D219C526}" name="Column5851"/>
    <tableColumn id="5866" xr3:uid="{AACC4346-0C10-4299-9F58-D22FCA7FF660}" name="Column5852"/>
    <tableColumn id="5867" xr3:uid="{797B0F73-6A63-45D1-89D0-959F1002A318}" name="Column5853"/>
    <tableColumn id="5868" xr3:uid="{EEFB37E2-8E60-4C46-85D4-8419A7FE1089}" name="Column5854"/>
    <tableColumn id="5869" xr3:uid="{0ABC2159-E2DD-44CE-96E7-1C3D15D0F48A}" name="Column5855"/>
    <tableColumn id="5870" xr3:uid="{D19EB6F8-3E53-448B-9B33-4C4F257FB29E}" name="Column5856"/>
    <tableColumn id="5871" xr3:uid="{04F37902-6DCB-4F28-93EA-ED1C740AA032}" name="Column5857"/>
    <tableColumn id="5872" xr3:uid="{0A720C30-4209-4271-9898-EFE26A2B020B}" name="Column5858"/>
    <tableColumn id="5873" xr3:uid="{243B3865-BCE2-4A44-9884-495DB64A8B7C}" name="Column5859"/>
    <tableColumn id="5874" xr3:uid="{A07C73F3-4506-47B0-A830-9649F7C0E56A}" name="Column5860"/>
    <tableColumn id="5875" xr3:uid="{E64A849F-3312-4782-BBF3-5B23FC2DC616}" name="Column5861"/>
    <tableColumn id="5876" xr3:uid="{298D8048-7F58-48DA-801B-401E96802662}" name="Column5862"/>
    <tableColumn id="5877" xr3:uid="{71541E3A-3E3D-4020-9E40-16D92C7B8203}" name="Column5863"/>
    <tableColumn id="5878" xr3:uid="{FC34B3E3-50EE-4913-8F8D-200A4B30D8BB}" name="Column5864"/>
    <tableColumn id="5879" xr3:uid="{438F9B95-230C-4939-B9D8-144BF4B40986}" name="Column5865"/>
    <tableColumn id="5880" xr3:uid="{ADF1A083-8ECD-4246-918C-5CFD5AC49CAD}" name="Column5866"/>
    <tableColumn id="5881" xr3:uid="{70A108D1-7D7B-449C-B69F-EBFEC0F63393}" name="Column5867"/>
    <tableColumn id="5882" xr3:uid="{B0CFD2BB-D36C-489C-92B6-0CD8563325D7}" name="Column5868"/>
    <tableColumn id="5883" xr3:uid="{B3935CD7-0BC9-4CA5-A7CD-5E14988CCA85}" name="Column5869"/>
    <tableColumn id="5884" xr3:uid="{19098311-C1AA-4E2A-8D41-60665F695E1D}" name="Column5870"/>
    <tableColumn id="5885" xr3:uid="{AB907FCA-E660-40CB-A616-519CE7E5D572}" name="Column5871"/>
    <tableColumn id="5886" xr3:uid="{1F4A4765-E647-40D3-991A-E314882C94B7}" name="Column5872"/>
    <tableColumn id="5887" xr3:uid="{E158E4B4-98FF-45D9-AFF6-08F4B9C31333}" name="Column5873"/>
    <tableColumn id="5888" xr3:uid="{3E562397-996E-4FA8-97C4-41665AA6A8EA}" name="Column5874"/>
    <tableColumn id="5889" xr3:uid="{D7003D26-472A-4E77-B9C3-A4FEBC854AF8}" name="Column5875"/>
    <tableColumn id="5890" xr3:uid="{43C07975-12C0-45CB-AC51-FA581E0C692E}" name="Column5876"/>
    <tableColumn id="5891" xr3:uid="{31960404-A060-4156-8149-EC4A270FD593}" name="Column5877"/>
    <tableColumn id="5892" xr3:uid="{9140B776-7578-408D-A7CA-F72DAF93234E}" name="Column5878"/>
    <tableColumn id="5893" xr3:uid="{B4EF4C4E-C46D-422E-9E81-D54AE7E9991F}" name="Column5879"/>
    <tableColumn id="5894" xr3:uid="{80C51963-7D43-4611-ABFF-382504CA92B1}" name="Column5880"/>
    <tableColumn id="5895" xr3:uid="{605025E1-08BE-4782-AA51-B1221E0D91EE}" name="Column5881"/>
    <tableColumn id="5896" xr3:uid="{05F95E45-E505-4F09-B8FD-BFC21A6B6D73}" name="Column5882"/>
    <tableColumn id="5897" xr3:uid="{B9F5E4D3-6662-47EC-A65A-F116C2CDE128}" name="Column5883"/>
    <tableColumn id="5898" xr3:uid="{CC4DB958-C218-48EC-8511-1E3FABBCB780}" name="Column5884"/>
    <tableColumn id="5899" xr3:uid="{56F98DB8-1416-4865-BCE1-F9C438CAF3C2}" name="Column5885"/>
    <tableColumn id="5900" xr3:uid="{D5A43CF2-EBC8-4631-8719-0676454D2BF7}" name="Column5886"/>
    <tableColumn id="5901" xr3:uid="{9BE59C29-B733-4389-865B-C9E04804FD32}" name="Column5887"/>
    <tableColumn id="5902" xr3:uid="{A8E5A907-B29C-4766-A7E8-D536E445720B}" name="Column5888"/>
    <tableColumn id="5903" xr3:uid="{75B393BF-C317-4E59-AB75-369299EA3CB6}" name="Column5889"/>
    <tableColumn id="5904" xr3:uid="{E47FAB51-63F7-4601-AE74-3C02AC74799D}" name="Column5890"/>
    <tableColumn id="5905" xr3:uid="{64AB53FF-12FA-49FA-9354-8C5FBCBD1FA7}" name="Column5891"/>
    <tableColumn id="5906" xr3:uid="{0A0EC191-5A32-4922-B6B3-B6B191680750}" name="Column5892"/>
    <tableColumn id="5907" xr3:uid="{0112788B-F8BF-402D-87CB-AEC9D414AAB9}" name="Column5893"/>
    <tableColumn id="5908" xr3:uid="{1A1AA56A-E254-4C6D-84EA-47BEEA60D493}" name="Column5894"/>
    <tableColumn id="5909" xr3:uid="{1730A588-EF9D-4C0D-8ADC-5257C5763990}" name="Column5895"/>
    <tableColumn id="5910" xr3:uid="{F3C7409A-76EC-4009-B1A4-BB01BD6911EB}" name="Column5896"/>
    <tableColumn id="5911" xr3:uid="{8E6AAE3F-ED22-4121-A587-C220A89C6806}" name="Column5897"/>
    <tableColumn id="5912" xr3:uid="{8C9131C1-E347-40F4-A9B9-B65FE8233C90}" name="Column5898"/>
    <tableColumn id="5913" xr3:uid="{0DA7DBCC-99DB-4114-ACCC-8AAD6FE60B88}" name="Column5899"/>
    <tableColumn id="5914" xr3:uid="{15690EB8-F11B-4643-80A8-39181CD919A8}" name="Column5900"/>
    <tableColumn id="5915" xr3:uid="{B4A259AE-6299-4385-950B-5A7A2B33462D}" name="Column5901"/>
    <tableColumn id="5916" xr3:uid="{E3ACAF7E-5C33-45E4-AE96-CB8CC470656F}" name="Column5902"/>
    <tableColumn id="5917" xr3:uid="{F3B1E071-8D37-4B71-B9FF-8B4CCE2A08BE}" name="Column5903"/>
    <tableColumn id="5918" xr3:uid="{42CB378D-EB43-4A0F-8F05-7DCE3848A16E}" name="Column5904"/>
    <tableColumn id="5919" xr3:uid="{643A5C00-6B81-4B0D-89E9-105434E1ACBE}" name="Column5905"/>
    <tableColumn id="5920" xr3:uid="{ADCCD787-147B-463A-BC45-4CC7D8DA4043}" name="Column5906"/>
    <tableColumn id="5921" xr3:uid="{06F0F639-9888-4F46-B3EF-7B06A3AC0ED3}" name="Column5907"/>
    <tableColumn id="5922" xr3:uid="{ECA39842-9775-495B-863F-462DBFB4151A}" name="Column5908"/>
    <tableColumn id="5923" xr3:uid="{79CF4130-FBA1-4549-A18A-94749BCD9896}" name="Column5909"/>
    <tableColumn id="5924" xr3:uid="{94C2E76D-BEE5-47C4-BBA7-067D44B911F5}" name="Column5910"/>
    <tableColumn id="5925" xr3:uid="{488D6E75-A4B3-451E-84D7-76C2005EA530}" name="Column5911"/>
    <tableColumn id="5926" xr3:uid="{42F36426-1AEF-4F78-883D-EB8DB1033DF3}" name="Column5912"/>
    <tableColumn id="5927" xr3:uid="{0FEF7C18-2173-484B-B8B5-D1D1EF864CE7}" name="Column5913"/>
    <tableColumn id="5928" xr3:uid="{4DAEA087-38D0-48AF-9B8C-C91FB73EC653}" name="Column5914"/>
    <tableColumn id="5929" xr3:uid="{54B5E407-434E-486C-A549-4FA7AC334BBA}" name="Column5915"/>
    <tableColumn id="5930" xr3:uid="{B6189FC9-93A2-4796-B34F-62FB2F2781A9}" name="Column5916"/>
    <tableColumn id="5931" xr3:uid="{1EB5E35B-694D-4A22-AC64-27FDFA8B173A}" name="Column5917"/>
    <tableColumn id="5932" xr3:uid="{16E1833E-ACB3-48F3-850D-BFB8F2748275}" name="Column5918"/>
    <tableColumn id="5933" xr3:uid="{BFE4DA4A-8B7E-41CA-924B-11EA4DDF31BD}" name="Column5919"/>
    <tableColumn id="5934" xr3:uid="{344E5332-4456-4786-976D-C26E2C8429D3}" name="Column5920"/>
    <tableColumn id="5935" xr3:uid="{520427A8-43EA-49E8-A73A-6E4B368393C1}" name="Column5921"/>
    <tableColumn id="5936" xr3:uid="{151E118E-296D-4DEB-8488-B74313F7310A}" name="Column5922"/>
    <tableColumn id="5937" xr3:uid="{54B4E46A-84C2-4481-A036-7B497F47536E}" name="Column5923"/>
    <tableColumn id="5938" xr3:uid="{5785A2AA-AE02-488C-9350-A4D46FF0FF48}" name="Column5924"/>
    <tableColumn id="5939" xr3:uid="{A761A908-A97D-4EA1-ADD1-6FEA126BCA6E}" name="Column5925"/>
    <tableColumn id="5940" xr3:uid="{F96106AF-18C9-45D2-AD65-95A63FD36562}" name="Column5926"/>
    <tableColumn id="5941" xr3:uid="{615FC7BD-A9D7-4899-88F3-EC0D159625A3}" name="Column5927"/>
    <tableColumn id="5942" xr3:uid="{CB251B9F-084C-4939-A235-CB59D94BD364}" name="Column5928"/>
    <tableColumn id="5943" xr3:uid="{C902A78B-5127-4E86-A09C-5970CCB6661C}" name="Column5929"/>
    <tableColumn id="5944" xr3:uid="{EEA7B8B1-6F0F-4594-B11F-9E62E6707F3C}" name="Column5930"/>
    <tableColumn id="5945" xr3:uid="{64D2DBDA-4E4E-4282-972B-FBA836AF920D}" name="Column5931"/>
    <tableColumn id="5946" xr3:uid="{6E2D2214-C299-41B8-885B-2B9818DFDA7C}" name="Column5932"/>
    <tableColumn id="5947" xr3:uid="{020E7912-E4AB-4971-BC99-CA9E83ED3D4B}" name="Column5933"/>
    <tableColumn id="5948" xr3:uid="{ABBCFC7E-23D0-47CC-AD5E-B9A4E6AE37CC}" name="Column5934"/>
    <tableColumn id="5949" xr3:uid="{7947CDDB-B21C-4BDF-8BF6-36AD0FFA43C9}" name="Column5935"/>
    <tableColumn id="5950" xr3:uid="{E20A62F7-A76E-462C-8784-70D424C03B8F}" name="Column5936"/>
    <tableColumn id="5951" xr3:uid="{8E9A1B95-34FA-4DFF-88A1-5CEC4A1EADFF}" name="Column5937"/>
    <tableColumn id="5952" xr3:uid="{9F9F4F20-D6B5-4F1A-9547-3043BD9B9EA9}" name="Column5938"/>
    <tableColumn id="5953" xr3:uid="{DA8FD4E4-AC12-4008-8882-65E8CDF88039}" name="Column5939"/>
    <tableColumn id="5954" xr3:uid="{21A42092-9FC3-4C2D-B1AF-97603A7F1898}" name="Column5940"/>
    <tableColumn id="5955" xr3:uid="{A6E5C8A9-407A-4752-A8AE-B88AB85878E8}" name="Column5941"/>
    <tableColumn id="5956" xr3:uid="{A8DB9335-565E-4224-B2B1-896E1901520C}" name="Column5942"/>
    <tableColumn id="5957" xr3:uid="{E875BECB-EAB9-45A0-9F55-DAB766372D8B}" name="Column5943"/>
    <tableColumn id="5958" xr3:uid="{7BA97448-D039-44E8-A791-DFC40C6A3DAF}" name="Column5944"/>
    <tableColumn id="5959" xr3:uid="{5A4126BC-625B-4352-9FA8-CE5EF384C191}" name="Column5945"/>
    <tableColumn id="5960" xr3:uid="{028D3517-6E7E-41C7-B506-21FA968F0D9F}" name="Column5946"/>
    <tableColumn id="5961" xr3:uid="{289C0B34-2081-4B54-91A4-C7E793596E55}" name="Column5947"/>
    <tableColumn id="5962" xr3:uid="{57E056E3-BEA3-4BEC-ACC8-12FFB62CA841}" name="Column5948"/>
    <tableColumn id="5963" xr3:uid="{5780B1F3-19D6-488D-B40E-3F65DC00CA45}" name="Column5949"/>
    <tableColumn id="5964" xr3:uid="{0D7FC4F3-C41C-4B36-8E75-C1B76DA165F9}" name="Column5950"/>
    <tableColumn id="5965" xr3:uid="{5E6DC68F-CD1B-4CC0-8C89-24A2C0985CD6}" name="Column5951"/>
    <tableColumn id="5966" xr3:uid="{3BEACA13-CA72-41DA-B2D7-A870B875AA4F}" name="Column5952"/>
    <tableColumn id="5967" xr3:uid="{478C6170-E609-4BE3-A0B0-21B3DA7BCDF0}" name="Column5953"/>
    <tableColumn id="5968" xr3:uid="{9D93AF3E-F229-48FA-908F-1CE30960DFBB}" name="Column5954"/>
    <tableColumn id="5969" xr3:uid="{6E488CFF-A320-4957-AE29-03A355453AE9}" name="Column5955"/>
    <tableColumn id="5970" xr3:uid="{BC3DD575-66D1-403F-830B-3FBB900A34A5}" name="Column5956"/>
    <tableColumn id="5971" xr3:uid="{B13DA267-C15B-4E02-84E4-62C32461E9EC}" name="Column5957"/>
    <tableColumn id="5972" xr3:uid="{9BE71A13-601E-4814-BE4C-30C88F3C12C2}" name="Column5958"/>
    <tableColumn id="5973" xr3:uid="{3B3FC89F-7B53-4FAE-AEBE-6DB9C41B32AA}" name="Column5959"/>
    <tableColumn id="5974" xr3:uid="{EB39F3BB-5622-4593-9C69-D53555910844}" name="Column5960"/>
    <tableColumn id="5975" xr3:uid="{D6AED33C-5AB5-447C-8CDF-47F35D9AF150}" name="Column5961"/>
    <tableColumn id="5976" xr3:uid="{B6BCC410-394E-4789-BF60-39BA3EF75E92}" name="Column5962"/>
    <tableColumn id="5977" xr3:uid="{A5363DEE-F0D3-4772-877A-448832F7EB21}" name="Column5963"/>
    <tableColumn id="5978" xr3:uid="{15361965-14B4-4B0A-8735-B75BBA9E7426}" name="Column5964"/>
    <tableColumn id="5979" xr3:uid="{7AC695DF-2DD9-44AE-A027-997310BDA7F6}" name="Column5965"/>
    <tableColumn id="5980" xr3:uid="{0335804A-C12D-4CCC-BAD4-207DC3F721F6}" name="Column5966"/>
    <tableColumn id="5981" xr3:uid="{DB380848-53DD-45FF-8E41-CBA603AB96D8}" name="Column5967"/>
    <tableColumn id="5982" xr3:uid="{4656D51D-763D-4685-A028-3557251F3708}" name="Column5968"/>
    <tableColumn id="5983" xr3:uid="{0ED55E22-4B73-485D-9460-E974314A6C1A}" name="Column5969"/>
    <tableColumn id="5984" xr3:uid="{D310E804-5688-4AAC-A9A2-42C69190B04A}" name="Column5970"/>
    <tableColumn id="5985" xr3:uid="{C6D12836-14C3-4861-9266-719BCC82823F}" name="Column5971"/>
    <tableColumn id="5986" xr3:uid="{0369DBA8-CA56-4134-91F9-AA491AF429E9}" name="Column5972"/>
    <tableColumn id="5987" xr3:uid="{EE16D58E-A2FD-4BDC-98F2-827780D55857}" name="Column5973"/>
    <tableColumn id="5988" xr3:uid="{4DBA5573-BE6A-4912-8AB1-7B5E1C06220C}" name="Column5974"/>
    <tableColumn id="5989" xr3:uid="{7CAB9AEC-3909-478B-9CB7-2C2D56061B12}" name="Column5975"/>
    <tableColumn id="5990" xr3:uid="{3E67BB4E-C8C6-4BFE-BB64-E0AC95AF4F0A}" name="Column5976"/>
    <tableColumn id="5991" xr3:uid="{6729B3AB-3391-4E88-A447-2517E52F0BCD}" name="Column5977"/>
    <tableColumn id="5992" xr3:uid="{A39DD4ED-B810-416B-88CA-CD28B56003E2}" name="Column5978"/>
    <tableColumn id="5993" xr3:uid="{CC4D1F6E-5FD5-42E7-B418-9C13474DF363}" name="Column5979"/>
    <tableColumn id="5994" xr3:uid="{A3CBEBB4-1FBC-4408-AFA1-D4B73FDC9D0A}" name="Column5980"/>
    <tableColumn id="5995" xr3:uid="{6802073A-5944-4048-9D39-36D57577BF7E}" name="Column5981"/>
    <tableColumn id="5996" xr3:uid="{62DE4CD9-C46B-4DAC-9B84-2B2762A052AF}" name="Column5982"/>
    <tableColumn id="5997" xr3:uid="{699BC897-0559-47CA-A79A-C1319C5EB109}" name="Column5983"/>
    <tableColumn id="5998" xr3:uid="{58BB7ED0-00F3-4664-A531-D46E925925D0}" name="Column5984"/>
    <tableColumn id="5999" xr3:uid="{668BD131-A547-4C5C-9362-F11BC13886CC}" name="Column5985"/>
    <tableColumn id="6000" xr3:uid="{E302FD27-0CDF-45A1-938B-279DF36C07CA}" name="Column5986"/>
    <tableColumn id="6001" xr3:uid="{5A165345-7DF9-419D-87ED-D985914755D6}" name="Column5987"/>
    <tableColumn id="6002" xr3:uid="{0B21C12B-29F1-4B4D-B48A-F4B02A1EAC32}" name="Column5988"/>
    <tableColumn id="6003" xr3:uid="{255951BA-984E-469C-AB5D-434124BF31A7}" name="Column5989"/>
    <tableColumn id="6004" xr3:uid="{0EF5BC83-F008-42E5-A61E-093E6922D12C}" name="Column5990"/>
    <tableColumn id="6005" xr3:uid="{EF310840-0E77-450D-9D82-C56454D0B277}" name="Column5991"/>
    <tableColumn id="6006" xr3:uid="{FE109016-D7A0-47D8-A4BC-84CDF3000AE7}" name="Column5992"/>
    <tableColumn id="6007" xr3:uid="{58AD9635-EB07-4812-9C6B-972F8904CB14}" name="Column5993"/>
    <tableColumn id="6008" xr3:uid="{9E965D61-F228-4F29-9F8F-567107AC76D0}" name="Column5994"/>
    <tableColumn id="6009" xr3:uid="{A3B6C435-FD68-4639-B3F6-BFF839989907}" name="Column5995"/>
    <tableColumn id="6010" xr3:uid="{DA739266-A6CE-43C8-867B-84E67168D360}" name="Column5996"/>
    <tableColumn id="6011" xr3:uid="{DF651A6D-6E34-4FF4-8716-49AEE8E63021}" name="Column5997"/>
    <tableColumn id="6012" xr3:uid="{6FB1B37A-D382-485C-AD94-477F093D12D3}" name="Column5998"/>
    <tableColumn id="6013" xr3:uid="{BBC638E7-E507-4D83-B504-B6073C0FB0ED}" name="Column5999"/>
    <tableColumn id="6014" xr3:uid="{80C1CA97-282E-4468-B1A6-F5EBEFBEABB7}" name="Column6000"/>
    <tableColumn id="6015" xr3:uid="{5775B645-B69A-4346-BAF6-AD13E7778973}" name="Column6001"/>
    <tableColumn id="6016" xr3:uid="{E412786C-0BE8-41F1-8929-DF3ECAC45D3F}" name="Column6002"/>
    <tableColumn id="6017" xr3:uid="{B9384FA1-82C1-4845-A7FF-32A439B82A7E}" name="Column6003"/>
    <tableColumn id="6018" xr3:uid="{0BF88022-CD8A-43DF-9E13-2FB739338848}" name="Column6004"/>
    <tableColumn id="6019" xr3:uid="{0B129254-B06D-4007-B15C-1DCA63E612E9}" name="Column6005"/>
    <tableColumn id="6020" xr3:uid="{3D740CEB-B85E-4315-A515-F28E9F8AD4E5}" name="Column6006"/>
    <tableColumn id="6021" xr3:uid="{CCAF4947-BB88-422E-B6E6-FB81D8830CAC}" name="Column6007"/>
    <tableColumn id="6022" xr3:uid="{6B2CE336-6897-44C0-B696-D7AE819D5482}" name="Column6008"/>
    <tableColumn id="6023" xr3:uid="{CB5D83BB-8CFD-457A-919E-8C2525664FEB}" name="Column6009"/>
    <tableColumn id="6024" xr3:uid="{D5B126B9-44A8-4A4A-A11F-E5E5857F734B}" name="Column6010"/>
    <tableColumn id="6025" xr3:uid="{B40BF2ED-FA9D-4172-A12A-D54C03CBA559}" name="Column6011"/>
    <tableColumn id="6026" xr3:uid="{3F79900B-B4BE-423C-9480-BA85F37AB2BB}" name="Column6012"/>
    <tableColumn id="6027" xr3:uid="{509B39EA-9753-4E5B-A5B1-93262C4E6E5E}" name="Column6013"/>
    <tableColumn id="6028" xr3:uid="{C696B657-AB54-49E1-B332-AD6415276ACF}" name="Column6014"/>
    <tableColumn id="6029" xr3:uid="{3F53303F-ABF1-47BE-A6A7-D9A7FFC3E25E}" name="Column6015"/>
    <tableColumn id="6030" xr3:uid="{B7803A04-FA65-4923-97E6-41BF550164D1}" name="Column6016"/>
    <tableColumn id="6031" xr3:uid="{34059177-3CBA-4DC3-B66E-62B795DA51B5}" name="Column6017"/>
    <tableColumn id="6032" xr3:uid="{FE2C8CD5-82B5-42B1-8A85-33E971E20058}" name="Column6018"/>
    <tableColumn id="6033" xr3:uid="{515D0314-C173-41C5-8CB7-B431BD286847}" name="Column6019"/>
    <tableColumn id="6034" xr3:uid="{6F9C0171-8D72-425F-BFAA-3AD6F76BBF4B}" name="Column6020"/>
    <tableColumn id="6035" xr3:uid="{67DCCBB4-6AAE-4367-AC62-BA8DBBBFCD9D}" name="Column6021"/>
    <tableColumn id="6036" xr3:uid="{EDFFB541-1EDA-4DA0-A250-30B5B58A8333}" name="Column6022"/>
    <tableColumn id="6037" xr3:uid="{9649A70D-C81D-4974-B4BD-9A33422301E2}" name="Column6023"/>
    <tableColumn id="6038" xr3:uid="{E00F565E-77CD-49DE-B294-C4A618046142}" name="Column6024"/>
    <tableColumn id="6039" xr3:uid="{12C0FDD3-8412-4ADC-A27C-471F1C6139E7}" name="Column6025"/>
    <tableColumn id="6040" xr3:uid="{277C5577-27E7-49BC-BFA7-BABE7121BCE0}" name="Column6026"/>
    <tableColumn id="6041" xr3:uid="{8AA55ACC-2DC3-46F6-B731-1B7A8A8C7D80}" name="Column6027"/>
    <tableColumn id="6042" xr3:uid="{DE282990-CC6B-45EB-A76E-D45999E4CBB3}" name="Column6028"/>
    <tableColumn id="6043" xr3:uid="{9D926FCA-36F0-4284-90F9-F3EEA21A9624}" name="Column6029"/>
    <tableColumn id="6044" xr3:uid="{A2FED461-A2AF-4EC8-B2F9-2BBE8FF5C24C}" name="Column6030"/>
    <tableColumn id="6045" xr3:uid="{5241E92A-A818-497A-BEAA-8A8041310DFC}" name="Column6031"/>
    <tableColumn id="6046" xr3:uid="{B4B8D27F-68FC-4C0B-ADBC-7C8A7EF8BB01}" name="Column6032"/>
    <tableColumn id="6047" xr3:uid="{A31F75AE-3B71-4119-8701-792B1D635BB0}" name="Column6033"/>
    <tableColumn id="6048" xr3:uid="{8F934BEE-D3D3-4572-94C2-80DADA3D1190}" name="Column6034"/>
    <tableColumn id="6049" xr3:uid="{6B226561-4C8A-4975-8D96-213727C2EF05}" name="Column6035"/>
    <tableColumn id="6050" xr3:uid="{A1DF79AC-B761-4DBE-BE09-457B1555D54F}" name="Column6036"/>
    <tableColumn id="6051" xr3:uid="{BD2DD850-AFA0-42E4-9ED4-C62D42D27E41}" name="Column6037"/>
    <tableColumn id="6052" xr3:uid="{7198FDA4-BA0C-405D-9850-9D1FD9587D55}" name="Column6038"/>
    <tableColumn id="6053" xr3:uid="{E98151A2-DAD7-4091-AE01-626B2D57AE42}" name="Column6039"/>
    <tableColumn id="6054" xr3:uid="{46DEBEF5-5CFB-434B-BD5E-3488E0713F6C}" name="Column6040"/>
    <tableColumn id="6055" xr3:uid="{4BC1C8D3-303C-4132-9E4E-EB3D7D872B77}" name="Column6041"/>
    <tableColumn id="6056" xr3:uid="{96B44D1C-C223-4EB9-9C1C-DB38E7F77E70}" name="Column6042"/>
    <tableColumn id="6057" xr3:uid="{F7AC56F5-B120-4E56-BDBF-25E7FEC7B92C}" name="Column6043"/>
    <tableColumn id="6058" xr3:uid="{1225B2EF-11B4-4399-8CCC-DA5D04833E5B}" name="Column6044"/>
    <tableColumn id="6059" xr3:uid="{87F69170-9CFB-4758-82A7-3B2F9BCC07C2}" name="Column6045"/>
    <tableColumn id="6060" xr3:uid="{ED24DD53-B2F5-4D7A-9E1E-1BD9A5427906}" name="Column6046"/>
    <tableColumn id="6061" xr3:uid="{4EA7C15A-0C86-4A29-ABE3-6241D8B5AD89}" name="Column6047"/>
    <tableColumn id="6062" xr3:uid="{B16DEFF0-B292-46BD-ACA0-DC69CB0A8261}" name="Column6048"/>
    <tableColumn id="6063" xr3:uid="{1108EFBB-9DC9-4EC2-B844-52A5D2A152D7}" name="Column6049"/>
    <tableColumn id="6064" xr3:uid="{6F4C4C13-52DE-4EBE-87FC-C19B1D3AFBC9}" name="Column6050"/>
    <tableColumn id="6065" xr3:uid="{6AE95C66-51C3-4C48-B115-B19B3CFECCA3}" name="Column6051"/>
    <tableColumn id="6066" xr3:uid="{859E2C17-4A87-421B-A4D9-2DFF895E8614}" name="Column6052"/>
    <tableColumn id="6067" xr3:uid="{E3BC59E2-EC27-45B6-A9F8-5F19D8AEE14C}" name="Column6053"/>
    <tableColumn id="6068" xr3:uid="{C1293531-0D26-4F83-89B9-9732189ECEA0}" name="Column6054"/>
    <tableColumn id="6069" xr3:uid="{E2C1A173-4E04-4D8B-99C4-220BF815FCE1}" name="Column6055"/>
    <tableColumn id="6070" xr3:uid="{549C5467-7A80-427F-A4B0-8E88E5439954}" name="Column6056"/>
    <tableColumn id="6071" xr3:uid="{48547FC6-5659-4E19-AF5A-13D705A2ABF0}" name="Column6057"/>
    <tableColumn id="6072" xr3:uid="{3302325D-0F37-49B9-885F-04FD1A728173}" name="Column6058"/>
    <tableColumn id="6073" xr3:uid="{50C6021E-D09E-41CD-8FBF-981FA6603D28}" name="Column6059"/>
    <tableColumn id="6074" xr3:uid="{263CF6B5-D097-4E57-92D8-2EB2BB3F4EDE}" name="Column6060"/>
    <tableColumn id="6075" xr3:uid="{319D3DEB-E529-41DF-81DE-231D3C57852E}" name="Column6061"/>
    <tableColumn id="6076" xr3:uid="{2653BF5D-3ADD-4E79-92BE-DBEF7F13C931}" name="Column6062"/>
    <tableColumn id="6077" xr3:uid="{EE12E814-083A-4F87-952D-2E883ADEAC94}" name="Column6063"/>
    <tableColumn id="6078" xr3:uid="{D7992587-385D-4735-824C-FDBDB697C860}" name="Column6064"/>
    <tableColumn id="6079" xr3:uid="{1FD9A661-289F-4CA2-8CE6-9473C68135E5}" name="Column6065"/>
    <tableColumn id="6080" xr3:uid="{1AB35E3A-6962-43FB-B0FE-FCA86DA83FD7}" name="Column6066"/>
    <tableColumn id="6081" xr3:uid="{0296F61B-6D6F-46B8-96E3-BF4F63B52140}" name="Column6067"/>
    <tableColumn id="6082" xr3:uid="{A2522D9B-DA97-4C0C-9117-25F45A3FA014}" name="Column6068"/>
    <tableColumn id="6083" xr3:uid="{E7A709D0-74FC-40A0-9D28-127B9F44DEED}" name="Column6069"/>
    <tableColumn id="6084" xr3:uid="{405B801A-1E1D-4F9A-B3E4-12C9696DFE76}" name="Column6070"/>
    <tableColumn id="6085" xr3:uid="{BABEC790-6B02-4FC2-B937-06E3493EE31B}" name="Column6071"/>
    <tableColumn id="6086" xr3:uid="{14119303-9718-4CA0-B6C6-26D308D41777}" name="Column6072"/>
    <tableColumn id="6087" xr3:uid="{5AD0E790-0E5D-4342-BED3-EA6433D9D3ED}" name="Column6073"/>
    <tableColumn id="6088" xr3:uid="{5AD8F729-BE9B-41F0-B791-D2A4417A175A}" name="Column6074"/>
    <tableColumn id="6089" xr3:uid="{8EF493A4-B523-457A-83EF-A4901410EE23}" name="Column6075"/>
    <tableColumn id="6090" xr3:uid="{9998C446-02DD-4E71-BE90-8A0317AD705B}" name="Column6076"/>
    <tableColumn id="6091" xr3:uid="{ABD3C33E-F2A1-47D4-8CA9-F9A0DCF9610A}" name="Column6077"/>
    <tableColumn id="6092" xr3:uid="{21C9A6B2-E923-4D0E-B942-4DE6A37D1CA7}" name="Column6078"/>
    <tableColumn id="6093" xr3:uid="{B9A151C2-E0D5-431E-801F-70894B6B288F}" name="Column6079"/>
    <tableColumn id="6094" xr3:uid="{BA98FC25-910A-4BDC-B9BB-92C73E8F6BB8}" name="Column6080"/>
    <tableColumn id="6095" xr3:uid="{58BB9083-5E21-42F9-9E5D-3C94B4D118C4}" name="Column6081"/>
    <tableColumn id="6096" xr3:uid="{07A2489E-1ADF-4B6E-9827-D7D5F42889CC}" name="Column6082"/>
    <tableColumn id="6097" xr3:uid="{06A5337F-B6B0-49D7-8828-222D7B53C4E0}" name="Column6083"/>
    <tableColumn id="6098" xr3:uid="{FE9A1BCD-261B-43E0-82F3-AE715E4EC9A7}" name="Column6084"/>
    <tableColumn id="6099" xr3:uid="{94B345E3-0EFF-43ED-A2DA-CDCD6286B2CF}" name="Column6085"/>
    <tableColumn id="6100" xr3:uid="{B35DBA04-B210-4AB6-A2CC-4F041E651D33}" name="Column6086"/>
    <tableColumn id="6101" xr3:uid="{2AB2AB77-1BFB-410D-A8AA-5B63C5400D64}" name="Column6087"/>
    <tableColumn id="6102" xr3:uid="{AE5168A0-FFCF-45CB-BB28-83D4E7AE3E0D}" name="Column6088"/>
    <tableColumn id="6103" xr3:uid="{D944C8B6-C93C-4B11-ABC8-98F9BD79ECEC}" name="Column6089"/>
    <tableColumn id="6104" xr3:uid="{654840FF-047F-47D7-8CEC-2F811F44B9EC}" name="Column6090"/>
    <tableColumn id="6105" xr3:uid="{51CA8DA9-AFE2-438A-A434-62AA537F3B56}" name="Column6091"/>
    <tableColumn id="6106" xr3:uid="{565A722A-AD42-41C0-B552-B4C6AD1E3BCB}" name="Column6092"/>
    <tableColumn id="6107" xr3:uid="{B1F74AEF-7551-4FB1-B4A9-3A95787FDDB0}" name="Column6093"/>
    <tableColumn id="6108" xr3:uid="{6542EFF7-6280-4BDA-9D37-BCA932677006}" name="Column6094"/>
    <tableColumn id="6109" xr3:uid="{B3A3BA44-37F4-4778-ADA6-EFB5025A99B4}" name="Column6095"/>
    <tableColumn id="6110" xr3:uid="{CE8DE4F2-742A-4431-8554-F079965176F0}" name="Column6096"/>
    <tableColumn id="6111" xr3:uid="{14816B3A-F443-4C60-8764-FFA86F1DE2C7}" name="Column6097"/>
    <tableColumn id="6112" xr3:uid="{DB8F0F25-BF9E-411E-B9EA-8673BFE01B0B}" name="Column6098"/>
    <tableColumn id="6113" xr3:uid="{3480CC05-0F22-4413-B516-A45630A9D3CE}" name="Column6099"/>
    <tableColumn id="6114" xr3:uid="{E0FE731F-46B3-4AB1-AA2F-1608B9086D0A}" name="Column6100"/>
    <tableColumn id="6115" xr3:uid="{A2B50498-C044-4361-9268-F23A17771BBC}" name="Column6101"/>
    <tableColumn id="6116" xr3:uid="{49A201D1-441F-4E9E-BF66-4396C739BBCA}" name="Column6102"/>
    <tableColumn id="6117" xr3:uid="{4B30C766-2A97-43FF-A331-1CDA6E490DC6}" name="Column6103"/>
    <tableColumn id="6118" xr3:uid="{9F946F31-6456-4781-BCEF-7612A58A711D}" name="Column6104"/>
    <tableColumn id="6119" xr3:uid="{DE487E60-AEA7-4CE2-B085-642122E42D3B}" name="Column6105"/>
    <tableColumn id="6120" xr3:uid="{E8129EDA-FB84-4C90-AFF6-DDC32D76435F}" name="Column6106"/>
    <tableColumn id="6121" xr3:uid="{2626CA31-ECFD-40F8-A5AD-349D3DADCEFF}" name="Column6107"/>
    <tableColumn id="6122" xr3:uid="{390EE0F2-FE22-4180-B584-0965B48D427F}" name="Column6108"/>
    <tableColumn id="6123" xr3:uid="{127E1679-2BDF-4246-B3AF-334A0DFC628C}" name="Column6109"/>
    <tableColumn id="6124" xr3:uid="{1CF17612-3F00-43F5-A752-23859BC05764}" name="Column6110"/>
    <tableColumn id="6125" xr3:uid="{02B86575-0497-4D0D-B518-F84495680C42}" name="Column6111"/>
    <tableColumn id="6126" xr3:uid="{5FE5E214-8D4B-41F6-9C48-02B76646F330}" name="Column6112"/>
    <tableColumn id="6127" xr3:uid="{CB69DCF1-8ADA-4A0C-B4A8-CAB15358F6FB}" name="Column6113"/>
    <tableColumn id="6128" xr3:uid="{3BE1E3B3-A67C-4DB7-A078-36BA6CAE3FEF}" name="Column6114"/>
    <tableColumn id="6129" xr3:uid="{DC97FAE8-3EB5-429C-9152-0F01BE153CD7}" name="Column6115"/>
    <tableColumn id="6130" xr3:uid="{C4866F01-3725-49CC-A209-5BF1A7FD65F8}" name="Column6116"/>
    <tableColumn id="6131" xr3:uid="{E4004A66-A2B9-4B98-8EBF-574F5437C234}" name="Column6117"/>
    <tableColumn id="6132" xr3:uid="{103697F3-C969-4F7A-9842-F37BC601FB9B}" name="Column6118"/>
    <tableColumn id="6133" xr3:uid="{27E087AD-DC05-4EF5-A624-BC26A2D25F4B}" name="Column6119"/>
    <tableColumn id="6134" xr3:uid="{BAA64750-BE3F-4E67-8D4B-8CBC5439002B}" name="Column6120"/>
    <tableColumn id="6135" xr3:uid="{A29DFD83-C3FF-4BDD-BD73-C4D81652A632}" name="Column6121"/>
    <tableColumn id="6136" xr3:uid="{19704863-81B7-45EA-A836-3A1C62B8B7C9}" name="Column6122"/>
    <tableColumn id="6137" xr3:uid="{225FBD85-F4A4-4FA7-A67D-A554D7C48E93}" name="Column6123"/>
    <tableColumn id="6138" xr3:uid="{89C52647-C3F6-4154-B0B2-FBB39DD8BE2F}" name="Column6124"/>
    <tableColumn id="6139" xr3:uid="{A637D976-AA27-43EF-9804-6029FF917333}" name="Column6125"/>
    <tableColumn id="6140" xr3:uid="{81D6457C-E1B7-43D6-95E4-5CD78CCCD72C}" name="Column6126"/>
    <tableColumn id="6141" xr3:uid="{0E74539A-2F59-447A-BE0E-0808282E5484}" name="Column6127"/>
    <tableColumn id="6142" xr3:uid="{C7A74C6C-A79E-4B48-8709-5448FB48CE89}" name="Column6128"/>
    <tableColumn id="6143" xr3:uid="{E9F166A9-9B38-4AB0-B720-8BD79F886597}" name="Column6129"/>
    <tableColumn id="6144" xr3:uid="{6E075333-1EF8-4B4A-9638-065F41DC5585}" name="Column6130"/>
    <tableColumn id="6145" xr3:uid="{12F65CF5-6701-4D9B-9BF9-890A86B78F7B}" name="Column6131"/>
    <tableColumn id="6146" xr3:uid="{5972612F-D99F-47D6-B8C1-FE1C47EC4723}" name="Column6132"/>
    <tableColumn id="6147" xr3:uid="{65E6C012-5625-4FC0-8FEF-1280B2CCF252}" name="Column6133"/>
    <tableColumn id="6148" xr3:uid="{99FFD5BD-0B6D-4366-B2A7-B44EE44B71E9}" name="Column6134"/>
    <tableColumn id="6149" xr3:uid="{74B6FF0A-04BD-4829-BFE0-746146806F10}" name="Column6135"/>
    <tableColumn id="6150" xr3:uid="{E8D73542-84CF-4BC0-AB13-A768ACA51F54}" name="Column6136"/>
    <tableColumn id="6151" xr3:uid="{1EA099C4-2E96-4CDE-86C9-C262C780F124}" name="Column6137"/>
    <tableColumn id="6152" xr3:uid="{569C6BBA-B133-46CA-8561-30BA2ED80B03}" name="Column6138"/>
    <tableColumn id="6153" xr3:uid="{052EECCE-2E40-4332-8ECD-D26FCC453B58}" name="Column6139"/>
    <tableColumn id="6154" xr3:uid="{59153014-27DB-4FF3-8142-B7251BA964CA}" name="Column6140"/>
    <tableColumn id="6155" xr3:uid="{AB58CFFF-33BD-4569-9339-FA2257CA2942}" name="Column6141"/>
    <tableColumn id="6156" xr3:uid="{3991A2D7-1A10-4FBB-BE39-D9B3C984C4A3}" name="Column6142"/>
    <tableColumn id="6157" xr3:uid="{9CB5B01F-5D29-4A9C-BF6A-3E1D4F2CFBCE}" name="Column6143"/>
    <tableColumn id="6158" xr3:uid="{BC8686D6-612A-4B9A-9649-C68C477A64A0}" name="Column6144"/>
    <tableColumn id="6159" xr3:uid="{4B85B8F7-CE81-49A3-A0EE-F844D69A010B}" name="Column6145"/>
    <tableColumn id="6160" xr3:uid="{45CB461A-2B9A-4E33-887B-DD538BB18789}" name="Column6146"/>
    <tableColumn id="6161" xr3:uid="{546232D3-B3B9-4ABB-9D39-8FC8CDC9428F}" name="Column6147"/>
    <tableColumn id="6162" xr3:uid="{1451693D-B88C-46FE-AD91-E98C8A4EEAE3}" name="Column6148"/>
    <tableColumn id="6163" xr3:uid="{AA510EF2-A6B9-49BA-AEE6-4995C7EF7944}" name="Column6149"/>
    <tableColumn id="6164" xr3:uid="{AD990E43-3321-46E1-9EDF-284F4BB174E6}" name="Column6150"/>
    <tableColumn id="6165" xr3:uid="{0D806D5D-5C22-41FE-9D1E-66CD95145AD6}" name="Column6151"/>
    <tableColumn id="6166" xr3:uid="{C445558E-A578-4320-8AE0-C5007AFF5E30}" name="Column6152"/>
    <tableColumn id="6167" xr3:uid="{DFF788AE-E3D4-4279-9DED-F273F2A345A8}" name="Column6153"/>
    <tableColumn id="6168" xr3:uid="{17716698-CBD8-49C9-90A1-DDF555158FA6}" name="Column6154"/>
    <tableColumn id="6169" xr3:uid="{C1BA119B-A277-4D6E-AAA8-646778763359}" name="Column6155"/>
    <tableColumn id="6170" xr3:uid="{5972E992-CD4E-47FD-AAA6-ADC0C8AB5680}" name="Column6156"/>
    <tableColumn id="6171" xr3:uid="{B791D5B0-9BDD-4CCD-A49C-907637FE6872}" name="Column6157"/>
    <tableColumn id="6172" xr3:uid="{00408A1A-05C7-4E4F-90BC-9889EA078C84}" name="Column6158"/>
    <tableColumn id="6173" xr3:uid="{AD6ACFFA-D44E-458A-A100-B62FC7C41637}" name="Column6159"/>
    <tableColumn id="6174" xr3:uid="{D2827B04-F600-4D4F-BAF4-8EC0D6D62A92}" name="Column6160"/>
    <tableColumn id="6175" xr3:uid="{392E1BBE-3247-4A44-8401-202240676513}" name="Column6161"/>
    <tableColumn id="6176" xr3:uid="{666D0F9C-2A96-4A98-AAEC-577BD96FD8D2}" name="Column6162"/>
    <tableColumn id="6177" xr3:uid="{5D1D7C5A-7622-40CF-B25B-FCBD3B30DE3F}" name="Column6163"/>
    <tableColumn id="6178" xr3:uid="{2D7CF117-1AEA-413F-ADFE-55DE1155E1E3}" name="Column6164"/>
    <tableColumn id="6179" xr3:uid="{126E0F17-8619-4CA8-8FF8-D610A35130F3}" name="Column6165"/>
    <tableColumn id="6180" xr3:uid="{D92F4814-83DB-41BB-8FBD-BFD7C0649C98}" name="Column6166"/>
    <tableColumn id="6181" xr3:uid="{F4B0F932-D194-4710-BBEE-2F53A13210D1}" name="Column6167"/>
    <tableColumn id="6182" xr3:uid="{3BD447E4-09C9-4F93-BD89-3BF594464A99}" name="Column6168"/>
    <tableColumn id="6183" xr3:uid="{8702BD03-D473-44E2-B83C-99FA69323452}" name="Column6169"/>
    <tableColumn id="6184" xr3:uid="{860572BF-A2DE-40FF-AD95-6381366F1DAF}" name="Column6170"/>
    <tableColumn id="6185" xr3:uid="{528E1B5A-8B70-4DA2-83A2-B32022ED624D}" name="Column6171"/>
    <tableColumn id="6186" xr3:uid="{A352D336-4F8E-4088-ACB1-BA726361AF8F}" name="Column6172"/>
    <tableColumn id="6187" xr3:uid="{26846576-ED57-4102-8608-81A720A54A6C}" name="Column6173"/>
    <tableColumn id="6188" xr3:uid="{E39A222E-FD92-49F4-8CA6-FC608A2FABED}" name="Column6174"/>
    <tableColumn id="6189" xr3:uid="{C5C2DBC0-7876-4782-9047-B736A264EE48}" name="Column6175"/>
    <tableColumn id="6190" xr3:uid="{A92159E2-618B-4244-AAED-74D29D0D13EE}" name="Column6176"/>
    <tableColumn id="6191" xr3:uid="{7925C479-2771-4D53-A59D-492D32FE4CCC}" name="Column6177"/>
    <tableColumn id="6192" xr3:uid="{8B3A659A-25F5-4C92-BB41-6B3F1887839E}" name="Column6178"/>
    <tableColumn id="6193" xr3:uid="{2B6A1624-0A0F-455A-BF10-E646D842CCA5}" name="Column6179"/>
    <tableColumn id="6194" xr3:uid="{21D774CE-B397-4925-B857-39AADEB57AD3}" name="Column6180"/>
    <tableColumn id="6195" xr3:uid="{CCDA4426-F8E3-4C81-85AF-68A122B96197}" name="Column6181"/>
    <tableColumn id="6196" xr3:uid="{4C847F57-C551-4132-A301-EA6DA72A8758}" name="Column6182"/>
    <tableColumn id="6197" xr3:uid="{579F88C7-B7C0-4FA2-AF9B-16D3E781E100}" name="Column6183"/>
    <tableColumn id="6198" xr3:uid="{625AEB31-1769-4A09-BF45-F2F7A5D9B958}" name="Column6184"/>
    <tableColumn id="6199" xr3:uid="{08C6FFB9-022B-488F-887A-5E19ADB4AD7D}" name="Column6185"/>
    <tableColumn id="6200" xr3:uid="{75A761B7-4088-41C8-A65B-8767BDF42CBC}" name="Column6186"/>
    <tableColumn id="6201" xr3:uid="{0F92132F-4CDA-487F-AC90-3782B7BAAD3F}" name="Column6187"/>
    <tableColumn id="6202" xr3:uid="{B3E5D231-98BE-4A77-8AE4-A9FD0E1F3434}" name="Column6188"/>
    <tableColumn id="6203" xr3:uid="{F063790D-6CBD-4254-8087-D0215530EA10}" name="Column6189"/>
    <tableColumn id="6204" xr3:uid="{DFA58C1F-FC91-4D91-A75F-BAC940DFBDE5}" name="Column6190"/>
    <tableColumn id="6205" xr3:uid="{5B28DA2A-1AC8-41F6-951A-987D17D174BB}" name="Column6191"/>
    <tableColumn id="6206" xr3:uid="{D29ADC17-947C-47A9-853D-32C099258BA5}" name="Column6192"/>
    <tableColumn id="6207" xr3:uid="{31FA5103-2CB0-4962-A233-963FC5F18253}" name="Column6193"/>
    <tableColumn id="6208" xr3:uid="{4AD6A026-10B4-47BE-B940-29D037D5EA56}" name="Column6194"/>
    <tableColumn id="6209" xr3:uid="{0246AC0D-F7D7-429A-B760-E21272EBADB2}" name="Column6195"/>
    <tableColumn id="6210" xr3:uid="{5DDA9132-4CC2-4646-854B-FF798C426A59}" name="Column6196"/>
    <tableColumn id="6211" xr3:uid="{62EA4524-8265-49B5-BD76-4238DA67A4FF}" name="Column6197"/>
    <tableColumn id="6212" xr3:uid="{61F8463B-2AD3-4AFF-9BCB-D8C14A119578}" name="Column6198"/>
    <tableColumn id="6213" xr3:uid="{74B27684-47D7-4A60-98FD-F6E15871E447}" name="Column6199"/>
    <tableColumn id="6214" xr3:uid="{8A7B9718-583D-4C84-B0AD-603D0DFE4346}" name="Column6200"/>
    <tableColumn id="6215" xr3:uid="{7EFD7FB9-3710-424D-A1EA-7A78AE37C7A2}" name="Column6201"/>
    <tableColumn id="6216" xr3:uid="{4C36EB73-D058-4B8F-B624-B906F167A14C}" name="Column6202"/>
    <tableColumn id="6217" xr3:uid="{50ADE8D3-DCC5-4786-9634-370E87B1DB37}" name="Column6203"/>
    <tableColumn id="6218" xr3:uid="{2083B078-93CA-4556-B914-A34EAA0EA558}" name="Column6204"/>
    <tableColumn id="6219" xr3:uid="{F49A3070-E664-449C-A5FE-C9428962A5E6}" name="Column6205"/>
    <tableColumn id="6220" xr3:uid="{FC1EA36C-BD77-493A-B4FB-27AE43417F19}" name="Column6206"/>
    <tableColumn id="6221" xr3:uid="{DC0F62EC-E8CB-4418-A453-9192456D7227}" name="Column6207"/>
    <tableColumn id="6222" xr3:uid="{17704240-C646-4CFD-BBDB-B09370E869A8}" name="Column6208"/>
    <tableColumn id="6223" xr3:uid="{E43B3C1D-966F-44F2-B0FA-E6E27C11FD80}" name="Column6209"/>
    <tableColumn id="6224" xr3:uid="{D464564A-70AE-408A-A45C-411BE31B42C7}" name="Column6210"/>
    <tableColumn id="6225" xr3:uid="{B7D7BE8B-B8A4-4EFD-ABE9-7523CE379407}" name="Column6211"/>
    <tableColumn id="6226" xr3:uid="{0AB15EC1-C348-4B59-B563-912AC223F8D2}" name="Column6212"/>
    <tableColumn id="6227" xr3:uid="{A94A48C4-A123-4276-86AC-772956012783}" name="Column6213"/>
    <tableColumn id="6228" xr3:uid="{6C8D0456-9D17-408A-95C0-C4D4540046D2}" name="Column6214"/>
    <tableColumn id="6229" xr3:uid="{F662E6CA-CC49-476F-B924-7A88968DBBAB}" name="Column6215"/>
    <tableColumn id="6230" xr3:uid="{58C1F42A-EA52-43BD-8EBF-DB1C6AE88FB4}" name="Column6216"/>
    <tableColumn id="6231" xr3:uid="{117A4EAF-83DF-403C-A40C-B9AA6BAD4CE4}" name="Column6217"/>
    <tableColumn id="6232" xr3:uid="{BD68F2B6-4338-4D81-BFE6-3F16E403A686}" name="Column6218"/>
    <tableColumn id="6233" xr3:uid="{8F8D57B0-3D20-4624-AF92-98E2C51F3EFD}" name="Column6219"/>
    <tableColumn id="6234" xr3:uid="{97E5E1BF-4B80-460A-AF7A-65D7A414B718}" name="Column6220"/>
    <tableColumn id="6235" xr3:uid="{4C875062-A118-455F-A1A2-450F04A46BB8}" name="Column6221"/>
    <tableColumn id="6236" xr3:uid="{74552A33-F418-45B0-9B10-575116DEA9D2}" name="Column6222"/>
    <tableColumn id="6237" xr3:uid="{F22434B4-677A-4B66-B682-41A98BA6CDB3}" name="Column6223"/>
    <tableColumn id="6238" xr3:uid="{9AB74D5A-97F5-4F76-B485-A8B4810FCBC4}" name="Column6224"/>
    <tableColumn id="6239" xr3:uid="{3E6106DB-1815-4E09-8D47-00D75321A1AD}" name="Column6225"/>
    <tableColumn id="6240" xr3:uid="{405864E2-2A63-4B55-987A-71405564F532}" name="Column6226"/>
    <tableColumn id="6241" xr3:uid="{D2FBCE2E-2306-4556-A8F9-7848BD02D48C}" name="Column6227"/>
    <tableColumn id="6242" xr3:uid="{334DE0FA-89C3-453E-9B68-74D822791E24}" name="Column6228"/>
    <tableColumn id="6243" xr3:uid="{980EC288-5BEC-4585-87CD-E8DC0B318413}" name="Column6229"/>
    <tableColumn id="6244" xr3:uid="{51531F2B-3EAE-4722-A31F-AC5A990CD9CC}" name="Column6230"/>
    <tableColumn id="6245" xr3:uid="{6D959B1E-7EA4-4F84-902E-E8EA58787DC6}" name="Column6231"/>
    <tableColumn id="6246" xr3:uid="{078F0777-499E-49A6-89EA-58C82890B041}" name="Column6232"/>
    <tableColumn id="6247" xr3:uid="{BB91B4C8-65D1-480F-A244-81FBF2274E82}" name="Column6233"/>
    <tableColumn id="6248" xr3:uid="{CE6EFEEF-4001-45FD-A23C-B2D398D6D4C4}" name="Column6234"/>
    <tableColumn id="6249" xr3:uid="{A4172655-73DC-4B7C-9A3A-A0E9BD415767}" name="Column6235"/>
    <tableColumn id="6250" xr3:uid="{A49C5092-7FC3-446A-8242-1AF8AA92E008}" name="Column6236"/>
    <tableColumn id="6251" xr3:uid="{8E6A1E23-553C-439B-A11D-7C6F6E6A421B}" name="Column6237"/>
    <tableColumn id="6252" xr3:uid="{C853ACAF-1913-4250-8382-62F58096D68D}" name="Column6238"/>
    <tableColumn id="6253" xr3:uid="{B787B948-A198-42C0-8CF4-56BD7FF20B5E}" name="Column6239"/>
    <tableColumn id="6254" xr3:uid="{5EA1E91D-B7E0-49BA-82DD-D9DDD57066D7}" name="Column6240"/>
    <tableColumn id="6255" xr3:uid="{4D0ED747-5B41-45CF-A6E4-B7D02BE65888}" name="Column6241"/>
    <tableColumn id="6256" xr3:uid="{C10554F6-2A39-4AD6-BE23-1A4831F30EB3}" name="Column6242"/>
    <tableColumn id="6257" xr3:uid="{FBE852C4-F55C-4954-8CFE-8A89C1FA788C}" name="Column6243"/>
    <tableColumn id="6258" xr3:uid="{207E17D2-D5AC-4209-BF2C-688DA66D50EB}" name="Column6244"/>
    <tableColumn id="6259" xr3:uid="{AD103DC5-92A9-4718-8DD6-11DC3A7D8003}" name="Column6245"/>
    <tableColumn id="6260" xr3:uid="{799DF015-6A74-4654-B0D2-DA4C555154C1}" name="Column6246"/>
    <tableColumn id="6261" xr3:uid="{5EB000CA-306F-4AB3-84A0-F6F263958517}" name="Column6247"/>
    <tableColumn id="6262" xr3:uid="{D241C0B4-20F2-41E5-B577-5EC5BA11E651}" name="Column6248"/>
    <tableColumn id="6263" xr3:uid="{1095F86B-632A-44CF-B5B9-2BBC18A3B145}" name="Column6249"/>
    <tableColumn id="6264" xr3:uid="{0D2B1047-1B87-4875-9DDA-3397E273FE59}" name="Column6250"/>
    <tableColumn id="6265" xr3:uid="{A432F35D-B082-4CDB-8878-A53460422D75}" name="Column6251"/>
    <tableColumn id="6266" xr3:uid="{29FB99A3-B2C8-4871-B174-EDF3ABCCA0FB}" name="Column6252"/>
    <tableColumn id="6267" xr3:uid="{83BE56F4-2297-4A4B-9AEA-4627B752E34D}" name="Column6253"/>
    <tableColumn id="6268" xr3:uid="{4DCA412C-93D9-43F7-971F-A8164CA97EB2}" name="Column6254"/>
    <tableColumn id="6269" xr3:uid="{0917FE11-11EB-42A3-BB0C-BA70B1664E91}" name="Column6255"/>
    <tableColumn id="6270" xr3:uid="{A4B1F6E1-286D-4525-AF51-D1337C7425DF}" name="Column6256"/>
    <tableColumn id="6271" xr3:uid="{A9758450-8BD8-4A86-A31C-E4550BFB22CA}" name="Column6257"/>
    <tableColumn id="6272" xr3:uid="{68BDCE68-0148-4424-93E0-7816E783A706}" name="Column6258"/>
    <tableColumn id="6273" xr3:uid="{F4AE3E41-DF9A-4A97-83B7-579FE2FD5B0B}" name="Column6259"/>
    <tableColumn id="6274" xr3:uid="{7260DB18-2D23-44F5-B294-A42E5A73476E}" name="Column6260"/>
    <tableColumn id="6275" xr3:uid="{D607ED55-77A7-4069-9EC6-EFB8B6CF4991}" name="Column6261"/>
    <tableColumn id="6276" xr3:uid="{3726C1C7-88C5-43B1-9A96-A66D8FBC79A4}" name="Column6262"/>
    <tableColumn id="6277" xr3:uid="{8BD0BE1C-6F1B-4E1C-8E57-80F8532B0B39}" name="Column6263"/>
    <tableColumn id="6278" xr3:uid="{4DA91107-25FC-4D6C-83B3-C672E3834049}" name="Column6264"/>
    <tableColumn id="6279" xr3:uid="{C14EC5FB-2BE4-48D4-9F4B-31B3B6E6C78B}" name="Column6265"/>
    <tableColumn id="6280" xr3:uid="{6F855B06-B2CF-4A72-844A-B5BC3831DBC7}" name="Column6266"/>
    <tableColumn id="6281" xr3:uid="{E80A7907-7C60-402C-BB23-78707A354848}" name="Column6267"/>
    <tableColumn id="6282" xr3:uid="{374FB797-E38C-4993-8392-2E39F7FD37D7}" name="Column6268"/>
    <tableColumn id="6283" xr3:uid="{BBE89E64-4EDA-4DA7-812A-271451A2C3EF}" name="Column6269"/>
    <tableColumn id="6284" xr3:uid="{CAEA9DF3-4AB1-4FAB-868F-28849493AE47}" name="Column6270"/>
    <tableColumn id="6285" xr3:uid="{EE2A9C00-4C40-4703-9D3E-7660C79030EE}" name="Column6271"/>
    <tableColumn id="6286" xr3:uid="{FBB05613-6C01-4173-B5F0-023F1EC4C78E}" name="Column6272"/>
    <tableColumn id="6287" xr3:uid="{DA7EEAE9-5122-46B0-977B-3751CC1D8C29}" name="Column6273"/>
    <tableColumn id="6288" xr3:uid="{0BDFD9AE-E02A-4E59-8BC2-729174B3A488}" name="Column6274"/>
    <tableColumn id="6289" xr3:uid="{6E1A2024-81B8-47D2-848F-9DEB13F4FB71}" name="Column6275"/>
    <tableColumn id="6290" xr3:uid="{3E0D190B-9572-4014-823B-6128B19D43A5}" name="Column6276"/>
    <tableColumn id="6291" xr3:uid="{57657A68-95E8-4477-9F8B-F461678C4D25}" name="Column6277"/>
    <tableColumn id="6292" xr3:uid="{AE81BE2C-8A39-406F-84D2-C9DDFABCD12C}" name="Column6278"/>
    <tableColumn id="6293" xr3:uid="{26401D30-1A15-400C-9186-B2B7AD1703B5}" name="Column6279"/>
    <tableColumn id="6294" xr3:uid="{700A4771-7CC6-4784-A2AF-7C2FFCD43D63}" name="Column6280"/>
    <tableColumn id="6295" xr3:uid="{C1647674-2941-4CEF-9188-D13714D79181}" name="Column6281"/>
    <tableColumn id="6296" xr3:uid="{C08E9199-99EC-486F-8231-9832CA4B5F7C}" name="Column6282"/>
    <tableColumn id="6297" xr3:uid="{2D0D9548-4204-4128-A3CF-0105AA33B147}" name="Column6283"/>
    <tableColumn id="6298" xr3:uid="{56FB4A86-4A84-4B03-BB0F-2291F56A1369}" name="Column6284"/>
    <tableColumn id="6299" xr3:uid="{25112636-F9C5-4F43-BFFC-DA24A379FDE3}" name="Column6285"/>
    <tableColumn id="6300" xr3:uid="{2D1ACDC4-B10B-46C4-A08B-27A02CF92BE3}" name="Column6286"/>
    <tableColumn id="6301" xr3:uid="{302AF53C-EB4A-48F6-9F03-955B609B2A28}" name="Column6287"/>
    <tableColumn id="6302" xr3:uid="{A77B4D9C-47D2-43F0-8210-9A60CBD67608}" name="Column6288"/>
    <tableColumn id="6303" xr3:uid="{864EE2A7-6C93-4951-BFAD-4D19A7A32E01}" name="Column6289"/>
    <tableColumn id="6304" xr3:uid="{99245BB7-10DB-4C25-81C5-027D643B6817}" name="Column6290"/>
    <tableColumn id="6305" xr3:uid="{822525C3-4EFC-449F-91AC-F9C8BDF76FFE}" name="Column6291"/>
    <tableColumn id="6306" xr3:uid="{ED6439C1-A3A5-4A54-BC5B-503073D6F2B5}" name="Column6292"/>
    <tableColumn id="6307" xr3:uid="{B667AA49-3206-41A2-94F7-F2539B30EB90}" name="Column6293"/>
    <tableColumn id="6308" xr3:uid="{5FC5C4B2-6D1E-4F3B-9517-922EF8E6F6E5}" name="Column6294"/>
    <tableColumn id="6309" xr3:uid="{1135DBD1-1640-4AA8-99D6-EE1CCCA8A560}" name="Column6295"/>
    <tableColumn id="6310" xr3:uid="{BB06B1B6-EEBF-4347-9F1A-B65565EF46DE}" name="Column6296"/>
    <tableColumn id="6311" xr3:uid="{C28FCCB3-0150-4758-BD77-854846CEFE46}" name="Column6297"/>
    <tableColumn id="6312" xr3:uid="{F7D3D3CB-5A2A-4254-8935-65A2B14FE48C}" name="Column6298"/>
    <tableColumn id="6313" xr3:uid="{63404D8A-A7F0-42E8-A12F-E7C611D954CF}" name="Column6299"/>
    <tableColumn id="6314" xr3:uid="{95E0620C-C472-4C53-BA25-8A35CE3F1096}" name="Column6300"/>
    <tableColumn id="6315" xr3:uid="{FA742ECA-BC9C-44A3-A2F3-0B7AAAAA1F62}" name="Column6301"/>
    <tableColumn id="6316" xr3:uid="{62EB6108-F85E-46CA-8CF0-3D30CDE8859F}" name="Column6302"/>
    <tableColumn id="6317" xr3:uid="{7D17947C-462B-4A12-B48C-2499733343DC}" name="Column6303"/>
    <tableColumn id="6318" xr3:uid="{0C37EA4C-DA88-47AA-ABC0-1557828583C4}" name="Column6304"/>
    <tableColumn id="6319" xr3:uid="{97D699E4-2C5E-4493-992A-E7ACFD8CC872}" name="Column6305"/>
    <tableColumn id="6320" xr3:uid="{677C362C-4379-47E0-AB00-0635BCDE9AC9}" name="Column6306"/>
    <tableColumn id="6321" xr3:uid="{B7334FFE-0E53-4E60-B527-A1546E01582D}" name="Column6307"/>
    <tableColumn id="6322" xr3:uid="{EB4A44AD-5039-4606-8115-7DC0892F2801}" name="Column6308"/>
    <tableColumn id="6323" xr3:uid="{6CB5C86D-6504-4719-AB9A-991038EDB6FF}" name="Column6309"/>
    <tableColumn id="6324" xr3:uid="{E19BC130-A481-48F5-9B52-E4843B3DB583}" name="Column6310"/>
    <tableColumn id="6325" xr3:uid="{8B34855D-6DF5-40D8-BE28-77AAD3CCA091}" name="Column6311"/>
    <tableColumn id="6326" xr3:uid="{B1FAA211-98E3-4620-9F68-55E77C30A774}" name="Column6312"/>
    <tableColumn id="6327" xr3:uid="{482BF621-1E45-4368-A163-CC3C400BFA80}" name="Column6313"/>
    <tableColumn id="6328" xr3:uid="{741A2C62-F88C-436B-BA50-E1A036B94CF8}" name="Column6314"/>
    <tableColumn id="6329" xr3:uid="{30D1F5D5-CD05-4094-AA01-72BCE5D24D81}" name="Column6315"/>
    <tableColumn id="6330" xr3:uid="{212DB875-A3F1-4412-8680-3FFE95BD5828}" name="Column6316"/>
    <tableColumn id="6331" xr3:uid="{E9DEB953-D69D-4E05-8551-0F309744C8E0}" name="Column6317"/>
    <tableColumn id="6332" xr3:uid="{DC57C285-E3E5-4888-8732-5D19247E7CEF}" name="Column6318"/>
    <tableColumn id="6333" xr3:uid="{F09A9095-6E1E-4A9B-AC3C-6D31DCE0E59A}" name="Column6319"/>
    <tableColumn id="6334" xr3:uid="{377E681F-ECBC-4146-9DC1-77EDFA60C395}" name="Column6320"/>
    <tableColumn id="6335" xr3:uid="{5D06546F-51D8-4324-9310-AE52A3180822}" name="Column6321"/>
    <tableColumn id="6336" xr3:uid="{A0ECC915-5DC1-41A8-8FBB-C8B22A5B8B40}" name="Column6322"/>
    <tableColumn id="6337" xr3:uid="{47CD2E91-0433-439C-959D-46C26ED15492}" name="Column6323"/>
    <tableColumn id="6338" xr3:uid="{597506ED-FFE5-42AD-BD98-E38209C52ADC}" name="Column6324"/>
    <tableColumn id="6339" xr3:uid="{B60B26E8-BE93-4BEC-9E48-BBCF1408B5CE}" name="Column6325"/>
    <tableColumn id="6340" xr3:uid="{F96B592B-1A2A-4267-A11D-ED9560CE78AE}" name="Column6326"/>
    <tableColumn id="6341" xr3:uid="{5C15D894-B392-4000-84EE-CCA89B53CA60}" name="Column6327"/>
    <tableColumn id="6342" xr3:uid="{0F527B9F-420E-4051-95F7-FD081F0E000A}" name="Column6328"/>
    <tableColumn id="6343" xr3:uid="{EC55488D-840B-4C60-B26E-9819E9F871F9}" name="Column6329"/>
    <tableColumn id="6344" xr3:uid="{A8FAD71C-90EF-4628-9DB7-5DAD6D84E435}" name="Column6330"/>
    <tableColumn id="6345" xr3:uid="{F1E37368-C3D7-46DC-A374-64AE8E03A1E3}" name="Column6331"/>
    <tableColumn id="6346" xr3:uid="{AC236D0F-5B99-412D-B0F4-024B1347AAA9}" name="Column6332"/>
    <tableColumn id="6347" xr3:uid="{76A2FE1C-64A1-43C8-836F-2B9C41B05A68}" name="Column6333"/>
    <tableColumn id="6348" xr3:uid="{05F30C48-DCE8-4DAA-8CAD-43BCEA89FA07}" name="Column6334"/>
    <tableColumn id="6349" xr3:uid="{199874DD-F9BF-43AD-B4FD-CF470ECE840C}" name="Column6335"/>
    <tableColumn id="6350" xr3:uid="{DF3B4BFF-F4C2-4792-90ED-DCF4550470DE}" name="Column6336"/>
    <tableColumn id="6351" xr3:uid="{937D98A5-DE03-4356-8EBA-71FA0730D65D}" name="Column6337"/>
    <tableColumn id="6352" xr3:uid="{530164A9-B65B-408D-95BA-F245281AAE89}" name="Column6338"/>
    <tableColumn id="6353" xr3:uid="{16BC0F2B-2ABF-45F9-9D17-127F3FEEFD3A}" name="Column6339"/>
    <tableColumn id="6354" xr3:uid="{F1427F8A-E772-4BE2-8E39-A729FADF678E}" name="Column6340"/>
    <tableColumn id="6355" xr3:uid="{7DDA3585-75E4-4E9D-8D39-1A7E486AEF75}" name="Column6341"/>
    <tableColumn id="6356" xr3:uid="{084474DD-A0EF-4C7A-A1F2-44B260F00DF5}" name="Column6342"/>
    <tableColumn id="6357" xr3:uid="{8B782C5D-602B-4437-B077-3B30CAEDC1FC}" name="Column6343"/>
    <tableColumn id="6358" xr3:uid="{C4AFDAC6-EAEA-4C0B-874C-6D46A2D21A34}" name="Column6344"/>
    <tableColumn id="6359" xr3:uid="{4D617C34-4D44-4D8C-B15E-F169EFD25ACD}" name="Column6345"/>
    <tableColumn id="6360" xr3:uid="{28A96983-5F82-4A57-B6C1-9A9CA7E60C29}" name="Column6346"/>
    <tableColumn id="6361" xr3:uid="{B654CFB1-49A8-4DE4-A753-029BFD321F0F}" name="Column6347"/>
    <tableColumn id="6362" xr3:uid="{0D3DBAB6-B8FB-4792-8725-E6BAD979ECD4}" name="Column6348"/>
    <tableColumn id="6363" xr3:uid="{F34DFF15-1D89-4FF9-AE62-45BCFBE7348A}" name="Column6349"/>
    <tableColumn id="6364" xr3:uid="{39192D2F-1A2C-429A-A12B-29BEC4399E63}" name="Column6350"/>
    <tableColumn id="6365" xr3:uid="{5F6211D4-A2BA-4EF9-AF59-5FCD4F25C366}" name="Column6351"/>
    <tableColumn id="6366" xr3:uid="{B165A1DE-F9E9-4E8B-9209-23F39817F499}" name="Column6352"/>
    <tableColumn id="6367" xr3:uid="{8996DB13-2542-42AC-BB35-31AD5F254A99}" name="Column6353"/>
    <tableColumn id="6368" xr3:uid="{8D1432C1-EE80-4B11-849C-57238CCAB630}" name="Column6354"/>
    <tableColumn id="6369" xr3:uid="{767F1077-690B-4D3D-A499-8A8C7234EA44}" name="Column6355"/>
    <tableColumn id="6370" xr3:uid="{FB361586-5A83-4DE4-AB1F-F52836A3E226}" name="Column6356"/>
    <tableColumn id="6371" xr3:uid="{7E0516B8-2A72-4BF4-A032-C75C58CED433}" name="Column6357"/>
    <tableColumn id="6372" xr3:uid="{C2E1C660-E8D8-4AC5-A2F5-90B13F1DC4F8}" name="Column6358"/>
    <tableColumn id="6373" xr3:uid="{5C42A15A-452B-473D-B251-5333C9B66D98}" name="Column6359"/>
    <tableColumn id="6374" xr3:uid="{04AC2045-C5DA-4538-B912-D6B24C933893}" name="Column6360"/>
    <tableColumn id="6375" xr3:uid="{FACE2FDE-FEE6-43BE-B9A1-DBE6DDE8628E}" name="Column6361"/>
    <tableColumn id="6376" xr3:uid="{91DB2E6D-DE96-4FC0-AB3F-ACC51E67974F}" name="Column6362"/>
    <tableColumn id="6377" xr3:uid="{F6445B5C-29D5-4AAE-B247-8D035C5D3E6D}" name="Column6363"/>
    <tableColumn id="6378" xr3:uid="{A159C1F9-55CF-4B1E-A003-5781ADCF5A18}" name="Column6364"/>
    <tableColumn id="6379" xr3:uid="{D15DC17C-9CDC-4909-ACB9-EC79CF5B2E8D}" name="Column6365"/>
    <tableColumn id="6380" xr3:uid="{2E5A81BD-09A2-47DF-BE8D-A104F0EE233D}" name="Column6366"/>
    <tableColumn id="6381" xr3:uid="{17932291-D662-46F3-97AF-E55BE4061820}" name="Column6367"/>
    <tableColumn id="6382" xr3:uid="{4FC626FE-3E8E-4FF8-89D3-82E06CF93E68}" name="Column6368"/>
    <tableColumn id="6383" xr3:uid="{860822DA-DD0E-412B-B7AB-2B3A0B1FBE37}" name="Column6369"/>
    <tableColumn id="6384" xr3:uid="{E5EB98E6-02F9-44C9-9CE5-54CF5A931671}" name="Column6370"/>
    <tableColumn id="6385" xr3:uid="{1CA2E175-3C3D-4EB2-BBB5-AEA5F502B2FF}" name="Column6371"/>
    <tableColumn id="6386" xr3:uid="{BC10DDFE-16C7-4CE6-B127-E6E647184A97}" name="Column6372"/>
    <tableColumn id="6387" xr3:uid="{06997581-6D3E-481E-9DCA-67F6D70541D0}" name="Column6373"/>
    <tableColumn id="6388" xr3:uid="{C0D7ACAA-973A-4546-BCD6-AA2F887BA27E}" name="Column6374"/>
    <tableColumn id="6389" xr3:uid="{01F69D93-D87E-42D2-BB96-AFA58A6C293A}" name="Column6375"/>
    <tableColumn id="6390" xr3:uid="{39821BBA-8E0E-4DFB-B68C-C0FBB8095809}" name="Column6376"/>
    <tableColumn id="6391" xr3:uid="{DC056ADE-D992-4AAF-A9B0-8C5A5BBFFDA6}" name="Column6377"/>
    <tableColumn id="6392" xr3:uid="{048C36D2-03AD-41EF-AC82-D71364745920}" name="Column6378"/>
    <tableColumn id="6393" xr3:uid="{0EB6CE11-D3D2-4A34-B096-4783A3F9C049}" name="Column6379"/>
    <tableColumn id="6394" xr3:uid="{A2D6E30A-DB50-4299-B6F9-DE52C6DB2138}" name="Column6380"/>
    <tableColumn id="6395" xr3:uid="{3D1FC6E9-6C87-4A14-8991-3B55657E6F96}" name="Column6381"/>
    <tableColumn id="6396" xr3:uid="{415F9FF9-083E-44F8-B6D4-6A044E7294E3}" name="Column6382"/>
    <tableColumn id="6397" xr3:uid="{BB3E5DC4-8D25-4962-A4C7-2E2D325EE27E}" name="Column6383"/>
    <tableColumn id="6398" xr3:uid="{B2DABCE8-1487-4A9D-B337-509F93F13E02}" name="Column6384"/>
    <tableColumn id="6399" xr3:uid="{76D539D2-7D9B-4D31-AD76-0E5334D2410E}" name="Column6385"/>
    <tableColumn id="6400" xr3:uid="{7C90E2D8-6326-4470-835F-0CF7894FE77E}" name="Column6386"/>
    <tableColumn id="6401" xr3:uid="{BB92C145-E14B-4923-8F52-DA14CDF9377C}" name="Column6387"/>
    <tableColumn id="6402" xr3:uid="{AFCE82FA-7702-4F9B-96AE-C7ADC65904BC}" name="Column6388"/>
    <tableColumn id="6403" xr3:uid="{0930338B-CFD2-47B8-8850-25A30E7AF400}" name="Column6389"/>
    <tableColumn id="6404" xr3:uid="{FC8DCAAE-BD68-4E9F-8278-1BE1550378AB}" name="Column6390"/>
    <tableColumn id="6405" xr3:uid="{B70F9BC8-AB0B-45D1-9644-0D8C76463176}" name="Column6391"/>
    <tableColumn id="6406" xr3:uid="{FE1C878A-F43F-4252-B01A-9862F8DB272F}" name="Column6392"/>
    <tableColumn id="6407" xr3:uid="{CE1FEFB5-FBA1-4DB9-9DAA-BE69B37EF483}" name="Column6393"/>
    <tableColumn id="6408" xr3:uid="{DD70C95F-E627-415B-98BB-371E4351566F}" name="Column6394"/>
    <tableColumn id="6409" xr3:uid="{7ADE859A-B8BA-4C7C-B491-F73C281C8456}" name="Column6395"/>
    <tableColumn id="6410" xr3:uid="{378943CB-8B8D-4954-8865-FEFF453C0841}" name="Column6396"/>
    <tableColumn id="6411" xr3:uid="{610F0D7A-A49E-49DA-AFAE-F59988D97D15}" name="Column6397"/>
    <tableColumn id="6412" xr3:uid="{D4EE3752-F017-403A-B45B-AFBC0F0A6394}" name="Column6398"/>
    <tableColumn id="6413" xr3:uid="{08123DA5-DD57-45FA-9C99-978409F66387}" name="Column6399"/>
    <tableColumn id="6414" xr3:uid="{912DA44B-E2E8-4E64-A492-F6B509CB2849}" name="Column6400"/>
    <tableColumn id="6415" xr3:uid="{91CB508D-732B-4D78-8FB6-10A585461BB8}" name="Column6401"/>
    <tableColumn id="6416" xr3:uid="{9D3F8FAB-CA58-469A-AC8B-53E017B0F420}" name="Column6402"/>
    <tableColumn id="6417" xr3:uid="{26F6AD18-D2EB-4909-B072-B112404F9BFF}" name="Column6403"/>
    <tableColumn id="6418" xr3:uid="{6076B0AE-834F-4643-8D4D-7894F5328EEC}" name="Column6404"/>
    <tableColumn id="6419" xr3:uid="{385CFA19-9940-4683-850F-74C4FDB6A795}" name="Column6405"/>
    <tableColumn id="6420" xr3:uid="{80DC600C-D348-42EF-BEC3-DB2A1452F330}" name="Column6406"/>
    <tableColumn id="6421" xr3:uid="{95BFA9B1-8BAC-433F-BF62-3D4FE856E7DE}" name="Column6407"/>
    <tableColumn id="6422" xr3:uid="{2EE85729-85AE-4E51-BA28-27216F843982}" name="Column6408"/>
    <tableColumn id="6423" xr3:uid="{97243F91-CB7A-4038-9502-652A9B6F214A}" name="Column6409"/>
    <tableColumn id="6424" xr3:uid="{99745853-0F58-412B-A918-597C6521811E}" name="Column6410"/>
    <tableColumn id="6425" xr3:uid="{E86FE040-D815-40D3-932F-1F82D4F8D3C9}" name="Column6411"/>
    <tableColumn id="6426" xr3:uid="{F0524638-139E-495E-8A14-4230C4A272AB}" name="Column6412"/>
    <tableColumn id="6427" xr3:uid="{4E25F7FB-AE52-45A0-A2B7-C03AC76588EB}" name="Column6413"/>
    <tableColumn id="6428" xr3:uid="{4E1B9A6A-C044-41E2-8C17-AAD5971EA175}" name="Column6414"/>
    <tableColumn id="6429" xr3:uid="{AD5A6E27-ED06-41E5-AE3E-D9F6E5D03567}" name="Column6415"/>
    <tableColumn id="6430" xr3:uid="{1FFF1093-CC4D-4AF9-9B71-0C8CE5812E3F}" name="Column6416"/>
    <tableColumn id="6431" xr3:uid="{74C587CB-2BF0-461F-A225-7882629DACE5}" name="Column6417"/>
    <tableColumn id="6432" xr3:uid="{2568B4A3-741A-4063-B5D2-27888C6C6AF7}" name="Column6418"/>
    <tableColumn id="6433" xr3:uid="{2DF531F4-945C-4A1B-87C9-674BDDF7BAE7}" name="Column6419"/>
    <tableColumn id="6434" xr3:uid="{379E0006-8CAF-4DE7-8DD0-12E90D3EF07A}" name="Column6420"/>
    <tableColumn id="6435" xr3:uid="{481E5EE9-92D8-4210-BC77-60D1C425D888}" name="Column6421"/>
    <tableColumn id="6436" xr3:uid="{39D90C54-3E18-425D-B6DC-C7C589A8E384}" name="Column6422"/>
    <tableColumn id="6437" xr3:uid="{B6554A6D-0EFA-4C49-A7F6-F63357B7CCD5}" name="Column6423"/>
    <tableColumn id="6438" xr3:uid="{9034532C-32A6-486F-B003-A7076AAD57E2}" name="Column6424"/>
    <tableColumn id="6439" xr3:uid="{E78870E5-67DF-4A38-8D9F-166AA6505ACD}" name="Column6425"/>
    <tableColumn id="6440" xr3:uid="{7A30B866-D52D-4175-93F5-646DDAF50B0D}" name="Column6426"/>
    <tableColumn id="6441" xr3:uid="{84CA99EA-BDCF-4A02-A730-D05AD8BAAC30}" name="Column6427"/>
    <tableColumn id="6442" xr3:uid="{1898791A-F419-420F-8914-4C6576E37853}" name="Column6428"/>
    <tableColumn id="6443" xr3:uid="{051C60CE-C982-4933-B886-7CBA7130F936}" name="Column6429"/>
    <tableColumn id="6444" xr3:uid="{718715C9-EA7A-4D6D-A83C-2858F47F47A1}" name="Column6430"/>
    <tableColumn id="6445" xr3:uid="{80D3A313-C8F5-4F01-B721-78A9CA9486F1}" name="Column6431"/>
    <tableColumn id="6446" xr3:uid="{83C4371A-6EF8-4468-BD03-9168E03C1C26}" name="Column6432"/>
    <tableColumn id="6447" xr3:uid="{A3F99440-3B78-45F5-9F5C-EFA69D6D6982}" name="Column6433"/>
    <tableColumn id="6448" xr3:uid="{9624DBD0-0700-4A28-A59F-F6DCA1BEFF99}" name="Column6434"/>
    <tableColumn id="6449" xr3:uid="{0931EB63-71BD-46F6-A23F-8B65DF485AFF}" name="Column6435"/>
    <tableColumn id="6450" xr3:uid="{708ACE8B-874A-4441-B756-29F410F33657}" name="Column6436"/>
    <tableColumn id="6451" xr3:uid="{20C83766-752A-4EB6-B218-DFD1E9D2279F}" name="Column6437"/>
    <tableColumn id="6452" xr3:uid="{E92E1D0F-E0F4-49A4-B443-63BF8236F0A3}" name="Column6438"/>
    <tableColumn id="6453" xr3:uid="{BA323B26-E7E0-4E43-972C-FA5DB24629F5}" name="Column6439"/>
    <tableColumn id="6454" xr3:uid="{9B479BF9-4846-43C4-B6AB-B812D65A2D33}" name="Column6440"/>
    <tableColumn id="6455" xr3:uid="{43214CF4-A64C-4D6B-8F15-82C94C537D33}" name="Column6441"/>
    <tableColumn id="6456" xr3:uid="{1D64540F-805D-413C-A583-04562A4E7885}" name="Column6442"/>
    <tableColumn id="6457" xr3:uid="{EDC7F45B-9316-4DA7-91E3-B108B61A36CD}" name="Column6443"/>
    <tableColumn id="6458" xr3:uid="{095512D2-9268-4170-A51F-52448CF19EFD}" name="Column6444"/>
    <tableColumn id="6459" xr3:uid="{4F69462E-0D31-427A-85F5-26D7AC7F02C5}" name="Column6445"/>
    <tableColumn id="6460" xr3:uid="{47E2B414-20F7-4EA7-B731-3826DCAFAD61}" name="Column6446"/>
    <tableColumn id="6461" xr3:uid="{AB674314-7129-4C8C-B260-C210792525AC}" name="Column6447"/>
    <tableColumn id="6462" xr3:uid="{6B7568E6-6FB7-4192-BAE6-420404C73F5D}" name="Column6448"/>
    <tableColumn id="6463" xr3:uid="{3F9144B4-0F95-4909-971A-0E5A1E7F0B9D}" name="Column6449"/>
    <tableColumn id="6464" xr3:uid="{D2A1A7B2-7BF6-4900-8078-6AADF55A2518}" name="Column6450"/>
    <tableColumn id="6465" xr3:uid="{3ABBC984-C9FF-4EEC-AA38-66F974ABE584}" name="Column6451"/>
    <tableColumn id="6466" xr3:uid="{15808EC7-6542-4B07-A7F8-94B2EA55A3E2}" name="Column6452"/>
    <tableColumn id="6467" xr3:uid="{D05E55FA-A460-487D-AD82-C1E371924F5D}" name="Column6453"/>
    <tableColumn id="6468" xr3:uid="{5519C14C-6DDB-4CAA-8696-73E541C534F2}" name="Column6454"/>
    <tableColumn id="6469" xr3:uid="{DB0BDDB3-1972-4497-B657-09C55F68F9F8}" name="Column6455"/>
    <tableColumn id="6470" xr3:uid="{3DDDF090-4089-4CD2-8EBA-83042523E2F4}" name="Column6456"/>
    <tableColumn id="6471" xr3:uid="{03D17501-4C6C-40E1-B066-CC97238581F4}" name="Column6457"/>
    <tableColumn id="6472" xr3:uid="{9059982D-54A9-4181-9966-0300E4AE04A5}" name="Column6458"/>
    <tableColumn id="6473" xr3:uid="{CB9E86BD-0FA7-4730-ADB8-10653DF4C4A5}" name="Column6459"/>
    <tableColumn id="6474" xr3:uid="{C684B7D0-C69A-4145-8E2F-75CF3DDAAC54}" name="Column6460"/>
    <tableColumn id="6475" xr3:uid="{0E92442B-82EA-429F-A4FA-527B9359C0D2}" name="Column6461"/>
    <tableColumn id="6476" xr3:uid="{C0578268-92C9-4A18-AB36-72503F8BC7BA}" name="Column6462"/>
    <tableColumn id="6477" xr3:uid="{9B8F0B93-1768-4CF7-A982-323754351116}" name="Column6463"/>
    <tableColumn id="6478" xr3:uid="{FE2F9920-D648-4400-987E-19D1E1F3691B}" name="Column6464"/>
    <tableColumn id="6479" xr3:uid="{56033923-DF72-4115-BDEF-7BB728543664}" name="Column6465"/>
    <tableColumn id="6480" xr3:uid="{4DCE4629-ABB8-4715-AFC8-D61E816F096D}" name="Column6466"/>
    <tableColumn id="6481" xr3:uid="{2BE5BD0A-9626-410A-B761-EFBEA51A2D16}" name="Column6467"/>
    <tableColumn id="6482" xr3:uid="{D403135E-E141-445B-B68A-63060FEED1CA}" name="Column6468"/>
    <tableColumn id="6483" xr3:uid="{B3447C43-5F7E-47D8-B153-9EB8DBF68931}" name="Column6469"/>
    <tableColumn id="6484" xr3:uid="{DF79737B-5C21-4846-A35B-DD97C226AB9C}" name="Column6470"/>
    <tableColumn id="6485" xr3:uid="{4FE55B47-05FC-40DF-9491-C35CC02DF810}" name="Column6471"/>
    <tableColumn id="6486" xr3:uid="{5959F1A7-D4DA-4402-B89F-49157AC33BE1}" name="Column6472"/>
    <tableColumn id="6487" xr3:uid="{F2A1A58B-A735-4F17-B7BB-598669B2632E}" name="Column6473"/>
    <tableColumn id="6488" xr3:uid="{F7E5EF56-4528-4ABF-A9BD-4BD694660D7E}" name="Column6474"/>
    <tableColumn id="6489" xr3:uid="{826C10F1-81D6-4B93-8C9C-3E1499835480}" name="Column6475"/>
    <tableColumn id="6490" xr3:uid="{C8A8238C-63E5-4E9E-AA17-66A3592D1BA5}" name="Column6476"/>
    <tableColumn id="6491" xr3:uid="{F2B3F6BA-62C9-41ED-A786-7EB1C17BAAB8}" name="Column6477"/>
    <tableColumn id="6492" xr3:uid="{D6A7BA82-42E9-46CE-94C8-30A87FC8D9CF}" name="Column6478"/>
    <tableColumn id="6493" xr3:uid="{D109C6D0-F48A-46A2-85B9-9C41CE61F71D}" name="Column6479"/>
    <tableColumn id="6494" xr3:uid="{608208B7-4CA6-44FD-9A64-0824CD6D8D32}" name="Column6480"/>
    <tableColumn id="6495" xr3:uid="{FD2A8617-F7A9-42A7-BC22-A98ABC7A7FA2}" name="Column6481"/>
    <tableColumn id="6496" xr3:uid="{F0552910-16CC-481A-8F41-9416A20C9C2B}" name="Column6482"/>
    <tableColumn id="6497" xr3:uid="{92E05E8B-0D37-4B0D-91B8-7F8F015C4FCF}" name="Column6483"/>
    <tableColumn id="6498" xr3:uid="{16DA9A10-96C0-4ED9-952E-51F123F3CD28}" name="Column6484"/>
    <tableColumn id="6499" xr3:uid="{2A07C62B-6A38-46B8-9E8F-D21A7F5AB09B}" name="Column6485"/>
    <tableColumn id="6500" xr3:uid="{09AE93C3-5970-4D1D-8B3C-6082E38D056D}" name="Column6486"/>
    <tableColumn id="6501" xr3:uid="{05F1DE9B-FA9C-4776-A19A-F86751629819}" name="Column6487"/>
    <tableColumn id="6502" xr3:uid="{40F72006-A201-4B98-8D1E-A9CFE2066EF2}" name="Column6488"/>
    <tableColumn id="6503" xr3:uid="{D42048C0-3747-4CA5-A2C1-EF7DF5BEE5AA}" name="Column6489"/>
    <tableColumn id="6504" xr3:uid="{994F55DE-06F4-4477-ACB7-81E30F20DDB5}" name="Column6490"/>
    <tableColumn id="6505" xr3:uid="{EF782020-CE70-4E16-9BFF-C9F5AB457934}" name="Column6491"/>
    <tableColumn id="6506" xr3:uid="{31FC881A-93C7-4B6B-BDB7-74BB9C7D26B4}" name="Column6492"/>
    <tableColumn id="6507" xr3:uid="{F346FE61-2F6B-449E-AE7C-669E4C1BC7A8}" name="Column6493"/>
    <tableColumn id="6508" xr3:uid="{32040F08-1B93-45CC-A4F0-62BDDF9464C4}" name="Column6494"/>
    <tableColumn id="6509" xr3:uid="{071FB304-6F76-47D8-8E18-D70313369294}" name="Column6495"/>
    <tableColumn id="6510" xr3:uid="{7A981AB5-ECDC-4129-A2FD-841043D562AF}" name="Column6496"/>
    <tableColumn id="6511" xr3:uid="{37AFF009-B30E-412E-A525-9EDE7979FBF7}" name="Column6497"/>
    <tableColumn id="6512" xr3:uid="{79FCF3DD-C4E0-43F4-A652-453F6C047315}" name="Column6498"/>
    <tableColumn id="6513" xr3:uid="{060545BC-FC3C-4F32-9597-D23C8C83D35F}" name="Column6499"/>
    <tableColumn id="6514" xr3:uid="{D2A0CB53-9A72-409F-885B-C7EDC28B3F26}" name="Column6500"/>
    <tableColumn id="6515" xr3:uid="{98BAD88C-C333-4FFE-B42B-ED97797658C0}" name="Column6501"/>
    <tableColumn id="6516" xr3:uid="{8D70D727-8C5B-44FA-AC4D-62ED9F9F0B65}" name="Column6502"/>
    <tableColumn id="6517" xr3:uid="{71F52B65-2C66-4743-B41A-20647A7EA80C}" name="Column6503"/>
    <tableColumn id="6518" xr3:uid="{EC0A8DF9-C639-4A3A-BE09-CA36E2D031F3}" name="Column6504"/>
    <tableColumn id="6519" xr3:uid="{204E81AC-D926-4663-A91F-61438921565D}" name="Column6505"/>
    <tableColumn id="6520" xr3:uid="{CD47482A-DCA4-43EE-B9A0-876E0C6D5BA2}" name="Column6506"/>
    <tableColumn id="6521" xr3:uid="{442C1581-5380-4698-90C5-9F8E768E99D1}" name="Column6507"/>
    <tableColumn id="6522" xr3:uid="{39BD7CF2-9477-48D9-88C9-6C9E1270510D}" name="Column6508"/>
    <tableColumn id="6523" xr3:uid="{29FD8F61-84B3-461F-A07B-F582F4AAD579}" name="Column6509"/>
    <tableColumn id="6524" xr3:uid="{95883CB6-5748-464F-92C3-2BEA43466EB9}" name="Column6510"/>
    <tableColumn id="6525" xr3:uid="{A01A1380-647F-47C7-9043-9B72D4C96DE9}" name="Column6511"/>
    <tableColumn id="6526" xr3:uid="{B5057AD9-F686-4690-A2BA-0BE586DDBDA4}" name="Column6512"/>
    <tableColumn id="6527" xr3:uid="{1ED8D6B0-3DC5-4BAB-B85F-9CA1C87B81ED}" name="Column6513"/>
    <tableColumn id="6528" xr3:uid="{34A5C48D-1977-4BCE-A488-9C6478571DAF}" name="Column6514"/>
    <tableColumn id="6529" xr3:uid="{0B697431-B987-430F-A0A8-2D8134ACCE7A}" name="Column6515"/>
    <tableColumn id="6530" xr3:uid="{3D6A9EEF-0065-4CE6-A819-E88ACD00EE86}" name="Column6516"/>
    <tableColumn id="6531" xr3:uid="{0AFEF57A-9C45-486A-83BD-B82E3C813D5F}" name="Column6517"/>
    <tableColumn id="6532" xr3:uid="{DC5109A4-9D7C-40FF-8BE7-A1EE741B5370}" name="Column6518"/>
    <tableColumn id="6533" xr3:uid="{35A67E12-ED3E-4452-9949-1473ADE46CF2}" name="Column6519"/>
    <tableColumn id="6534" xr3:uid="{A5DFBD6A-8500-4B4D-9529-460F6F1D976C}" name="Column6520"/>
    <tableColumn id="6535" xr3:uid="{9260C32D-E307-4F07-B967-3EE24155EC64}" name="Column6521"/>
    <tableColumn id="6536" xr3:uid="{B1D8BA71-801D-434E-8250-DFC6AC68F94D}" name="Column6522"/>
    <tableColumn id="6537" xr3:uid="{D79F7EAF-E259-46AE-9135-FB6753292268}" name="Column6523"/>
    <tableColumn id="6538" xr3:uid="{603C787D-E0DF-4BF5-A84C-E9EA92B14E1E}" name="Column6524"/>
    <tableColumn id="6539" xr3:uid="{08BF5B81-02EB-437F-B266-79E3DED39CD0}" name="Column6525"/>
    <tableColumn id="6540" xr3:uid="{47DBB13B-8D52-4B47-966F-AC4CDF4EAE62}" name="Column6526"/>
    <tableColumn id="6541" xr3:uid="{2FF8B621-30B7-4960-BC3B-28DB70E49D9B}" name="Column6527"/>
    <tableColumn id="6542" xr3:uid="{53592C1E-E5B0-44B9-A78E-A0F817CB5D6D}" name="Column6528"/>
    <tableColumn id="6543" xr3:uid="{B43D9964-B542-4183-9694-C6FB1E8A516C}" name="Column6529"/>
    <tableColumn id="6544" xr3:uid="{0A0C642D-EBEB-45B7-9EED-8B3CADE3BFB7}" name="Column6530"/>
    <tableColumn id="6545" xr3:uid="{03555112-FCCE-4A71-BBE5-13CB6D55F8C8}" name="Column6531"/>
    <tableColumn id="6546" xr3:uid="{F2FD0D50-18E9-4481-999D-0324D22E7248}" name="Column6532"/>
    <tableColumn id="6547" xr3:uid="{77A161C6-B96D-4605-9FDA-8DA4FDAF276B}" name="Column6533"/>
    <tableColumn id="6548" xr3:uid="{683E138A-92E6-40A9-9DBF-308697501A57}" name="Column6534"/>
    <tableColumn id="6549" xr3:uid="{F5CF9644-9CD0-483C-8E8D-B2145D6A36CE}" name="Column6535"/>
    <tableColumn id="6550" xr3:uid="{1FD3094F-D7F9-4098-A5B2-7EF9BD66D31D}" name="Column6536"/>
    <tableColumn id="6551" xr3:uid="{860041B5-FCF4-4CBB-B397-C8F31FF858C5}" name="Column6537"/>
    <tableColumn id="6552" xr3:uid="{43E41F6C-D14B-4AB5-97DC-792D300A7114}" name="Column6538"/>
    <tableColumn id="6553" xr3:uid="{AEFE71E4-2361-4966-84B4-61E6391BDF40}" name="Column6539"/>
    <tableColumn id="6554" xr3:uid="{D7F4D509-A5D7-40D1-84E0-0F4177CBC15A}" name="Column6540"/>
    <tableColumn id="6555" xr3:uid="{3C1EC6CC-9F02-4361-A3F1-624E3282726E}" name="Column6541"/>
    <tableColumn id="6556" xr3:uid="{87F048C9-E236-48A7-9A99-B02C0B2E7BA3}" name="Column6542"/>
    <tableColumn id="6557" xr3:uid="{B1256F31-E865-49B4-BA35-08590FE58784}" name="Column6543"/>
    <tableColumn id="6558" xr3:uid="{92562E69-72EB-4349-909F-23B0E1BDF0D1}" name="Column6544"/>
    <tableColumn id="6559" xr3:uid="{661E1AB3-8359-4484-8ACC-6F692DAD49E5}" name="Column6545"/>
    <tableColumn id="6560" xr3:uid="{7322F1C0-4F63-4E8E-89F5-C0815B52200F}" name="Column6546"/>
    <tableColumn id="6561" xr3:uid="{333CAE3C-587B-4559-BA57-D8BD481F393A}" name="Column6547"/>
    <tableColumn id="6562" xr3:uid="{D36F7448-A15D-437E-82B9-6EE32875AA78}" name="Column6548"/>
    <tableColumn id="6563" xr3:uid="{18794D8F-C2F5-4E25-8F09-F52FD0A483F2}" name="Column6549"/>
    <tableColumn id="6564" xr3:uid="{82F481BD-B695-4FF0-B965-4950674DC9ED}" name="Column6550"/>
    <tableColumn id="6565" xr3:uid="{85FA173B-40CF-43A4-AE3D-3C5E43823678}" name="Column6551"/>
    <tableColumn id="6566" xr3:uid="{BCF78A6B-7A92-4625-ABCB-A8218C142461}" name="Column6552"/>
    <tableColumn id="6567" xr3:uid="{ED0FFF94-9EF4-4786-B7C0-13316A6DC5F0}" name="Column6553"/>
    <tableColumn id="6568" xr3:uid="{0BDF9BAE-F890-4B62-B8F2-943515E53844}" name="Column6554"/>
    <tableColumn id="6569" xr3:uid="{D61295EB-4812-4B5A-93C3-43D567F127C1}" name="Column6555"/>
    <tableColumn id="6570" xr3:uid="{068708DF-B406-4998-AA20-B3250D79D438}" name="Column6556"/>
    <tableColumn id="6571" xr3:uid="{F5900B25-5128-4319-A15D-3093B8C8A6EF}" name="Column6557"/>
    <tableColumn id="6572" xr3:uid="{3846DB40-3395-488E-9493-0AF51E56C930}" name="Column6558"/>
    <tableColumn id="6573" xr3:uid="{EF9232C7-9F19-4F68-B28B-9BAECD98909B}" name="Column6559"/>
    <tableColumn id="6574" xr3:uid="{904ADE3F-F2CF-4997-ABFA-094670DB7592}" name="Column6560"/>
    <tableColumn id="6575" xr3:uid="{AC6E0617-CE2E-4F97-95D8-3D89047E1E64}" name="Column6561"/>
    <tableColumn id="6576" xr3:uid="{764F4CC5-D7A0-48A7-B62B-ADB1DAE96C56}" name="Column6562"/>
    <tableColumn id="6577" xr3:uid="{54B35228-3965-4C29-9244-65ADD7A0BEF5}" name="Column6563"/>
    <tableColumn id="6578" xr3:uid="{F014F90B-36CD-4EB0-A9BC-2F552D6CEF09}" name="Column6564"/>
    <tableColumn id="6579" xr3:uid="{792E2209-BC3D-4D49-8F5E-870DC0FB7DE4}" name="Column6565"/>
    <tableColumn id="6580" xr3:uid="{BDEE7047-7DCA-42BD-B25D-C8C612790BC8}" name="Column6566"/>
    <tableColumn id="6581" xr3:uid="{A001580D-EBD2-400D-A2FE-24C76014CABA}" name="Column6567"/>
    <tableColumn id="6582" xr3:uid="{6743567E-5C52-4FDE-A739-A35E0F19A331}" name="Column6568"/>
    <tableColumn id="6583" xr3:uid="{A433E25F-D723-4C59-B334-AAD900AAA832}" name="Column6569"/>
    <tableColumn id="6584" xr3:uid="{7D68F775-0E4E-4DDB-8D65-4F40D209084B}" name="Column6570"/>
    <tableColumn id="6585" xr3:uid="{4D632340-0903-4B77-97EE-CE13007F88FE}" name="Column6571"/>
    <tableColumn id="6586" xr3:uid="{DFFE1329-8E90-41BC-92FB-DD117B294968}" name="Column6572"/>
    <tableColumn id="6587" xr3:uid="{AAB3C521-C8EC-40BB-BF5F-3A02B30F6B3C}" name="Column6573"/>
    <tableColumn id="6588" xr3:uid="{C39D1DD1-3C53-4F37-96CA-5ED34ACC1364}" name="Column6574"/>
    <tableColumn id="6589" xr3:uid="{DB329BF9-2470-4B20-8972-DCD2B81B26AC}" name="Column6575"/>
    <tableColumn id="6590" xr3:uid="{A706B8D6-E829-4A94-92E2-FEAA1A909A83}" name="Column6576"/>
    <tableColumn id="6591" xr3:uid="{007E1532-1E21-468F-8B12-C38B231F2675}" name="Column6577"/>
    <tableColumn id="6592" xr3:uid="{8329B38D-8A8A-467A-BC1B-5F5764D8C8EC}" name="Column6578"/>
    <tableColumn id="6593" xr3:uid="{F6140B71-0F00-420C-BE2F-74A9D6EC4391}" name="Column6579"/>
    <tableColumn id="6594" xr3:uid="{66CFFC28-D98E-4A74-8FEA-320C2E9E8224}" name="Column6580"/>
    <tableColumn id="6595" xr3:uid="{2F986EC5-5FB2-4452-83F6-2E8D7DC21A24}" name="Column6581"/>
    <tableColumn id="6596" xr3:uid="{611D1606-EA15-44B1-9868-7DAF68F6E1DE}" name="Column6582"/>
    <tableColumn id="6597" xr3:uid="{CB207D12-604F-4C12-9F24-B1629B069A3A}" name="Column6583"/>
    <tableColumn id="6598" xr3:uid="{4A5E5615-EAF2-4AAA-BBE0-FEF756300CDB}" name="Column6584"/>
    <tableColumn id="6599" xr3:uid="{261C0CC0-AA91-49F2-8175-CF24C7C4ADE7}" name="Column6585"/>
    <tableColumn id="6600" xr3:uid="{5C4C071E-8885-4D1F-969B-FFECF6636173}" name="Column6586"/>
    <tableColumn id="6601" xr3:uid="{9A842AD8-C7B4-4E8C-AD09-2CD24E2E178E}" name="Column6587"/>
    <tableColumn id="6602" xr3:uid="{13C21B86-7700-4364-B806-ABC6FC270A46}" name="Column6588"/>
    <tableColumn id="6603" xr3:uid="{E410614B-9241-4107-9B33-3BEDB26D1064}" name="Column6589"/>
    <tableColumn id="6604" xr3:uid="{ACD0BE6F-2337-4071-AAF3-A49F6EAD7C60}" name="Column6590"/>
    <tableColumn id="6605" xr3:uid="{CAE882AD-32B3-4257-9A32-9EC2BE7C6402}" name="Column6591"/>
    <tableColumn id="6606" xr3:uid="{18FF34CB-CE51-42F0-97EA-EA38D9071A57}" name="Column6592"/>
    <tableColumn id="6607" xr3:uid="{F9A386A7-F00A-4C0D-A4AB-E7A5C025F8CD}" name="Column6593"/>
    <tableColumn id="6608" xr3:uid="{7869ABFC-3620-4DBB-AA2D-4DB3F3506DE5}" name="Column6594"/>
    <tableColumn id="6609" xr3:uid="{D7122A04-A37B-4437-84C1-D9F62337CBD5}" name="Column6595"/>
    <tableColumn id="6610" xr3:uid="{7B04CE65-1A57-47E0-809C-D18E64266C1A}" name="Column6596"/>
    <tableColumn id="6611" xr3:uid="{150A383A-CA07-4483-80A2-7C60B6E450C9}" name="Column6597"/>
    <tableColumn id="6612" xr3:uid="{8286D2ED-A99A-4FE4-8C86-2102EE08E3F0}" name="Column6598"/>
    <tableColumn id="6613" xr3:uid="{398867B4-A809-42CC-BC95-B780FDEAD1E0}" name="Column6599"/>
    <tableColumn id="6614" xr3:uid="{4E67AB96-EBF8-47AD-B33A-08734EB65FFB}" name="Column6600"/>
    <tableColumn id="6615" xr3:uid="{BEC27F48-E467-416B-BBAF-7D6AC3B2BA55}" name="Column6601"/>
    <tableColumn id="6616" xr3:uid="{9ACB6276-E4D5-4532-8082-BE0B335FAAAD}" name="Column6602"/>
    <tableColumn id="6617" xr3:uid="{202CB83C-2DC1-4FF1-85FE-CD94D976CD03}" name="Column6603"/>
    <tableColumn id="6618" xr3:uid="{3ACEA4A5-C60A-4F26-88E7-D80C2BC29B2D}" name="Column6604"/>
    <tableColumn id="6619" xr3:uid="{00B40257-EEB7-4232-9909-9A161F9B3F6E}" name="Column6605"/>
    <tableColumn id="6620" xr3:uid="{B614846E-A85E-4FAA-9B5C-F2F4D80BE027}" name="Column6606"/>
    <tableColumn id="6621" xr3:uid="{55F69B6E-1E5A-4897-8AAA-6EBC0A3D544C}" name="Column6607"/>
    <tableColumn id="6622" xr3:uid="{2C0CE1CA-9557-48FF-A77A-5D4A3F0EB77B}" name="Column6608"/>
    <tableColumn id="6623" xr3:uid="{66162128-93E8-4CF3-975C-181BD9B2EF94}" name="Column6609"/>
    <tableColumn id="6624" xr3:uid="{924C0245-702A-4EFF-9B27-5DA3F6B239BE}" name="Column6610"/>
    <tableColumn id="6625" xr3:uid="{F628F73F-78D9-4BBD-9BC1-D8A70D22FC17}" name="Column6611"/>
    <tableColumn id="6626" xr3:uid="{78057C5F-A176-4B53-B49A-43FA12DC80C9}" name="Column6612"/>
    <tableColumn id="6627" xr3:uid="{9C2A79A0-B755-4EE1-B82E-1A3734E763C5}" name="Column6613"/>
    <tableColumn id="6628" xr3:uid="{C44878F7-7BD2-4B47-A7B6-057073095735}" name="Column6614"/>
    <tableColumn id="6629" xr3:uid="{9643733A-6B16-498F-94F4-B335CD4A3C66}" name="Column6615"/>
    <tableColumn id="6630" xr3:uid="{9908CA80-7437-43FB-B88D-17DE1119D425}" name="Column6616"/>
    <tableColumn id="6631" xr3:uid="{2BC005BD-050C-4C5B-B2EC-D7D1FF9B693F}" name="Column6617"/>
    <tableColumn id="6632" xr3:uid="{4D2D9930-9650-4748-9A8E-D9FA6747B0CB}" name="Column6618"/>
    <tableColumn id="6633" xr3:uid="{36A4C552-C70C-49EF-9A7F-837D5A34DA64}" name="Column6619"/>
    <tableColumn id="6634" xr3:uid="{DD1267BE-EDED-4400-A63B-D11D78A3EC26}" name="Column6620"/>
    <tableColumn id="6635" xr3:uid="{70E84D12-5315-4994-9CBF-B250168BE6D8}" name="Column6621"/>
    <tableColumn id="6636" xr3:uid="{1BDB2C8A-C746-4314-A073-F0B748B5F458}" name="Column6622"/>
    <tableColumn id="6637" xr3:uid="{A563274E-21C6-422D-A98B-E9788A93A1F7}" name="Column6623"/>
    <tableColumn id="6638" xr3:uid="{CF9041EE-F8C9-4209-B7C6-A7AF60B1B16C}" name="Column6624"/>
    <tableColumn id="6639" xr3:uid="{8B49FF1C-4262-430A-B2A0-A69A4A501F67}" name="Column6625"/>
    <tableColumn id="6640" xr3:uid="{2BBAB5C2-C140-41DC-B4D9-5A2BDF613747}" name="Column6626"/>
    <tableColumn id="6641" xr3:uid="{7AF6EB40-0F29-43A3-96A1-C1E3FB49ED64}" name="Column6627"/>
    <tableColumn id="6642" xr3:uid="{77651E09-79ED-43C4-A97D-4B75085CF0B0}" name="Column6628"/>
    <tableColumn id="6643" xr3:uid="{1EB932AF-C67F-4110-9668-8E0DC9D4C4C4}" name="Column6629"/>
    <tableColumn id="6644" xr3:uid="{FC09064C-E398-4BAF-A54E-00F63A690992}" name="Column6630"/>
    <tableColumn id="6645" xr3:uid="{6423B259-FB5E-4F7E-BFDD-EC805056E5E9}" name="Column6631"/>
    <tableColumn id="6646" xr3:uid="{84175B33-09A2-414A-8623-F61E63A25CD2}" name="Column6632"/>
    <tableColumn id="6647" xr3:uid="{A089083E-3246-453B-AB02-E6F4AA1A36E3}" name="Column6633"/>
    <tableColumn id="6648" xr3:uid="{062FA91F-DE1D-4BD8-9DB3-833295911FF5}" name="Column6634"/>
    <tableColumn id="6649" xr3:uid="{90C9EDF0-0DF7-47C2-8D05-C1E9F5FFC506}" name="Column6635"/>
    <tableColumn id="6650" xr3:uid="{72312C6E-9D0E-407B-8FEB-D6B639F7EAFC}" name="Column6636"/>
    <tableColumn id="6651" xr3:uid="{16D95402-83D6-43C1-835E-543D4EC78271}" name="Column6637"/>
    <tableColumn id="6652" xr3:uid="{50322106-B795-4E13-B339-48528955B401}" name="Column6638"/>
    <tableColumn id="6653" xr3:uid="{C0F7AA91-BD76-42E4-8AF6-0511B9A3F1B5}" name="Column6639"/>
    <tableColumn id="6654" xr3:uid="{A30B95C9-6F7F-460C-8D31-8868613302B1}" name="Column6640"/>
    <tableColumn id="6655" xr3:uid="{4F51BB1B-7125-4565-885F-A09ACC8EA6E7}" name="Column6641"/>
    <tableColumn id="6656" xr3:uid="{0EA3F65F-CF6D-4623-B243-38751620CF32}" name="Column6642"/>
    <tableColumn id="6657" xr3:uid="{C7E88FA3-BFA2-49A7-A595-C321978D9349}" name="Column6643"/>
    <tableColumn id="6658" xr3:uid="{EBED5D57-BBFF-45F0-AAC1-29CE838F68E0}" name="Column6644"/>
    <tableColumn id="6659" xr3:uid="{75028825-3404-45D1-9A32-66EB210BF7A2}" name="Column6645"/>
    <tableColumn id="6660" xr3:uid="{78730182-872C-478F-B1E5-F55476E1849D}" name="Column6646"/>
    <tableColumn id="6661" xr3:uid="{F6C7D6C5-89E8-4412-B9BE-CC21638B51D4}" name="Column6647"/>
    <tableColumn id="6662" xr3:uid="{6EC28819-617C-4EB6-ABD9-58D5EFDE52A6}" name="Column6648"/>
    <tableColumn id="6663" xr3:uid="{037DD03B-F0D4-47BB-8AF4-8BC0601514F0}" name="Column6649"/>
    <tableColumn id="6664" xr3:uid="{33180857-D090-42B4-B6CC-70AD75DF6D42}" name="Column6650"/>
    <tableColumn id="6665" xr3:uid="{5B50A685-CE0F-43C2-9EFF-489CAA87E4CA}" name="Column6651"/>
    <tableColumn id="6666" xr3:uid="{18BAB3E5-C6BC-42F9-B515-F5CBFFE7BA2C}" name="Column6652"/>
    <tableColumn id="6667" xr3:uid="{2F55559D-82F5-4825-B2E7-1DB0D9DC13B8}" name="Column6653"/>
    <tableColumn id="6668" xr3:uid="{FCE0A799-E31D-48C7-88E1-89F2148E9F7C}" name="Column6654"/>
    <tableColumn id="6669" xr3:uid="{1DC282A5-FE95-4E45-9F40-C6A9DE5759C4}" name="Column6655"/>
    <tableColumn id="6670" xr3:uid="{03D56C96-E705-49C5-9BC0-3379A1581226}" name="Column6656"/>
    <tableColumn id="6671" xr3:uid="{44D1B16D-179F-429B-B02C-5FB69E494C67}" name="Column6657"/>
    <tableColumn id="6672" xr3:uid="{7D93BB8B-2FD1-412C-8DD5-33D6604A3071}" name="Column6658"/>
    <tableColumn id="6673" xr3:uid="{C907EC0E-270B-42AF-AB4F-67271AB89F7A}" name="Column6659"/>
    <tableColumn id="6674" xr3:uid="{A0A55E18-1794-4451-9B30-F88DFFED4C33}" name="Column6660"/>
    <tableColumn id="6675" xr3:uid="{D969DD2F-7E37-4675-8FCC-C6CDE665C5A3}" name="Column6661"/>
    <tableColumn id="6676" xr3:uid="{A1FFEFFF-B8F8-4F09-A275-76932BF5A0A7}" name="Column6662"/>
    <tableColumn id="6677" xr3:uid="{89498117-6627-49DA-A32F-143E62C69B52}" name="Column6663"/>
    <tableColumn id="6678" xr3:uid="{43194DE9-FB3F-4012-86D7-1D7FB11BF796}" name="Column6664"/>
    <tableColumn id="6679" xr3:uid="{2F81083B-4775-49AC-88D9-EDF5B0397F4A}" name="Column6665"/>
    <tableColumn id="6680" xr3:uid="{E32248A4-9A84-4B58-A56E-05CCEAAC1E8C}" name="Column6666"/>
    <tableColumn id="6681" xr3:uid="{DA63C50D-09A3-46A1-AEAD-8BC6EAB1142A}" name="Column6667"/>
    <tableColumn id="6682" xr3:uid="{A84A057B-B4D8-4C8D-A1A9-6D43D05AD358}" name="Column6668"/>
    <tableColumn id="6683" xr3:uid="{F4CA9B5C-9DC1-4FF1-9B09-C210296373EE}" name="Column6669"/>
    <tableColumn id="6684" xr3:uid="{2E0CC933-269F-4895-909A-79E22F7971CB}" name="Column6670"/>
    <tableColumn id="6685" xr3:uid="{1AC816F7-C71A-410C-AC34-3066A6B86C4F}" name="Column6671"/>
    <tableColumn id="6686" xr3:uid="{31FB267E-6792-4C9E-B42D-6D39964BEB3B}" name="Column6672"/>
    <tableColumn id="6687" xr3:uid="{2BC3ED5A-D1AA-4CCB-8D7D-D1E4F41D4E39}" name="Column6673"/>
    <tableColumn id="6688" xr3:uid="{B0EE5F19-86E1-4D55-ADB5-C296AF825226}" name="Column6674"/>
    <tableColumn id="6689" xr3:uid="{109BA44F-A0D4-43E7-B4ED-6AAAF2ECDDB9}" name="Column6675"/>
    <tableColumn id="6690" xr3:uid="{34F2A2EB-F77A-4068-8D57-FFF8C57D6B5F}" name="Column6676"/>
    <tableColumn id="6691" xr3:uid="{D5757EE8-40A4-4796-BE3D-E92B870F134A}" name="Column6677"/>
    <tableColumn id="6692" xr3:uid="{ACB9761A-1328-4E60-945F-BB710B1B3DF1}" name="Column6678"/>
    <tableColumn id="6693" xr3:uid="{344CA811-95F1-4AD2-AB28-CAD235145750}" name="Column6679"/>
    <tableColumn id="6694" xr3:uid="{5DDF753D-17AC-4B95-86BE-49680E10BF66}" name="Column6680"/>
    <tableColumn id="6695" xr3:uid="{9EDCC722-0C1A-43E6-9879-74BCB1B84ADB}" name="Column6681"/>
    <tableColumn id="6696" xr3:uid="{51436E9D-3AB2-49A5-8258-32E65EE83F29}" name="Column6682"/>
    <tableColumn id="6697" xr3:uid="{8A03F186-2AFA-4FD5-B0A9-E39EB519135C}" name="Column6683"/>
    <tableColumn id="6698" xr3:uid="{69947D4F-3703-4CBE-AD82-5020565FE1AE}" name="Column6684"/>
    <tableColumn id="6699" xr3:uid="{AB2797E9-E6C2-4C0A-A7F0-BD2DF2CA7D31}" name="Column6685"/>
    <tableColumn id="6700" xr3:uid="{AE104BA7-5F4E-45B1-BF6F-F9EC73189E85}" name="Column6686"/>
    <tableColumn id="6701" xr3:uid="{9FC61BC3-DECA-411D-BA4D-510157307806}" name="Column6687"/>
    <tableColumn id="6702" xr3:uid="{1826F8AE-3B7B-4B42-8BFA-250FDB68AC01}" name="Column6688"/>
    <tableColumn id="6703" xr3:uid="{25D43209-8E3D-4C9A-AA88-00F008F1CCB9}" name="Column6689"/>
    <tableColumn id="6704" xr3:uid="{640571A3-656B-4712-9DC4-9FAD86A42487}" name="Column6690"/>
    <tableColumn id="6705" xr3:uid="{3D4CB9E0-2719-45BA-82A4-CF62DA4641E8}" name="Column6691"/>
    <tableColumn id="6706" xr3:uid="{ECD9B364-A0FB-4B22-A68D-AE98DF30E747}" name="Column6692"/>
    <tableColumn id="6707" xr3:uid="{50021D77-4E78-43CB-8020-045933DE41E0}" name="Column6693"/>
    <tableColumn id="6708" xr3:uid="{CE6D25AD-309B-4DD7-AC36-06B7ECDE4236}" name="Column6694"/>
    <tableColumn id="6709" xr3:uid="{C8394527-EF02-497D-A4C1-CF9C642279C1}" name="Column6695"/>
    <tableColumn id="6710" xr3:uid="{30680015-A47C-4064-A39F-9B9340B195BD}" name="Column6696"/>
    <tableColumn id="6711" xr3:uid="{FE51A507-F61F-413D-8A82-78C34C1B837E}" name="Column6697"/>
    <tableColumn id="6712" xr3:uid="{9D305C62-FED7-4A9B-987F-7837080C8C2B}" name="Column6698"/>
    <tableColumn id="6713" xr3:uid="{77ADEF0F-322B-4D7F-A0BA-B13263A10A13}" name="Column6699"/>
    <tableColumn id="6714" xr3:uid="{C5C78C15-BD3E-4586-9F5D-88F43BFB4BD6}" name="Column6700"/>
    <tableColumn id="6715" xr3:uid="{B9D47CBF-0438-46A7-B570-710F2D8B4060}" name="Column6701"/>
    <tableColumn id="6716" xr3:uid="{F1962267-B6C5-4549-8327-7E5802129408}" name="Column6702"/>
    <tableColumn id="6717" xr3:uid="{9018AF02-759C-494E-ADC5-88DB98D89ED7}" name="Column6703"/>
    <tableColumn id="6718" xr3:uid="{40AE1CE1-4C7E-43A8-9FC5-95B5AA3D1E9D}" name="Column6704"/>
    <tableColumn id="6719" xr3:uid="{BD8F44E5-AA4C-4A3E-9F48-305F33DBD4A1}" name="Column6705"/>
    <tableColumn id="6720" xr3:uid="{3C722B0D-1639-41B0-9C89-186569198838}" name="Column6706"/>
    <tableColumn id="6721" xr3:uid="{667F18C5-7CDC-4D5B-A86E-CDF9A2CDD735}" name="Column6707"/>
    <tableColumn id="6722" xr3:uid="{82C202F2-5349-4E7E-99CB-3E56DF65190D}" name="Column6708"/>
    <tableColumn id="6723" xr3:uid="{A1EBF789-417D-4024-9EDC-C730899CD7BE}" name="Column6709"/>
    <tableColumn id="6724" xr3:uid="{8C519919-1549-4A58-A81E-B4E74B1C757C}" name="Column6710"/>
    <tableColumn id="6725" xr3:uid="{0E8FF7E7-AD09-4E32-BC4E-6AF602296AE5}" name="Column6711"/>
    <tableColumn id="6726" xr3:uid="{EC9EE89B-D04D-49AB-99ED-04993CAA33E4}" name="Column6712"/>
    <tableColumn id="6727" xr3:uid="{CE5ACFAA-5D08-4BC4-8BA0-1F88FB95DF51}" name="Column6713"/>
    <tableColumn id="6728" xr3:uid="{0CC2AFCF-3823-454E-BA4E-BFBD228EA93B}" name="Column6714"/>
    <tableColumn id="6729" xr3:uid="{E21AD014-5BDB-408B-BA94-AFA97DBD0A71}" name="Column6715"/>
    <tableColumn id="6730" xr3:uid="{F2991CE7-5609-47BF-B4AD-D45EA2554997}" name="Column6716"/>
    <tableColumn id="6731" xr3:uid="{9F53D40C-4BDB-4E4B-9AAC-6C8CECFB4A9C}" name="Column6717"/>
    <tableColumn id="6732" xr3:uid="{7BCE3587-DB04-42B0-A52E-C25A802144FE}" name="Column6718"/>
    <tableColumn id="6733" xr3:uid="{F4E7128C-D87B-41D6-894E-E217A81FAD31}" name="Column6719"/>
    <tableColumn id="6734" xr3:uid="{F2C4D50B-88E7-4837-92FA-92418E9231B8}" name="Column6720"/>
    <tableColumn id="6735" xr3:uid="{E0837925-1011-453A-8690-9EDFF93F2A03}" name="Column6721"/>
    <tableColumn id="6736" xr3:uid="{D816EEA4-EB02-40AB-A918-EF0DE54122B1}" name="Column6722"/>
    <tableColumn id="6737" xr3:uid="{2875C122-0CAD-4E8C-A99E-F1917F229959}" name="Column6723"/>
    <tableColumn id="6738" xr3:uid="{EF49CAD7-23B1-47EB-81E5-B1191C099BA6}" name="Column6724"/>
    <tableColumn id="6739" xr3:uid="{B4F8622D-2133-4295-9691-ABA4F887F9E0}" name="Column6725"/>
    <tableColumn id="6740" xr3:uid="{0E3B76F9-098A-4311-931D-D7238A7030DD}" name="Column6726"/>
    <tableColumn id="6741" xr3:uid="{C34D0381-12B7-431D-8F30-31755CBFC24D}" name="Column6727"/>
    <tableColumn id="6742" xr3:uid="{2A04C22F-F92F-4DFA-BA13-08202FFDC943}" name="Column6728"/>
    <tableColumn id="6743" xr3:uid="{9AFF6DC5-D845-44BC-A7A3-10A0B7C35A46}" name="Column6729"/>
    <tableColumn id="6744" xr3:uid="{616E664B-FA59-43B6-B34E-AFF4EB3BB8EA}" name="Column6730"/>
    <tableColumn id="6745" xr3:uid="{860F48F2-E06B-45B7-8753-727FF1AE06B4}" name="Column6731"/>
    <tableColumn id="6746" xr3:uid="{D7AE7A82-DE53-4185-959D-AE7F7EAE689A}" name="Column6732"/>
    <tableColumn id="6747" xr3:uid="{A2EEB36D-AAEE-4071-A908-1D6D0E823BA6}" name="Column6733"/>
    <tableColumn id="6748" xr3:uid="{732E7D60-52A8-4ADA-B670-2A2B56C4DA56}" name="Column6734"/>
    <tableColumn id="6749" xr3:uid="{BF7F9082-F12B-481C-8D95-2DFA95792705}" name="Column6735"/>
    <tableColumn id="6750" xr3:uid="{5B4A326F-712E-4780-AB33-5F4127187111}" name="Column6736"/>
    <tableColumn id="6751" xr3:uid="{EABCCC7C-1E1B-4B41-93AA-918F4E90332A}" name="Column6737"/>
    <tableColumn id="6752" xr3:uid="{70FFA972-CA46-4005-8766-1DDF579BD2FA}" name="Column6738"/>
    <tableColumn id="6753" xr3:uid="{74526DFE-A729-4CA1-A02C-E561DB19AB0F}" name="Column6739"/>
    <tableColumn id="6754" xr3:uid="{F6B048BB-78D2-419D-9037-936B1B999A20}" name="Column6740"/>
    <tableColumn id="6755" xr3:uid="{DB8EA07D-BF8F-423E-AD4A-DD0D94DEFF4C}" name="Column6741"/>
    <tableColumn id="6756" xr3:uid="{027D6D4B-8D0D-4D55-8F76-090460440180}" name="Column6742"/>
    <tableColumn id="6757" xr3:uid="{0628F315-EDE0-46DD-91D0-3833FD26F6EB}" name="Column6743"/>
    <tableColumn id="6758" xr3:uid="{B4D5BDD6-A4A9-4722-A412-CE0EC6BD82D5}" name="Column6744"/>
    <tableColumn id="6759" xr3:uid="{2D24939B-6233-413F-8679-9845B12974D6}" name="Column6745"/>
    <tableColumn id="6760" xr3:uid="{E18398D7-7F09-46BD-B09E-598A4D9E4ED8}" name="Column6746"/>
    <tableColumn id="6761" xr3:uid="{3AFC00E4-1165-419C-BD2B-5FB51B5DD102}" name="Column6747"/>
    <tableColumn id="6762" xr3:uid="{60B8A437-E04D-4E15-BE65-B96E028781D8}" name="Column6748"/>
    <tableColumn id="6763" xr3:uid="{23E134A4-D49E-4F5A-8C30-BE9DB9500570}" name="Column6749"/>
    <tableColumn id="6764" xr3:uid="{F27546D0-E190-431C-BCD7-6273C272DE81}" name="Column6750"/>
    <tableColumn id="6765" xr3:uid="{CA3AC456-0BE2-44FB-B56B-DF10140A1FC0}" name="Column6751"/>
    <tableColumn id="6766" xr3:uid="{3DC8F05A-9FF3-480F-A347-98B31C344212}" name="Column6752"/>
    <tableColumn id="6767" xr3:uid="{344D76A5-005A-4F86-8909-CD857278BCB2}" name="Column6753"/>
    <tableColumn id="6768" xr3:uid="{261A500E-31BA-4B2E-A4B8-7FED7701C751}" name="Column6754"/>
    <tableColumn id="6769" xr3:uid="{6527D49A-88F3-44B6-8B9E-C243834AAB18}" name="Column6755"/>
    <tableColumn id="6770" xr3:uid="{36DA4DD3-B260-4DC3-B3AF-152CF4AE5A07}" name="Column6756"/>
    <tableColumn id="6771" xr3:uid="{55AE97A5-CF6C-4E27-9AE3-C7F582035D8C}" name="Column6757"/>
    <tableColumn id="6772" xr3:uid="{7E9B4A5C-F293-4959-ADB7-CCB15C0E7AA8}" name="Column6758"/>
    <tableColumn id="6773" xr3:uid="{48742320-BB0E-45CF-BEC9-3F91762EFF54}" name="Column6759"/>
    <tableColumn id="6774" xr3:uid="{A99037FA-C35D-43D0-A824-41DDB8655B0E}" name="Column6760"/>
    <tableColumn id="6775" xr3:uid="{4ED8C3D8-CECD-4C58-B49F-20A201B06AF7}" name="Column6761"/>
    <tableColumn id="6776" xr3:uid="{15A4F43A-8180-4FD3-869B-58047B6D9521}" name="Column6762"/>
    <tableColumn id="6777" xr3:uid="{7C31E5A6-DCF6-4356-9172-F8B265F75A70}" name="Column6763"/>
    <tableColumn id="6778" xr3:uid="{D5C63CE5-F88E-4BF0-AC7B-B786AFF3B113}" name="Column6764"/>
    <tableColumn id="6779" xr3:uid="{5F340FE6-BC82-4114-9936-C7AEBC6CAF98}" name="Column6765"/>
    <tableColumn id="6780" xr3:uid="{1511DCD7-19A8-46DB-BDCA-275B73441C0B}" name="Column6766"/>
    <tableColumn id="6781" xr3:uid="{36324DC6-6A5E-4E37-BB0B-EF1C37AC2083}" name="Column6767"/>
    <tableColumn id="6782" xr3:uid="{3D6923C1-D846-489F-BEA5-83988A1B538F}" name="Column6768"/>
    <tableColumn id="6783" xr3:uid="{25772856-55D3-496B-B8A4-8A60B383B8C7}" name="Column6769"/>
    <tableColumn id="6784" xr3:uid="{FDF2B4E1-98B2-43D8-8506-5E242C246FE7}" name="Column6770"/>
    <tableColumn id="6785" xr3:uid="{3F295915-DF56-48FD-BEFD-E04F07AA4A2E}" name="Column6771"/>
    <tableColumn id="6786" xr3:uid="{978B7ED3-E230-4C63-ACA3-97B11793A8F9}" name="Column6772"/>
    <tableColumn id="6787" xr3:uid="{0132BB8F-609E-4CB8-8295-F383F4C61469}" name="Column6773"/>
    <tableColumn id="6788" xr3:uid="{7140B727-B12D-4948-8988-CA2923B9BB33}" name="Column6774"/>
    <tableColumn id="6789" xr3:uid="{D68AD8E2-A7C1-49E3-B016-4F4EEE0D11C6}" name="Column6775"/>
    <tableColumn id="6790" xr3:uid="{917F6749-117C-4D4B-ABC1-34438D4F7333}" name="Column6776"/>
    <tableColumn id="6791" xr3:uid="{D4E84A0B-0D0D-4474-AE43-416BF9C39BB3}" name="Column6777"/>
    <tableColumn id="6792" xr3:uid="{D2AC6CF6-1C37-40C7-B29B-AC7710E151CB}" name="Column6778"/>
    <tableColumn id="6793" xr3:uid="{516695FF-0715-446E-8F77-B66305E24810}" name="Column6779"/>
    <tableColumn id="6794" xr3:uid="{8C1C82CF-1EAF-44D8-BFAE-541522D1A31E}" name="Column6780"/>
    <tableColumn id="6795" xr3:uid="{9CC2CA8F-8B3D-49FC-AE05-5F531068092D}" name="Column6781"/>
    <tableColumn id="6796" xr3:uid="{E76ADE0D-926F-4B63-9CB5-F0A5042D4FFE}" name="Column6782"/>
    <tableColumn id="6797" xr3:uid="{E7D10963-DB1E-4570-ACD6-FD4CAB136CFE}" name="Column6783"/>
    <tableColumn id="6798" xr3:uid="{C43DA54A-39F9-49C8-AB8B-9D72A1FEE62C}" name="Column6784"/>
    <tableColumn id="6799" xr3:uid="{C6983156-8E8D-4E66-B177-247E16A0F9DB}" name="Column6785"/>
    <tableColumn id="6800" xr3:uid="{0D4C504C-E733-4BAC-B052-639279726140}" name="Column6786"/>
    <tableColumn id="6801" xr3:uid="{A5C7008A-A26E-4A56-94E2-F124386664E8}" name="Column6787"/>
    <tableColumn id="6802" xr3:uid="{135CA639-1D8D-4F15-BAA1-29DE90331232}" name="Column6788"/>
    <tableColumn id="6803" xr3:uid="{D6719B9D-4E21-49A3-9B96-88025861ABA4}" name="Column6789"/>
    <tableColumn id="6804" xr3:uid="{BBF69FD0-09B7-40F6-AC6A-230C67B9EE3C}" name="Column6790"/>
    <tableColumn id="6805" xr3:uid="{E323BD04-2B92-4055-B867-0ED3BD764BD0}" name="Column6791"/>
    <tableColumn id="6806" xr3:uid="{52D528A2-0F1B-4EDC-B937-4F1C98752C37}" name="Column6792"/>
    <tableColumn id="6807" xr3:uid="{366B39A7-3B76-4968-A258-A2C6ED02FAA2}" name="Column6793"/>
    <tableColumn id="6808" xr3:uid="{E019FEDD-F796-438F-8EF7-93972C013B96}" name="Column6794"/>
    <tableColumn id="6809" xr3:uid="{D646DFD9-7B99-4915-83AA-F172BEC17026}" name="Column6795"/>
    <tableColumn id="6810" xr3:uid="{CC1E17F7-E6F5-4A75-8B80-78BE4E0A3A6F}" name="Column6796"/>
    <tableColumn id="6811" xr3:uid="{DDBCA1BA-1157-4406-86D5-9F030CEB395C}" name="Column6797"/>
    <tableColumn id="6812" xr3:uid="{37A9D211-C513-4DAB-81BB-08A95AE72279}" name="Column6798"/>
    <tableColumn id="6813" xr3:uid="{BC0FAC18-A9A8-453D-9256-CD05F37D9AD7}" name="Column6799"/>
    <tableColumn id="6814" xr3:uid="{0A4B0737-0378-4855-B367-8EE347A0D090}" name="Column6800"/>
    <tableColumn id="6815" xr3:uid="{170114ED-7A59-4081-ABB0-AC7D4FA3C256}" name="Column6801"/>
    <tableColumn id="6816" xr3:uid="{2C03AB97-BBB0-441E-9D52-032F20A0B2F5}" name="Column6802"/>
    <tableColumn id="6817" xr3:uid="{B7C1BBA6-D42C-46C1-9240-47275929AD11}" name="Column6803"/>
    <tableColumn id="6818" xr3:uid="{E350E6CB-F655-4ADC-A37B-C960F457895C}" name="Column6804"/>
    <tableColumn id="6819" xr3:uid="{0E9600F1-F979-4957-BD95-BC71674FE6A6}" name="Column6805"/>
    <tableColumn id="6820" xr3:uid="{9BB15F8C-89DA-4A41-BEBD-87471765993F}" name="Column6806"/>
    <tableColumn id="6821" xr3:uid="{D8D43D0A-74CA-4370-A8C5-10502EEBA8BD}" name="Column6807"/>
    <tableColumn id="6822" xr3:uid="{34EA1D8E-A5A4-4C89-9CB7-7C0F39286A43}" name="Column6808"/>
    <tableColumn id="6823" xr3:uid="{BB616200-ADA7-4754-96B9-7A7FC05D3C4A}" name="Column6809"/>
    <tableColumn id="6824" xr3:uid="{292C0805-BC29-43AA-B938-7C71B87BB189}" name="Column6810"/>
    <tableColumn id="6825" xr3:uid="{55F500C7-06F5-4EC3-84B9-7719C2866BC0}" name="Column6811"/>
    <tableColumn id="6826" xr3:uid="{FC1C460A-DFC4-448A-86BD-406CE7753AAB}" name="Column6812"/>
    <tableColumn id="6827" xr3:uid="{5F15F84A-4FBE-49F6-8D62-1AA99839FC01}" name="Column6813"/>
    <tableColumn id="6828" xr3:uid="{14346FE3-227A-4EA7-8AD6-168CDBA15EEC}" name="Column6814"/>
    <tableColumn id="6829" xr3:uid="{33DFE8B3-B25B-4B4A-A3B4-54FD378CBC1A}" name="Column6815"/>
    <tableColumn id="6830" xr3:uid="{D53CEDFA-9EE1-404A-A431-47FDE3C33D97}" name="Column6816"/>
    <tableColumn id="6831" xr3:uid="{B1390A8D-E991-439F-A2ED-563D49E1C530}" name="Column6817"/>
    <tableColumn id="6832" xr3:uid="{5D0E000F-A0A4-4013-B735-634C4249B2A8}" name="Column6818"/>
    <tableColumn id="6833" xr3:uid="{FC71B84C-0ADB-40CB-BB8E-8681E2B8605C}" name="Column6819"/>
    <tableColumn id="6834" xr3:uid="{041ED835-AB06-454D-808E-0506134ABBDA}" name="Column6820"/>
    <tableColumn id="6835" xr3:uid="{3344412A-82AA-44B8-907B-8C9C9EA9DA20}" name="Column6821"/>
    <tableColumn id="6836" xr3:uid="{2FFDF96A-9C28-4D3A-AAA7-E1BB82DB733D}" name="Column6822"/>
    <tableColumn id="6837" xr3:uid="{09B90180-420A-466E-B694-F755F4F023DF}" name="Column6823"/>
    <tableColumn id="6838" xr3:uid="{A761494C-0090-41EA-AAB2-5B9AA62DFF93}" name="Column6824"/>
    <tableColumn id="6839" xr3:uid="{AFEBBC3B-A03C-448E-BE04-0629902ABABD}" name="Column6825"/>
    <tableColumn id="6840" xr3:uid="{B651A7BF-876E-45B0-8D76-EFDC50EC67C4}" name="Column6826"/>
    <tableColumn id="6841" xr3:uid="{632D106F-2052-49A0-A906-65BDCFA7A1C6}" name="Column6827"/>
    <tableColumn id="6842" xr3:uid="{8BD13DE8-8256-4A10-A545-4BE954AB024E}" name="Column6828"/>
    <tableColumn id="6843" xr3:uid="{BED5F2B4-7FDD-4A0A-8326-FD94D960A429}" name="Column6829"/>
    <tableColumn id="6844" xr3:uid="{7B7B5902-9889-4E7B-992B-0C223FC2D5F1}" name="Column6830"/>
    <tableColumn id="6845" xr3:uid="{4985F566-41B6-4CBD-AD35-B6F3FEF989D1}" name="Column6831"/>
    <tableColumn id="6846" xr3:uid="{C30D5ADA-3BF1-4195-A44D-550A1AA947B3}" name="Column6832"/>
    <tableColumn id="6847" xr3:uid="{FF8A10F6-7EB5-4022-A9CD-77CDB4D0EC51}" name="Column6833"/>
    <tableColumn id="6848" xr3:uid="{DED76E60-4964-4834-A2E0-6D1414490151}" name="Column6834"/>
    <tableColumn id="6849" xr3:uid="{C0F3A41D-2C59-40E3-ADBE-C3560D63A890}" name="Column6835"/>
    <tableColumn id="6850" xr3:uid="{185F456B-C6A1-4B2D-9431-ACE053D33474}" name="Column6836"/>
    <tableColumn id="6851" xr3:uid="{6C5A6727-4FA6-4B80-88CF-FF04BBD84277}" name="Column6837"/>
    <tableColumn id="6852" xr3:uid="{D20778DC-9973-4E75-A3CA-883793D86114}" name="Column6838"/>
    <tableColumn id="6853" xr3:uid="{7581CFC1-9841-4C9B-BCB5-103F541C466F}" name="Column6839"/>
    <tableColumn id="6854" xr3:uid="{DFD5F30F-002D-4B7C-B72E-9F423FA53249}" name="Column6840"/>
    <tableColumn id="6855" xr3:uid="{7EBD571B-AA29-4DC5-A0E0-D01E6B4AF3FD}" name="Column6841"/>
    <tableColumn id="6856" xr3:uid="{F2B0B63C-DBF2-48A9-BE20-81B87005D7D2}" name="Column6842"/>
    <tableColumn id="6857" xr3:uid="{DD0B7557-9273-48ED-B9C7-A925AB064E5C}" name="Column6843"/>
    <tableColumn id="6858" xr3:uid="{7FC30BEF-FB66-4207-A8B7-6AE765794A34}" name="Column6844"/>
    <tableColumn id="6859" xr3:uid="{81D1B916-74D6-4249-9A83-8A4468A2DBAD}" name="Column6845"/>
    <tableColumn id="6860" xr3:uid="{D010819F-6B22-4EFE-BF46-B65DA57A7AE5}" name="Column6846"/>
    <tableColumn id="6861" xr3:uid="{7CC3C2DD-6F13-40C6-B760-313DCDFC4604}" name="Column6847"/>
    <tableColumn id="6862" xr3:uid="{3511CFFF-63FE-4BFA-B855-101B5C2D2E74}" name="Column6848"/>
    <tableColumn id="6863" xr3:uid="{7AE80D80-E122-451E-B965-F168B278E590}" name="Column6849"/>
    <tableColumn id="6864" xr3:uid="{E5F52392-7A69-482E-A486-1C70DA309D46}" name="Column6850"/>
    <tableColumn id="6865" xr3:uid="{EC586A04-FB5D-448F-9615-B0DA23821FA3}" name="Column6851"/>
    <tableColumn id="6866" xr3:uid="{BF9933E6-27B3-4561-B2D8-767F24DCFB09}" name="Column6852"/>
    <tableColumn id="6867" xr3:uid="{DF437BDE-B059-4A1C-B264-8D7EF3583647}" name="Column6853"/>
    <tableColumn id="6868" xr3:uid="{50C0D808-11CA-4EF8-985C-D938C0BF0E25}" name="Column6854"/>
    <tableColumn id="6869" xr3:uid="{D685E7F8-DC27-4173-AFF9-6F3091B135FC}" name="Column6855"/>
    <tableColumn id="6870" xr3:uid="{A2C3BF93-0918-409B-9984-EE7C746B75E7}" name="Column6856"/>
    <tableColumn id="6871" xr3:uid="{EDFBD0F0-AE87-4730-982A-51EC71001582}" name="Column6857"/>
    <tableColumn id="6872" xr3:uid="{E82D6310-39C6-4A45-8F17-15B8400458B7}" name="Column6858"/>
    <tableColumn id="6873" xr3:uid="{0C11B1D3-A21C-46A7-870D-61AD20ACC6D5}" name="Column6859"/>
    <tableColumn id="6874" xr3:uid="{0EE367A1-F0A8-447D-8A5D-E88C5C46CE50}" name="Column6860"/>
    <tableColumn id="6875" xr3:uid="{6585ACC9-840E-4E31-A22E-C41B1C24C562}" name="Column6861"/>
    <tableColumn id="6876" xr3:uid="{97261EDC-3DA9-45FC-9C05-3AB1580CDB48}" name="Column6862"/>
    <tableColumn id="6877" xr3:uid="{2151A0F6-2AD9-4E65-9580-8FCCC067A686}" name="Column6863"/>
    <tableColumn id="6878" xr3:uid="{B191B267-5F3D-4616-A8D2-451E821C870F}" name="Column6864"/>
    <tableColumn id="6879" xr3:uid="{5FEA2132-C697-4AB9-BE04-A174A64BA04A}" name="Column6865"/>
    <tableColumn id="6880" xr3:uid="{4E0A7C11-C40F-43D6-AF8A-8F044826DE37}" name="Column6866"/>
    <tableColumn id="6881" xr3:uid="{BCF12066-D838-4C4E-BAF2-3B6B4E166FBD}" name="Column6867"/>
    <tableColumn id="6882" xr3:uid="{323DB452-36DF-43FD-A405-6FFA192720DA}" name="Column6868"/>
    <tableColumn id="6883" xr3:uid="{1E6216FB-29A7-45D1-BC62-FF12F85D3610}" name="Column6869"/>
    <tableColumn id="6884" xr3:uid="{5AA1B565-E471-4C27-B659-83217DE4913B}" name="Column6870"/>
    <tableColumn id="6885" xr3:uid="{4BFD776B-DE13-4E65-9DC1-E2A16979D414}" name="Column6871"/>
    <tableColumn id="6886" xr3:uid="{B7601BDB-488E-4A6F-8A67-FBC9D91D87A6}" name="Column6872"/>
    <tableColumn id="6887" xr3:uid="{C9BE21F6-1386-4E36-8015-CBEC5CA8A36F}" name="Column6873"/>
    <tableColumn id="6888" xr3:uid="{F16195AA-9C2F-4D30-A4C9-686A4B8BA28B}" name="Column6874"/>
    <tableColumn id="6889" xr3:uid="{7AFD62B9-A9E7-4C24-91BA-70A8788CF013}" name="Column6875"/>
    <tableColumn id="6890" xr3:uid="{57754699-2BDF-445C-87EB-F30CA94F254E}" name="Column6876"/>
    <tableColumn id="6891" xr3:uid="{39CF84A5-70BF-454E-8566-D25135D2CEBF}" name="Column6877"/>
    <tableColumn id="6892" xr3:uid="{0FF0161E-2408-4979-8DBA-85C5B36CD548}" name="Column6878"/>
    <tableColumn id="6893" xr3:uid="{59622516-D2AE-4E24-9A15-E5F91676F757}" name="Column6879"/>
    <tableColumn id="6894" xr3:uid="{96F73ACF-5C7D-4E3E-AA04-FE9036B9BBEC}" name="Column6880"/>
    <tableColumn id="6895" xr3:uid="{D444CBE6-A7D1-4F17-9744-211EFBCDB342}" name="Column6881"/>
    <tableColumn id="6896" xr3:uid="{DAD9E708-D3FD-4720-9C99-21F388146BA5}" name="Column6882"/>
    <tableColumn id="6897" xr3:uid="{F2DF561A-4C3D-4F7D-9493-559EB840F49C}" name="Column6883"/>
    <tableColumn id="6898" xr3:uid="{52767B8D-E8DE-45E0-9097-9491BCBB48A8}" name="Column6884"/>
    <tableColumn id="6899" xr3:uid="{E9D37EB3-7108-4B3A-80B3-71DFDD2FD27E}" name="Column6885"/>
    <tableColumn id="6900" xr3:uid="{25D0C03C-846E-4BC7-9693-331DBFC597A2}" name="Column6886"/>
    <tableColumn id="6901" xr3:uid="{F16D2A86-BA69-46D9-9612-3274B8DBDA07}" name="Column6887"/>
    <tableColumn id="6902" xr3:uid="{E55B2608-F2AB-4836-AF43-69819A65E506}" name="Column6888"/>
    <tableColumn id="6903" xr3:uid="{B78FE24E-A897-465D-8DE9-21C04E1F967F}" name="Column6889"/>
    <tableColumn id="6904" xr3:uid="{12BBE540-4D72-4C36-9931-FFBFBA9799EC}" name="Column6890"/>
    <tableColumn id="6905" xr3:uid="{CD003554-6AD8-488B-A102-6A06816F84B9}" name="Column6891"/>
    <tableColumn id="6906" xr3:uid="{48B762E9-D694-4309-9993-9D0102444144}" name="Column6892"/>
    <tableColumn id="6907" xr3:uid="{500C4C18-7014-40A2-92A0-0BB5A144C936}" name="Column6893"/>
    <tableColumn id="6908" xr3:uid="{28A3E8B1-0605-46C6-AE91-757465284C6B}" name="Column6894"/>
    <tableColumn id="6909" xr3:uid="{CD1E8112-89C3-44D3-9666-9AB7AF2CCF59}" name="Column6895"/>
    <tableColumn id="6910" xr3:uid="{D7E0DA83-D22C-47D5-ACD8-EB5A65425794}" name="Column6896"/>
    <tableColumn id="6911" xr3:uid="{0507FB80-8B58-4D9E-9D8F-C396DB320328}" name="Column6897"/>
    <tableColumn id="6912" xr3:uid="{993BBD27-B84B-4D24-A520-A4CD5BBF7CAC}" name="Column6898"/>
    <tableColumn id="6913" xr3:uid="{9B8A59DA-8DB6-499B-9C78-6CD73801E3E5}" name="Column6899"/>
    <tableColumn id="6914" xr3:uid="{5B61E83E-544F-4BA1-92C1-2BF14F0E7030}" name="Column6900"/>
    <tableColumn id="6915" xr3:uid="{1D6F3143-A05F-4F54-995E-51198A7AD999}" name="Column6901"/>
    <tableColumn id="6916" xr3:uid="{05CBF039-6301-47B8-B9DF-99B209A6657D}" name="Column6902"/>
    <tableColumn id="6917" xr3:uid="{2EE0630E-F4AF-4DD2-AA68-A04A5B24F983}" name="Column6903"/>
    <tableColumn id="6918" xr3:uid="{D2161BFE-2C4D-4372-9D56-BB3EC8B26393}" name="Column6904"/>
    <tableColumn id="6919" xr3:uid="{3573F846-AC6B-4230-9B91-521DF15024F6}" name="Column6905"/>
    <tableColumn id="6920" xr3:uid="{6207DCF6-AFFE-4F7A-AC80-26ECFCE4BDE4}" name="Column6906"/>
    <tableColumn id="6921" xr3:uid="{FE883480-C74A-457C-892B-8C8F3CBAFC7C}" name="Column6907"/>
    <tableColumn id="6922" xr3:uid="{7FA2264F-1A43-4A46-9372-F7BBB58975A8}" name="Column6908"/>
    <tableColumn id="6923" xr3:uid="{E81B4518-0CBC-490D-BDD6-B2C78E8DB204}" name="Column6909"/>
    <tableColumn id="6924" xr3:uid="{E6E5F33D-BAA2-411C-A601-4768B276E1D5}" name="Column6910"/>
    <tableColumn id="6925" xr3:uid="{42CA0F44-A113-46FE-97C7-FE760E577012}" name="Column6911"/>
    <tableColumn id="6926" xr3:uid="{8ABEFE5F-9F3F-4A16-ADE0-D0B728390156}" name="Column6912"/>
    <tableColumn id="6927" xr3:uid="{3EC6780E-1315-4EC6-A8CC-52C8AF5CE41B}" name="Column6913"/>
    <tableColumn id="6928" xr3:uid="{0A5EC8F1-165D-4475-A6F2-1967CFD63059}" name="Column6914"/>
    <tableColumn id="6929" xr3:uid="{5C3700EC-42AE-410F-A084-78F249843715}" name="Column6915"/>
    <tableColumn id="6930" xr3:uid="{95D48315-2250-4FCB-A8A2-54DD963688B9}" name="Column6916"/>
    <tableColumn id="6931" xr3:uid="{04729935-6EF2-4BF8-894C-FA6077A35038}" name="Column6917"/>
    <tableColumn id="6932" xr3:uid="{2ABC2B05-B610-4FBD-B7EB-B315DEA1C58D}" name="Column6918"/>
    <tableColumn id="6933" xr3:uid="{5C95AE3C-B406-4BB8-9480-6D2F9A581949}" name="Column6919"/>
    <tableColumn id="6934" xr3:uid="{3003B532-A824-4780-B8B3-BAAA7D387B4A}" name="Column6920"/>
    <tableColumn id="6935" xr3:uid="{4756B06B-6023-4776-9EAB-DC3B7FA08C31}" name="Column6921"/>
    <tableColumn id="6936" xr3:uid="{D84AA826-42B9-4F90-B5F9-267CA669A203}" name="Column6922"/>
    <tableColumn id="6937" xr3:uid="{DB249C6F-E00C-473D-83C6-1255C844E0AF}" name="Column6923"/>
    <tableColumn id="6938" xr3:uid="{084BA251-A163-41D1-B40C-0CB55C42EAC7}" name="Column6924"/>
    <tableColumn id="6939" xr3:uid="{CE8605C4-31E0-403B-AD20-0BA035C7F8CC}" name="Column6925"/>
    <tableColumn id="6940" xr3:uid="{008BB937-2EBB-4AC2-B114-DAA564635FDE}" name="Column6926"/>
    <tableColumn id="6941" xr3:uid="{5BFDBD83-E16E-459E-9CBE-A5017BE4C2A2}" name="Column6927"/>
    <tableColumn id="6942" xr3:uid="{AB872E23-E045-4CCC-B36D-E07FF1BE98F3}" name="Column6928"/>
    <tableColumn id="6943" xr3:uid="{DCE585C2-541E-4C92-8B82-7BE786032BD7}" name="Column6929"/>
    <tableColumn id="6944" xr3:uid="{20CE2572-C99E-491F-B92C-378F0C47C1A4}" name="Column6930"/>
    <tableColumn id="6945" xr3:uid="{E7359FD7-1523-4946-92A6-5E16422AB6DB}" name="Column6931"/>
    <tableColumn id="6946" xr3:uid="{E2B54B60-EA51-48F3-80D9-AD9597278345}" name="Column6932"/>
    <tableColumn id="6947" xr3:uid="{F6504B67-E916-43D9-BDA4-A07B66DA1DD0}" name="Column6933"/>
    <tableColumn id="6948" xr3:uid="{61A85984-B135-4414-B1EB-CF9871EEFD1F}" name="Column6934"/>
    <tableColumn id="6949" xr3:uid="{4CFB36EE-CA14-462C-B3CA-4066BA71D264}" name="Column6935"/>
    <tableColumn id="6950" xr3:uid="{CD9A2DC6-93C0-4937-A535-8BFE313511DC}" name="Column6936"/>
    <tableColumn id="6951" xr3:uid="{51C37312-AD25-4DEE-A767-5479BFE728FC}" name="Column6937"/>
    <tableColumn id="6952" xr3:uid="{A72D0FC5-A79A-42B2-88D7-2261DF2B4C8A}" name="Column6938"/>
    <tableColumn id="6953" xr3:uid="{08CFD4E2-B19B-4A9D-9F56-56727454341E}" name="Column6939"/>
    <tableColumn id="6954" xr3:uid="{E0A06761-0D63-4AA5-B032-4C5F1B3421F4}" name="Column6940"/>
    <tableColumn id="6955" xr3:uid="{EBCCF736-CB0D-433F-831D-89A45606ECC9}" name="Column6941"/>
    <tableColumn id="6956" xr3:uid="{571E7174-C65A-4536-9B35-05D9465EF64D}" name="Column6942"/>
    <tableColumn id="6957" xr3:uid="{76B432E2-F8B7-48E6-ADC0-682C0A2D6C01}" name="Column6943"/>
    <tableColumn id="6958" xr3:uid="{65446310-A512-4355-9E82-DAB5EBA2470B}" name="Column6944"/>
    <tableColumn id="6959" xr3:uid="{578FECE5-53B1-4833-8D9A-21FCC4A55568}" name="Column6945"/>
    <tableColumn id="6960" xr3:uid="{92BB0397-9E20-4986-8012-EC73E0EE6F20}" name="Column6946"/>
    <tableColumn id="6961" xr3:uid="{54A5413A-172C-4038-A6B8-B1AD94CCCF23}" name="Column6947"/>
    <tableColumn id="6962" xr3:uid="{33FA5DD9-608E-4054-86CC-BAAF89D5382B}" name="Column6948"/>
    <tableColumn id="6963" xr3:uid="{60C34F03-6D94-4AC8-B8CA-00F7D71D39A0}" name="Column6949"/>
    <tableColumn id="6964" xr3:uid="{8EAE32D1-8E43-4CA2-875B-690E6D5965C0}" name="Column6950"/>
    <tableColumn id="6965" xr3:uid="{BC924009-3344-4731-987B-58651563AC50}" name="Column6951"/>
    <tableColumn id="6966" xr3:uid="{80BD3978-761C-4F9A-B634-256CAF86727F}" name="Column6952"/>
    <tableColumn id="6967" xr3:uid="{4F28C86F-BEEF-4909-811E-8C325C1895E1}" name="Column6953"/>
    <tableColumn id="6968" xr3:uid="{C42B61E2-9234-4D8A-AC54-EDFBC1597D72}" name="Column6954"/>
    <tableColumn id="6969" xr3:uid="{ECD2118C-198F-499F-B9DC-D155838E54C7}" name="Column6955"/>
    <tableColumn id="6970" xr3:uid="{8061AF1D-D0BF-409F-A63C-AE1C069E8D68}" name="Column6956"/>
    <tableColumn id="6971" xr3:uid="{5F76B26D-C9B5-45E5-ABCC-50EFB08A4492}" name="Column6957"/>
    <tableColumn id="6972" xr3:uid="{C6029B4A-22B9-46BF-9D09-407E3795F626}" name="Column6958"/>
    <tableColumn id="6973" xr3:uid="{DD161A43-7470-42D3-A3DB-6E11F8C60C15}" name="Column6959"/>
    <tableColumn id="6974" xr3:uid="{808D920E-22B3-4412-B8D7-2481A63B7986}" name="Column6960"/>
    <tableColumn id="6975" xr3:uid="{EBA0657F-41F9-4CB8-9C8F-EBE9B422351D}" name="Column6961"/>
    <tableColumn id="6976" xr3:uid="{CAF441AC-6899-4E75-8DD3-8BF283E49DEE}" name="Column6962"/>
    <tableColumn id="6977" xr3:uid="{AF1CEB22-58B2-46C4-9192-6C186B622350}" name="Column6963"/>
    <tableColumn id="6978" xr3:uid="{D8D677B7-0B74-432D-A07E-3654E3DF06F5}" name="Column6964"/>
    <tableColumn id="6979" xr3:uid="{106853FE-18B2-46C2-BAD0-5FD930C1744A}" name="Column6965"/>
    <tableColumn id="6980" xr3:uid="{035DEA1B-FF3C-460A-84F6-CD118D0BF7E1}" name="Column6966"/>
    <tableColumn id="6981" xr3:uid="{6E24A17F-FF68-4A4D-A0CF-EAC46B49CA93}" name="Column6967"/>
    <tableColumn id="6982" xr3:uid="{AF4D08F5-3476-4150-BD86-D61C0CD7F14D}" name="Column6968"/>
    <tableColumn id="6983" xr3:uid="{31ABDDF3-0998-4EB3-BEA0-65A4B73D6823}" name="Column6969"/>
    <tableColumn id="6984" xr3:uid="{91357669-F171-4397-9F72-BCBE51D67AE4}" name="Column6970"/>
    <tableColumn id="6985" xr3:uid="{D0627A10-A280-403C-9380-4CCC175E1F42}" name="Column6971"/>
    <tableColumn id="6986" xr3:uid="{846FA60D-8C99-4A19-82A1-374F978224EB}" name="Column6972"/>
    <tableColumn id="6987" xr3:uid="{65E02C5C-C6C9-4EC8-BCAB-8CF90F93ADAD}" name="Column6973"/>
    <tableColumn id="6988" xr3:uid="{3919EEEF-452F-49A1-B6D4-0FEC97F62755}" name="Column6974"/>
    <tableColumn id="6989" xr3:uid="{BB0A04D3-22C7-4C21-B037-EA0A35497FF7}" name="Column6975"/>
    <tableColumn id="6990" xr3:uid="{4F0BF8CD-BC8D-46D7-A7FC-5FF0C99633C5}" name="Column6976"/>
    <tableColumn id="6991" xr3:uid="{9C5792EB-051D-4465-8F4C-77A00205231F}" name="Column6977"/>
    <tableColumn id="6992" xr3:uid="{F828C3FF-BAE9-4343-AF8D-E5D8E0500390}" name="Column6978"/>
    <tableColumn id="6993" xr3:uid="{C5471C8D-1616-4294-9BC5-BE49B88C74E1}" name="Column6979"/>
    <tableColumn id="6994" xr3:uid="{9C53193B-FFE6-420A-8295-6E8C752418A7}" name="Column6980"/>
    <tableColumn id="6995" xr3:uid="{E923E8B3-7FF5-4166-BC6E-2D1B3A57CF92}" name="Column6981"/>
    <tableColumn id="6996" xr3:uid="{EE09B702-6627-4A6E-A55B-7BB5D794905F}" name="Column6982"/>
    <tableColumn id="6997" xr3:uid="{F26B5F95-CD25-463E-ADEC-9AB25F256D4D}" name="Column6983"/>
    <tableColumn id="6998" xr3:uid="{EA0BEF08-0996-49BC-8DC1-74F08009EE3A}" name="Column6984"/>
    <tableColumn id="6999" xr3:uid="{BBF4B03C-22DE-4D59-BDD8-29E67C66CCC4}" name="Column6985"/>
    <tableColumn id="7000" xr3:uid="{CD125853-751E-4324-8ED3-98E4515509B6}" name="Column6986"/>
    <tableColumn id="7001" xr3:uid="{B6F180F2-5593-4B4E-A38F-CCFEE681F924}" name="Column6987"/>
    <tableColumn id="7002" xr3:uid="{1CE20D9D-1508-4642-8B9C-05261EC2F61E}" name="Column6988"/>
    <tableColumn id="7003" xr3:uid="{6D146964-B7C8-45F8-AD61-A7323B8DEB9D}" name="Column6989"/>
    <tableColumn id="7004" xr3:uid="{EA97A87D-FD6C-4594-880A-30A8542065D8}" name="Column6990"/>
    <tableColumn id="7005" xr3:uid="{177DE0D3-A029-4E37-8F68-5C0C1B6321F8}" name="Column6991"/>
    <tableColumn id="7006" xr3:uid="{87390998-FD12-481C-A5C4-20757E479616}" name="Column6992"/>
    <tableColumn id="7007" xr3:uid="{43EE191D-517F-4C23-906F-FD644B710DC1}" name="Column6993"/>
    <tableColumn id="7008" xr3:uid="{855413F6-D724-440B-B64E-89212DA76CD5}" name="Column6994"/>
    <tableColumn id="7009" xr3:uid="{C0B4A01C-3AB0-43F5-8043-FB5A7D2E9F2D}" name="Column6995"/>
    <tableColumn id="7010" xr3:uid="{958AE86F-15DD-4927-ABBA-E29895B75A72}" name="Column6996"/>
    <tableColumn id="7011" xr3:uid="{DD85269A-DD9D-4EA0-A7D0-628467248CDE}" name="Column6997"/>
    <tableColumn id="7012" xr3:uid="{2F7494AB-C0A8-42C5-8357-962A09BB9704}" name="Column6998"/>
    <tableColumn id="7013" xr3:uid="{7373D0D9-EE79-45E6-9401-33F136A8F5E5}" name="Column6999"/>
    <tableColumn id="7014" xr3:uid="{74E44BDC-26E5-4DFE-ACAB-A831768DD03E}" name="Column7000"/>
    <tableColumn id="7015" xr3:uid="{54257E19-9003-4347-8930-D1FB2A1E14BB}" name="Column7001"/>
    <tableColumn id="7016" xr3:uid="{DE01E696-89E0-4B01-B14B-D08B248A40BA}" name="Column7002"/>
    <tableColumn id="7017" xr3:uid="{0415F2E0-7E14-4FEA-AA38-25082591389C}" name="Column7003"/>
    <tableColumn id="7018" xr3:uid="{FA740FF5-7236-4DF6-988B-14E75E68C96A}" name="Column7004"/>
    <tableColumn id="7019" xr3:uid="{21AE0D72-FE47-4A65-A9CE-5041A3C20EA1}" name="Column7005"/>
    <tableColumn id="7020" xr3:uid="{B0AC38C5-3500-442A-810B-007C30504DF2}" name="Column7006"/>
    <tableColumn id="7021" xr3:uid="{1B744CA5-7E38-4524-86CC-AE906353E52B}" name="Column7007"/>
    <tableColumn id="7022" xr3:uid="{0ECC7ED2-3623-4331-B430-1A0764CA6DAB}" name="Column7008"/>
    <tableColumn id="7023" xr3:uid="{0CFF9C8B-359F-4D59-BEAD-7646ECB0FB18}" name="Column7009"/>
    <tableColumn id="7024" xr3:uid="{860CEC9C-91E8-4F58-AEFA-75EBDF19C8E1}" name="Column7010"/>
    <tableColumn id="7025" xr3:uid="{10E99784-1EC6-4801-9982-EB600C31FE5D}" name="Column7011"/>
    <tableColumn id="7026" xr3:uid="{2D567A30-0B6E-48F4-9131-74B14BFAC882}" name="Column7012"/>
    <tableColumn id="7027" xr3:uid="{DA507DBD-D947-40A7-A5DE-8F9E77488242}" name="Column7013"/>
    <tableColumn id="7028" xr3:uid="{63E737BA-1595-421A-80AA-019E42A729F5}" name="Column7014"/>
    <tableColumn id="7029" xr3:uid="{423C0F32-D664-41F2-9FE1-CA929EBDE75F}" name="Column7015"/>
    <tableColumn id="7030" xr3:uid="{4186DA1C-C164-4F0A-996C-10799B5A11DA}" name="Column7016"/>
    <tableColumn id="7031" xr3:uid="{44C1D2D5-FD73-4877-A425-1B00DEA8B9A7}" name="Column7017"/>
    <tableColumn id="7032" xr3:uid="{662AF338-A4D2-4B07-8631-3605406BAD9B}" name="Column7018"/>
    <tableColumn id="7033" xr3:uid="{968E3C84-3A78-423A-B5C7-E3419C011C11}" name="Column7019"/>
    <tableColumn id="7034" xr3:uid="{13945C97-042A-4678-B68B-4AB6B64A12A6}" name="Column7020"/>
    <tableColumn id="7035" xr3:uid="{392505CA-2CCD-4E96-B8BD-DA0D150A4903}" name="Column7021"/>
    <tableColumn id="7036" xr3:uid="{70A27F9C-DD61-4A54-96BE-6FCD85D6D68E}" name="Column7022"/>
    <tableColumn id="7037" xr3:uid="{82FEA04D-E4AE-41BB-A6AA-B468C340ED25}" name="Column7023"/>
    <tableColumn id="7038" xr3:uid="{F8D6C513-F112-4BA7-ADF2-063BB3239132}" name="Column7024"/>
    <tableColumn id="7039" xr3:uid="{7146F734-FC9E-4E86-A19D-D1F4F2C34C3A}" name="Column7025"/>
    <tableColumn id="7040" xr3:uid="{AA1FA2F7-98EA-4A01-A853-6599F31550F5}" name="Column7026"/>
    <tableColumn id="7041" xr3:uid="{68502DFC-434E-4EF1-96C2-46D7EA661E9C}" name="Column7027"/>
    <tableColumn id="7042" xr3:uid="{13F37B21-1332-4972-AE41-3C1A444FD89B}" name="Column7028"/>
    <tableColumn id="7043" xr3:uid="{236C5A08-4DD7-4CCC-A0DE-1F2D1DFEA812}" name="Column7029"/>
    <tableColumn id="7044" xr3:uid="{AC6A56AF-EA16-49AE-BD12-F32E74188C6F}" name="Column7030"/>
    <tableColumn id="7045" xr3:uid="{956B7E27-C6C8-420E-8BAE-B2121B1C6889}" name="Column7031"/>
    <tableColumn id="7046" xr3:uid="{422882EC-8326-4B95-A3C2-4CE5C68D74EE}" name="Column7032"/>
    <tableColumn id="7047" xr3:uid="{9408452B-65E1-49A4-933E-75957F4FD0CA}" name="Column7033"/>
    <tableColumn id="7048" xr3:uid="{FC660495-4866-4674-AC86-10C4FA3901F2}" name="Column7034"/>
    <tableColumn id="7049" xr3:uid="{FBC38072-43F8-4331-A3BB-B7463F8FE3AB}" name="Column7035"/>
    <tableColumn id="7050" xr3:uid="{924A4976-47BC-45BA-854B-8C658D422DAC}" name="Column7036"/>
    <tableColumn id="7051" xr3:uid="{D2E5714B-2C97-448B-87DC-A4AF970C44E9}" name="Column7037"/>
    <tableColumn id="7052" xr3:uid="{AB4B15C8-56A7-4CC8-9A3D-0EFD52BA971D}" name="Column7038"/>
    <tableColumn id="7053" xr3:uid="{2C91CA5C-D22C-4C88-9E95-3726D3426AED}" name="Column7039"/>
    <tableColumn id="7054" xr3:uid="{2EA96B9A-81B7-4C37-B9A9-0D7F3E7B5E10}" name="Column7040"/>
    <tableColumn id="7055" xr3:uid="{DB034A83-D8CF-454F-812F-2D7EFEA1424D}" name="Column7041"/>
    <tableColumn id="7056" xr3:uid="{67CCFE1B-C7EF-4957-A987-747E7B5FB82B}" name="Column7042"/>
    <tableColumn id="7057" xr3:uid="{512BEEB2-15FE-4CA9-B6E3-C62535E7CEFF}" name="Column7043"/>
    <tableColumn id="7058" xr3:uid="{109E5837-9B0C-4918-8D1F-1D50FAD151FA}" name="Column7044"/>
    <tableColumn id="7059" xr3:uid="{947204DE-BD2D-4839-972D-DC6CB1F47F29}" name="Column7045"/>
    <tableColumn id="7060" xr3:uid="{A1E455D8-DDE1-4FE4-B890-83E5B0579C41}" name="Column7046"/>
    <tableColumn id="7061" xr3:uid="{5ED35B72-AD17-408C-B532-5C1AD13AB5E3}" name="Column7047"/>
    <tableColumn id="7062" xr3:uid="{36E77D06-DDC4-4C30-955B-12760D8E9E26}" name="Column7048"/>
    <tableColumn id="7063" xr3:uid="{CA13D86E-25BD-4A9A-8248-8B52E8E01032}" name="Column7049"/>
    <tableColumn id="7064" xr3:uid="{83DE49E4-1739-49A0-A3BF-C80DEBAF4B33}" name="Column7050"/>
    <tableColumn id="7065" xr3:uid="{E0D84639-3DD3-4FC0-81F2-C0CFA70B0216}" name="Column7051"/>
    <tableColumn id="7066" xr3:uid="{58D5E9A6-1C94-4B1B-AB2E-726A3DCD8732}" name="Column7052"/>
    <tableColumn id="7067" xr3:uid="{8BFB4F9A-D68D-4658-A3E7-3D96F162E814}" name="Column7053"/>
    <tableColumn id="7068" xr3:uid="{BB7CF53B-64CD-436D-9B5A-A15014B0012E}" name="Column7054"/>
    <tableColumn id="7069" xr3:uid="{7ED0AD07-C107-496E-920A-7F1A50C00E3B}" name="Column7055"/>
    <tableColumn id="7070" xr3:uid="{9F8D554F-F3B9-4F3A-AD62-8CFC8E2FD089}" name="Column7056"/>
    <tableColumn id="7071" xr3:uid="{85844785-D238-416A-A420-A35B44ED70F9}" name="Column7057"/>
    <tableColumn id="7072" xr3:uid="{2F9A1AAB-7BB5-450B-B1A5-9663F868B5A2}" name="Column7058"/>
    <tableColumn id="7073" xr3:uid="{9C4A3338-1A26-47A0-97BF-866B909C9D90}" name="Column7059"/>
    <tableColumn id="7074" xr3:uid="{A4F4779C-531F-4526-9401-E01A62808E9B}" name="Column7060"/>
    <tableColumn id="7075" xr3:uid="{0281BCFF-8C8B-420C-82AC-2F0692990FE2}" name="Column7061"/>
    <tableColumn id="7076" xr3:uid="{8AA9F6C1-A643-41DE-B901-95EEC9353027}" name="Column7062"/>
    <tableColumn id="7077" xr3:uid="{903B81AD-D01E-4CFE-ADB0-822D56C24AE7}" name="Column7063"/>
    <tableColumn id="7078" xr3:uid="{18D78EFE-3CB4-4BB9-A9FE-0E214B85D337}" name="Column7064"/>
    <tableColumn id="7079" xr3:uid="{F827EC13-3074-4559-A5B0-D0640310D77A}" name="Column7065"/>
    <tableColumn id="7080" xr3:uid="{F5D85B69-10E9-472F-8BFE-25B76AE0C4A1}" name="Column7066"/>
    <tableColumn id="7081" xr3:uid="{A6813807-22C0-4188-BB31-0A162EDDCB12}" name="Column7067"/>
    <tableColumn id="7082" xr3:uid="{A1B334FC-75CD-4B21-8616-8246EF6F7453}" name="Column7068"/>
    <tableColumn id="7083" xr3:uid="{7158FE4B-50D7-48BF-B478-49952392AF30}" name="Column7069"/>
    <tableColumn id="7084" xr3:uid="{A1254EF5-A8E9-4115-B899-DF251E0CB31A}" name="Column7070"/>
    <tableColumn id="7085" xr3:uid="{76E10490-3425-4F2D-90B0-6B5D865A33D6}" name="Column7071"/>
    <tableColumn id="7086" xr3:uid="{83FB65D2-E3D7-4359-9A95-BEC92B1C7D78}" name="Column7072"/>
    <tableColumn id="7087" xr3:uid="{9A45640D-BCA4-4865-A41A-9E41975C0987}" name="Column7073"/>
    <tableColumn id="7088" xr3:uid="{0E9381AF-5E32-4CCC-A529-2D10DD9088CD}" name="Column7074"/>
    <tableColumn id="7089" xr3:uid="{61BB6F96-D731-4C49-B841-7DF4F15C827B}" name="Column7075"/>
    <tableColumn id="7090" xr3:uid="{6293010E-CF5B-4A58-8D5F-F48D953981B7}" name="Column7076"/>
    <tableColumn id="7091" xr3:uid="{D90044D8-00E8-4512-AC53-187920968A66}" name="Column7077"/>
    <tableColumn id="7092" xr3:uid="{DB5DC72B-2F84-432D-96BD-7F8B16CE0039}" name="Column7078"/>
    <tableColumn id="7093" xr3:uid="{FEC1FBA5-F3B0-4BA0-8011-294D68BA5CE6}" name="Column7079"/>
    <tableColumn id="7094" xr3:uid="{E2633D6A-DA7A-4765-BA0E-22AFD9D6241E}" name="Column7080"/>
    <tableColumn id="7095" xr3:uid="{D8A19D1F-A2C0-4229-82F3-28669894F2FE}" name="Column7081"/>
    <tableColumn id="7096" xr3:uid="{CF4AE20F-2AA9-42C0-919A-1E93DB6020E2}" name="Column7082"/>
    <tableColumn id="7097" xr3:uid="{48550888-F657-400C-A239-463330B26386}" name="Column7083"/>
    <tableColumn id="7098" xr3:uid="{CE5522CC-9E7A-4BEA-933F-80F294A69F2F}" name="Column7084"/>
    <tableColumn id="7099" xr3:uid="{BB8BFCAE-8A47-4324-970B-0C1330E128F8}" name="Column7085"/>
    <tableColumn id="7100" xr3:uid="{E218F262-DC1C-4C9D-86D0-4253DD43A208}" name="Column7086"/>
    <tableColumn id="7101" xr3:uid="{767C18E0-9426-4417-A221-80CAE014E0AE}" name="Column7087"/>
    <tableColumn id="7102" xr3:uid="{0819657A-6E46-4FB2-8D26-53EF4C445FB1}" name="Column7088"/>
    <tableColumn id="7103" xr3:uid="{7F0ECBAD-0BA7-440D-B848-A05BF5D8D2EF}" name="Column7089"/>
    <tableColumn id="7104" xr3:uid="{E4380AE0-FEA9-4775-AC75-901AF8E18B1C}" name="Column7090"/>
    <tableColumn id="7105" xr3:uid="{D9C9B185-6F08-4729-BAC4-8E8DCB7B3658}" name="Column7091"/>
    <tableColumn id="7106" xr3:uid="{AC56E7D7-D074-4D86-8358-3D57253C589F}" name="Column7092"/>
    <tableColumn id="7107" xr3:uid="{0F3A89D3-4462-4009-BDE8-7AE98EAE5D5F}" name="Column7093"/>
    <tableColumn id="7108" xr3:uid="{B0EA3CF2-263B-4496-B286-BE86EAB26D82}" name="Column7094"/>
    <tableColumn id="7109" xr3:uid="{02591ED0-40A1-4CA9-A1CF-47060B7827C2}" name="Column7095"/>
    <tableColumn id="7110" xr3:uid="{DC124958-1662-4D7F-91BF-4EB7C6842A67}" name="Column7096"/>
    <tableColumn id="7111" xr3:uid="{14AA1819-A49E-4541-8955-1EAA186CCA76}" name="Column7097"/>
    <tableColumn id="7112" xr3:uid="{37668D30-3B47-408F-A2D3-39043336E955}" name="Column7098"/>
    <tableColumn id="7113" xr3:uid="{5EB47D50-2DE8-4C43-BD7B-C4280D5271D3}" name="Column7099"/>
    <tableColumn id="7114" xr3:uid="{D1705FE9-C2A6-44ED-845E-4FF938FBDFF4}" name="Column7100"/>
    <tableColumn id="7115" xr3:uid="{075349EB-037F-44D7-8273-1C6B05F338AD}" name="Column7101"/>
    <tableColumn id="7116" xr3:uid="{0F8494EB-6115-4B10-A6E5-B0C20537BF24}" name="Column7102"/>
    <tableColumn id="7117" xr3:uid="{7D89CBA5-CBD4-4565-94CE-2568502CD6AF}" name="Column7103"/>
    <tableColumn id="7118" xr3:uid="{5C1BA849-6676-4CA9-823D-92CEB7BB8061}" name="Column7104"/>
    <tableColumn id="7119" xr3:uid="{FD1D8BAC-B5F8-45E4-8BC9-E8BF25CD70C0}" name="Column7105"/>
    <tableColumn id="7120" xr3:uid="{620594CD-7756-41AB-9D4E-85AE5DBA54DE}" name="Column7106"/>
    <tableColumn id="7121" xr3:uid="{9C3FA718-CAB0-4FAC-8F45-FFEB55E4BADF}" name="Column7107"/>
    <tableColumn id="7122" xr3:uid="{425E2492-AF8A-408F-A245-08B412808C25}" name="Column7108"/>
    <tableColumn id="7123" xr3:uid="{F07FFAB5-0F31-4115-B5C5-F41B730DA3CB}" name="Column7109"/>
    <tableColumn id="7124" xr3:uid="{06622B71-545C-4109-87AC-3781A8999C99}" name="Column7110"/>
    <tableColumn id="7125" xr3:uid="{77C1EB98-08B0-4972-B887-209F41F09665}" name="Column7111"/>
    <tableColumn id="7126" xr3:uid="{388F6FA0-FE34-48E5-BAB0-AB0A60EDC64A}" name="Column7112"/>
    <tableColumn id="7127" xr3:uid="{67DC645B-C63A-4062-8A67-0C30D800921F}" name="Column7113"/>
    <tableColumn id="7128" xr3:uid="{18CABE1A-A6DA-4BE8-8464-7D81596FCD49}" name="Column7114"/>
    <tableColumn id="7129" xr3:uid="{280276F7-8442-4C56-80CD-EE0F156D4F3D}" name="Column7115"/>
    <tableColumn id="7130" xr3:uid="{C24C98DF-1423-44FD-AA42-3F36054D3583}" name="Column7116"/>
    <tableColumn id="7131" xr3:uid="{4314D90D-8856-499C-B4BB-74374F02ED29}" name="Column7117"/>
    <tableColumn id="7132" xr3:uid="{B3F9D624-385E-4D00-A2BC-FBA8633CA77D}" name="Column7118"/>
    <tableColumn id="7133" xr3:uid="{741AB81D-C6AC-4887-AA1D-E8017DFDE738}" name="Column7119"/>
    <tableColumn id="7134" xr3:uid="{2707BDE8-DFE2-4D20-893A-EF0C5F09C3C0}" name="Column7120"/>
    <tableColumn id="7135" xr3:uid="{A7CB7F31-2638-4A34-AD1F-2CFF0D20CD8F}" name="Column7121"/>
    <tableColumn id="7136" xr3:uid="{92105341-5430-4B31-8446-71218F3185DF}" name="Column7122"/>
    <tableColumn id="7137" xr3:uid="{CAB31807-46A4-438E-BE58-F086D0A277C0}" name="Column7123"/>
    <tableColumn id="7138" xr3:uid="{4A1A6576-8C69-4C0F-B848-47BC02804A0D}" name="Column7124"/>
    <tableColumn id="7139" xr3:uid="{F555D2C1-97C5-4C87-A1F5-991301492A89}" name="Column7125"/>
    <tableColumn id="7140" xr3:uid="{CBEFD503-8DDE-4723-8158-548E4A67CCDA}" name="Column7126"/>
    <tableColumn id="7141" xr3:uid="{916CC8D8-0C5E-482B-BC06-19146C735F29}" name="Column7127"/>
    <tableColumn id="7142" xr3:uid="{DF2B88C4-C8B9-4345-A721-F157D3DDA152}" name="Column7128"/>
    <tableColumn id="7143" xr3:uid="{88FB8FD0-88CA-447F-988D-B9043EACE731}" name="Column7129"/>
    <tableColumn id="7144" xr3:uid="{72881F4D-F002-461A-A985-14CDF325F436}" name="Column7130"/>
    <tableColumn id="7145" xr3:uid="{2E0AAA5B-DCBD-44B0-BFE7-305047836271}" name="Column7131"/>
    <tableColumn id="7146" xr3:uid="{2ED38BE1-01C4-4DFC-8D15-DB67F582B6E2}" name="Column7132"/>
    <tableColumn id="7147" xr3:uid="{D66A7D73-AD68-4DC9-AC45-BDA54D109185}" name="Column7133"/>
    <tableColumn id="7148" xr3:uid="{7DFCA514-327E-484B-BF32-7D7F58619F7B}" name="Column7134"/>
    <tableColumn id="7149" xr3:uid="{B7489DD3-244D-409D-8FEC-EA35CD96FDF7}" name="Column7135"/>
    <tableColumn id="7150" xr3:uid="{80B86FFA-CB7E-4116-931B-F360B7104F76}" name="Column7136"/>
    <tableColumn id="7151" xr3:uid="{2F968A95-79A0-4A9F-B887-FA10CF060FBD}" name="Column7137"/>
    <tableColumn id="7152" xr3:uid="{764455AB-8C70-46F2-8991-D62652EFBE37}" name="Column7138"/>
    <tableColumn id="7153" xr3:uid="{9B4EF3FD-69EF-4156-99EE-C34DF74BF9E9}" name="Column7139"/>
    <tableColumn id="7154" xr3:uid="{EB3BAB06-BA64-4774-AA44-A8DE31741D1E}" name="Column7140"/>
    <tableColumn id="7155" xr3:uid="{DBB33CD2-D8EE-4490-BDFE-1239E64A4F4A}" name="Column7141"/>
    <tableColumn id="7156" xr3:uid="{10BB51B5-E7AF-439B-81A2-5B830D6F2940}" name="Column7142"/>
    <tableColumn id="7157" xr3:uid="{27AD868F-2916-4CF4-AC93-A5AC5A3D8988}" name="Column7143"/>
    <tableColumn id="7158" xr3:uid="{091C4CC7-022A-42EF-8B11-89F186204E6E}" name="Column7144"/>
    <tableColumn id="7159" xr3:uid="{C256FF5E-90DB-4CAC-B7E8-5E08449DF7C9}" name="Column7145"/>
    <tableColumn id="7160" xr3:uid="{1B7ADF1E-2BA3-4EC7-AE50-57755772EB5A}" name="Column7146"/>
    <tableColumn id="7161" xr3:uid="{71DEA881-7A2B-49DF-A8F6-BDAE8F0E7084}" name="Column7147"/>
    <tableColumn id="7162" xr3:uid="{03CE08ED-A671-4515-A261-3D82E816A689}" name="Column7148"/>
    <tableColumn id="7163" xr3:uid="{7AAF88C2-E319-4D6B-A586-DF2D87646BCB}" name="Column7149"/>
    <tableColumn id="7164" xr3:uid="{C1EF497F-4B82-4019-8B4B-D5F05468747C}" name="Column7150"/>
    <tableColumn id="7165" xr3:uid="{38FDB4D9-D088-4938-BBF5-1E5A7F49491A}" name="Column7151"/>
    <tableColumn id="7166" xr3:uid="{20CCDB7F-D74E-45B6-B976-FACF28021833}" name="Column7152"/>
    <tableColumn id="7167" xr3:uid="{2CFF434B-9C66-4A61-82F7-1E5D35765C01}" name="Column7153"/>
    <tableColumn id="7168" xr3:uid="{70CA01A3-3845-44AE-A78E-3A076864CC42}" name="Column7154"/>
    <tableColumn id="7169" xr3:uid="{09CD9FF3-4DC4-4B7C-872A-089F72433C8E}" name="Column7155"/>
    <tableColumn id="7170" xr3:uid="{032DA12C-E6D1-4071-8AC8-9B77E31D838E}" name="Column7156"/>
    <tableColumn id="7171" xr3:uid="{81F7CB65-58B3-4A3E-8248-EB50E6FDB05E}" name="Column7157"/>
    <tableColumn id="7172" xr3:uid="{5D46B6DE-16E0-4ED0-AF0A-A25E0CA5FF6C}" name="Column7158"/>
    <tableColumn id="7173" xr3:uid="{CE8CACFE-4DA1-42CA-8975-B057118D018D}" name="Column7159"/>
    <tableColumn id="7174" xr3:uid="{F6825DA6-8A34-44C7-9037-993E13744F50}" name="Column7160"/>
    <tableColumn id="7175" xr3:uid="{FD06B729-80AD-4365-98CD-09EEAFEEC644}" name="Column7161"/>
    <tableColumn id="7176" xr3:uid="{9946D34F-DA3F-433B-8A76-DD4B12FDFC4A}" name="Column7162"/>
    <tableColumn id="7177" xr3:uid="{F7ABD247-37F1-46A5-AC25-63F0BBCCCE3D}" name="Column7163"/>
    <tableColumn id="7178" xr3:uid="{5C916B34-F6AF-49CA-B749-CB52C6FC68DB}" name="Column7164"/>
    <tableColumn id="7179" xr3:uid="{353A24E0-E23F-4A47-AB3E-5C69378F872A}" name="Column7165"/>
    <tableColumn id="7180" xr3:uid="{A86F8191-A3F2-4DDA-9110-4F82D45036F5}" name="Column7166"/>
    <tableColumn id="7181" xr3:uid="{BE9FCA86-640E-495D-8E1A-91CFD50246C7}" name="Column7167"/>
    <tableColumn id="7182" xr3:uid="{24381958-237C-4F66-A076-59BA97760CE6}" name="Column7168"/>
    <tableColumn id="7183" xr3:uid="{F209D187-684D-43BD-A677-141251CD70B8}" name="Column7169"/>
    <tableColumn id="7184" xr3:uid="{15AB8CA0-30B0-47A1-89AE-29124BA79491}" name="Column7170"/>
    <tableColumn id="7185" xr3:uid="{BA3571E7-309D-4E21-82EB-5D68D599E85C}" name="Column7171"/>
    <tableColumn id="7186" xr3:uid="{08B93529-8DB6-4F67-922F-74A86FC45F58}" name="Column7172"/>
    <tableColumn id="7187" xr3:uid="{2740F9DA-6A0C-4D4F-8B42-D461EA2EDFF2}" name="Column7173"/>
    <tableColumn id="7188" xr3:uid="{890DA089-F4EA-4500-9C8F-9FDB2F727E44}" name="Column7174"/>
    <tableColumn id="7189" xr3:uid="{5F785840-82AB-4295-8287-9779312CFA38}" name="Column7175"/>
    <tableColumn id="7190" xr3:uid="{84905D8A-0CDB-4CCE-BEF9-3950771053B7}" name="Column7176"/>
    <tableColumn id="7191" xr3:uid="{935DD484-2C43-4AEC-870B-89EAB71A2D65}" name="Column7177"/>
    <tableColumn id="7192" xr3:uid="{43D04D7F-0FF7-4B76-A04E-D80430FA4802}" name="Column7178"/>
    <tableColumn id="7193" xr3:uid="{C07CFC72-3848-45F0-A7FC-EBF3EF35AE9A}" name="Column7179"/>
    <tableColumn id="7194" xr3:uid="{8C43242C-C03A-4E98-9509-753B721C808A}" name="Column7180"/>
    <tableColumn id="7195" xr3:uid="{DF29C78B-B726-47DC-A42D-DE5E4B260F4F}" name="Column7181"/>
    <tableColumn id="7196" xr3:uid="{9402100F-5B50-41B5-9226-BF96C80F6ED8}" name="Column7182"/>
    <tableColumn id="7197" xr3:uid="{2F270D60-8E54-48DE-89F9-F00940A7B8F0}" name="Column7183"/>
    <tableColumn id="7198" xr3:uid="{8A92EF55-1EF2-4185-8700-828D829833AE}" name="Column7184"/>
    <tableColumn id="7199" xr3:uid="{2F1217F9-4ACA-46A9-BFB3-BABC6446C5E3}" name="Column7185"/>
    <tableColumn id="7200" xr3:uid="{09007E86-A915-4670-99A8-67376E591A4B}" name="Column7186"/>
    <tableColumn id="7201" xr3:uid="{987251C3-7096-4201-B946-75910D67FB0F}" name="Column7187"/>
    <tableColumn id="7202" xr3:uid="{787A8F67-9795-4604-A545-D207FE20240B}" name="Column7188"/>
    <tableColumn id="7203" xr3:uid="{82C81D08-4121-4775-A51C-F196BCAE33F6}" name="Column7189"/>
    <tableColumn id="7204" xr3:uid="{E2038E80-E2D7-41F3-B635-70FCC874C7A1}" name="Column7190"/>
    <tableColumn id="7205" xr3:uid="{94EF1A90-DF8F-441D-B998-C2380A5DFE92}" name="Column7191"/>
    <tableColumn id="7206" xr3:uid="{4FE5C6B7-1701-454D-925C-06568721E174}" name="Column7192"/>
    <tableColumn id="7207" xr3:uid="{8B4EC955-2D06-4BA4-9D98-56573F02D7E6}" name="Column7193"/>
    <tableColumn id="7208" xr3:uid="{0670D582-B154-4778-89BB-EF8219AE7C5A}" name="Column7194"/>
    <tableColumn id="7209" xr3:uid="{87F7F02E-483F-404D-AF9D-8661EE31ED9F}" name="Column7195"/>
    <tableColumn id="7210" xr3:uid="{D8F08841-C7A0-43B4-8C0B-FD315C373CB9}" name="Column7196"/>
    <tableColumn id="7211" xr3:uid="{33D904F9-6CD3-487E-BA83-5089BC6E3316}" name="Column7197"/>
    <tableColumn id="7212" xr3:uid="{CA82C532-386A-4D04-A576-5A61175449AA}" name="Column7198"/>
    <tableColumn id="7213" xr3:uid="{8DE3A0C8-DCA5-4C1E-966D-8EE269A734FC}" name="Column7199"/>
    <tableColumn id="7214" xr3:uid="{C1E85BC6-793D-4185-B448-17E8018B08EC}" name="Column7200"/>
    <tableColumn id="7215" xr3:uid="{EA6EBE2F-563C-4F8E-8106-167776DA3C69}" name="Column7201"/>
    <tableColumn id="7216" xr3:uid="{4CD91C71-A304-4E01-87CC-4ACFC1300E92}" name="Column7202"/>
    <tableColumn id="7217" xr3:uid="{757E2C32-192F-4339-B7ED-109219A87AB0}" name="Column7203"/>
    <tableColumn id="7218" xr3:uid="{75B2C2C7-06A0-4738-B216-3070ABC399B3}" name="Column7204"/>
    <tableColumn id="7219" xr3:uid="{069BF4F8-00B6-4E0A-BE2F-D2768029C984}" name="Column7205"/>
    <tableColumn id="7220" xr3:uid="{D12D8297-C068-46D1-9B6E-1842A06FCB63}" name="Column7206"/>
    <tableColumn id="7221" xr3:uid="{61593AA0-B2B5-429D-A717-B8B44991A715}" name="Column7207"/>
    <tableColumn id="7222" xr3:uid="{EC944D70-EA4F-4AEE-A9C3-0B13905B86A1}" name="Column7208"/>
    <tableColumn id="7223" xr3:uid="{17E31A3C-5B36-407F-9749-CC5FA4299A27}" name="Column7209"/>
    <tableColumn id="7224" xr3:uid="{99FD5202-B037-4182-81E8-33C499F355E5}" name="Column7210"/>
    <tableColumn id="7225" xr3:uid="{381F260D-62BF-4EFD-B597-9DDE6D50BC3A}" name="Column7211"/>
    <tableColumn id="7226" xr3:uid="{D2076429-D679-44AD-B49B-6DEF2850AE07}" name="Column7212"/>
    <tableColumn id="7227" xr3:uid="{CC4AD3AD-8EAE-45FB-BDAB-F767924A4DD1}" name="Column7213"/>
    <tableColumn id="7228" xr3:uid="{A5EAE473-9271-4CCE-BC04-6AA6A8B92AEB}" name="Column7214"/>
    <tableColumn id="7229" xr3:uid="{D16C4EEF-6A42-401F-B3EE-2FE40A472D8C}" name="Column7215"/>
    <tableColumn id="7230" xr3:uid="{F9B9DFB8-5755-4884-BCA9-1A9FA503A709}" name="Column7216"/>
    <tableColumn id="7231" xr3:uid="{B15C7A81-52AE-448C-BE67-5B49AC5BD1B4}" name="Column7217"/>
    <tableColumn id="7232" xr3:uid="{EA9F0834-DF2E-4826-86FF-5908630D0C60}" name="Column7218"/>
    <tableColumn id="7233" xr3:uid="{518D955E-DEA1-4112-9930-5FBB6DB9212B}" name="Column7219"/>
    <tableColumn id="7234" xr3:uid="{7E7ED7C7-8222-4BD5-AF23-2E6C62C777F1}" name="Column7220"/>
    <tableColumn id="7235" xr3:uid="{DF2181F2-C05E-4E76-927E-587ACB04DC28}" name="Column7221"/>
    <tableColumn id="7236" xr3:uid="{78E6A0A5-A4B9-4C21-93B3-CCCC41339810}" name="Column7222"/>
    <tableColumn id="7237" xr3:uid="{A3966D41-8675-40F1-8F95-6E74131A74B7}" name="Column7223"/>
    <tableColumn id="7238" xr3:uid="{4FEE5C6F-E15D-4F8C-9F7E-61F4EDFFAF80}" name="Column7224"/>
    <tableColumn id="7239" xr3:uid="{455808F5-975B-4A3D-BA93-37DAD767F509}" name="Column7225"/>
    <tableColumn id="7240" xr3:uid="{71112CD6-7ACC-4846-998B-0A457A928CAA}" name="Column7226"/>
    <tableColumn id="7241" xr3:uid="{83DE4F39-10D4-4C71-9B5E-A9AE63F6D68D}" name="Column7227"/>
    <tableColumn id="7242" xr3:uid="{C10C1264-BFBC-4794-A8A2-A65679EC02DA}" name="Column7228"/>
    <tableColumn id="7243" xr3:uid="{8F3653B7-2881-44BD-A78E-C4D5F9FF6743}" name="Column7229"/>
    <tableColumn id="7244" xr3:uid="{38354E93-4B4D-4176-85D4-78453692542B}" name="Column7230"/>
    <tableColumn id="7245" xr3:uid="{62346E1B-E48A-445A-95FA-37F473424027}" name="Column7231"/>
    <tableColumn id="7246" xr3:uid="{EEC7A48A-893C-4DBA-BC2C-A8BCC2BD8348}" name="Column7232"/>
    <tableColumn id="7247" xr3:uid="{0109F7A7-C394-4FCD-B0B7-C16DB1C9CFDC}" name="Column7233"/>
    <tableColumn id="7248" xr3:uid="{3410E4B8-7636-4255-86C7-A6E5AAAAEF97}" name="Column7234"/>
    <tableColumn id="7249" xr3:uid="{B06FF64C-5091-4047-8F73-F658B5FAD009}" name="Column7235"/>
    <tableColumn id="7250" xr3:uid="{BCB04669-E187-4889-B8FE-7A677DDC701A}" name="Column7236"/>
    <tableColumn id="7251" xr3:uid="{895DFB63-E531-44A5-8551-CA001655FE8B}" name="Column7237"/>
    <tableColumn id="7252" xr3:uid="{74F599EF-F029-4795-91DD-E588DB81A64A}" name="Column7238"/>
    <tableColumn id="7253" xr3:uid="{73E44468-AEB8-4E50-BA0C-E1E054BB7432}" name="Column7239"/>
    <tableColumn id="7254" xr3:uid="{6B3A2A0A-DFF9-41FC-9776-1BE023DB27EA}" name="Column7240"/>
    <tableColumn id="7255" xr3:uid="{A19A085A-2A53-450A-99A8-5F12A016F512}" name="Column7241"/>
    <tableColumn id="7256" xr3:uid="{F4345823-7CD9-4F53-9F8F-3ADB122E9E4A}" name="Column7242"/>
    <tableColumn id="7257" xr3:uid="{BFF6FD51-5172-4EE6-9253-3EEB9AC40E55}" name="Column7243"/>
    <tableColumn id="7258" xr3:uid="{870CE627-3FE4-458F-BF49-94CF99544C67}" name="Column7244"/>
    <tableColumn id="7259" xr3:uid="{59B74EA8-EC02-4C27-A78A-7860A7F0CF49}" name="Column7245"/>
    <tableColumn id="7260" xr3:uid="{618F8725-9AFB-4D35-9CC2-FBB8CE92A9A7}" name="Column7246"/>
    <tableColumn id="7261" xr3:uid="{8D5134D0-9EC8-4039-872D-0A53C415C54E}" name="Column7247"/>
    <tableColumn id="7262" xr3:uid="{E60B3746-9404-4448-9987-0B9C5BF32D22}" name="Column7248"/>
    <tableColumn id="7263" xr3:uid="{EF4C9C69-D8CA-4470-BF49-7B38A963E760}" name="Column7249"/>
    <tableColumn id="7264" xr3:uid="{241D138F-6D53-4BB8-AB33-66DC9ADADC56}" name="Column7250"/>
    <tableColumn id="7265" xr3:uid="{767D340D-A48E-442D-B27F-8072835B2B27}" name="Column7251"/>
    <tableColumn id="7266" xr3:uid="{65F04790-1E97-45AF-90F9-4291A909759A}" name="Column7252"/>
    <tableColumn id="7267" xr3:uid="{DD1CA129-27F2-4011-90B6-07AC26229138}" name="Column7253"/>
    <tableColumn id="7268" xr3:uid="{792CF7B2-DF02-4D1B-950E-16B13FBE0EE1}" name="Column7254"/>
    <tableColumn id="7269" xr3:uid="{BCFC61C8-6C7C-4B00-82C8-4E0F6EDDB36F}" name="Column7255"/>
    <tableColumn id="7270" xr3:uid="{B998ED5F-BBAE-47EE-AC65-A81EE5E1F501}" name="Column7256"/>
    <tableColumn id="7271" xr3:uid="{4290AC6F-5A9A-447A-AC75-6D623388732A}" name="Column7257"/>
    <tableColumn id="7272" xr3:uid="{1F5B4A8A-15EF-4D36-8257-BE07E265E28A}" name="Column7258"/>
    <tableColumn id="7273" xr3:uid="{7E4037D6-F3E0-4018-8781-70CB483BF4F2}" name="Column7259"/>
    <tableColumn id="7274" xr3:uid="{AA30E757-F3C0-420C-B32B-E577B9A47ED7}" name="Column7260"/>
    <tableColumn id="7275" xr3:uid="{F8098D23-CA2C-403C-BCA9-5517D8E13FEA}" name="Column7261"/>
    <tableColumn id="7276" xr3:uid="{7518BE8E-DFEF-48C9-B2D3-900CFB52CCEB}" name="Column7262"/>
    <tableColumn id="7277" xr3:uid="{E1FE006C-6DA3-468F-B3F3-7796091A7AF1}" name="Column7263"/>
    <tableColumn id="7278" xr3:uid="{3D4DE01C-5CAF-48F6-965E-E862162B647B}" name="Column7264"/>
    <tableColumn id="7279" xr3:uid="{085D6F41-D7D9-415B-9EF6-063BA413B8FA}" name="Column7265"/>
    <tableColumn id="7280" xr3:uid="{35E3A2B3-B8C0-49F8-86F5-998F0F937979}" name="Column7266"/>
    <tableColumn id="7281" xr3:uid="{3E438993-232B-4586-AB0A-A82B06049CA2}" name="Column7267"/>
    <tableColumn id="7282" xr3:uid="{9A2022C9-C9A6-4933-889C-FA516CA92B3C}" name="Column7268"/>
    <tableColumn id="7283" xr3:uid="{87CCCD79-15CD-4D0F-99D4-C4F47A0A02F8}" name="Column7269"/>
    <tableColumn id="7284" xr3:uid="{9DDDE8DF-09DA-4CAC-9E8E-2CE0EC493B4B}" name="Column7270"/>
    <tableColumn id="7285" xr3:uid="{685C3AB8-547C-4B7B-8A0A-00C18D6F92A1}" name="Column7271"/>
    <tableColumn id="7286" xr3:uid="{A65E5460-12F3-4C4D-9615-14DA0C8193A5}" name="Column7272"/>
    <tableColumn id="7287" xr3:uid="{31BE8ABE-0DD5-49D7-BC23-81FD2A5CC036}" name="Column7273"/>
    <tableColumn id="7288" xr3:uid="{2BC6EED5-466D-4072-B085-1E930B0690EF}" name="Column7274"/>
    <tableColumn id="7289" xr3:uid="{0F8C07E7-CDE8-4E12-B87E-B60407B83A27}" name="Column7275"/>
    <tableColumn id="7290" xr3:uid="{82BC9E52-B600-4310-9952-1CCA9DA46598}" name="Column7276"/>
    <tableColumn id="7291" xr3:uid="{CEC4D8C0-64C2-45EE-A00C-6BF163FE097D}" name="Column7277"/>
    <tableColumn id="7292" xr3:uid="{70D18613-9844-4E7B-B02A-F93002D2398C}" name="Column7278"/>
    <tableColumn id="7293" xr3:uid="{33B7F1A3-55F5-45BE-9494-5EAFED3100D5}" name="Column7279"/>
    <tableColumn id="7294" xr3:uid="{6204AA8D-B173-438A-9ABF-9A81AA29AF41}" name="Column7280"/>
    <tableColumn id="7295" xr3:uid="{13448D05-F86E-4D84-9AF4-4D9E4CD3D7B2}" name="Column7281"/>
    <tableColumn id="7296" xr3:uid="{33C2832F-3C38-44D8-AE0F-35227155F7F5}" name="Column7282"/>
    <tableColumn id="7297" xr3:uid="{1126C636-B87B-4430-9618-939E5CD7F19B}" name="Column7283"/>
    <tableColumn id="7298" xr3:uid="{179F309D-0FB5-4D16-AD0F-35DBBA9329B8}" name="Column7284"/>
    <tableColumn id="7299" xr3:uid="{F502368E-84C4-43BF-90F4-29179EAC2EDD}" name="Column7285"/>
    <tableColumn id="7300" xr3:uid="{61BF771A-59F7-4177-BC30-8FB6461B6539}" name="Column7286"/>
    <tableColumn id="7301" xr3:uid="{E31D75FF-12D8-4E9D-9161-70B98E8986ED}" name="Column7287"/>
    <tableColumn id="7302" xr3:uid="{0D1CFB4B-0B27-41F2-AFAE-F64F34902801}" name="Column7288"/>
    <tableColumn id="7303" xr3:uid="{4FB135CC-0FDF-4E2C-917D-90241C355E0A}" name="Column7289"/>
    <tableColumn id="7304" xr3:uid="{4A5224A6-EE3B-465C-9F3A-E6FB9FB31DCD}" name="Column7290"/>
    <tableColumn id="7305" xr3:uid="{4151827B-33B4-482C-904B-932916880DC9}" name="Column7291"/>
    <tableColumn id="7306" xr3:uid="{4968BC21-DDA7-402B-AF05-44039A282579}" name="Column7292"/>
    <tableColumn id="7307" xr3:uid="{5EB6ED8E-9BC2-4917-A492-63B5F6E4D6C0}" name="Column7293"/>
    <tableColumn id="7308" xr3:uid="{E57D8756-E1A6-4320-92BF-5823989978AA}" name="Column7294"/>
    <tableColumn id="7309" xr3:uid="{2C6C2B37-AF08-4882-9CCA-BA462927A981}" name="Column7295"/>
    <tableColumn id="7310" xr3:uid="{273360E1-62D0-43D1-8BC8-07610751CCFF}" name="Column7296"/>
    <tableColumn id="7311" xr3:uid="{625ECAC3-2667-4A23-9BEA-0B040397C0DA}" name="Column7297"/>
    <tableColumn id="7312" xr3:uid="{5CB032B2-4FB6-450E-98EB-1D31A4BBD26C}" name="Column7298"/>
    <tableColumn id="7313" xr3:uid="{0C37B5F0-CE35-4A4B-A93F-77A8E60DBDA5}" name="Column7299"/>
    <tableColumn id="7314" xr3:uid="{8962B824-4FB3-45C0-B2D1-1012CF81B059}" name="Column7300"/>
    <tableColumn id="7315" xr3:uid="{D878696F-F1DD-4205-9538-3CD84E43F212}" name="Column7301"/>
    <tableColumn id="7316" xr3:uid="{2588E039-B8EC-4DA0-9B1B-2B2B9843BC95}" name="Column7302"/>
    <tableColumn id="7317" xr3:uid="{60232EC5-7369-4BE5-9B23-D654670083C3}" name="Column7303"/>
    <tableColumn id="7318" xr3:uid="{D7EC2C57-98B7-4B15-9146-62950E5EA37C}" name="Column7304"/>
    <tableColumn id="7319" xr3:uid="{9831F9A7-FF5F-4451-B3BF-508ADF995A53}" name="Column7305"/>
    <tableColumn id="7320" xr3:uid="{A05D5F42-043C-420E-92B2-D513FEFFF2C0}" name="Column7306"/>
    <tableColumn id="7321" xr3:uid="{A565B2E7-1C3C-4907-9226-57DB533D9EE1}" name="Column7307"/>
    <tableColumn id="7322" xr3:uid="{22223C79-6DEF-447C-9241-C07178CA2631}" name="Column7308"/>
    <tableColumn id="7323" xr3:uid="{CABF923B-985B-4BF9-8F8A-80FBBBE8C75A}" name="Column7309"/>
    <tableColumn id="7324" xr3:uid="{97F5F9F5-A935-4EE8-9158-6957DC712969}" name="Column7310"/>
    <tableColumn id="7325" xr3:uid="{B3D17593-609D-4ED5-AD7B-D259CB57B324}" name="Column7311"/>
    <tableColumn id="7326" xr3:uid="{0B8D3417-7407-44C7-A02D-F24E169D1DDE}" name="Column7312"/>
    <tableColumn id="7327" xr3:uid="{992328E2-F081-4BCD-BF1E-DB56715C0872}" name="Column7313"/>
    <tableColumn id="7328" xr3:uid="{A524CDC3-4EEB-46AD-8A58-DA1BC078D1EC}" name="Column7314"/>
    <tableColumn id="7329" xr3:uid="{0975DFED-FBA4-49A8-9E69-F4F6F2072190}" name="Column7315"/>
    <tableColumn id="7330" xr3:uid="{7850C3F4-EC91-4E50-BEBC-98DBEBE5E553}" name="Column7316"/>
    <tableColumn id="7331" xr3:uid="{26110209-87A9-4C06-8F67-E003A736DCE4}" name="Column7317"/>
    <tableColumn id="7332" xr3:uid="{18B17915-996B-4416-8213-E9F71ED0DD62}" name="Column7318"/>
    <tableColumn id="7333" xr3:uid="{9A9C691A-A137-446D-AF15-4BBFA364386D}" name="Column7319"/>
    <tableColumn id="7334" xr3:uid="{03A02D15-D379-4FC1-9FCF-20FA25D5C265}" name="Column7320"/>
    <tableColumn id="7335" xr3:uid="{42391DFE-38D8-4C44-AC56-DDA0DA53E02A}" name="Column7321"/>
    <tableColumn id="7336" xr3:uid="{913143BC-DB53-4D48-8C01-3F229F9775DF}" name="Column7322"/>
    <tableColumn id="7337" xr3:uid="{1B207BA3-8198-490F-8553-80A7148D7CCC}" name="Column7323"/>
    <tableColumn id="7338" xr3:uid="{D302E73E-CE07-4B44-8906-2FBBF23DF1FC}" name="Column7324"/>
    <tableColumn id="7339" xr3:uid="{ADCA4C1A-5226-4071-B8E7-CC126FA85ABB}" name="Column7325"/>
    <tableColumn id="7340" xr3:uid="{C6BB20D5-EC67-49AA-80AC-756999318D5D}" name="Column7326"/>
    <tableColumn id="7341" xr3:uid="{302184A3-340A-469D-A6DD-0FEABCB03AE3}" name="Column7327"/>
    <tableColumn id="7342" xr3:uid="{6508557E-5FFB-428D-8097-EECADF900234}" name="Column7328"/>
    <tableColumn id="7343" xr3:uid="{F9F8DF19-A2BC-4BE8-AFE7-BF3FCB96CD3A}" name="Column7329"/>
    <tableColumn id="7344" xr3:uid="{5616ED85-F847-4747-BFA5-D704BBA33F49}" name="Column7330"/>
    <tableColumn id="7345" xr3:uid="{68D8AD15-FC01-49F1-92FA-83B4A9687B0C}" name="Column7331"/>
    <tableColumn id="7346" xr3:uid="{2C2DD70C-2111-42A9-A43E-00BE6ED5D968}" name="Column7332"/>
    <tableColumn id="7347" xr3:uid="{A804DEF6-3BF1-4756-A132-BD0BC76AAAF7}" name="Column7333"/>
    <tableColumn id="7348" xr3:uid="{027392D4-B566-4E67-99CB-96B88BD68695}" name="Column7334"/>
    <tableColumn id="7349" xr3:uid="{014AD0AE-9E1E-4471-881A-5E3F692C05AD}" name="Column7335"/>
    <tableColumn id="7350" xr3:uid="{B5BB3FEA-ADC3-495B-B421-2DD3F54E893F}" name="Column7336"/>
    <tableColumn id="7351" xr3:uid="{5FD0B6B3-B364-48E4-85DB-D1FCDEC4D2E2}" name="Column7337"/>
    <tableColumn id="7352" xr3:uid="{3EDD3ECA-8D60-4093-8DA8-F8EC7E95ABCD}" name="Column7338"/>
    <tableColumn id="7353" xr3:uid="{016830F5-B085-40CB-9309-24838EC988F7}" name="Column7339"/>
    <tableColumn id="7354" xr3:uid="{3D05AF23-6CB0-4E5B-81FE-DFBB2537481C}" name="Column7340"/>
    <tableColumn id="7355" xr3:uid="{82F8F8AF-955B-4538-9AC1-955314601045}" name="Column7341"/>
    <tableColumn id="7356" xr3:uid="{49C944AE-B5D1-478F-9065-037A72ED1050}" name="Column7342"/>
    <tableColumn id="7357" xr3:uid="{F3CCE637-259A-43A7-A388-0C8F54441B4F}" name="Column7343"/>
    <tableColumn id="7358" xr3:uid="{FC7976A8-12F0-4E32-AEED-15759AE3C92D}" name="Column7344"/>
    <tableColumn id="7359" xr3:uid="{FB764DDA-F548-4D3D-A5B1-DDE389E2E14E}" name="Column7345"/>
    <tableColumn id="7360" xr3:uid="{794526AC-0188-496B-AA7B-44E067D0FFF2}" name="Column7346"/>
    <tableColumn id="7361" xr3:uid="{7569435B-92DA-4996-8032-4A7CF948E09A}" name="Column7347"/>
    <tableColumn id="7362" xr3:uid="{6AF5F536-7359-4754-9A19-8A7CA2D063B4}" name="Column7348"/>
    <tableColumn id="7363" xr3:uid="{5F11E8DF-35AD-4B26-AC8A-20524879C083}" name="Column7349"/>
    <tableColumn id="7364" xr3:uid="{2D2D6667-DA7A-4C10-A4BE-3DFF7A3704C7}" name="Column7350"/>
    <tableColumn id="7365" xr3:uid="{7F738B9A-FE8D-4FCE-98A2-A48037416DBF}" name="Column7351"/>
    <tableColumn id="7366" xr3:uid="{1575EC8F-6400-4C5E-8898-DD666D9B1E0D}" name="Column7352"/>
    <tableColumn id="7367" xr3:uid="{D6598BED-EF4A-4734-A2BF-E0C7A864853E}" name="Column7353"/>
    <tableColumn id="7368" xr3:uid="{0409A911-6FFB-4B0E-926A-2CEAF1928DA0}" name="Column7354"/>
    <tableColumn id="7369" xr3:uid="{340711B0-B72E-4F0A-9F09-20F676A817E8}" name="Column7355"/>
    <tableColumn id="7370" xr3:uid="{725A24BF-CB93-4395-ACE3-27BC935DCA81}" name="Column7356"/>
    <tableColumn id="7371" xr3:uid="{BF490D03-F2C7-4233-8131-E1EFDEB09937}" name="Column7357"/>
    <tableColumn id="7372" xr3:uid="{62C2F644-A418-402A-9263-3BD975E25DDE}" name="Column7358"/>
    <tableColumn id="7373" xr3:uid="{2827CF4D-579F-481B-A73D-DFAD658AB351}" name="Column7359"/>
    <tableColumn id="7374" xr3:uid="{11C87992-2B52-4F91-9D7B-36F477FE6A51}" name="Column7360"/>
    <tableColumn id="7375" xr3:uid="{C9A7E6B9-3380-4FC2-9822-1F973F9785C8}" name="Column7361"/>
    <tableColumn id="7376" xr3:uid="{9AACFC49-5CC3-4990-A512-966ADAC226BD}" name="Column7362"/>
    <tableColumn id="7377" xr3:uid="{22E239E4-44F4-46F5-BC16-6003529E0C47}" name="Column7363"/>
    <tableColumn id="7378" xr3:uid="{14D84683-8917-4CDB-B573-D2E18345E757}" name="Column7364"/>
    <tableColumn id="7379" xr3:uid="{7094B1D2-A555-481E-9940-CA2CE1A41367}" name="Column7365"/>
    <tableColumn id="7380" xr3:uid="{29A8E846-6378-4D91-9D6C-58BDF8514579}" name="Column7366"/>
    <tableColumn id="7381" xr3:uid="{1CC9AE30-A219-4C7E-B6A4-49B12382A19D}" name="Column7367"/>
    <tableColumn id="7382" xr3:uid="{B625546C-EBA5-4445-B0CD-CEE7DF5ABB56}" name="Column7368"/>
    <tableColumn id="7383" xr3:uid="{67596459-50F3-4ECD-8B19-0C2BEF3A4628}" name="Column7369"/>
    <tableColumn id="7384" xr3:uid="{BE48EA44-7A40-4817-8D4B-B0FD9D5B51B0}" name="Column7370"/>
    <tableColumn id="7385" xr3:uid="{E704C291-38D3-47E6-9531-9D91033ECBDD}" name="Column7371"/>
    <tableColumn id="7386" xr3:uid="{1B95AD5F-B4D2-4A96-AD2C-2422969D241A}" name="Column7372"/>
    <tableColumn id="7387" xr3:uid="{4DFDCB88-1238-4390-A8C2-E37370153795}" name="Column7373"/>
    <tableColumn id="7388" xr3:uid="{5D2D9BEF-6F79-483F-8F9E-8C7B1B803731}" name="Column7374"/>
    <tableColumn id="7389" xr3:uid="{81F22C67-65D0-43DD-A8D7-9F3F8C632953}" name="Column7375"/>
    <tableColumn id="7390" xr3:uid="{828DC43A-B548-4E99-A0BC-514F2A7C0366}" name="Column7376"/>
    <tableColumn id="7391" xr3:uid="{26EFA03F-835B-4E7B-B245-43D0B8D84763}" name="Column7377"/>
    <tableColumn id="7392" xr3:uid="{3F1CCD3B-65EF-45C0-968E-9651C73AFF2C}" name="Column7378"/>
    <tableColumn id="7393" xr3:uid="{77BF73F5-79DA-474A-A073-E5A9E2509392}" name="Column7379"/>
    <tableColumn id="7394" xr3:uid="{DFB3F8E0-2DD2-4BEE-ADBB-61A75C9B13A4}" name="Column7380"/>
    <tableColumn id="7395" xr3:uid="{71530A20-0DEC-4E7F-8C71-D8B2F5CE4A00}" name="Column7381"/>
    <tableColumn id="7396" xr3:uid="{0DFC50C4-76B3-488E-A11A-56FD40B9F512}" name="Column7382"/>
    <tableColumn id="7397" xr3:uid="{16A037BD-7EA5-4688-A1CD-CB305F90B8ED}" name="Column7383"/>
    <tableColumn id="7398" xr3:uid="{172541DD-4030-490F-BE97-58A97BF5B128}" name="Column7384"/>
    <tableColumn id="7399" xr3:uid="{D05E686E-6D89-44E4-9269-833451AC58D5}" name="Column7385"/>
    <tableColumn id="7400" xr3:uid="{3556C7E0-7BF8-4706-96B3-05255066ECFE}" name="Column7386"/>
    <tableColumn id="7401" xr3:uid="{1E9B93C4-9016-412C-9628-93AB3B526F10}" name="Column7387"/>
    <tableColumn id="7402" xr3:uid="{ABB6EE6F-BFA8-4836-BF96-BBF6B5AF4536}" name="Column7388"/>
    <tableColumn id="7403" xr3:uid="{2D60A6A0-4814-4E7E-A2B1-16C23A2DC41F}" name="Column7389"/>
    <tableColumn id="7404" xr3:uid="{58490BA7-A864-4A92-A3E6-70A190289238}" name="Column7390"/>
    <tableColumn id="7405" xr3:uid="{B3A0B3A1-1958-4CCB-B0F1-00B0582E5A03}" name="Column7391"/>
    <tableColumn id="7406" xr3:uid="{A29A6825-A969-4A5F-A360-2D328AD04954}" name="Column7392"/>
    <tableColumn id="7407" xr3:uid="{FA9F0AF7-B14F-4AA7-BD54-7A8A322149F4}" name="Column7393"/>
    <tableColumn id="7408" xr3:uid="{1093007E-E332-4DD6-BA01-35748C58603F}" name="Column7394"/>
    <tableColumn id="7409" xr3:uid="{4D7A66C0-9CBE-4674-B7BB-078F81DD86A8}" name="Column7395"/>
    <tableColumn id="7410" xr3:uid="{68892CED-928B-4F5A-9802-E43AF3D169DB}" name="Column7396"/>
    <tableColumn id="7411" xr3:uid="{949F6C2A-DF3C-4795-A33A-A4873A3ED76A}" name="Column7397"/>
    <tableColumn id="7412" xr3:uid="{6AF90EAE-D7D3-4AF0-B8E5-BA9559C1E08D}" name="Column7398"/>
    <tableColumn id="7413" xr3:uid="{B6AF8F15-84CC-4561-84AD-BFC021AEDF06}" name="Column7399"/>
    <tableColumn id="7414" xr3:uid="{EC6C7E48-CB2B-4ECB-8FBB-5BFFC33BBF9B}" name="Column7400"/>
    <tableColumn id="7415" xr3:uid="{21C08936-69DA-4FEB-B144-B41B1B9435BD}" name="Column7401"/>
    <tableColumn id="7416" xr3:uid="{31CEE749-5555-43AC-AE96-65EDD11DC3BA}" name="Column7402"/>
    <tableColumn id="7417" xr3:uid="{AAE6D579-E682-4EEE-A353-DCBC0C2EB201}" name="Column7403"/>
    <tableColumn id="7418" xr3:uid="{D169EDC9-3A28-428D-8551-45A00BF70A3B}" name="Column7404"/>
    <tableColumn id="7419" xr3:uid="{79DC3CD0-01E7-41EF-80F9-6340A798B138}" name="Column7405"/>
    <tableColumn id="7420" xr3:uid="{8136EDD6-2E2F-49EE-961B-0B53981278DF}" name="Column7406"/>
    <tableColumn id="7421" xr3:uid="{C8420141-BCB2-407B-AA39-41069D0E0FB7}" name="Column7407"/>
    <tableColumn id="7422" xr3:uid="{A80F5A3E-C5E5-444D-824E-1354287EA0E1}" name="Column7408"/>
    <tableColumn id="7423" xr3:uid="{F1F6C5C9-68D0-4B79-B61B-F53249478F5F}" name="Column7409"/>
    <tableColumn id="7424" xr3:uid="{AEA2D3FB-E897-4B94-8FA2-1010969881CD}" name="Column7410"/>
    <tableColumn id="7425" xr3:uid="{C28022AF-4E77-450F-B1DE-E1908DD2BF27}" name="Column7411"/>
    <tableColumn id="7426" xr3:uid="{472E67CD-243A-4924-ABEF-39DE75C6D65B}" name="Column7412"/>
    <tableColumn id="7427" xr3:uid="{5EBD0674-FDB0-480D-B740-B0011CC3D8BF}" name="Column7413"/>
    <tableColumn id="7428" xr3:uid="{5C39F957-2285-48E9-B59D-E52BB56DC59A}" name="Column7414"/>
    <tableColumn id="7429" xr3:uid="{AA2FCA1F-0BC3-4FF3-BCEF-62CE75551019}" name="Column7415"/>
    <tableColumn id="7430" xr3:uid="{370CE583-A3ED-440A-AFC9-0ABC53C2E8FC}" name="Column7416"/>
    <tableColumn id="7431" xr3:uid="{1D1F1478-C3AA-4381-9A11-8A4F9C235945}" name="Column7417"/>
    <tableColumn id="7432" xr3:uid="{954CB986-1C5F-4275-8362-A61FB5B3EE38}" name="Column7418"/>
    <tableColumn id="7433" xr3:uid="{A57A92B6-CCA3-49E9-B3B1-98AB3273E67F}" name="Column7419"/>
    <tableColumn id="7434" xr3:uid="{083D08A8-D931-4E03-8A63-5388AE7F1165}" name="Column7420"/>
    <tableColumn id="7435" xr3:uid="{66C68953-7F68-46CC-B659-726277EC3546}" name="Column7421"/>
    <tableColumn id="7436" xr3:uid="{B635BCCF-92CC-4C43-9004-254867853DA5}" name="Column7422"/>
    <tableColumn id="7437" xr3:uid="{B1F0D928-EC86-470F-BAB9-D5DE8C5C0264}" name="Column7423"/>
    <tableColumn id="7438" xr3:uid="{F992223B-B385-41CB-A843-38C7DB750C19}" name="Column7424"/>
    <tableColumn id="7439" xr3:uid="{1657E6CD-DA6A-46A3-A750-E4FB1BA6DC30}" name="Column7425"/>
    <tableColumn id="7440" xr3:uid="{8FA29527-BE2C-4EC9-BDC7-1B9B2746048B}" name="Column7426"/>
    <tableColumn id="7441" xr3:uid="{CD88B0DB-0B2A-4F9B-A970-7AFFF81C659A}" name="Column7427"/>
    <tableColumn id="7442" xr3:uid="{8A78A8FE-5E4A-467E-95CA-47028401C3BB}" name="Column7428"/>
    <tableColumn id="7443" xr3:uid="{C99700EE-F0EB-44C9-B4FF-D20D547A246E}" name="Column7429"/>
    <tableColumn id="7444" xr3:uid="{8C61C392-BB1F-4B81-98C8-369BAC30901B}" name="Column7430"/>
    <tableColumn id="7445" xr3:uid="{A745F5DE-5B19-4648-BF75-D96ACBA75BAC}" name="Column7431"/>
    <tableColumn id="7446" xr3:uid="{E6A2DFD0-E7D7-4FDE-AFF7-77CAE5491D18}" name="Column7432"/>
    <tableColumn id="7447" xr3:uid="{18C93950-9899-436F-BD78-8AAAADABF745}" name="Column7433"/>
    <tableColumn id="7448" xr3:uid="{945FC661-14CF-45E6-A550-A11A84FB4E53}" name="Column7434"/>
    <tableColumn id="7449" xr3:uid="{E3961E9C-3760-43A6-8951-60D3E045A4B5}" name="Column7435"/>
    <tableColumn id="7450" xr3:uid="{F33D9E72-A959-4329-95F8-7D2B753F9395}" name="Column7436"/>
    <tableColumn id="7451" xr3:uid="{4E1CE4DB-450C-4FE1-B516-0161B17814A0}" name="Column7437"/>
    <tableColumn id="7452" xr3:uid="{C0AD5BA4-CE3E-4A6C-87AE-C2827DF27342}" name="Column7438"/>
    <tableColumn id="7453" xr3:uid="{39B34245-0DEC-49E1-A809-CA5A25592F4C}" name="Column7439"/>
    <tableColumn id="7454" xr3:uid="{9627FCED-FC12-4421-B204-2E728EE1E70C}" name="Column7440"/>
    <tableColumn id="7455" xr3:uid="{9FCB2FB6-5263-4E6A-A85F-C4951267A378}" name="Column7441"/>
    <tableColumn id="7456" xr3:uid="{F6B33839-E9CF-435F-9517-040A3F377BD2}" name="Column7442"/>
    <tableColumn id="7457" xr3:uid="{8E12F5FC-BEFD-4E4C-A239-F576BF968473}" name="Column7443"/>
    <tableColumn id="7458" xr3:uid="{EC443C8F-022C-44E0-A9B0-5E6D3DFA6A6F}" name="Column7444"/>
    <tableColumn id="7459" xr3:uid="{6D414381-564A-4E56-9768-D66D7AF5062B}" name="Column7445"/>
    <tableColumn id="7460" xr3:uid="{2853C277-0A0F-4E68-83FF-D7EBCA8C7459}" name="Column7446"/>
    <tableColumn id="7461" xr3:uid="{39CDEE24-A93F-4566-B397-AA92682766F1}" name="Column7447"/>
    <tableColumn id="7462" xr3:uid="{8D47D9C5-EC24-41C1-9694-2B9A17EC29D2}" name="Column7448"/>
    <tableColumn id="7463" xr3:uid="{48FBD956-B472-4503-80AD-2848C73C6C49}" name="Column7449"/>
    <tableColumn id="7464" xr3:uid="{72D3A8D2-96D3-43A8-83FA-54E0315C4756}" name="Column7450"/>
    <tableColumn id="7465" xr3:uid="{775F5C8D-B118-424F-9C9E-07C9D55937D9}" name="Column7451"/>
    <tableColumn id="7466" xr3:uid="{03B3B421-3787-4B3F-B880-A7D5FD84EB5D}" name="Column7452"/>
    <tableColumn id="7467" xr3:uid="{CC562275-FAD2-4B34-BAF7-1206EF683287}" name="Column7453"/>
    <tableColumn id="7468" xr3:uid="{FD52E2AA-A1FD-46A4-B191-1ADC3E605DE6}" name="Column7454"/>
    <tableColumn id="7469" xr3:uid="{829B7BA0-486B-4B7E-A8B0-07D0D46808D1}" name="Column7455"/>
    <tableColumn id="7470" xr3:uid="{80F0D953-FCB3-440A-B043-D2A605EC5D61}" name="Column7456"/>
    <tableColumn id="7471" xr3:uid="{7323A777-71BA-4674-ADA0-E46A85E5A467}" name="Column7457"/>
    <tableColumn id="7472" xr3:uid="{6E4AC37D-58AF-4028-89C2-62CCF3887F24}" name="Column7458"/>
    <tableColumn id="7473" xr3:uid="{09087DD8-509F-4A77-84AA-780121F76AF0}" name="Column7459"/>
    <tableColumn id="7474" xr3:uid="{A56DDABC-12D5-4581-9545-CFC008A20779}" name="Column7460"/>
    <tableColumn id="7475" xr3:uid="{D3911B96-8A63-4311-96AB-6ACE402C3A6C}" name="Column7461"/>
    <tableColumn id="7476" xr3:uid="{ABABBABF-F579-4A12-BDE8-03CE9A671B30}" name="Column7462"/>
    <tableColumn id="7477" xr3:uid="{C7C087E2-92AF-416F-9DC5-F4A57CC6B559}" name="Column7463"/>
    <tableColumn id="7478" xr3:uid="{E992EA60-AF46-4ECE-BE9A-7D6FF6378F6D}" name="Column7464"/>
    <tableColumn id="7479" xr3:uid="{FEED4F4A-07D7-46E9-A13B-1F1584F3E585}" name="Column7465"/>
    <tableColumn id="7480" xr3:uid="{FEE589D7-5D02-4347-B8BC-C5232D39EC30}" name="Column7466"/>
    <tableColumn id="7481" xr3:uid="{98C1EB87-E619-4D3E-8D5A-723CC2C0642E}" name="Column7467"/>
    <tableColumn id="7482" xr3:uid="{92A4FA2B-5E50-4AE4-8E3A-9E935B61FE18}" name="Column7468"/>
    <tableColumn id="7483" xr3:uid="{812C9F10-5B21-4FE8-8823-41FCF95AB340}" name="Column7469"/>
    <tableColumn id="7484" xr3:uid="{D62AD8D9-A0CE-4AE3-9254-5DF14C065B1D}" name="Column7470"/>
    <tableColumn id="7485" xr3:uid="{B6494406-90D2-436A-8576-988AE2F584F3}" name="Column7471"/>
    <tableColumn id="7486" xr3:uid="{1E77F8A3-9AFC-49C0-8E1F-2E4E14C2C979}" name="Column7472"/>
    <tableColumn id="7487" xr3:uid="{BFEE8F02-AE63-4E5B-AFDB-5FB0C78C26EC}" name="Column7473"/>
    <tableColumn id="7488" xr3:uid="{F6B00FFB-35DF-4AC0-BCFF-37B3F003169B}" name="Column7474"/>
    <tableColumn id="7489" xr3:uid="{70DD8CCF-2C01-4BC0-AEFA-E77B65FE77C1}" name="Column7475"/>
    <tableColumn id="7490" xr3:uid="{BBDCE35D-CE1E-4BD1-B1C3-27D0237D6C60}" name="Column7476"/>
    <tableColumn id="7491" xr3:uid="{2DA2F048-1986-435F-A608-F54AC8147B00}" name="Column7477"/>
    <tableColumn id="7492" xr3:uid="{41FE4646-D41E-48A8-A104-4079FED6B99F}" name="Column7478"/>
    <tableColumn id="7493" xr3:uid="{6D692A6C-9205-4573-9568-EF389FE98B82}" name="Column7479"/>
    <tableColumn id="7494" xr3:uid="{E3C8283F-47D0-4475-876C-4824B30FB916}" name="Column7480"/>
    <tableColumn id="7495" xr3:uid="{EB344877-653E-41A4-AE45-D8A47ABE11BE}" name="Column7481"/>
    <tableColumn id="7496" xr3:uid="{C67D8076-C4BA-4F87-925F-22F8ECE74515}" name="Column7482"/>
    <tableColumn id="7497" xr3:uid="{A0390A9F-2A05-4E44-8E30-52ACF3710BCD}" name="Column7483"/>
    <tableColumn id="7498" xr3:uid="{5162B6B5-B973-4303-AFA2-8DB90EED645D}" name="Column7484"/>
    <tableColumn id="7499" xr3:uid="{40E75354-D4FA-4A4C-BE35-67A968404FDF}" name="Column7485"/>
    <tableColumn id="7500" xr3:uid="{992E7436-9288-4117-91D5-0C396ACB5715}" name="Column7486"/>
    <tableColumn id="7501" xr3:uid="{E419298B-E97B-4772-AB22-0BCDEC3C3DAB}" name="Column7487"/>
    <tableColumn id="7502" xr3:uid="{05A8CFDE-4F2F-4F2D-A640-93ABD08669B6}" name="Column7488"/>
    <tableColumn id="7503" xr3:uid="{EE1892E5-A281-4F6E-AEAA-2EFCA960136B}" name="Column7489"/>
    <tableColumn id="7504" xr3:uid="{E83039E1-0109-4791-A54B-D6D97004F1A3}" name="Column7490"/>
    <tableColumn id="7505" xr3:uid="{A5BF4BAF-D2BE-4D41-9CF4-917B71E7F631}" name="Column7491"/>
    <tableColumn id="7506" xr3:uid="{CEF5F758-947B-4F7E-8571-858F19226D8C}" name="Column7492"/>
    <tableColumn id="7507" xr3:uid="{7583D695-21A1-4A0C-BE10-16466A34538F}" name="Column7493"/>
    <tableColumn id="7508" xr3:uid="{1B696B03-9EFA-49A4-9881-346DAE5D9803}" name="Column7494"/>
    <tableColumn id="7509" xr3:uid="{349BBF7B-F67C-4A62-87C5-CC4594446689}" name="Column7495"/>
    <tableColumn id="7510" xr3:uid="{2C1ECA5E-F32A-4F16-B4D4-0DE31EEEF59F}" name="Column7496"/>
    <tableColumn id="7511" xr3:uid="{61879FFE-35D6-4B58-8674-2E1123D01CB0}" name="Column7497"/>
    <tableColumn id="7512" xr3:uid="{AE6C30A5-3ECD-4CE8-B28F-50033D2CAD66}" name="Column7498"/>
    <tableColumn id="7513" xr3:uid="{F559F761-0CB1-4914-AA48-32A372243127}" name="Column7499"/>
    <tableColumn id="7514" xr3:uid="{E9914D39-632F-4D36-9D71-1E8B0034750A}" name="Column7500"/>
    <tableColumn id="7515" xr3:uid="{BFF80A09-5983-42C2-932B-0666D1672B85}" name="Column7501"/>
    <tableColumn id="7516" xr3:uid="{C4C2AD87-6B08-4955-9BB6-714F7599713B}" name="Column7502"/>
    <tableColumn id="7517" xr3:uid="{2E470D91-9320-4B72-96E8-BC7BAFC9C447}" name="Column7503"/>
    <tableColumn id="7518" xr3:uid="{E471A544-6E67-4D3A-8768-C1E28CE37CA6}" name="Column7504"/>
    <tableColumn id="7519" xr3:uid="{A9FEEE6C-1C65-4BA3-8AFA-A068B100C75B}" name="Column7505"/>
    <tableColumn id="7520" xr3:uid="{59C6AA17-32CB-4950-87F3-5E972ABEB3FE}" name="Column7506"/>
    <tableColumn id="7521" xr3:uid="{5D9092C7-EACB-4955-87F8-C894BBD2F528}" name="Column7507"/>
    <tableColumn id="7522" xr3:uid="{C91C32D8-72D8-41A8-9B09-358C3F607622}" name="Column7508"/>
    <tableColumn id="7523" xr3:uid="{14193558-8C9B-4335-BFCC-53C4A35A9EE0}" name="Column7509"/>
    <tableColumn id="7524" xr3:uid="{C343F36B-E814-4FDC-9AC7-06CAE6DFF31D}" name="Column7510"/>
    <tableColumn id="7525" xr3:uid="{501DA045-83AB-4FA0-B92E-838DE992A68A}" name="Column7511"/>
    <tableColumn id="7526" xr3:uid="{07CDB889-3C93-4588-B881-D2A6618155DA}" name="Column7512"/>
    <tableColumn id="7527" xr3:uid="{C2EB7553-6334-421B-8C9C-DC1F5BBA455F}" name="Column7513"/>
    <tableColumn id="7528" xr3:uid="{8A731EC2-AD99-4387-A018-7DE64F9320F2}" name="Column7514"/>
    <tableColumn id="7529" xr3:uid="{BEECA839-B44E-46E5-8FD8-BE784D90BB11}" name="Column7515"/>
    <tableColumn id="7530" xr3:uid="{3E29377A-1098-46AC-9149-6DD94B8C94E6}" name="Column7516"/>
    <tableColumn id="7531" xr3:uid="{8B7ACBA0-4838-4238-990A-80ADC533C924}" name="Column7517"/>
    <tableColumn id="7532" xr3:uid="{644B52D2-E880-44C5-8B3C-7612FCB7932D}" name="Column7518"/>
    <tableColumn id="7533" xr3:uid="{6054657F-5D4D-45EE-A5AA-5F8742790C8F}" name="Column7519"/>
    <tableColumn id="7534" xr3:uid="{556FE3C0-932C-4860-8502-F475012E3287}" name="Column7520"/>
    <tableColumn id="7535" xr3:uid="{3216E3AE-8B64-4FC5-BCF1-9E0FF330A37E}" name="Column7521"/>
    <tableColumn id="7536" xr3:uid="{8B25ADB6-366D-4375-B0DC-4496EE23BB2D}" name="Column7522"/>
    <tableColumn id="7537" xr3:uid="{BACAD90E-5845-4E94-B884-382E7A7D71D4}" name="Column7523"/>
    <tableColumn id="7538" xr3:uid="{43834F3C-97D8-46D9-B8E3-9758F02B6393}" name="Column7524"/>
    <tableColumn id="7539" xr3:uid="{0B9D9F21-DE0D-4D4B-B9C2-3AFD4EF3A5E9}" name="Column7525"/>
    <tableColumn id="7540" xr3:uid="{65A8E714-1C76-4C4D-9D81-9A9BF3880587}" name="Column7526"/>
    <tableColumn id="7541" xr3:uid="{B396D23A-9BEA-43CE-8ECA-A17AFB9B5F1E}" name="Column7527"/>
    <tableColumn id="7542" xr3:uid="{8C6E9EFF-160D-4F24-ABBF-4F3D76B17B62}" name="Column7528"/>
    <tableColumn id="7543" xr3:uid="{B6E32F84-3F34-4F41-AFC5-A2130B045D78}" name="Column7529"/>
    <tableColumn id="7544" xr3:uid="{413237DA-0348-471F-ADC6-075572B75B9C}" name="Column7530"/>
    <tableColumn id="7545" xr3:uid="{F3EE05AA-824A-4D82-A192-03A7A6FB7BF2}" name="Column7531"/>
    <tableColumn id="7546" xr3:uid="{A005594B-1D23-459C-A965-2FE73FF1BC62}" name="Column7532"/>
    <tableColumn id="7547" xr3:uid="{F8E4667E-A8C0-44AC-9447-FFAB2E408D7C}" name="Column7533"/>
    <tableColumn id="7548" xr3:uid="{CBECD350-CDFC-4979-B886-90F9405B0BD6}" name="Column7534"/>
    <tableColumn id="7549" xr3:uid="{E93F3736-186D-4C44-B79D-8C36EE123DEC}" name="Column7535"/>
    <tableColumn id="7550" xr3:uid="{9CACBA81-D95C-4254-B291-5AC07860BBB7}" name="Column7536"/>
    <tableColumn id="7551" xr3:uid="{0BEB061E-3BCD-47D4-A2B2-01F448362C39}" name="Column7537"/>
    <tableColumn id="7552" xr3:uid="{944FFA20-B182-4B6A-9B1A-991F28B36290}" name="Column7538"/>
    <tableColumn id="7553" xr3:uid="{6BCE9281-6C20-4875-8489-A072B8017B7A}" name="Column7539"/>
    <tableColumn id="7554" xr3:uid="{AD6D23E5-D9D6-4B41-9CB4-36970173DDFB}" name="Column7540"/>
    <tableColumn id="7555" xr3:uid="{BF5BC972-C42A-4C68-9094-5D3343897355}" name="Column7541"/>
    <tableColumn id="7556" xr3:uid="{5068DBA5-2375-4280-995A-FC4D867058A6}" name="Column7542"/>
    <tableColumn id="7557" xr3:uid="{4D17EDA1-0069-4297-932D-BC92FF15359F}" name="Column7543"/>
    <tableColumn id="7558" xr3:uid="{A107F3A0-7586-454B-82D4-93783262486D}" name="Column7544"/>
    <tableColumn id="7559" xr3:uid="{9FE25E26-0E5F-43D8-B9FC-768100E2332B}" name="Column7545"/>
    <tableColumn id="7560" xr3:uid="{1EB8E915-0D42-4D3D-8D6A-CD27A1CA8483}" name="Column7546"/>
    <tableColumn id="7561" xr3:uid="{FD496090-F73F-4AC7-96CC-8EFD5A047F36}" name="Column7547"/>
    <tableColumn id="7562" xr3:uid="{B8F0D41A-D931-4B00-9F08-EDD8393B9E0B}" name="Column7548"/>
    <tableColumn id="7563" xr3:uid="{505D9ADC-B1E2-4294-84D8-AC05738C736E}" name="Column7549"/>
    <tableColumn id="7564" xr3:uid="{DFE517C9-33D0-4B5A-A16C-C61EA075138C}" name="Column7550"/>
    <tableColumn id="7565" xr3:uid="{024A718D-05FC-40A3-A126-274F8FD0DFB1}" name="Column7551"/>
    <tableColumn id="7566" xr3:uid="{190F833F-6CCC-4A7C-98DE-6951FF094BA0}" name="Column7552"/>
    <tableColumn id="7567" xr3:uid="{A1146559-0DD0-4804-A208-A7E68E2AD1EA}" name="Column7553"/>
    <tableColumn id="7568" xr3:uid="{F04316FF-4C31-4E69-9DFE-7ACF6FE3DFA9}" name="Column7554"/>
    <tableColumn id="7569" xr3:uid="{2AF30B1E-6027-4BF4-866F-6731543BC64F}" name="Column7555"/>
    <tableColumn id="7570" xr3:uid="{AA4077A2-8980-4E5A-B164-9BE41D1A0BC9}" name="Column7556"/>
    <tableColumn id="7571" xr3:uid="{9ED4B9E7-F087-4122-AE5D-D533DD2379EC}" name="Column7557"/>
    <tableColumn id="7572" xr3:uid="{E37C75D6-EFA4-42CB-A17D-B7DA1EF9BCE0}" name="Column7558"/>
    <tableColumn id="7573" xr3:uid="{01BF94CE-B96B-40A2-BCC2-2338679343EC}" name="Column7559"/>
    <tableColumn id="7574" xr3:uid="{7C55E529-58CE-41FE-A8DA-4460E57BB7FF}" name="Column7560"/>
    <tableColumn id="7575" xr3:uid="{970DE6D4-A72E-4545-A6D9-ADE404953472}" name="Column7561"/>
    <tableColumn id="7576" xr3:uid="{5CEB7EB9-0356-48D1-AAE2-73EA9954EB00}" name="Column7562"/>
    <tableColumn id="7577" xr3:uid="{AFD6B05A-C061-4BD5-87D2-85896060A608}" name="Column7563"/>
    <tableColumn id="7578" xr3:uid="{3EA0EFED-8676-4FD1-AE98-AE8EB5573F2C}" name="Column7564"/>
    <tableColumn id="7579" xr3:uid="{B5128B1E-041D-40CD-978F-12D75D667373}" name="Column7565"/>
    <tableColumn id="7580" xr3:uid="{5D80923E-D91D-42AC-9FFE-FC7A1DAC62FC}" name="Column7566"/>
    <tableColumn id="7581" xr3:uid="{31F7A5F4-BD32-4AE9-8F7D-4255BA4087A0}" name="Column7567"/>
    <tableColumn id="7582" xr3:uid="{95F9C05D-D87E-4343-B989-6D53FC437B0B}" name="Column7568"/>
    <tableColumn id="7583" xr3:uid="{B1A570C6-C5E9-4D5C-92FA-365D3F8B376C}" name="Column7569"/>
    <tableColumn id="7584" xr3:uid="{638D29C2-CF04-4EB9-91A1-694D44C7DF85}" name="Column7570"/>
    <tableColumn id="7585" xr3:uid="{018F48DF-E823-4C4A-A0A3-DE2FB5083169}" name="Column7571"/>
    <tableColumn id="7586" xr3:uid="{545F0C91-2D1C-4638-B2FE-1855BDF502C3}" name="Column7572"/>
    <tableColumn id="7587" xr3:uid="{0378FA28-6DE0-435B-8E31-0B5C98F74CC9}" name="Column7573"/>
    <tableColumn id="7588" xr3:uid="{4EFCE8D8-E531-4F70-86E4-A79277314812}" name="Column7574"/>
    <tableColumn id="7589" xr3:uid="{A91671B1-47AC-4FA5-9B01-6A369BC98BE5}" name="Column7575"/>
    <tableColumn id="7590" xr3:uid="{21815E5B-0668-42B6-90BD-F0DAD2BCFED1}" name="Column7576"/>
    <tableColumn id="7591" xr3:uid="{48CEE705-1A5D-4222-9C9D-7C602B2A1281}" name="Column7577"/>
    <tableColumn id="7592" xr3:uid="{75513EEB-5426-4A0E-9E93-330B35EBB78A}" name="Column7578"/>
    <tableColumn id="7593" xr3:uid="{C29D03B3-926A-4F26-B157-33E3D0615475}" name="Column7579"/>
    <tableColumn id="7594" xr3:uid="{C2ABF4C1-E5A3-4FC8-9683-D33CF3056A80}" name="Column7580"/>
    <tableColumn id="7595" xr3:uid="{6DA98A37-3DAB-4D6D-8F64-70E8DA14AE4D}" name="Column7581"/>
    <tableColumn id="7596" xr3:uid="{13DBC3ED-EE8F-400D-B7AC-049CDB5FFD21}" name="Column7582"/>
    <tableColumn id="7597" xr3:uid="{10A01C56-C3F4-49FF-B4E7-6E735000D362}" name="Column7583"/>
    <tableColumn id="7598" xr3:uid="{A57D4938-EE83-4DCD-BD8A-6B6802D090E9}" name="Column7584"/>
    <tableColumn id="7599" xr3:uid="{64ED91DC-BE67-4B64-8801-E921914EBE37}" name="Column7585"/>
    <tableColumn id="7600" xr3:uid="{16E1B8C6-5A2E-405A-A087-F55C2B5A02C5}" name="Column7586"/>
    <tableColumn id="7601" xr3:uid="{73CBDBB0-EF08-4CBC-95DE-375A25F7EBAF}" name="Column7587"/>
    <tableColumn id="7602" xr3:uid="{50F49332-31C8-4097-9578-61C868C34636}" name="Column7588"/>
    <tableColumn id="7603" xr3:uid="{03ED5FED-E606-4415-8FC8-643F9368140A}" name="Column7589"/>
    <tableColumn id="7604" xr3:uid="{F1C70FD4-732E-42E7-A276-B70A16CFF33A}" name="Column7590"/>
    <tableColumn id="7605" xr3:uid="{B94D3F2C-1E46-49C6-B942-C52C31538502}" name="Column7591"/>
    <tableColumn id="7606" xr3:uid="{B71CD69C-A1DC-45EB-AF2F-26ED8A632A8C}" name="Column7592"/>
    <tableColumn id="7607" xr3:uid="{6862B646-51F9-4303-A478-CC42CE70AB08}" name="Column7593"/>
    <tableColumn id="7608" xr3:uid="{C0E0A711-EA61-4B90-AE06-587049D0F032}" name="Column7594"/>
    <tableColumn id="7609" xr3:uid="{2F3E7FF6-0661-43CA-9C9E-927BAD51ED5B}" name="Column7595"/>
    <tableColumn id="7610" xr3:uid="{CCB4E49C-B719-4535-A04F-A937E1F46A3E}" name="Column7596"/>
    <tableColumn id="7611" xr3:uid="{E9D3E2EA-41C7-49DF-A190-8640A3871E49}" name="Column7597"/>
    <tableColumn id="7612" xr3:uid="{53C1B1F1-8E5E-49F0-81F2-6AF0B3F68E53}" name="Column7598"/>
    <tableColumn id="7613" xr3:uid="{5A9C642D-ED14-4535-B7C7-387E546C2610}" name="Column7599"/>
    <tableColumn id="7614" xr3:uid="{B82DDFC2-CB18-41BD-836E-72693B1B744B}" name="Column7600"/>
    <tableColumn id="7615" xr3:uid="{D194BA81-7323-4779-B974-B1A61DA700D8}" name="Column7601"/>
    <tableColumn id="7616" xr3:uid="{3B5D3583-7A72-4464-AAB5-DEDE9A5B3439}" name="Column7602"/>
    <tableColumn id="7617" xr3:uid="{B8941C71-419D-4CDA-80BC-C871337A4BF2}" name="Column7603"/>
    <tableColumn id="7618" xr3:uid="{347A5BDE-66F0-43E6-9957-E7A2881B158C}" name="Column7604"/>
    <tableColumn id="7619" xr3:uid="{765B89ED-9C5C-4C1E-B31C-FB95C90F9B2B}" name="Column7605"/>
    <tableColumn id="7620" xr3:uid="{21A6E166-E438-428B-A68F-11793EA1614B}" name="Column7606"/>
    <tableColumn id="7621" xr3:uid="{79AE5838-880C-4D45-BE04-C284E88EB3AE}" name="Column7607"/>
    <tableColumn id="7622" xr3:uid="{A4A4949E-ACA9-4F81-B624-9C258AEFF433}" name="Column7608"/>
    <tableColumn id="7623" xr3:uid="{6D86DF9B-69A3-405E-8DA9-1E96E48F011E}" name="Column7609"/>
    <tableColumn id="7624" xr3:uid="{B4851B65-4D30-4239-AD60-3D648D9452B0}" name="Column7610"/>
    <tableColumn id="7625" xr3:uid="{B66C6D74-6D1A-4307-B1D5-A0D62FD7B130}" name="Column7611"/>
    <tableColumn id="7626" xr3:uid="{95873A85-548B-43DF-B59C-D7BFCDDB6CB1}" name="Column7612"/>
    <tableColumn id="7627" xr3:uid="{2D341EBF-8CB1-4787-A26A-E374CAB73D93}" name="Column7613"/>
    <tableColumn id="7628" xr3:uid="{0F26E238-F97C-4322-BAA7-D539345A827C}" name="Column7614"/>
    <tableColumn id="7629" xr3:uid="{9EA79137-98CB-4434-A697-0F133CC3B767}" name="Column7615"/>
    <tableColumn id="7630" xr3:uid="{51FBC0BD-8AE8-4BC7-A081-BEC6E3B41516}" name="Column7616"/>
    <tableColumn id="7631" xr3:uid="{D3A750B3-36BC-4E79-B4F4-FC708F687E89}" name="Column7617"/>
    <tableColumn id="7632" xr3:uid="{04B54AEC-18CE-4A7D-91E7-342D8C200C0F}" name="Column7618"/>
    <tableColumn id="7633" xr3:uid="{834FE0F2-BCD0-432D-833C-639D1029D3FE}" name="Column7619"/>
    <tableColumn id="7634" xr3:uid="{C0CD2E9E-B511-498C-8189-540ADD234C53}" name="Column7620"/>
    <tableColumn id="7635" xr3:uid="{5D9D91B8-DF23-4661-A8BA-589A5FDCF7FD}" name="Column7621"/>
    <tableColumn id="7636" xr3:uid="{B765410C-9CB2-4474-B371-5FC58869BEFA}" name="Column7622"/>
    <tableColumn id="7637" xr3:uid="{8F0CD82E-366A-4C36-B955-7F916FD98798}" name="Column7623"/>
    <tableColumn id="7638" xr3:uid="{4D4F1ECA-C1AA-420E-A892-AF4B088124E0}" name="Column7624"/>
    <tableColumn id="7639" xr3:uid="{39569F55-811F-49F0-8052-0236AB758E3E}" name="Column7625"/>
    <tableColumn id="7640" xr3:uid="{49ED716A-3E4C-4448-BC69-33F145EAB5A1}" name="Column7626"/>
    <tableColumn id="7641" xr3:uid="{DECEEB87-4DE4-4667-A0C8-4804904490E3}" name="Column7627"/>
    <tableColumn id="7642" xr3:uid="{A91B54FB-CAF4-45E4-BE44-85F453015DF6}" name="Column7628"/>
    <tableColumn id="7643" xr3:uid="{92B50CB5-93FB-4189-A33F-2CFFC8D7CCF2}" name="Column7629"/>
    <tableColumn id="7644" xr3:uid="{710E6664-2C65-4F1F-ACD6-642633C7E6D7}" name="Column7630"/>
    <tableColumn id="7645" xr3:uid="{7EE1846F-EB94-4583-A58F-94384188EAA7}" name="Column7631"/>
    <tableColumn id="7646" xr3:uid="{824308EB-1E3A-4946-96F9-F765F1E65021}" name="Column7632"/>
    <tableColumn id="7647" xr3:uid="{02E85798-A710-4AA8-BC54-667CAC67D510}" name="Column7633"/>
    <tableColumn id="7648" xr3:uid="{3F8579B7-BFC8-40B0-9796-6F844A139E64}" name="Column7634"/>
    <tableColumn id="7649" xr3:uid="{63D28DF4-2F95-44DE-AD80-D5FDB0372136}" name="Column7635"/>
    <tableColumn id="7650" xr3:uid="{D63C6D5B-11CC-4CAC-A3BA-913D71F7180A}" name="Column7636"/>
    <tableColumn id="7651" xr3:uid="{0863E725-53D9-4D86-B8DD-87FEC5976B1D}" name="Column7637"/>
    <tableColumn id="7652" xr3:uid="{22F1D45C-D067-4E17-BF8A-089BDD1C6720}" name="Column7638"/>
    <tableColumn id="7653" xr3:uid="{F0E7FFF2-62A9-4290-BA6F-2DFA70D82EDB}" name="Column7639"/>
    <tableColumn id="7654" xr3:uid="{D9554D97-5069-4750-B6C5-E7FBF89E75E6}" name="Column7640"/>
    <tableColumn id="7655" xr3:uid="{EE90BA09-43BC-4941-B564-229076CFB2E0}" name="Column7641"/>
    <tableColumn id="7656" xr3:uid="{62450A6C-EBC2-4684-9FDA-4796B70BE070}" name="Column7642"/>
    <tableColumn id="7657" xr3:uid="{B38C4506-F25D-4E9B-8C54-44A7C616F816}" name="Column7643"/>
    <tableColumn id="7658" xr3:uid="{67EDDD76-D791-4396-A596-7FBF4773FFBD}" name="Column7644"/>
    <tableColumn id="7659" xr3:uid="{1D7DAECD-056F-4B7D-8C78-CA286C96750D}" name="Column7645"/>
    <tableColumn id="7660" xr3:uid="{D8A86AAE-7202-46BD-999F-AEE259A9128D}" name="Column7646"/>
    <tableColumn id="7661" xr3:uid="{81A9FDF0-D6D7-47E0-A1F4-9340A0AE7925}" name="Column7647"/>
    <tableColumn id="7662" xr3:uid="{934F34FE-E23C-4EEC-BBE0-C120391A148B}" name="Column7648"/>
    <tableColumn id="7663" xr3:uid="{07CEDE07-77F5-4F4B-95EE-C772935F683E}" name="Column7649"/>
    <tableColumn id="7664" xr3:uid="{C3374867-1543-480B-806C-33DFEE4A11F3}" name="Column7650"/>
    <tableColumn id="7665" xr3:uid="{208AC408-1612-48CA-8BFC-177511F0F7C9}" name="Column7651"/>
    <tableColumn id="7666" xr3:uid="{A6010DA2-8339-4D32-9964-6397173E7681}" name="Column7652"/>
    <tableColumn id="7667" xr3:uid="{5668E912-A711-47B5-9DB8-AFCD80FFAD38}" name="Column7653"/>
    <tableColumn id="7668" xr3:uid="{02E497B7-8AAF-4C70-8387-91631449255C}" name="Column7654"/>
    <tableColumn id="7669" xr3:uid="{3C1C545D-A07A-45A3-AEA4-E5E26627865D}" name="Column7655"/>
    <tableColumn id="7670" xr3:uid="{60C03647-023D-4EFF-9614-E3F58555172F}" name="Column7656"/>
    <tableColumn id="7671" xr3:uid="{7784E47E-6E30-49CB-9750-56E1A637D0E5}" name="Column7657"/>
    <tableColumn id="7672" xr3:uid="{503CC94A-90B4-40B4-A5EB-D3600467B9A5}" name="Column7658"/>
    <tableColumn id="7673" xr3:uid="{77E04508-6433-4029-9D2A-8D745E450DA0}" name="Column7659"/>
    <tableColumn id="7674" xr3:uid="{FC7F03C0-E26F-4590-9585-2C86A5C12A71}" name="Column7660"/>
    <tableColumn id="7675" xr3:uid="{CC9A1777-443E-488B-9EFE-151151BCBAAB}" name="Column7661"/>
    <tableColumn id="7676" xr3:uid="{AEFC7383-95B2-409C-9234-B6EA699020BB}" name="Column7662"/>
    <tableColumn id="7677" xr3:uid="{A8314BCE-43F5-426F-A9FF-607415B85100}" name="Column7663"/>
    <tableColumn id="7678" xr3:uid="{D149C674-0596-48E3-A88F-74A10985A0C5}" name="Column7664"/>
    <tableColumn id="7679" xr3:uid="{0AB55B3E-50D8-49C0-BC02-7DE3D95BB00E}" name="Column7665"/>
    <tableColumn id="7680" xr3:uid="{DE76FB9E-1286-44E9-B07D-872A9DB54388}" name="Column7666"/>
    <tableColumn id="7681" xr3:uid="{45A3D012-B0A5-4658-9931-4B186F71E9F5}" name="Column7667"/>
    <tableColumn id="7682" xr3:uid="{B1F73CC3-059D-41DB-ACEB-6443BF0E83B6}" name="Column7668"/>
    <tableColumn id="7683" xr3:uid="{70CF455B-5D8C-446E-BAE9-EFB65E0792DB}" name="Column7669"/>
    <tableColumn id="7684" xr3:uid="{037725C8-60B7-4116-8B33-83A2F81F466C}" name="Column7670"/>
    <tableColumn id="7685" xr3:uid="{29282FAE-30D8-4407-9C9C-7E654AB5A6A6}" name="Column7671"/>
    <tableColumn id="7686" xr3:uid="{B390A33A-ED33-4947-802C-BEB07D286E05}" name="Column7672"/>
    <tableColumn id="7687" xr3:uid="{3C8E7001-7D30-4F66-90C6-F38113FE8921}" name="Column7673"/>
    <tableColumn id="7688" xr3:uid="{7400F2DB-0D3B-4417-90E7-EB04B02F0702}" name="Column7674"/>
    <tableColumn id="7689" xr3:uid="{FD2A8846-09A4-4D93-93DC-6D5C63554991}" name="Column7675"/>
    <tableColumn id="7690" xr3:uid="{D3615B42-4A51-4760-9EB3-A99CDA1F4EA6}" name="Column7676"/>
    <tableColumn id="7691" xr3:uid="{C57C8D4D-A04E-4803-9532-DDC016E236D1}" name="Column7677"/>
    <tableColumn id="7692" xr3:uid="{0D677AFC-01EC-4ECE-AEB4-68E7E7C82424}" name="Column7678"/>
    <tableColumn id="7693" xr3:uid="{C25D87A2-0BB1-4D9B-8C7D-D69AB2904EAC}" name="Column7679"/>
    <tableColumn id="7694" xr3:uid="{13448FC8-9C6B-48C9-9916-087F1A249890}" name="Column7680"/>
    <tableColumn id="7695" xr3:uid="{39532F5E-5502-4F08-8F82-7D3DDCA287DB}" name="Column7681"/>
    <tableColumn id="7696" xr3:uid="{A408C6C6-F636-46FD-AF22-FB05966058CD}" name="Column7682"/>
    <tableColumn id="7697" xr3:uid="{DBDD2489-2C23-4319-BDBC-F3384323412D}" name="Column7683"/>
    <tableColumn id="7698" xr3:uid="{FC9A3089-47EB-4DA2-BF0A-D10C7405FD7E}" name="Column7684"/>
    <tableColumn id="7699" xr3:uid="{9D5FE8BB-C675-4FEA-B893-65ED006958DF}" name="Column7685"/>
    <tableColumn id="7700" xr3:uid="{294F4632-1423-4C15-93AD-2C7CA5259DA4}" name="Column7686"/>
    <tableColumn id="7701" xr3:uid="{98832942-3A7E-43AD-A9F1-BE739EB4E33E}" name="Column7687"/>
    <tableColumn id="7702" xr3:uid="{B14C438C-11CC-4E7C-A7B5-B849FE125D77}" name="Column7688"/>
    <tableColumn id="7703" xr3:uid="{DFAE2A54-2F23-498D-8177-5953A551D2BE}" name="Column7689"/>
    <tableColumn id="7704" xr3:uid="{0E3206E5-6701-4011-8A37-F1F21FC640AF}" name="Column7690"/>
    <tableColumn id="7705" xr3:uid="{C6A5B149-9628-4FC0-B286-865D2C408BB2}" name="Column7691"/>
    <tableColumn id="7706" xr3:uid="{2114E367-49D1-408E-946E-FEE66228012C}" name="Column7692"/>
    <tableColumn id="7707" xr3:uid="{2E0FE1D6-5C4F-47AA-8620-244DB7388D0A}" name="Column7693"/>
    <tableColumn id="7708" xr3:uid="{CC9D34B7-1B93-4C6A-8962-C0358D6BC9A5}" name="Column7694"/>
    <tableColumn id="7709" xr3:uid="{91747F5F-DBD5-41CB-BFB6-33794E74BB5C}" name="Column7695"/>
    <tableColumn id="7710" xr3:uid="{C8234AFD-0317-4635-9E96-FD35FEE3EBD7}" name="Column7696"/>
    <tableColumn id="7711" xr3:uid="{28BB9615-E51D-4359-B998-8A6170B37FED}" name="Column7697"/>
    <tableColumn id="7712" xr3:uid="{0EECC6A3-FA2B-4A14-BD05-B5BBA9972D8C}" name="Column7698"/>
    <tableColumn id="7713" xr3:uid="{7C70E0D8-B40C-4CB5-B973-1F74CA0392D1}" name="Column7699"/>
    <tableColumn id="7714" xr3:uid="{39AC5693-5148-4B1D-8AF7-AED7C2BF60C4}" name="Column7700"/>
    <tableColumn id="7715" xr3:uid="{322B3A74-29A9-4468-ACBF-0435FC242EF0}" name="Column7701"/>
    <tableColumn id="7716" xr3:uid="{0D5108D1-EA70-44F6-9F3A-F34B21946B02}" name="Column7702"/>
    <tableColumn id="7717" xr3:uid="{2A8D98F4-67E5-4ADA-8340-12FAABF1579A}" name="Column7703"/>
    <tableColumn id="7718" xr3:uid="{E06BBDDC-AA72-4322-B35D-A30E0A39BD00}" name="Column7704"/>
    <tableColumn id="7719" xr3:uid="{AFBF6413-6509-47D8-BAB1-0BFB4E18E2B4}" name="Column7705"/>
    <tableColumn id="7720" xr3:uid="{B30F0FD5-F4AF-4BCE-B808-0FB3C6C91A06}" name="Column7706"/>
    <tableColumn id="7721" xr3:uid="{FC11F2C7-1B04-490F-8492-6D2E33661C14}" name="Column7707"/>
    <tableColumn id="7722" xr3:uid="{71F4B4F8-9E90-4685-B113-1A689A67B8C9}" name="Column7708"/>
    <tableColumn id="7723" xr3:uid="{48699431-55C8-4F91-B98F-558835110E31}" name="Column7709"/>
    <tableColumn id="7724" xr3:uid="{7C3102A6-AC5C-461A-8FE5-40F3086ADFCC}" name="Column7710"/>
    <tableColumn id="7725" xr3:uid="{1E33216A-DE62-42E8-9E30-B3376AA96781}" name="Column7711"/>
    <tableColumn id="7726" xr3:uid="{673A8910-75B1-4CCE-8CBE-FE444E57DD35}" name="Column7712"/>
    <tableColumn id="7727" xr3:uid="{75DBAABC-1E65-40EC-9CE6-497821EAF817}" name="Column7713"/>
    <tableColumn id="7728" xr3:uid="{08E68D46-CEDC-4B98-AEA1-B0EF8464A1DC}" name="Column7714"/>
    <tableColumn id="7729" xr3:uid="{DA888D6C-D62E-41A8-B454-7D3C37D713DF}" name="Column7715"/>
    <tableColumn id="7730" xr3:uid="{BA284F33-C8A0-4864-8E8A-FD5F3C22F57D}" name="Column7716"/>
    <tableColumn id="7731" xr3:uid="{768A6A6E-818B-45EB-A796-3D9006EFBB56}" name="Column7717"/>
    <tableColumn id="7732" xr3:uid="{CF3D3D1F-CC8E-4D77-B38A-5E4BB3DA3E7E}" name="Column7718"/>
    <tableColumn id="7733" xr3:uid="{8ABBD057-35B5-4435-96A1-C4BEBA51C957}" name="Column7719"/>
    <tableColumn id="7734" xr3:uid="{49A32648-ABB4-4E61-B576-6B6631CA85BE}" name="Column7720"/>
    <tableColumn id="7735" xr3:uid="{5B61E976-E184-4490-99EE-484B226A3CEC}" name="Column7721"/>
    <tableColumn id="7736" xr3:uid="{5B9E8C62-FED8-4555-8F2C-6CB50F56872B}" name="Column7722"/>
    <tableColumn id="7737" xr3:uid="{B19A2E2C-6C8F-4FFD-BE76-8E478E0DAB06}" name="Column7723"/>
    <tableColumn id="7738" xr3:uid="{4DA21C37-5E61-4F8D-A7F3-5B936BB870C0}" name="Column7724"/>
    <tableColumn id="7739" xr3:uid="{FFD47553-1163-4500-BDE3-525B14E1CC55}" name="Column7725"/>
    <tableColumn id="7740" xr3:uid="{DD7B16A7-2364-4E3C-8F4D-D68CC934D0BE}" name="Column7726"/>
    <tableColumn id="7741" xr3:uid="{BD3405D0-009F-4739-AFEE-9E6BA5E49EF5}" name="Column7727"/>
    <tableColumn id="7742" xr3:uid="{22A0D8FA-D078-428D-ADAD-E53D751D8602}" name="Column7728"/>
    <tableColumn id="7743" xr3:uid="{00CF9961-18BC-4A97-86B8-7A52394DAF9B}" name="Column7729"/>
    <tableColumn id="7744" xr3:uid="{1F8B3EA8-743A-4678-92B4-0776C844965D}" name="Column7730"/>
    <tableColumn id="7745" xr3:uid="{824295B8-024E-43C7-9677-4B46EE7DB692}" name="Column7731"/>
    <tableColumn id="7746" xr3:uid="{C7791ABD-CF4D-4A2B-9EBD-16066958536E}" name="Column7732"/>
    <tableColumn id="7747" xr3:uid="{8550F6B4-EA40-4C7E-8E6F-152F42C0F9D2}" name="Column7733"/>
    <tableColumn id="7748" xr3:uid="{48380522-C253-4C94-A27A-77BB419B6767}" name="Column7734"/>
    <tableColumn id="7749" xr3:uid="{2B4B88DB-72D6-41A1-9A95-BA22DC802420}" name="Column7735"/>
    <tableColumn id="7750" xr3:uid="{D67180FE-C90C-4EC6-9717-43BC49ABE990}" name="Column7736"/>
    <tableColumn id="7751" xr3:uid="{D74FFABA-F86C-4AF6-A62B-DECA001390EB}" name="Column7737"/>
    <tableColumn id="7752" xr3:uid="{3D99EA8B-1971-4167-A4F9-45548177BB29}" name="Column7738"/>
    <tableColumn id="7753" xr3:uid="{E7FEA122-72E0-41D2-A328-E3DCE1943626}" name="Column7739"/>
    <tableColumn id="7754" xr3:uid="{20D67FED-9D32-4DFB-8A0B-2AA5AD2596CC}" name="Column7740"/>
    <tableColumn id="7755" xr3:uid="{4FCD9247-0620-4980-8EDB-0B4D6569F7E1}" name="Column7741"/>
    <tableColumn id="7756" xr3:uid="{43C852A4-5A50-431E-959F-85ADE4E0FCD7}" name="Column7742"/>
    <tableColumn id="7757" xr3:uid="{092E8784-3653-45D6-9F0A-D57DE4469E0E}" name="Column7743"/>
    <tableColumn id="7758" xr3:uid="{AB4AE134-2B29-49D0-BC50-803B273E2F93}" name="Column7744"/>
    <tableColumn id="7759" xr3:uid="{341DDE2D-A401-461E-A473-6C2C0A886676}" name="Column7745"/>
    <tableColumn id="7760" xr3:uid="{6845D15E-C54B-4FE2-8EE5-7AD4BC8FC1B4}" name="Column7746"/>
    <tableColumn id="7761" xr3:uid="{898066E3-355C-4320-A26B-A92C9802419C}" name="Column7747"/>
    <tableColumn id="7762" xr3:uid="{77AFE82A-51FF-475F-A681-BA33BAD67A5A}" name="Column7748"/>
    <tableColumn id="7763" xr3:uid="{CA23E1C5-94F2-487E-BEC6-397B3296CA2B}" name="Column7749"/>
    <tableColumn id="7764" xr3:uid="{235A9E6B-245B-4BBE-BC69-8DB9CD1CF64B}" name="Column7750"/>
    <tableColumn id="7765" xr3:uid="{593D5ACB-D257-42C6-B858-BBAD859F1AD6}" name="Column7751"/>
    <tableColumn id="7766" xr3:uid="{FB40C113-4FD2-4BB5-92EF-3F0CF48840F8}" name="Column7752"/>
    <tableColumn id="7767" xr3:uid="{C1BC8966-82DB-4A77-813F-510A0730FFAA}" name="Column7753"/>
    <tableColumn id="7768" xr3:uid="{23315F25-3EA5-409C-AED5-241CB22F1DCA}" name="Column7754"/>
    <tableColumn id="7769" xr3:uid="{4C312213-D8DF-4DF6-8FE1-C8B9973D2F85}" name="Column7755"/>
    <tableColumn id="7770" xr3:uid="{475E7CBB-1CB7-4BED-8B79-294979F5CAE6}" name="Column7756"/>
    <tableColumn id="7771" xr3:uid="{78D30737-BBC9-4BAF-8A3D-408D0088C23B}" name="Column7757"/>
    <tableColumn id="7772" xr3:uid="{18A3DB31-F5D0-437A-B467-A9B77309B83C}" name="Column7758"/>
    <tableColumn id="7773" xr3:uid="{23C1FC8E-17BF-4D61-BB48-0AC8320D2917}" name="Column7759"/>
    <tableColumn id="7774" xr3:uid="{271B7D38-527F-4A77-943C-9BCF07633EA8}" name="Column7760"/>
    <tableColumn id="7775" xr3:uid="{E3316A21-AFFE-4E1C-8563-766A5C28490D}" name="Column7761"/>
    <tableColumn id="7776" xr3:uid="{12892F37-44AE-472B-84CE-6BAE62AD1820}" name="Column7762"/>
    <tableColumn id="7777" xr3:uid="{17138D09-577D-481D-BBBB-3F79E3CAA83A}" name="Column7763"/>
    <tableColumn id="7778" xr3:uid="{1EA150EC-75F4-4E0C-A66B-D89050D2CEA2}" name="Column7764"/>
    <tableColumn id="7779" xr3:uid="{A9CE8721-A4EB-470C-98FA-9528116E517A}" name="Column7765"/>
    <tableColumn id="7780" xr3:uid="{69D3C008-A01A-45C8-8BA2-7AE28E743FAA}" name="Column7766"/>
    <tableColumn id="7781" xr3:uid="{6824210F-117C-44EB-B07B-1A13F8E40C83}" name="Column7767"/>
    <tableColumn id="7782" xr3:uid="{65856A77-EA90-4431-93FE-7501EC0B2575}" name="Column7768"/>
    <tableColumn id="7783" xr3:uid="{CF7B3C4D-3276-4CAF-82A2-3F96014E3860}" name="Column7769"/>
    <tableColumn id="7784" xr3:uid="{02F823DE-7CAD-45F6-929E-436CC35AF35B}" name="Column7770"/>
    <tableColumn id="7785" xr3:uid="{3439CAAE-2D14-4B90-9F4C-2A79BEE664F5}" name="Column7771"/>
    <tableColumn id="7786" xr3:uid="{4FD55338-17E8-4B82-AA29-F4DF0C5F697A}" name="Column7772"/>
    <tableColumn id="7787" xr3:uid="{EDB8E3EC-7767-4BBA-9A39-5A352804C585}" name="Column7773"/>
    <tableColumn id="7788" xr3:uid="{41FED2D5-323A-4834-A7E7-7D72C4FCC35F}" name="Column7774"/>
    <tableColumn id="7789" xr3:uid="{3D659B33-58DA-4AC3-8E02-DE3288FBD5EC}" name="Column7775"/>
    <tableColumn id="7790" xr3:uid="{C4B2BC51-176A-42FD-8499-D99FF5893CAB}" name="Column7776"/>
    <tableColumn id="7791" xr3:uid="{E62A2149-6045-4556-9861-583B88FDE809}" name="Column7777"/>
    <tableColumn id="7792" xr3:uid="{6B01DE1D-7F84-4C7B-B481-0FCECCA69590}" name="Column7778"/>
    <tableColumn id="7793" xr3:uid="{6F1A942B-60F5-47DF-BB5E-28D8EE5718F9}" name="Column7779"/>
    <tableColumn id="7794" xr3:uid="{2B58D4CB-873E-49F9-829D-06B8B1C3E2CB}" name="Column7780"/>
    <tableColumn id="7795" xr3:uid="{51AEA9EA-6912-4F2A-9853-131C405ECAF9}" name="Column7781"/>
    <tableColumn id="7796" xr3:uid="{AFFCC342-7C00-4845-BA2C-83763F9EB8C7}" name="Column7782"/>
    <tableColumn id="7797" xr3:uid="{9AE3C641-EB24-45A1-82FF-5227F244C445}" name="Column7783"/>
    <tableColumn id="7798" xr3:uid="{F727FE12-1ECF-4E5B-BA90-6065ABF38B51}" name="Column7784"/>
    <tableColumn id="7799" xr3:uid="{FE3B6181-1160-4600-9095-2441947BCB5C}" name="Column7785"/>
    <tableColumn id="7800" xr3:uid="{DF5D611C-C172-43C5-B506-6B5E5CA373EA}" name="Column7786"/>
    <tableColumn id="7801" xr3:uid="{FA51F149-5F61-4960-BD17-BCDDC015EA91}" name="Column7787"/>
    <tableColumn id="7802" xr3:uid="{DAFD0D91-916C-4D77-A8EC-1F17242FB4EC}" name="Column7788"/>
    <tableColumn id="7803" xr3:uid="{1E532314-6C0C-4082-B215-3919EB16021F}" name="Column7789"/>
    <tableColumn id="7804" xr3:uid="{55C48A6A-C087-4334-AF43-AE9FB30A1DC1}" name="Column7790"/>
    <tableColumn id="7805" xr3:uid="{84316309-5EF6-4609-85DF-A46403354DAF}" name="Column7791"/>
    <tableColumn id="7806" xr3:uid="{E521B5C7-3095-46E8-A0E8-09D95D72DC3C}" name="Column7792"/>
    <tableColumn id="7807" xr3:uid="{A8F85023-0FD1-4267-94D1-EED62E542792}" name="Column7793"/>
    <tableColumn id="7808" xr3:uid="{8C6A4218-22B3-43C3-8801-BEE208828995}" name="Column7794"/>
    <tableColumn id="7809" xr3:uid="{27F85E43-75D3-4879-A61A-B96C8BF201D7}" name="Column7795"/>
    <tableColumn id="7810" xr3:uid="{A3DB2B2D-FCA9-46C5-A78A-BBE98594FA19}" name="Column7796"/>
    <tableColumn id="7811" xr3:uid="{BC94E38A-2BB0-48AD-854D-433548CD2240}" name="Column7797"/>
    <tableColumn id="7812" xr3:uid="{9B5EA168-4068-4B33-8FB7-D650EC1DAE9C}" name="Column7798"/>
    <tableColumn id="7813" xr3:uid="{6E1C7B80-E86D-4CDA-95B8-F8BD3820AC79}" name="Column7799"/>
    <tableColumn id="7814" xr3:uid="{BB1B9EFB-967D-4DA1-B049-BEFF0C23983B}" name="Column7800"/>
    <tableColumn id="7815" xr3:uid="{6DD37039-CD02-4D08-BAA4-3B133D11DD35}" name="Column7801"/>
    <tableColumn id="7816" xr3:uid="{ED8FC081-650C-44F7-AF40-B5C9E2E03FCB}" name="Column7802"/>
    <tableColumn id="7817" xr3:uid="{8D6ED7C2-23BD-495E-881E-5969330CD2A2}" name="Column7803"/>
    <tableColumn id="7818" xr3:uid="{9404CE77-A8BF-486C-A913-7F21C9B3B7B2}" name="Column7804"/>
    <tableColumn id="7819" xr3:uid="{8E186E2F-8291-4D7E-A41E-F19635F7EE03}" name="Column7805"/>
    <tableColumn id="7820" xr3:uid="{D6FFEC04-C210-43AD-9EA8-7C93483307AB}" name="Column7806"/>
    <tableColumn id="7821" xr3:uid="{A8A485D5-81F5-4C7A-BE9B-6B6D6F07990F}" name="Column7807"/>
    <tableColumn id="7822" xr3:uid="{4D0006A1-1AD8-43E6-BD7F-2E73BC7241EF}" name="Column7808"/>
    <tableColumn id="7823" xr3:uid="{9DE417CF-8374-441F-8E89-6A4ECA7BAA05}" name="Column7809"/>
    <tableColumn id="7824" xr3:uid="{FA946FC8-9324-40DB-8AEF-3D260FF5202F}" name="Column7810"/>
    <tableColumn id="7825" xr3:uid="{F111BF48-6CD5-4735-BCE7-7CB7619E95A3}" name="Column7811"/>
    <tableColumn id="7826" xr3:uid="{811DE6E3-B5B3-496F-A42B-2E18EED08556}" name="Column7812"/>
    <tableColumn id="7827" xr3:uid="{9C871906-6F81-41E8-AAF1-3D0B8BA71787}" name="Column7813"/>
    <tableColumn id="7828" xr3:uid="{6F6E2185-F396-4433-9625-5FFF1806C73C}" name="Column7814"/>
    <tableColumn id="7829" xr3:uid="{540EAD09-D428-440C-B31C-1C7BFE6A904D}" name="Column7815"/>
    <tableColumn id="7830" xr3:uid="{418168C5-17DD-4DCB-88AE-5DCC8B552608}" name="Column7816"/>
    <tableColumn id="7831" xr3:uid="{92D837D8-D098-4100-A5C2-C0AA9CBC4844}" name="Column7817"/>
    <tableColumn id="7832" xr3:uid="{B56DDA71-02DA-404C-B78E-F79D9C5DF571}" name="Column7818"/>
    <tableColumn id="7833" xr3:uid="{48A07DEB-7B3D-42FB-900E-D7A2185875A0}" name="Column7819"/>
    <tableColumn id="7834" xr3:uid="{C12DB0DC-127C-4F1C-9871-D0BAE8ABF7D6}" name="Column7820"/>
    <tableColumn id="7835" xr3:uid="{D5A43E31-769D-4C8D-9ACC-D4D2234E6454}" name="Column7821"/>
    <tableColumn id="7836" xr3:uid="{5511BC29-4B56-4279-8E8E-1FCC42F7CF37}" name="Column7822"/>
    <tableColumn id="7837" xr3:uid="{CDBF5704-5641-421E-B856-DD1FA2116561}" name="Column7823"/>
    <tableColumn id="7838" xr3:uid="{B36E46E0-445B-41F9-8288-D11F70199DE0}" name="Column7824"/>
    <tableColumn id="7839" xr3:uid="{3FCAA95B-A72D-4E8A-AED8-9E243E84114B}" name="Column7825"/>
    <tableColumn id="7840" xr3:uid="{A445A8D4-2938-45F1-9B97-73CAB4B308C0}" name="Column7826"/>
    <tableColumn id="7841" xr3:uid="{397CD8B1-3C8D-49E3-8227-ABF9C1E2B6A6}" name="Column7827"/>
    <tableColumn id="7842" xr3:uid="{55128EB5-24EB-492D-81A5-3BD61A4C9241}" name="Column7828"/>
    <tableColumn id="7843" xr3:uid="{29A93650-2C68-4496-8568-2C535A2BDAEA}" name="Column7829"/>
    <tableColumn id="7844" xr3:uid="{6DE1A3F1-FD9A-4F2F-AE31-259541E57C85}" name="Column7830"/>
    <tableColumn id="7845" xr3:uid="{19BA3163-C751-4F82-883F-601AF070B16C}" name="Column7831"/>
    <tableColumn id="7846" xr3:uid="{DF12E6DE-1587-4359-B101-533A9C5E4A41}" name="Column7832"/>
    <tableColumn id="7847" xr3:uid="{ED069133-ADFD-4B2A-B054-8969049A3EAA}" name="Column7833"/>
    <tableColumn id="7848" xr3:uid="{023EAA05-C404-4CB9-AA4F-35C8151297B2}" name="Column7834"/>
    <tableColumn id="7849" xr3:uid="{6CD12001-9345-43F3-B89B-9324B76757FB}" name="Column7835"/>
    <tableColumn id="7850" xr3:uid="{5DCE46B3-8356-493A-A8E2-389FAA2FCC32}" name="Column7836"/>
    <tableColumn id="7851" xr3:uid="{58512B8D-8E69-4FE7-8BA3-32792C0139D8}" name="Column7837"/>
    <tableColumn id="7852" xr3:uid="{009D1136-8050-4F43-A9BC-109A50739AF8}" name="Column7838"/>
    <tableColumn id="7853" xr3:uid="{62B467F1-BF2F-4443-9565-C161479CEC1E}" name="Column7839"/>
    <tableColumn id="7854" xr3:uid="{E83ADBA7-1C48-4DA7-A42C-143C6F06403C}" name="Column7840"/>
    <tableColumn id="7855" xr3:uid="{0BE28292-F300-41A6-ABE2-E3BE4A51A5FE}" name="Column7841"/>
    <tableColumn id="7856" xr3:uid="{7D1A9CF2-886E-4ED2-90B9-C2E59D15566F}" name="Column7842"/>
    <tableColumn id="7857" xr3:uid="{57B30A09-142D-4821-A911-35E5B527614D}" name="Column7843"/>
    <tableColumn id="7858" xr3:uid="{CFA660D5-D8FF-42A7-BAF2-B15E30304BB3}" name="Column7844"/>
    <tableColumn id="7859" xr3:uid="{0BEE3FD8-9A69-4C25-8C4E-E0C2A50B195B}" name="Column7845"/>
    <tableColumn id="7860" xr3:uid="{A3CC256D-46DD-413C-AC21-99B32801DB5A}" name="Column7846"/>
    <tableColumn id="7861" xr3:uid="{CCB61065-601B-430C-B64B-37380A5B9DD7}" name="Column7847"/>
    <tableColumn id="7862" xr3:uid="{14743335-CA7A-46C2-B474-BE4967DE1520}" name="Column7848"/>
    <tableColumn id="7863" xr3:uid="{0452305C-66B3-49AC-82BD-17A83A1CC477}" name="Column7849"/>
    <tableColumn id="7864" xr3:uid="{25F325DF-5186-4D06-BCC3-20303B15531D}" name="Column7850"/>
    <tableColumn id="7865" xr3:uid="{0C21CD59-1947-45D6-90AD-BF7FBED64C00}" name="Column7851"/>
    <tableColumn id="7866" xr3:uid="{BF1D3075-FED1-4205-9B5C-764BBFDC83AC}" name="Column7852"/>
    <tableColumn id="7867" xr3:uid="{4B6D4A1F-EE2C-4026-8274-A52D6404B6D3}" name="Column7853"/>
    <tableColumn id="7868" xr3:uid="{EB17F640-C7BE-4DA5-9C6E-7A75BC486EFF}" name="Column7854"/>
    <tableColumn id="7869" xr3:uid="{1C1ED9E8-58ED-4462-9351-7B0F7F4D283F}" name="Column7855"/>
    <tableColumn id="7870" xr3:uid="{0FAE7082-06F3-4592-955E-D25BE9C41396}" name="Column7856"/>
    <tableColumn id="7871" xr3:uid="{DA5DAFCF-9041-456D-B54E-C2CE7276FD53}" name="Column7857"/>
    <tableColumn id="7872" xr3:uid="{E715D5CC-ED26-4001-B9DD-6CD930B0B678}" name="Column7858"/>
    <tableColumn id="7873" xr3:uid="{AAC68A96-4FC0-46E8-90EF-5A94A450902B}" name="Column7859"/>
    <tableColumn id="7874" xr3:uid="{C145C0B1-F708-4FF7-8714-7C63012B6512}" name="Column7860"/>
    <tableColumn id="7875" xr3:uid="{10FBDD15-722E-4300-AE29-FA1AC3B9B4EA}" name="Column7861"/>
    <tableColumn id="7876" xr3:uid="{051E75EB-AA4F-4EB1-A410-76DF604E9D40}" name="Column7862"/>
    <tableColumn id="7877" xr3:uid="{A02B808D-3961-410D-A4E8-B5BEEE86A8A3}" name="Column7863"/>
    <tableColumn id="7878" xr3:uid="{E9593979-62EB-45D6-9494-6E3A55C09DE6}" name="Column7864"/>
    <tableColumn id="7879" xr3:uid="{8D552507-4FCA-4B4E-8304-FF8F64A5459C}" name="Column7865"/>
    <tableColumn id="7880" xr3:uid="{644EDF53-6510-4E90-9804-56BDFD2F7981}" name="Column7866"/>
    <tableColumn id="7881" xr3:uid="{68B6DFF2-83FD-45EC-AD88-EB102264D649}" name="Column7867"/>
    <tableColumn id="7882" xr3:uid="{B44FC19F-17A4-40D2-BF3C-5DCA13FF4FE5}" name="Column7868"/>
    <tableColumn id="7883" xr3:uid="{EACC7684-1D58-47AE-95D9-ACEDF88938AF}" name="Column7869"/>
    <tableColumn id="7884" xr3:uid="{1F92B67C-0D37-408F-8F62-21B3C9D3325A}" name="Column7870"/>
    <tableColumn id="7885" xr3:uid="{9BB95D81-3A47-4F33-A596-D5848E0BF104}" name="Column7871"/>
    <tableColumn id="7886" xr3:uid="{22A9E8A5-AC42-4C11-B8E1-B3FCE9803CC8}" name="Column7872"/>
    <tableColumn id="7887" xr3:uid="{B4F4C13F-EFD1-4B11-B41C-4E44BB164246}" name="Column7873"/>
    <tableColumn id="7888" xr3:uid="{2526C6FB-1443-4FC7-80CD-CEBE1A38CFB4}" name="Column7874"/>
    <tableColumn id="7889" xr3:uid="{D9F980B4-6026-408D-A07B-1814AA229C03}" name="Column7875"/>
    <tableColumn id="7890" xr3:uid="{34D41BEA-E26B-44A2-8C66-98606F381A70}" name="Column7876"/>
    <tableColumn id="7891" xr3:uid="{36985424-2385-4B59-93F8-6CEAA64086D5}" name="Column7877"/>
    <tableColumn id="7892" xr3:uid="{23BCF4D7-CF19-4DF1-BA96-CF7DECE86229}" name="Column7878"/>
    <tableColumn id="7893" xr3:uid="{7A93E157-5216-4D89-816E-178225FFF687}" name="Column7879"/>
    <tableColumn id="7894" xr3:uid="{F89209E3-8491-451E-97E1-CF1888FCCE9F}" name="Column7880"/>
    <tableColumn id="7895" xr3:uid="{FF76F90C-408F-4353-8C39-1169B8165CC6}" name="Column7881"/>
    <tableColumn id="7896" xr3:uid="{C5F96137-541F-4B4B-8277-E4841B1DCDC6}" name="Column7882"/>
    <tableColumn id="7897" xr3:uid="{3B149FE2-31AF-43BA-80ED-2C82DDE7E149}" name="Column7883"/>
    <tableColumn id="7898" xr3:uid="{20827144-FAC5-4FB6-9B21-BC795674F70E}" name="Column7884"/>
    <tableColumn id="7899" xr3:uid="{2A3D40B8-5A31-4DBB-B5FC-2368256D242A}" name="Column7885"/>
    <tableColumn id="7900" xr3:uid="{F956EB0A-3F5B-43E2-9379-03F50D78910C}" name="Column7886"/>
    <tableColumn id="7901" xr3:uid="{AD87F1AC-8E17-47B8-9585-CFBEC71DFB8E}" name="Column7887"/>
    <tableColumn id="7902" xr3:uid="{DB8EC455-4F0B-41A2-9F0E-CA1A99D7FC0E}" name="Column7888"/>
    <tableColumn id="7903" xr3:uid="{051D55B1-8FC8-4C0C-B6CE-DC0E8DD752AE}" name="Column7889"/>
    <tableColumn id="7904" xr3:uid="{C2841E3E-C1D4-4A4F-BCEE-B438F6FDB4DA}" name="Column7890"/>
    <tableColumn id="7905" xr3:uid="{A9F3A765-4579-464A-87C1-751D2964171F}" name="Column7891"/>
    <tableColumn id="7906" xr3:uid="{503BAB2C-C7B8-4823-91E3-EA5E2FCAF70D}" name="Column7892"/>
    <tableColumn id="7907" xr3:uid="{DBD84939-C4C7-42A1-9608-ECD24BA8F72B}" name="Column7893"/>
    <tableColumn id="7908" xr3:uid="{72136BAF-EBA1-4461-A797-C1820457A0D3}" name="Column7894"/>
    <tableColumn id="7909" xr3:uid="{94DC2535-EFC2-40F9-BE7C-F62187DBCF8D}" name="Column7895"/>
    <tableColumn id="7910" xr3:uid="{188C45B7-53C4-4B06-A19B-2B1AEC850425}" name="Column7896"/>
    <tableColumn id="7911" xr3:uid="{FFE65713-B092-4AA6-976C-477075107A7C}" name="Column7897"/>
    <tableColumn id="7912" xr3:uid="{584AF6D9-E2FC-4949-AA8F-A83807240D29}" name="Column7898"/>
    <tableColumn id="7913" xr3:uid="{46ACBDDA-1CEB-4A54-AAB0-176BE8ED7F2D}" name="Column7899"/>
    <tableColumn id="7914" xr3:uid="{410CD776-A30A-4CDF-B3EA-5C0C512C8E2A}" name="Column7900"/>
    <tableColumn id="7915" xr3:uid="{8D0BCF6D-C0CB-4C75-8A13-9F8CD0980FA2}" name="Column7901"/>
    <tableColumn id="7916" xr3:uid="{0874FCA2-EB5C-4B7D-B4F7-37398191C7A6}" name="Column7902"/>
    <tableColumn id="7917" xr3:uid="{38B040DD-1B23-43BC-AF0E-8426DF6F062C}" name="Column7903"/>
    <tableColumn id="7918" xr3:uid="{45D7325D-18C3-472C-BC1E-F248A6DCCB2B}" name="Column7904"/>
    <tableColumn id="7919" xr3:uid="{565503AB-DAD4-4587-BED7-E3882C6AC64E}" name="Column7905"/>
    <tableColumn id="7920" xr3:uid="{14FA430B-62F7-48A3-BD63-C142585232F9}" name="Column7906"/>
    <tableColumn id="7921" xr3:uid="{225CAF0B-BAC7-470D-968D-5D58B952EB47}" name="Column7907"/>
    <tableColumn id="7922" xr3:uid="{64997A04-5BD8-4889-B5F6-AE812D4BA4BA}" name="Column7908"/>
    <tableColumn id="7923" xr3:uid="{F97EB748-D5E4-492C-97D0-50DB97F5AAE5}" name="Column7909"/>
    <tableColumn id="7924" xr3:uid="{9518EB39-B36E-40D0-96F5-73C538B6AC6E}" name="Column7910"/>
    <tableColumn id="7925" xr3:uid="{69B91A5E-EBA4-4A77-ACA7-C635D32734BE}" name="Column7911"/>
    <tableColumn id="7926" xr3:uid="{4A7FEA27-817A-41E4-BD3E-439BB668509A}" name="Column7912"/>
    <tableColumn id="7927" xr3:uid="{54445027-DA9D-48A9-800D-0323FAF1649E}" name="Column7913"/>
    <tableColumn id="7928" xr3:uid="{5D6E7F09-EC7F-4802-B007-54F22D24D39D}" name="Column7914"/>
    <tableColumn id="7929" xr3:uid="{8F4124CD-94DF-4794-86EF-F1684E8911B3}" name="Column7915"/>
    <tableColumn id="7930" xr3:uid="{851AB86E-C3CA-47C9-9FB4-F1752F814086}" name="Column7916"/>
    <tableColumn id="7931" xr3:uid="{3C4125BE-B733-4151-8CA7-C1FB67C62A5E}" name="Column7917"/>
    <tableColumn id="7932" xr3:uid="{BA62BF7F-70F2-40E2-91BC-2C42396FEEC3}" name="Column7918"/>
    <tableColumn id="7933" xr3:uid="{91A815C8-75AC-4953-AE0F-496E263EA9E7}" name="Column7919"/>
    <tableColumn id="7934" xr3:uid="{6954E478-4276-4A31-8874-E8DF33CE2F0B}" name="Column7920"/>
    <tableColumn id="7935" xr3:uid="{3016DF3C-6B34-4E53-927F-B45D6CA18E18}" name="Column7921"/>
    <tableColumn id="7936" xr3:uid="{B4AEA7B2-9A13-4158-BA96-32F28432B2AE}" name="Column7922"/>
    <tableColumn id="7937" xr3:uid="{2059ABBB-AD2F-40FE-BBF9-3B52A9BCF8A8}" name="Column7923"/>
    <tableColumn id="7938" xr3:uid="{CC665ED9-6140-4DB0-B5EB-25898D0ADE73}" name="Column7924"/>
    <tableColumn id="7939" xr3:uid="{FCEB10A8-BFFD-4F33-AB1E-B979432AA5B7}" name="Column7925"/>
    <tableColumn id="7940" xr3:uid="{B5E9754D-D3C0-42EC-93E7-118B707A0E4E}" name="Column7926"/>
    <tableColumn id="7941" xr3:uid="{D6264BA5-E62F-458C-9B78-86EF54975B59}" name="Column7927"/>
    <tableColumn id="7942" xr3:uid="{D8B4C519-CED1-4360-801F-7B26B2E56386}" name="Column7928"/>
    <tableColumn id="7943" xr3:uid="{23C8B66D-806B-4A47-BD94-F9B0F186333C}" name="Column7929"/>
    <tableColumn id="7944" xr3:uid="{C6E0097B-5E0F-4A64-8C25-390F3A029274}" name="Column7930"/>
    <tableColumn id="7945" xr3:uid="{48792B7D-742F-4312-BC78-15F8CDB3F545}" name="Column7931"/>
    <tableColumn id="7946" xr3:uid="{52F0E402-7CCA-4439-8A01-8C1CA993FBED}" name="Column7932"/>
    <tableColumn id="7947" xr3:uid="{9F9D030C-CD59-4CE2-ABC2-30F10F5E127D}" name="Column7933"/>
    <tableColumn id="7948" xr3:uid="{9D4E61A9-D9D6-4396-AF1E-CB7FE88F415C}" name="Column7934"/>
    <tableColumn id="7949" xr3:uid="{A2525850-53B8-47F6-9E2E-DB9A4A789240}" name="Column7935"/>
    <tableColumn id="7950" xr3:uid="{12EB61A7-C642-492F-A6F2-F5791E72B52E}" name="Column7936"/>
    <tableColumn id="7951" xr3:uid="{2C3612CA-8452-43F4-B453-E582A27F8F04}" name="Column7937"/>
    <tableColumn id="7952" xr3:uid="{D2155EC2-A6BA-4FDB-9FBD-B90F57D33B5E}" name="Column7938"/>
    <tableColumn id="7953" xr3:uid="{491FC041-3357-46DF-B0DA-D3F170DB5F91}" name="Column7939"/>
    <tableColumn id="7954" xr3:uid="{B6C03CA4-3EB0-4698-A29D-77BF8D24E17E}" name="Column7940"/>
    <tableColumn id="7955" xr3:uid="{49AEAF66-9DC3-47B5-90BE-FE6D7FA1579A}" name="Column7941"/>
    <tableColumn id="7956" xr3:uid="{2B6A0DC1-06AE-4854-A258-AA54BC95B4EB}" name="Column7942"/>
    <tableColumn id="7957" xr3:uid="{EDAC147D-F848-4EA2-9B8F-103BB43296B2}" name="Column7943"/>
    <tableColumn id="7958" xr3:uid="{7BE7B6D5-467D-4C14-9DE6-BBA43308048F}" name="Column7944"/>
    <tableColumn id="7959" xr3:uid="{573C04A6-6FDC-4E39-BB45-FEA65E902AA5}" name="Column7945"/>
    <tableColumn id="7960" xr3:uid="{3EB6BA07-484A-4AF0-9550-DAF6F139E3DB}" name="Column7946"/>
    <tableColumn id="7961" xr3:uid="{3F832876-CCD8-404B-9AAA-F300D6797E2D}" name="Column7947"/>
    <tableColumn id="7962" xr3:uid="{D8BE13C3-D198-451C-8380-00DE93435ED8}" name="Column7948"/>
    <tableColumn id="7963" xr3:uid="{4AAE35DE-F4AD-4182-9FEF-7DAF574750D2}" name="Column7949"/>
    <tableColumn id="7964" xr3:uid="{00EF3269-10CE-444A-B111-913FBC4B8225}" name="Column7950"/>
    <tableColumn id="7965" xr3:uid="{E348DC68-AF50-4563-A45F-2A2100DCA280}" name="Column7951"/>
    <tableColumn id="7966" xr3:uid="{3E832154-BB98-47DD-8DA3-7D76E0F69F9E}" name="Column7952"/>
    <tableColumn id="7967" xr3:uid="{0DD6F97E-FE95-471E-92FE-0530AF4B0009}" name="Column7953"/>
    <tableColumn id="7968" xr3:uid="{2EFCE865-9AAB-41AE-B553-D52FA02938B8}" name="Column7954"/>
    <tableColumn id="7969" xr3:uid="{70248A34-F868-4055-8620-1724745B04ED}" name="Column7955"/>
    <tableColumn id="7970" xr3:uid="{1B60B845-3379-4B8B-BD71-8647CF7FBF66}" name="Column7956"/>
    <tableColumn id="7971" xr3:uid="{B6C1224E-096D-4C27-85F2-97584028A56F}" name="Column7957"/>
    <tableColumn id="7972" xr3:uid="{C46DFF96-2FD6-48FB-AC00-7D2F474582DF}" name="Column7958"/>
    <tableColumn id="7973" xr3:uid="{754E2AD9-B7B8-4563-BE5C-127D34B7FE0D}" name="Column7959"/>
    <tableColumn id="7974" xr3:uid="{4A61735C-66BC-4501-B3F9-B47BF02EF2FE}" name="Column7960"/>
    <tableColumn id="7975" xr3:uid="{007C2A9A-7617-4ADF-A0A3-E21BCCA92AF1}" name="Column7961"/>
    <tableColumn id="7976" xr3:uid="{281601D0-5DA3-4E04-9522-3095856DD49C}" name="Column7962"/>
    <tableColumn id="7977" xr3:uid="{311B338B-A041-418D-96C4-5096571B7AF4}" name="Column7963"/>
    <tableColumn id="7978" xr3:uid="{5B2B5E6E-6DC1-4C0B-BB93-61F1E6834FAC}" name="Column7964"/>
    <tableColumn id="7979" xr3:uid="{A4AD4E36-12E5-4126-A064-DEF9E1DA3594}" name="Column7965"/>
    <tableColumn id="7980" xr3:uid="{F0D326B1-08B3-4060-849E-A3BA95E2F2E4}" name="Column7966"/>
    <tableColumn id="7981" xr3:uid="{29962C5B-D1A2-47A1-81E8-85EE19BFD283}" name="Column7967"/>
    <tableColumn id="7982" xr3:uid="{6E1E6429-C108-444C-9144-FB1633D10128}" name="Column7968"/>
    <tableColumn id="7983" xr3:uid="{36D15FE6-EEA7-46D2-82D9-542C5A66B6B0}" name="Column7969"/>
    <tableColumn id="7984" xr3:uid="{F6F9EA71-20D0-466C-815C-BA1B6A33FA8A}" name="Column7970"/>
    <tableColumn id="7985" xr3:uid="{72DF4BA9-EB6E-4973-815A-94F97F74885D}" name="Column7971"/>
    <tableColumn id="7986" xr3:uid="{FBC21280-D2AD-477A-92CE-1B576362CBD4}" name="Column7972"/>
    <tableColumn id="7987" xr3:uid="{D8EB0059-1D6D-4186-B566-436D63EEEBD4}" name="Column7973"/>
    <tableColumn id="7988" xr3:uid="{35FF0DD0-61D2-4804-BC99-998DD60099F7}" name="Column7974"/>
    <tableColumn id="7989" xr3:uid="{BF413223-A033-4B8C-96FD-2FBD5AEA3C42}" name="Column7975"/>
    <tableColumn id="7990" xr3:uid="{00EA737B-75AA-4EF2-8999-6E67DD8011DF}" name="Column7976"/>
    <tableColumn id="7991" xr3:uid="{8E00398D-8D7E-4980-86B5-ABEE15C719E8}" name="Column7977"/>
    <tableColumn id="7992" xr3:uid="{BCEE96C9-6CC7-4EBA-A420-CB6230A615D3}" name="Column7978"/>
    <tableColumn id="7993" xr3:uid="{FEC1DEEF-2D46-4C2B-A19D-F5CB7003424D}" name="Column7979"/>
    <tableColumn id="7994" xr3:uid="{B4E686BC-D009-4276-8865-71DACCCAF012}" name="Column7980"/>
    <tableColumn id="7995" xr3:uid="{CC83907C-625F-4D47-B4D1-847C802BA581}" name="Column7981"/>
    <tableColumn id="7996" xr3:uid="{DC241C92-0744-4E68-9559-873B323E8DAE}" name="Column7982"/>
    <tableColumn id="7997" xr3:uid="{D8B86299-08C8-4591-A891-C261E9163C8C}" name="Column7983"/>
    <tableColumn id="7998" xr3:uid="{ED49730A-C2CB-43A2-96C5-1441223D7F5C}" name="Column7984"/>
    <tableColumn id="7999" xr3:uid="{9CD9BB00-47F4-453D-A8D4-66805BCC16F7}" name="Column7985"/>
    <tableColumn id="8000" xr3:uid="{20DFBB3B-6625-479B-B536-F3F62ADDEE38}" name="Column7986"/>
    <tableColumn id="8001" xr3:uid="{B8799257-6086-4D83-803D-6E77D69A77A2}" name="Column7987"/>
    <tableColumn id="8002" xr3:uid="{A42A1C2C-8A29-44B0-874D-EDB7ACBD1578}" name="Column7988"/>
    <tableColumn id="8003" xr3:uid="{C97CA6F7-1CEC-49A8-BD33-7456716E8C95}" name="Column7989"/>
    <tableColumn id="8004" xr3:uid="{5FD0802C-EC46-487D-8668-87C9BD83FA0E}" name="Column7990"/>
    <tableColumn id="8005" xr3:uid="{B14697CC-C0C7-4439-B800-68C83E763869}" name="Column7991"/>
    <tableColumn id="8006" xr3:uid="{AACD98AB-9147-48F0-876A-036E2032C472}" name="Column7992"/>
    <tableColumn id="8007" xr3:uid="{55CCE690-82C5-48A2-9F65-72F5B5EA1081}" name="Column7993"/>
    <tableColumn id="8008" xr3:uid="{6A3CB71A-C46E-4F15-AA9A-EC466B0602E2}" name="Column7994"/>
    <tableColumn id="8009" xr3:uid="{7AA8D632-6BFF-46CB-84AF-50915B257FB3}" name="Column7995"/>
    <tableColumn id="8010" xr3:uid="{1EAA125F-4249-4090-AABE-C3A2DD929A3B}" name="Column7996"/>
    <tableColumn id="8011" xr3:uid="{756CF2BC-7AA8-4546-9113-D0F09E6B4899}" name="Column7997"/>
    <tableColumn id="8012" xr3:uid="{744F919D-14D4-45EC-A63E-DDE717EA86B1}" name="Column7998"/>
    <tableColumn id="8013" xr3:uid="{7F8BDCF8-DA70-44E2-88B6-F557F753546D}" name="Column7999"/>
    <tableColumn id="8014" xr3:uid="{71BE0E78-0A0F-4466-BECB-F0BC586C2EEF}" name="Column8000"/>
    <tableColumn id="8015" xr3:uid="{CD2C1CCA-82A8-4DC3-84DC-B9F4AE2FB5BF}" name="Column8001"/>
    <tableColumn id="8016" xr3:uid="{2B958E45-CF49-4DFE-A4E8-FF3BD40DFEDE}" name="Column8002"/>
    <tableColumn id="8017" xr3:uid="{5F9C3A8D-3CE9-422E-95DA-7D7CC31E899B}" name="Column8003"/>
    <tableColumn id="8018" xr3:uid="{FB00CC22-58AF-4709-B422-79C87E6ACC10}" name="Column8004"/>
    <tableColumn id="8019" xr3:uid="{13E4C6CC-B1ED-4817-9567-0F2AB9D7CC5B}" name="Column8005"/>
    <tableColumn id="8020" xr3:uid="{5302F691-38FC-4CCD-999C-164177068347}" name="Column8006"/>
    <tableColumn id="8021" xr3:uid="{1B4A36F0-F30B-4525-934B-2D0E3C5D3D21}" name="Column8007"/>
    <tableColumn id="8022" xr3:uid="{6DD0782C-8AFE-4EA2-899A-147EEADCC8C3}" name="Column8008"/>
    <tableColumn id="8023" xr3:uid="{1817C4F2-EE79-41F5-BE5E-6A6C9203B08E}" name="Column8009"/>
    <tableColumn id="8024" xr3:uid="{7332904D-2E6F-47EF-9986-3D3FE0349364}" name="Column8010"/>
    <tableColumn id="8025" xr3:uid="{17AF1FF2-E885-4DC4-8AC8-B8F8139A94B3}" name="Column8011"/>
    <tableColumn id="8026" xr3:uid="{BB9B6F33-DD95-4E0F-B05D-AEE286622844}" name="Column8012"/>
    <tableColumn id="8027" xr3:uid="{6FC5D8A9-21E5-49DC-BEE1-0A800D3F49AE}" name="Column8013"/>
    <tableColumn id="8028" xr3:uid="{6A439EDF-830E-42F3-84C7-1A589AF41BF9}" name="Column8014"/>
    <tableColumn id="8029" xr3:uid="{F264BFD0-E47E-4C41-AD4B-1C0F5F0077CB}" name="Column8015"/>
    <tableColumn id="8030" xr3:uid="{FEE41B90-1CD1-404C-9E25-BA1FB7E2AEC5}" name="Column8016"/>
    <tableColumn id="8031" xr3:uid="{55D9664A-BEC7-492B-A5E0-38AE5AACA70B}" name="Column8017"/>
    <tableColumn id="8032" xr3:uid="{0CD706CE-142B-49B2-88DD-293A2DFE7950}" name="Column8018"/>
    <tableColumn id="8033" xr3:uid="{83B08ABF-6158-4B9B-BA40-169744CF5DBE}" name="Column8019"/>
    <tableColumn id="8034" xr3:uid="{829369AE-E4A1-4F99-B539-7B58231C8A5E}" name="Column8020"/>
    <tableColumn id="8035" xr3:uid="{AC623C21-6339-43B8-8D09-E866BD36DA6F}" name="Column8021"/>
    <tableColumn id="8036" xr3:uid="{1099DD09-CE5B-4DBD-945C-912E64BCDFC1}" name="Column8022"/>
    <tableColumn id="8037" xr3:uid="{C5E68CD9-92CB-46FC-959B-28E407AA9E23}" name="Column8023"/>
    <tableColumn id="8038" xr3:uid="{A6726495-85BD-4E89-AE81-1F9D200B28F7}" name="Column8024"/>
    <tableColumn id="8039" xr3:uid="{26DB389F-E56B-447C-8335-633B794E3795}" name="Column8025"/>
    <tableColumn id="8040" xr3:uid="{37F062FC-7A9E-416D-9328-61CD54BE7B50}" name="Column8026"/>
    <tableColumn id="8041" xr3:uid="{F5561E95-22C8-42A7-9921-3BB2E399994B}" name="Column8027"/>
    <tableColumn id="8042" xr3:uid="{6BC12D6B-D8D4-4600-AD99-129C0635F615}" name="Column8028"/>
    <tableColumn id="8043" xr3:uid="{DC885CA9-37C0-4EFC-93EE-030929D0C198}" name="Column8029"/>
    <tableColumn id="8044" xr3:uid="{8AB502A9-0326-4E13-A454-CEF203C9775C}" name="Column8030"/>
    <tableColumn id="8045" xr3:uid="{27DA04F7-3F43-4138-A559-6AC5DE422290}" name="Column8031"/>
    <tableColumn id="8046" xr3:uid="{ECBD4B6C-362B-4742-B11B-AE719C766F89}" name="Column8032"/>
    <tableColumn id="8047" xr3:uid="{8907E064-FECE-44D1-90AD-83B908C6CB39}" name="Column8033"/>
    <tableColumn id="8048" xr3:uid="{F6A0E6EF-BFF6-47A3-AC37-272BAA1CA94E}" name="Column8034"/>
    <tableColumn id="8049" xr3:uid="{3FF4E5D9-89BC-4DB9-B7F5-C0CEC280976C}" name="Column8035"/>
    <tableColumn id="8050" xr3:uid="{3439FB43-DDD1-44A9-86AB-08875179159F}" name="Column8036"/>
    <tableColumn id="8051" xr3:uid="{4ADDA557-F339-4CE7-9F4D-3C9A2D04B65F}" name="Column8037"/>
    <tableColumn id="8052" xr3:uid="{3934C860-2637-4199-9E9B-B3B578246EE7}" name="Column8038"/>
    <tableColumn id="8053" xr3:uid="{060C09D9-142E-4C1F-A5AD-BC34C84D7F7D}" name="Column8039"/>
    <tableColumn id="8054" xr3:uid="{13B95D39-38BC-4E16-86EF-74812565E22B}" name="Column8040"/>
    <tableColumn id="8055" xr3:uid="{9723B46E-0919-4E34-B623-156F605492F7}" name="Column8041"/>
    <tableColumn id="8056" xr3:uid="{6CBF55C1-9C08-4B46-8DA5-26BFC3287130}" name="Column8042"/>
    <tableColumn id="8057" xr3:uid="{377D33CB-F73E-4667-A845-5EB9FF432636}" name="Column8043"/>
    <tableColumn id="8058" xr3:uid="{C22DED31-0402-4BF0-87F1-4E35F28CAF57}" name="Column8044"/>
    <tableColumn id="8059" xr3:uid="{4EF104BB-B8FB-46A2-BF4F-23632181D063}" name="Column8045"/>
    <tableColumn id="8060" xr3:uid="{5EA640F4-32FD-407F-B5BD-C55C64EA7A1D}" name="Column8046"/>
    <tableColumn id="8061" xr3:uid="{FDCBBF34-2B3E-4E5D-A4E1-5266F9ED6FB9}" name="Column8047"/>
    <tableColumn id="8062" xr3:uid="{5BCE5FE5-2CEE-4CC6-A3D3-64C4AA50B119}" name="Column8048"/>
    <tableColumn id="8063" xr3:uid="{EA4DD14C-73F5-4578-B1C4-0158EB9621A2}" name="Column8049"/>
    <tableColumn id="8064" xr3:uid="{CED21C5E-2153-42C0-B40A-937957561768}" name="Column8050"/>
    <tableColumn id="8065" xr3:uid="{C9D020FC-F2F8-45CD-B100-6FF2E06FEE86}" name="Column8051"/>
    <tableColumn id="8066" xr3:uid="{D124B73D-A393-42CE-9451-4C28B67FC3B9}" name="Column8052"/>
    <tableColumn id="8067" xr3:uid="{CB75F8DE-0666-47AB-B404-E273E8443984}" name="Column8053"/>
    <tableColumn id="8068" xr3:uid="{9D954DFF-1D8D-4707-838D-DEA394A2381F}" name="Column8054"/>
    <tableColumn id="8069" xr3:uid="{50E763DC-0A81-43AE-866D-633560258A8F}" name="Column8055"/>
    <tableColumn id="8070" xr3:uid="{712497FD-3442-43B0-88BF-B03511AC66BB}" name="Column8056"/>
    <tableColumn id="8071" xr3:uid="{E4D68CE2-04BC-45E7-9FC6-24FAD78FD292}" name="Column8057"/>
    <tableColumn id="8072" xr3:uid="{ABAA4F46-6ADE-463A-AC7C-E76D85735996}" name="Column8058"/>
    <tableColumn id="8073" xr3:uid="{F0395081-3606-4142-989A-59E0CA7923CC}" name="Column8059"/>
    <tableColumn id="8074" xr3:uid="{BF4B618F-85D5-438F-8CC1-BB70D05DD203}" name="Column8060"/>
    <tableColumn id="8075" xr3:uid="{31D28BF6-8648-46CA-85BD-24E4721AF547}" name="Column8061"/>
    <tableColumn id="8076" xr3:uid="{0A7C192D-8014-43FC-BB7C-E2EAC56ADC72}" name="Column8062"/>
    <tableColumn id="8077" xr3:uid="{CB451B19-476A-401B-A008-69FCA71D3444}" name="Column8063"/>
    <tableColumn id="8078" xr3:uid="{DA5DE472-F313-44EE-825E-E4CA2D042EDC}" name="Column8064"/>
    <tableColumn id="8079" xr3:uid="{B9793D54-81EF-45EA-86ED-4E10FA69B9AB}" name="Column8065"/>
    <tableColumn id="8080" xr3:uid="{DD547482-26E6-44D8-BADD-445D670F9ED9}" name="Column8066"/>
    <tableColumn id="8081" xr3:uid="{73516F3B-1B02-418F-9021-E4E1522D0E2D}" name="Column8067"/>
    <tableColumn id="8082" xr3:uid="{B940D74B-E021-452A-8C7B-4E80C1E5EDCD}" name="Column8068"/>
    <tableColumn id="8083" xr3:uid="{25888E76-34F7-4ED3-B3F7-1859320C9E94}" name="Column8069"/>
    <tableColumn id="8084" xr3:uid="{13F1E94C-506D-4A98-939F-4A7190BE5B21}" name="Column8070"/>
    <tableColumn id="8085" xr3:uid="{10243A13-D21A-401A-9278-CA0FE91C7D9B}" name="Column8071"/>
    <tableColumn id="8086" xr3:uid="{087B94E0-D469-4FC5-B867-43348A949567}" name="Column8072"/>
    <tableColumn id="8087" xr3:uid="{9B4E4110-4ADE-455D-9B1B-DA0CBC8AFBB1}" name="Column8073"/>
    <tableColumn id="8088" xr3:uid="{01FBFF03-7325-4725-9EA2-5E5974BCB1E9}" name="Column8074"/>
    <tableColumn id="8089" xr3:uid="{A6D7AF76-24B4-41DD-A27A-2D8FDDB20B4B}" name="Column8075"/>
    <tableColumn id="8090" xr3:uid="{BA1243D4-7F3D-4F4A-B43D-432BE5140B23}" name="Column8076"/>
    <tableColumn id="8091" xr3:uid="{A40FA693-95F9-43A2-9CF5-7297691878C0}" name="Column8077"/>
    <tableColumn id="8092" xr3:uid="{3893A7BC-86D4-4E02-82BD-05F1D87B5AA2}" name="Column8078"/>
    <tableColumn id="8093" xr3:uid="{57F830FD-6C29-4734-A4EA-0BBBEE4B1811}" name="Column8079"/>
    <tableColumn id="8094" xr3:uid="{12433DDF-0F40-4928-91C2-AFA7F9DA5F5D}" name="Column8080"/>
    <tableColumn id="8095" xr3:uid="{3BD600EA-6CE1-4355-B0E6-EE76FBAC2873}" name="Column8081"/>
    <tableColumn id="8096" xr3:uid="{6DA244B8-9713-43AE-9ECF-BCEAF79970AC}" name="Column8082"/>
    <tableColumn id="8097" xr3:uid="{2CA75B22-870B-49E3-94B4-39C36B0145DE}" name="Column8083"/>
    <tableColumn id="8098" xr3:uid="{9AA47649-4AC9-4D53-9CCB-804FED20F288}" name="Column8084"/>
    <tableColumn id="8099" xr3:uid="{9A4D3F27-96DC-4AD3-AD1C-0328335BAA0F}" name="Column8085"/>
    <tableColumn id="8100" xr3:uid="{1EA9B01D-AEC3-435B-9B51-232594A1450C}" name="Column8086"/>
    <tableColumn id="8101" xr3:uid="{3C004FFC-6274-4B75-9B35-B0A97EA24371}" name="Column8087"/>
    <tableColumn id="8102" xr3:uid="{B72E3AA5-2C94-4C4F-B13B-5E93293675CB}" name="Column8088"/>
    <tableColumn id="8103" xr3:uid="{45FB1261-56BD-49B0-ACB7-1D8EB9FA6DBA}" name="Column8089"/>
    <tableColumn id="8104" xr3:uid="{16BB03C7-966B-4EA5-BC43-C19B2E6F38D0}" name="Column8090"/>
    <tableColumn id="8105" xr3:uid="{C494FB76-0A68-47D5-8E96-FA33E99CB394}" name="Column8091"/>
    <tableColumn id="8106" xr3:uid="{CB90AEA0-572F-45A2-ACCF-04D3D73A3FF4}" name="Column8092"/>
    <tableColumn id="8107" xr3:uid="{7CB30EEB-2575-4629-ABED-C65397E40BFC}" name="Column8093"/>
    <tableColumn id="8108" xr3:uid="{692720DC-9E50-4701-810D-D24CA32AEAD5}" name="Column8094"/>
    <tableColumn id="8109" xr3:uid="{1D42E453-8BFE-4AD7-9CBC-5215656294D6}" name="Column8095"/>
    <tableColumn id="8110" xr3:uid="{8BB61555-8189-451B-9E75-1A764F632BE2}" name="Column8096"/>
    <tableColumn id="8111" xr3:uid="{D2269079-66D7-4F2E-8FA8-C0A65C752989}" name="Column8097"/>
    <tableColumn id="8112" xr3:uid="{956E0018-6601-453C-9971-37FBFEDC105E}" name="Column8098"/>
    <tableColumn id="8113" xr3:uid="{4B5C81EA-9739-472A-AD65-D9D7393F4A75}" name="Column8099"/>
    <tableColumn id="8114" xr3:uid="{2FEA457D-3860-45DA-8E41-56E3B7552158}" name="Column8100"/>
    <tableColumn id="8115" xr3:uid="{3097C53D-5692-427A-BC3E-6869369A8A3F}" name="Column8101"/>
    <tableColumn id="8116" xr3:uid="{82F61136-25BF-4397-8798-1AA93448BB70}" name="Column8102"/>
    <tableColumn id="8117" xr3:uid="{480AE2AF-ACC7-4FC8-9FE0-4CDD446E962C}" name="Column8103"/>
    <tableColumn id="8118" xr3:uid="{604D0BBF-A348-46E6-93D0-D60B165E0344}" name="Column8104"/>
    <tableColumn id="8119" xr3:uid="{80BCF26E-39AE-40BF-B00E-48932B1269A8}" name="Column8105"/>
    <tableColumn id="8120" xr3:uid="{39365215-822D-4651-84DB-87B99CF198E5}" name="Column8106"/>
    <tableColumn id="8121" xr3:uid="{8FC02E5C-A1FF-45F1-9037-A5B5C3C07649}" name="Column8107"/>
    <tableColumn id="8122" xr3:uid="{7BEE3E2C-BB03-48A6-A239-F0C37F62B0E6}" name="Column8108"/>
    <tableColumn id="8123" xr3:uid="{6144DD46-CA03-4318-8D70-BD642BF009D7}" name="Column8109"/>
    <tableColumn id="8124" xr3:uid="{EEFAA4F4-00FE-48FB-8B97-78BDF0A4AF6D}" name="Column8110"/>
    <tableColumn id="8125" xr3:uid="{C2136123-C736-43DA-A3CA-7A93EF711F1C}" name="Column8111"/>
    <tableColumn id="8126" xr3:uid="{FCE9F4AC-B647-463C-9855-C6140562BBE0}" name="Column8112"/>
    <tableColumn id="8127" xr3:uid="{F0804E50-9BF3-4D9E-9610-DAF2373D60E0}" name="Column8113"/>
    <tableColumn id="8128" xr3:uid="{2738DB05-0F8F-4E72-B68E-294EBF119443}" name="Column8114"/>
    <tableColumn id="8129" xr3:uid="{CE37461F-B5BF-4676-A294-E3F565DC3D95}" name="Column8115"/>
    <tableColumn id="8130" xr3:uid="{4136B507-8937-4549-86C6-7D12EBE90736}" name="Column8116"/>
    <tableColumn id="8131" xr3:uid="{9B3CFA90-FDB0-4C0D-A827-FCB0478D3F3D}" name="Column8117"/>
    <tableColumn id="8132" xr3:uid="{30F9DD36-DE10-488F-A1AB-CDC2D4254DFD}" name="Column8118"/>
    <tableColumn id="8133" xr3:uid="{3F3E2EE3-AF3A-4FAF-B6B6-72BAD0C40833}" name="Column8119"/>
    <tableColumn id="8134" xr3:uid="{80F26C1E-1EF8-4822-92D9-59697E135300}" name="Column8120"/>
    <tableColumn id="8135" xr3:uid="{FCF76690-36AC-4A83-A14E-9E7D56F34A9E}" name="Column8121"/>
    <tableColumn id="8136" xr3:uid="{4E48C60D-DA92-42FB-BA81-1684FC2680A6}" name="Column8122"/>
    <tableColumn id="8137" xr3:uid="{2205DA70-F9FF-404F-A4EF-1F2974F296A4}" name="Column8123"/>
    <tableColumn id="8138" xr3:uid="{5A3F9531-B3CB-47A8-8457-E9157FE59305}" name="Column8124"/>
    <tableColumn id="8139" xr3:uid="{BC6397C8-6217-4FAC-B410-46B5E9860C45}" name="Column8125"/>
    <tableColumn id="8140" xr3:uid="{5420A9E0-76F5-4903-B623-470678C6EA0F}" name="Column8126"/>
    <tableColumn id="8141" xr3:uid="{DEF24544-B3A3-4759-97AC-E9BB22EC548F}" name="Column8127"/>
    <tableColumn id="8142" xr3:uid="{9413AE02-3CBC-4CB0-B480-096BEC925683}" name="Column8128"/>
    <tableColumn id="8143" xr3:uid="{2E88F626-D51A-482C-863E-F0DEB8F4AE01}" name="Column8129"/>
    <tableColumn id="8144" xr3:uid="{3647FD23-AA35-4E30-9C62-693630D87086}" name="Column8130"/>
    <tableColumn id="8145" xr3:uid="{5BDB2C1E-F33E-430E-A74F-A7BFCDD3B7D5}" name="Column8131"/>
    <tableColumn id="8146" xr3:uid="{C8198DD4-D4FC-4546-88EC-D1119DA97568}" name="Column8132"/>
    <tableColumn id="8147" xr3:uid="{91B36787-3456-4A71-AA08-02333E4046EA}" name="Column8133"/>
    <tableColumn id="8148" xr3:uid="{83C3C893-E6A8-4AB2-852E-38C2AB2736ED}" name="Column8134"/>
    <tableColumn id="8149" xr3:uid="{BF610304-AB91-4089-85D3-8FB5C6C0FDEA}" name="Column8135"/>
    <tableColumn id="8150" xr3:uid="{26498B6E-6CEA-44A7-BD64-4C3D4D133D97}" name="Column8136"/>
    <tableColumn id="8151" xr3:uid="{B9EEE3CE-9DAE-4D09-8DE9-34AF50DB0C9E}" name="Column8137"/>
    <tableColumn id="8152" xr3:uid="{DBFF992F-6CDA-4DFC-9692-2FBCBFBC167B}" name="Column8138"/>
    <tableColumn id="8153" xr3:uid="{A29A8C9B-735C-4B9D-9D6A-14D912CFF27E}" name="Column8139"/>
    <tableColumn id="8154" xr3:uid="{264DEA13-AE26-4CE1-A9A3-A147102603B7}" name="Column8140"/>
    <tableColumn id="8155" xr3:uid="{3F2D8C39-34EF-4D75-B40C-CC307CC979B2}" name="Column8141"/>
    <tableColumn id="8156" xr3:uid="{EC629D91-577F-4C9C-B6EF-D331B701E558}" name="Column8142"/>
    <tableColumn id="8157" xr3:uid="{5AE0B90B-6951-4EB8-A103-311DA0A2EE8F}" name="Column8143"/>
    <tableColumn id="8158" xr3:uid="{20547688-5AF7-4644-9351-937F504401FC}" name="Column8144"/>
    <tableColumn id="8159" xr3:uid="{E004D352-3F04-449A-B3FC-0EEA5C0EAF77}" name="Column8145"/>
    <tableColumn id="8160" xr3:uid="{9B3ED9D9-2144-4513-8415-1BF399C2DC1E}" name="Column8146"/>
    <tableColumn id="8161" xr3:uid="{6A4F3D25-FFF1-4492-9A53-6AC9E9079D2F}" name="Column8147"/>
    <tableColumn id="8162" xr3:uid="{AA56803C-322E-40AF-BB6C-E17B3CCDE4CB}" name="Column8148"/>
    <tableColumn id="8163" xr3:uid="{03CCC964-E41D-4DC9-8F23-70BFCA04413C}" name="Column8149"/>
    <tableColumn id="8164" xr3:uid="{6FC42CF3-7E25-4D83-B8C2-DD154CE05BAA}" name="Column8150"/>
    <tableColumn id="8165" xr3:uid="{451D8732-5127-4DA1-AEA3-C645EFD2608B}" name="Column8151"/>
    <tableColumn id="8166" xr3:uid="{97DE37BC-667E-4B0F-88E4-3B0BF573FD9A}" name="Column8152"/>
    <tableColumn id="8167" xr3:uid="{6633BA72-3559-4E13-B9D2-0441BA9E8FA5}" name="Column8153"/>
    <tableColumn id="8168" xr3:uid="{5C2E8FF6-0B85-422E-BCA4-88AD2FCB9978}" name="Column8154"/>
    <tableColumn id="8169" xr3:uid="{9329ED98-D6A9-46CE-A6FF-9F6998132CE9}" name="Column8155"/>
    <tableColumn id="8170" xr3:uid="{0609AFEF-520E-4C5C-93A4-677D2A782053}" name="Column8156"/>
    <tableColumn id="8171" xr3:uid="{4C423E79-60B3-4E30-8364-AB8F6ED49D3D}" name="Column8157"/>
    <tableColumn id="8172" xr3:uid="{40B5A38A-49B6-4853-98F9-43087F8D70A9}" name="Column8158"/>
    <tableColumn id="8173" xr3:uid="{80C67A4D-3DB5-4E3B-AF00-F3AAF706E1FA}" name="Column8159"/>
    <tableColumn id="8174" xr3:uid="{706F2813-0059-493E-AAC8-12A59B5460F8}" name="Column8160"/>
    <tableColumn id="8175" xr3:uid="{E718B429-61AE-42B5-B01B-F49D6669284A}" name="Column8161"/>
    <tableColumn id="8176" xr3:uid="{349E7ECF-49E6-4424-86A9-38AA3E49233F}" name="Column8162"/>
    <tableColumn id="8177" xr3:uid="{E113F02D-9CE8-4A1B-ABC8-E61CCB79A5A1}" name="Column8163"/>
    <tableColumn id="8178" xr3:uid="{A741142C-6271-4D0C-ACCC-38F2C5F0ADB4}" name="Column8164"/>
    <tableColumn id="8179" xr3:uid="{B419FAFA-265B-45D9-B695-97EDAEE05443}" name="Column8165"/>
    <tableColumn id="8180" xr3:uid="{6E5ED2BC-700E-49A2-BCDA-632CECBA6071}" name="Column8166"/>
    <tableColumn id="8181" xr3:uid="{EEDEEC35-3CF2-4AFA-9E52-E9276B9EC141}" name="Column8167"/>
    <tableColumn id="8182" xr3:uid="{CD0A6DCD-64C5-4A1A-B1DB-A0455C85AB65}" name="Column8168"/>
    <tableColumn id="8183" xr3:uid="{8E085D73-332C-4E59-8035-AD3F7A981523}" name="Column8169"/>
    <tableColumn id="8184" xr3:uid="{70D2A6FA-42EE-4178-BCC8-22DABDD1193A}" name="Column8170"/>
    <tableColumn id="8185" xr3:uid="{3DD58FEA-7B8B-4F1F-8707-BD13EA4120DC}" name="Column8171"/>
    <tableColumn id="8186" xr3:uid="{122E6509-AEC3-4B8D-8EA1-9F30DC584164}" name="Column8172"/>
    <tableColumn id="8187" xr3:uid="{404B879F-BD60-43C2-9C60-469F836CCDB4}" name="Column8173"/>
    <tableColumn id="8188" xr3:uid="{24442068-E846-47E0-AC25-A15AD23CAC49}" name="Column8174"/>
    <tableColumn id="8189" xr3:uid="{3F15A5DD-CC28-4A4B-B696-795B43480289}" name="Column8175"/>
    <tableColumn id="8190" xr3:uid="{9EEA3369-DD42-4FE4-BC19-415C01DC034E}" name="Column8176"/>
    <tableColumn id="8191" xr3:uid="{C56268CB-23CB-474E-9D86-959996CD7C44}" name="Column8177"/>
    <tableColumn id="8192" xr3:uid="{94E7B19F-3E3F-42C7-8030-DEAD8290B322}" name="Column8178"/>
    <tableColumn id="8193" xr3:uid="{1BB89B9B-83DF-40C4-AC50-2B3B09EEC580}" name="Column8179"/>
    <tableColumn id="8194" xr3:uid="{1BB38E44-10DE-4029-802B-CF5A79CB8611}" name="Column8180"/>
    <tableColumn id="8195" xr3:uid="{4B6B7BBA-F1EA-4601-B31E-3EE9BFD0C4D5}" name="Column8181"/>
    <tableColumn id="8196" xr3:uid="{992B2F65-2754-4B10-8FF6-9C3EA009DD6E}" name="Column8182"/>
    <tableColumn id="8197" xr3:uid="{D31AB52C-460C-483D-8B3A-7C7FD93B3D90}" name="Column8183"/>
    <tableColumn id="8198" xr3:uid="{0987D11A-6BA6-4786-A3CA-615697A7A04F}" name="Column8184"/>
    <tableColumn id="8199" xr3:uid="{8353E94F-D336-488E-9BB7-32AEC071A8CB}" name="Column8185"/>
    <tableColumn id="8200" xr3:uid="{EC5D1C54-2EE4-47F5-9844-A6B156BD66B7}" name="Column8186"/>
    <tableColumn id="8201" xr3:uid="{C2B59DDD-57A8-4239-9440-178B35EE8F47}" name="Column8187"/>
    <tableColumn id="8202" xr3:uid="{69130656-D67F-49AC-B9FA-2848404CD19B}" name="Column8188"/>
    <tableColumn id="8203" xr3:uid="{14CAC512-00EA-42F4-8BAD-84DF3A66E464}" name="Column8189"/>
    <tableColumn id="8204" xr3:uid="{65A653C6-736A-4AF7-9D47-E279A42D8D6A}" name="Column8190"/>
    <tableColumn id="8205" xr3:uid="{6787737F-5336-4C60-B963-95E13166E709}" name="Column8191"/>
    <tableColumn id="8206" xr3:uid="{2868DF4A-A5C6-4B50-ACDF-B974CFCD37DE}" name="Column8192"/>
    <tableColumn id="8207" xr3:uid="{13F428DD-BD8B-4ABF-80B4-32CE33128851}" name="Column8193"/>
    <tableColumn id="8208" xr3:uid="{72270361-D1DF-4B34-B372-3EDABC76883F}" name="Column8194"/>
    <tableColumn id="8209" xr3:uid="{E3D2471D-D1A3-4677-A333-69E51570A7B5}" name="Column8195"/>
    <tableColumn id="8210" xr3:uid="{BB2F1C89-4525-421E-AF62-6F6E14DA3D18}" name="Column8196"/>
    <tableColumn id="8211" xr3:uid="{BB80E0D3-1353-464A-9F9C-0E7707678D1B}" name="Column8197"/>
    <tableColumn id="8212" xr3:uid="{56E8BA90-7F4D-4817-955D-F55BC8992634}" name="Column8198"/>
    <tableColumn id="8213" xr3:uid="{AC9A7F36-4D6B-4FC2-86F1-19618CA4C614}" name="Column8199"/>
    <tableColumn id="8214" xr3:uid="{03759F61-A09E-4087-8DC8-E438CA11186A}" name="Column8200"/>
    <tableColumn id="8215" xr3:uid="{7164439D-54A5-4314-A8F4-60EB0285AD5E}" name="Column8201"/>
    <tableColumn id="8216" xr3:uid="{33538EEE-36BC-43CC-8045-45B889ED4095}" name="Column8202"/>
    <tableColumn id="8217" xr3:uid="{ECA01975-93DB-464F-89F3-A92494835D5A}" name="Column8203"/>
    <tableColumn id="8218" xr3:uid="{AB73CC14-CEEE-4450-BB65-0876CF104CB4}" name="Column8204"/>
    <tableColumn id="8219" xr3:uid="{F4BE7AEA-2848-4909-984D-6569287C54ED}" name="Column8205"/>
    <tableColumn id="8220" xr3:uid="{DDBA26EE-055F-4C01-A242-277A4FD81454}" name="Column8206"/>
    <tableColumn id="8221" xr3:uid="{F579F112-D6B1-4050-A3DD-B6660A5AD4D4}" name="Column8207"/>
    <tableColumn id="8222" xr3:uid="{C89D214A-A98F-4C5C-92E1-3D71A8F00E71}" name="Column8208"/>
    <tableColumn id="8223" xr3:uid="{B9D3C6DC-B276-4863-B93D-843C9FF4FAED}" name="Column8209"/>
    <tableColumn id="8224" xr3:uid="{5CE0A461-1109-401C-AF0A-D5357631E0D9}" name="Column8210"/>
    <tableColumn id="8225" xr3:uid="{D4298EE6-2DA9-4468-913F-6EDFFEB220DB}" name="Column8211"/>
    <tableColumn id="8226" xr3:uid="{4A9340FF-06C3-40FF-9488-21BD35DF731B}" name="Column8212"/>
    <tableColumn id="8227" xr3:uid="{B1F42A33-ADF3-4CBC-ACCD-E7FBAF80E9C1}" name="Column8213"/>
    <tableColumn id="8228" xr3:uid="{146AD666-CF4E-4AE7-81B2-EE8236CECB1A}" name="Column8214"/>
    <tableColumn id="8229" xr3:uid="{2E742794-5AD4-4E22-9461-B845188CC5C2}" name="Column8215"/>
    <tableColumn id="8230" xr3:uid="{C369CF25-F099-459F-807A-EDC466EFBB23}" name="Column8216"/>
    <tableColumn id="8231" xr3:uid="{C611B947-CAD3-49C6-A918-90441EE83B03}" name="Column8217"/>
    <tableColumn id="8232" xr3:uid="{39F32044-31A4-4FCB-92DB-1983FD4BA90D}" name="Column8218"/>
    <tableColumn id="8233" xr3:uid="{56B04CFF-2A3F-41BB-92B9-3F89DC90435F}" name="Column8219"/>
    <tableColumn id="8234" xr3:uid="{DCF9D79E-B0CC-4877-A5EA-B44CC01F28F8}" name="Column8220"/>
    <tableColumn id="8235" xr3:uid="{2CF2196F-CCBA-4878-A58A-C5124512CE5D}" name="Column8221"/>
    <tableColumn id="8236" xr3:uid="{C6020E33-51AB-4921-85D2-512C42ECF00C}" name="Column8222"/>
    <tableColumn id="8237" xr3:uid="{DAF7E288-0C88-4198-9407-E551E8FA4F4B}" name="Column8223"/>
    <tableColumn id="8238" xr3:uid="{C592B333-1D00-4A1E-8E66-CB9F34FA30DC}" name="Column8224"/>
    <tableColumn id="8239" xr3:uid="{7ADFB513-FD99-434F-BD66-258A479F82CE}" name="Column8225"/>
    <tableColumn id="8240" xr3:uid="{8EC83559-9B8A-41AF-8CF2-38F593EAE188}" name="Column8226"/>
    <tableColumn id="8241" xr3:uid="{5BFB9B9A-15E0-410D-8AC9-D0D06FCC2761}" name="Column8227"/>
    <tableColumn id="8242" xr3:uid="{A28D0843-F6C9-45AA-972D-F73470DA61EA}" name="Column8228"/>
    <tableColumn id="8243" xr3:uid="{1B33E7A3-9B1E-4C4B-BAC8-F74642F19CDF}" name="Column8229"/>
    <tableColumn id="8244" xr3:uid="{241B6308-845B-40B0-A6B4-E5A63B82FD9E}" name="Column8230"/>
    <tableColumn id="8245" xr3:uid="{463A7D31-5E69-4043-8170-7002F338B217}" name="Column8231"/>
    <tableColumn id="8246" xr3:uid="{C4F472EB-E1B0-4D1B-9947-9E6B20EE515A}" name="Column8232"/>
    <tableColumn id="8247" xr3:uid="{E7FE709A-7730-4573-97FA-2D9275A0C54D}" name="Column8233"/>
    <tableColumn id="8248" xr3:uid="{7FA1852D-0AE5-4E8F-B858-65DDF37DF65D}" name="Column8234"/>
    <tableColumn id="8249" xr3:uid="{6D10906B-83B6-4968-B887-0594D0F989D2}" name="Column8235"/>
    <tableColumn id="8250" xr3:uid="{662B0FD2-B892-427B-BC09-5ECC4A80FF17}" name="Column8236"/>
    <tableColumn id="8251" xr3:uid="{D8A1AEDB-6F82-405E-9423-92ADD2CD0715}" name="Column8237"/>
    <tableColumn id="8252" xr3:uid="{747EE807-2BAC-4FE3-8BA4-CE62553A79CC}" name="Column8238"/>
    <tableColumn id="8253" xr3:uid="{23BA01D0-0CAA-428B-B0C5-E014C27A1577}" name="Column8239"/>
    <tableColumn id="8254" xr3:uid="{282FA586-64E7-43CE-823C-07089EB20606}" name="Column8240"/>
    <tableColumn id="8255" xr3:uid="{8532B7E4-6959-415F-A65D-AF115512AE5F}" name="Column8241"/>
    <tableColumn id="8256" xr3:uid="{1E8FD0AE-70A4-4EAC-B1D2-8D6A28DEBCE8}" name="Column8242"/>
    <tableColumn id="8257" xr3:uid="{9A3EDDF8-642B-4E12-9B3E-7F399D0B51AC}" name="Column8243"/>
    <tableColumn id="8258" xr3:uid="{1FDC3035-0D81-427B-9C43-0759583D6B9A}" name="Column8244"/>
    <tableColumn id="8259" xr3:uid="{6C4E669F-8B1E-4134-917F-01D4D7FF38B5}" name="Column8245"/>
    <tableColumn id="8260" xr3:uid="{CD1FADAC-E7C3-41DD-8EC3-BF0AFB79B6AF}" name="Column8246"/>
    <tableColumn id="8261" xr3:uid="{44817D55-D143-4722-B298-4BEFE9E78731}" name="Column8247"/>
    <tableColumn id="8262" xr3:uid="{FDC626BE-A3A9-46F8-A42B-4432CC238124}" name="Column8248"/>
    <tableColumn id="8263" xr3:uid="{82C3A7FE-2D0F-4B28-9924-5CC9D2F5296A}" name="Column8249"/>
    <tableColumn id="8264" xr3:uid="{641FE189-AF42-48C0-8371-C886006E4480}" name="Column8250"/>
    <tableColumn id="8265" xr3:uid="{6E0C4500-AAC0-45E5-9E29-D91C81922672}" name="Column8251"/>
    <tableColumn id="8266" xr3:uid="{C0575764-6EBB-4AFC-8EAB-51B2B88EB880}" name="Column8252"/>
    <tableColumn id="8267" xr3:uid="{552C3EB5-DF71-4D9E-ADC3-D2E7A145308C}" name="Column8253"/>
    <tableColumn id="8268" xr3:uid="{23420D8D-4150-4FD0-91A4-2AD65F2452F0}" name="Column8254"/>
    <tableColumn id="8269" xr3:uid="{90540D3D-F257-404B-B5F5-3D167539BBEA}" name="Column8255"/>
    <tableColumn id="8270" xr3:uid="{CDFC91F6-1641-4B69-B8B2-099A8146244B}" name="Column8256"/>
    <tableColumn id="8271" xr3:uid="{25D6A350-1657-463E-B7DE-CC0D732E04E8}" name="Column8257"/>
    <tableColumn id="8272" xr3:uid="{B29EC0C2-1E93-4FE1-A0A1-DB2D6AEF5867}" name="Column8258"/>
    <tableColumn id="8273" xr3:uid="{F162C810-B053-416B-9E45-9D512D358025}" name="Column8259"/>
    <tableColumn id="8274" xr3:uid="{CE0A36E4-AAF9-4395-93CE-35DA27CD497C}" name="Column8260"/>
    <tableColumn id="8275" xr3:uid="{96057BD5-0796-425A-ACA0-98115485D83E}" name="Column8261"/>
    <tableColumn id="8276" xr3:uid="{E4527F78-89C6-4E49-A1A9-E0F5AFA0CFA1}" name="Column8262"/>
    <tableColumn id="8277" xr3:uid="{B7EFC206-7C0C-4925-8B4A-D96FFB1FCE11}" name="Column8263"/>
    <tableColumn id="8278" xr3:uid="{A6B33912-B9FC-4FA8-A5E2-A9643912728E}" name="Column8264"/>
    <tableColumn id="8279" xr3:uid="{44029218-AD16-4E7C-815D-9EF366B33BFA}" name="Column8265"/>
    <tableColumn id="8280" xr3:uid="{06E9212A-6396-480B-AD49-334F99C955A8}" name="Column8266"/>
    <tableColumn id="8281" xr3:uid="{08C6DA73-1650-49EA-87FC-BBD30A2CBA10}" name="Column8267"/>
    <tableColumn id="8282" xr3:uid="{0BE1311F-05D7-4CE5-80EF-91879EFD3520}" name="Column8268"/>
    <tableColumn id="8283" xr3:uid="{88D5776B-053A-43A2-9468-B9733ED8FD17}" name="Column8269"/>
    <tableColumn id="8284" xr3:uid="{CC8D621E-1442-4594-8E44-B89A794C5CCA}" name="Column8270"/>
    <tableColumn id="8285" xr3:uid="{6BB2A7D2-1E23-4E2A-A0D4-6ED2FCDE00BC}" name="Column8271"/>
    <tableColumn id="8286" xr3:uid="{380C35B3-8ABA-4172-99E8-A10FC2FDBF4F}" name="Column8272"/>
    <tableColumn id="8287" xr3:uid="{294F4E57-8652-4646-A814-F81E7343FA5A}" name="Column8273"/>
    <tableColumn id="8288" xr3:uid="{F2B2766C-D2EE-43AC-B1AF-83CFE96B58F1}" name="Column8274"/>
    <tableColumn id="8289" xr3:uid="{9C64684B-6516-4C64-8F11-E65FE0FDF2B2}" name="Column8275"/>
    <tableColumn id="8290" xr3:uid="{4C338BBF-AC7C-4923-B7EE-512268758F44}" name="Column8276"/>
    <tableColumn id="8291" xr3:uid="{AF423EC9-D127-4C4B-B7DF-22737A4ABB39}" name="Column8277"/>
    <tableColumn id="8292" xr3:uid="{03C59D3A-DBC6-4479-82FA-0511ACFFF8A4}" name="Column8278"/>
    <tableColumn id="8293" xr3:uid="{1D417345-F2F1-4D90-9C2C-5684B60150BE}" name="Column8279"/>
    <tableColumn id="8294" xr3:uid="{B578931D-62DB-4341-840C-EC83EDE08BA2}" name="Column8280"/>
    <tableColumn id="8295" xr3:uid="{14995B48-070C-4CD8-931E-3FCE9DBFC57D}" name="Column8281"/>
    <tableColumn id="8296" xr3:uid="{7A443C9F-6E87-41E3-9D8E-9ED77330D672}" name="Column8282"/>
    <tableColumn id="8297" xr3:uid="{98348A2C-4F48-413E-BDD3-E69355889599}" name="Column8283"/>
    <tableColumn id="8298" xr3:uid="{736BC420-35CC-40D2-8574-72A38F63CED8}" name="Column8284"/>
    <tableColumn id="8299" xr3:uid="{70831E2E-3282-432E-956A-40BA5C5285C4}" name="Column8285"/>
    <tableColumn id="8300" xr3:uid="{8C324753-72A9-4BE3-8336-4F9277CFD24D}" name="Column8286"/>
    <tableColumn id="8301" xr3:uid="{CABBAAE4-198F-4F8A-A681-8F42FFEB2E38}" name="Column8287"/>
    <tableColumn id="8302" xr3:uid="{D6D339E9-1F61-48B8-BE95-6F0C7F2B2518}" name="Column8288"/>
    <tableColumn id="8303" xr3:uid="{86F25FA4-5D17-4FB2-9354-DCD12DB0BE4F}" name="Column8289"/>
    <tableColumn id="8304" xr3:uid="{6664C1AC-4627-4902-B6D9-45A8BC8A3111}" name="Column8290"/>
    <tableColumn id="8305" xr3:uid="{64C494E0-A84F-4A15-9076-894C580A3700}" name="Column8291"/>
    <tableColumn id="8306" xr3:uid="{D27AE1AB-F498-471C-B304-0C14DD4A27C5}" name="Column8292"/>
    <tableColumn id="8307" xr3:uid="{BDB45217-9327-4C3C-BDF5-1744659AAB87}" name="Column8293"/>
    <tableColumn id="8308" xr3:uid="{B9A36484-074B-4DCD-A236-CC28A7054ECB}" name="Column8294"/>
    <tableColumn id="8309" xr3:uid="{CE940A94-A5FF-46BF-AC3F-C59C6749E125}" name="Column8295"/>
    <tableColumn id="8310" xr3:uid="{ED11D81D-807A-40D4-8B5D-F3B4EF7B17C8}" name="Column8296"/>
    <tableColumn id="8311" xr3:uid="{E78F23C7-A1C5-4640-B4C3-1C86A9DED16F}" name="Column8297"/>
    <tableColumn id="8312" xr3:uid="{4B364634-13C8-4C42-AF9E-864CEF608B6B}" name="Column8298"/>
    <tableColumn id="8313" xr3:uid="{874C68B8-90CD-471B-809E-DE39BA162023}" name="Column8299"/>
    <tableColumn id="8314" xr3:uid="{CEBC8724-3FCA-47DE-BFC4-AFA594F18E4B}" name="Column8300"/>
    <tableColumn id="8315" xr3:uid="{ADE0A3A5-7124-4AB8-B667-7724D1ED4E0B}" name="Column8301"/>
    <tableColumn id="8316" xr3:uid="{C8546581-8E07-49F3-977B-8978B8A5F539}" name="Column8302"/>
    <tableColumn id="8317" xr3:uid="{9D1C9301-5FAD-4FA8-AFE9-7D50EAEEF787}" name="Column8303"/>
    <tableColumn id="8318" xr3:uid="{3A75D208-94F3-4CEC-965B-4A2C8D2C277F}" name="Column8304"/>
    <tableColumn id="8319" xr3:uid="{543AED6A-FC8D-4EE9-B8AF-189DD0238B51}" name="Column8305"/>
    <tableColumn id="8320" xr3:uid="{DE5B09BF-BFE5-416B-8384-13841A8AC9DD}" name="Column8306"/>
    <tableColumn id="8321" xr3:uid="{9F7FB9F1-DB46-4FF8-9DCC-90CB93161601}" name="Column8307"/>
    <tableColumn id="8322" xr3:uid="{28C60968-D083-411E-B745-6E331E272FD9}" name="Column8308"/>
    <tableColumn id="8323" xr3:uid="{BB418F8B-6F72-4E51-AE39-024FD14F0F8B}" name="Column8309"/>
    <tableColumn id="8324" xr3:uid="{CEB9E112-E6A0-4CFE-8186-1B2EB28A7956}" name="Column8310"/>
    <tableColumn id="8325" xr3:uid="{94D196A1-847E-4CC0-B8DE-630610D3E59E}" name="Column8311"/>
    <tableColumn id="8326" xr3:uid="{2633C470-0724-4048-B1B9-5951179358AA}" name="Column8312"/>
    <tableColumn id="8327" xr3:uid="{A158B571-DECA-4A8D-B9E3-9677DEA28CE6}" name="Column8313"/>
    <tableColumn id="8328" xr3:uid="{C9139AF3-C49B-446D-AAD5-180B12FFCAFB}" name="Column8314"/>
    <tableColumn id="8329" xr3:uid="{E63A405D-A7CA-4C26-A466-B5CA7CE1B954}" name="Column8315"/>
    <tableColumn id="8330" xr3:uid="{3E42905C-47EE-4FE6-8775-A17261A8DB7B}" name="Column8316"/>
    <tableColumn id="8331" xr3:uid="{71750E3B-B56C-4601-BFDB-B31AB6198E67}" name="Column8317"/>
    <tableColumn id="8332" xr3:uid="{24DF31F7-A29A-45D3-B167-235C78EABDC4}" name="Column8318"/>
    <tableColumn id="8333" xr3:uid="{F68A8F1D-F970-42BB-AA22-6FB1371AE5E4}" name="Column8319"/>
    <tableColumn id="8334" xr3:uid="{33B8597B-6D7C-4E96-9BB3-DB551F2816DD}" name="Column8320"/>
    <tableColumn id="8335" xr3:uid="{F4DBA34B-D831-4E2D-B6E4-91DBAF1ABAB1}" name="Column8321"/>
    <tableColumn id="8336" xr3:uid="{BD4A4E07-9746-471C-B679-E7C5ADE31F97}" name="Column8322"/>
    <tableColumn id="8337" xr3:uid="{CC99ABE7-6463-491B-998A-3CE051E2D071}" name="Column8323"/>
    <tableColumn id="8338" xr3:uid="{F3009E95-771F-43E0-A7D3-EE33FE036BE7}" name="Column8324"/>
    <tableColumn id="8339" xr3:uid="{BBF33C3D-7688-43BE-94BB-FB5F0FD93DB4}" name="Column8325"/>
    <tableColumn id="8340" xr3:uid="{055135D7-3E4B-4FE6-A29E-E36EBD77137F}" name="Column8326"/>
    <tableColumn id="8341" xr3:uid="{DCA6F071-7062-4F07-9F7E-981F5777BDC5}" name="Column8327"/>
    <tableColumn id="8342" xr3:uid="{B8CD9C72-5706-462D-BC8C-435554EC2B9D}" name="Column8328"/>
    <tableColumn id="8343" xr3:uid="{1F0F20D2-5FD4-43D0-9480-69508A0CEFBA}" name="Column8329"/>
    <tableColumn id="8344" xr3:uid="{68C51884-BBFA-4321-80E8-924A75607625}" name="Column8330"/>
    <tableColumn id="8345" xr3:uid="{14506534-4612-4A74-8531-D0C5B0CE2490}" name="Column8331"/>
    <tableColumn id="8346" xr3:uid="{604BDE18-55E4-4856-ADBA-AB476542CC09}" name="Column8332"/>
    <tableColumn id="8347" xr3:uid="{7FE4D674-E6C2-4FB0-ACD0-E0C8E08382C9}" name="Column8333"/>
    <tableColumn id="8348" xr3:uid="{2CC91A64-6150-4CC4-9B35-FC5B78C59825}" name="Column8334"/>
    <tableColumn id="8349" xr3:uid="{A4242A2F-7A57-4DA3-A456-A5E93F44E107}" name="Column8335"/>
    <tableColumn id="8350" xr3:uid="{5FA473A7-A824-46CB-BCB6-201B13643813}" name="Column8336"/>
    <tableColumn id="8351" xr3:uid="{6E874AAB-B440-49F1-BFDF-810819652822}" name="Column8337"/>
    <tableColumn id="8352" xr3:uid="{FB3752B3-7AE7-4300-AB39-AA148C6590F6}" name="Column8338"/>
    <tableColumn id="8353" xr3:uid="{6362CF1D-9C99-431F-90BC-B6BD3C395144}" name="Column8339"/>
    <tableColumn id="8354" xr3:uid="{F4EC04C6-171C-4C0E-9772-EC6C3F701B38}" name="Column8340"/>
    <tableColumn id="8355" xr3:uid="{17030D5B-0B6B-4B35-90CA-E482B2D17559}" name="Column8341"/>
    <tableColumn id="8356" xr3:uid="{F4113DD8-5067-4112-877F-F1A56CA02ED4}" name="Column8342"/>
    <tableColumn id="8357" xr3:uid="{2164E4BE-8FA2-4ED8-8841-1C807CCBC930}" name="Column8343"/>
    <tableColumn id="8358" xr3:uid="{E5A687E4-5F3B-40CF-86E7-2F65583DFF41}" name="Column8344"/>
    <tableColumn id="8359" xr3:uid="{DEBBECEB-AAB5-4297-83F5-E8C254FF573F}" name="Column8345"/>
    <tableColumn id="8360" xr3:uid="{9A72EBD0-686B-4CE0-A1D3-C3DCEEC31CE4}" name="Column8346"/>
    <tableColumn id="8361" xr3:uid="{11861A18-DD84-40DD-99D0-D8E02FA8C189}" name="Column8347"/>
    <tableColumn id="8362" xr3:uid="{959370A0-BE2B-4FE2-8EB8-4A89FDD3304F}" name="Column8348"/>
    <tableColumn id="8363" xr3:uid="{7FAB8228-BC3A-4B6E-BF6F-0DFD0FDF5A33}" name="Column8349"/>
    <tableColumn id="8364" xr3:uid="{5F4768C5-3551-41DE-AE8C-275C8AA3048D}" name="Column8350"/>
    <tableColumn id="8365" xr3:uid="{9F982B7D-2208-43CF-A3FA-F6EB46F437E3}" name="Column8351"/>
    <tableColumn id="8366" xr3:uid="{C8FE9F30-0C84-4D2B-A1A2-105494028A55}" name="Column8352"/>
    <tableColumn id="8367" xr3:uid="{68680C5B-A68E-4102-A208-B693E41DD454}" name="Column8353"/>
    <tableColumn id="8368" xr3:uid="{20E30D30-5FCF-424D-B1F6-31E9D8D52B55}" name="Column8354"/>
    <tableColumn id="8369" xr3:uid="{1CC36FAF-84C0-4218-9394-8401787FC595}" name="Column8355"/>
    <tableColumn id="8370" xr3:uid="{8BF3BBF4-7106-4DA1-A80C-F9B415675C1F}" name="Column8356"/>
    <tableColumn id="8371" xr3:uid="{B698B72F-28BF-47BA-9968-D4FC47EE2E3E}" name="Column8357"/>
    <tableColumn id="8372" xr3:uid="{031AEC34-35A4-45F6-B52D-3B5617494B1A}" name="Column8358"/>
    <tableColumn id="8373" xr3:uid="{AAD943F6-E5DB-433D-96E8-FEF5A4CD9CC1}" name="Column8359"/>
    <tableColumn id="8374" xr3:uid="{EDCB57C2-47A3-4EFD-AB22-EF517F518446}" name="Column8360"/>
    <tableColumn id="8375" xr3:uid="{2896C3E1-BD34-459D-9A30-A99C2F0E634C}" name="Column8361"/>
    <tableColumn id="8376" xr3:uid="{16C36B04-FE8F-4D90-A756-E5D0253ADA04}" name="Column8362"/>
    <tableColumn id="8377" xr3:uid="{16ADC467-9112-4BC2-9D81-6316F8F57B59}" name="Column8363"/>
    <tableColumn id="8378" xr3:uid="{C3039498-6904-4CE6-A6D1-9AA58DB9B07C}" name="Column8364"/>
    <tableColumn id="8379" xr3:uid="{7FEA00BC-438B-401A-8574-602A307E378F}" name="Column8365"/>
    <tableColumn id="8380" xr3:uid="{59223007-248B-4844-B2DF-A70C65D689E3}" name="Column8366"/>
    <tableColumn id="8381" xr3:uid="{F0DD28BC-9482-47AA-A10B-1BFC65B48258}" name="Column8367"/>
    <tableColumn id="8382" xr3:uid="{C3921318-8FC0-40D4-B350-D250ABABFCCD}" name="Column8368"/>
    <tableColumn id="8383" xr3:uid="{0E147ABB-8065-4DA9-8FAE-EB0DACA1785E}" name="Column8369"/>
    <tableColumn id="8384" xr3:uid="{D6813D3C-EF6B-40D1-82DF-75E04AFBEEF1}" name="Column8370"/>
    <tableColumn id="8385" xr3:uid="{CBB2202A-BD2F-47C8-9D45-08BE3817AF66}" name="Column8371"/>
    <tableColumn id="8386" xr3:uid="{F94D5B05-047B-4A14-B8D9-DC79F71D4E46}" name="Column8372"/>
    <tableColumn id="8387" xr3:uid="{9D61567A-B7F6-478D-A568-B2758F0C6A90}" name="Column8373"/>
    <tableColumn id="8388" xr3:uid="{3E1C2075-6A98-4D00-B7B8-29F06900562F}" name="Column8374"/>
    <tableColumn id="8389" xr3:uid="{7F7FC12B-DAE5-410F-8EA5-EAC52EF9B070}" name="Column8375"/>
    <tableColumn id="8390" xr3:uid="{6BD0DB3B-A46D-4ABF-8013-C2CAA51AF067}" name="Column8376"/>
    <tableColumn id="8391" xr3:uid="{0962F83D-6AAB-4D8E-90A3-C76BD36BA59C}" name="Column8377"/>
    <tableColumn id="8392" xr3:uid="{AE23670E-B278-416C-A87F-70DA60290871}" name="Column8378"/>
    <tableColumn id="8393" xr3:uid="{24D777D9-D1F2-4964-8E30-2DF22A732295}" name="Column8379"/>
    <tableColumn id="8394" xr3:uid="{B730A47B-A11F-444E-A4A2-74A63F0B64B5}" name="Column8380"/>
    <tableColumn id="8395" xr3:uid="{9911E9F3-EB15-494C-B88A-F9BE4F4B7A94}" name="Column8381"/>
    <tableColumn id="8396" xr3:uid="{19FBC72A-6903-433C-AE3F-DA2870A41052}" name="Column8382"/>
    <tableColumn id="8397" xr3:uid="{C0C349B8-862F-4AA0-BD94-847689625AA2}" name="Column8383"/>
    <tableColumn id="8398" xr3:uid="{6983EE1D-7572-4A0F-85AA-3CAD1DF2FEE7}" name="Column8384"/>
    <tableColumn id="8399" xr3:uid="{0855C5FC-74F7-4239-A5CF-A9D6FCC38509}" name="Column8385"/>
    <tableColumn id="8400" xr3:uid="{72C7B8C5-CB9D-4055-977B-E17C31B0B79C}" name="Column8386"/>
    <tableColumn id="8401" xr3:uid="{3A1B68B3-DF12-4B36-9C81-A6C9BB17625B}" name="Column8387"/>
    <tableColumn id="8402" xr3:uid="{65230CD4-4863-4FBD-A1CF-307A0FF161A9}" name="Column8388"/>
    <tableColumn id="8403" xr3:uid="{21E4F35A-4BC3-4EE1-B11B-32D10533F517}" name="Column8389"/>
    <tableColumn id="8404" xr3:uid="{BA125DDB-C6B1-45B2-A6F5-4B2540BB2473}" name="Column8390"/>
    <tableColumn id="8405" xr3:uid="{9898D2E9-FE7F-4D6A-B0B7-9BF792B83476}" name="Column8391"/>
    <tableColumn id="8406" xr3:uid="{87064A07-F5F7-4A89-826D-58E0AB00755C}" name="Column8392"/>
    <tableColumn id="8407" xr3:uid="{E2D632E1-15D0-44D4-ABE8-CDFB0AD22878}" name="Column8393"/>
    <tableColumn id="8408" xr3:uid="{3E20EB34-1BD8-4F1C-B940-4943CD9FD678}" name="Column8394"/>
    <tableColumn id="8409" xr3:uid="{8220BF1C-9CA9-4C77-B3F5-D9619FDBBE26}" name="Column8395"/>
    <tableColumn id="8410" xr3:uid="{F36A6EC2-409B-4601-B4A0-5B101FCFD5A8}" name="Column8396"/>
    <tableColumn id="8411" xr3:uid="{72CD376B-1227-4343-B167-1A1F42126A81}" name="Column8397"/>
    <tableColumn id="8412" xr3:uid="{E711F10D-A2F0-4C40-A3C2-05C6D2E4271F}" name="Column8398"/>
    <tableColumn id="8413" xr3:uid="{FBAF21C8-A7B6-465D-B960-A43F4F78D24B}" name="Column8399"/>
    <tableColumn id="8414" xr3:uid="{CC4A1375-F7F2-4AEE-8106-A8AE4D4CC5C7}" name="Column8400"/>
    <tableColumn id="8415" xr3:uid="{674BB4E2-5D79-4845-A715-78A5B3623967}" name="Column8401"/>
    <tableColumn id="8416" xr3:uid="{0952D756-C25B-45E1-9DDE-01066F942C77}" name="Column8402"/>
    <tableColumn id="8417" xr3:uid="{8A3C115A-F7D6-4E16-AF69-EE2120E082A1}" name="Column8403"/>
    <tableColumn id="8418" xr3:uid="{E1D5AC3C-ACA4-47DC-9C80-426299F6D3E3}" name="Column8404"/>
    <tableColumn id="8419" xr3:uid="{02DFD995-820B-4E77-A4C7-375C96D832BD}" name="Column8405"/>
    <tableColumn id="8420" xr3:uid="{BE80730F-FC80-4DFF-B29D-DB4DAE772D33}" name="Column8406"/>
    <tableColumn id="8421" xr3:uid="{E817F49C-20A1-47EE-A2D7-EE23FABF2046}" name="Column8407"/>
    <tableColumn id="8422" xr3:uid="{83615CFF-9CE3-465D-993C-43CB953FAAFA}" name="Column8408"/>
    <tableColumn id="8423" xr3:uid="{C89A193D-5EB8-4B40-9C2A-7C467BBA2869}" name="Column8409"/>
    <tableColumn id="8424" xr3:uid="{0933A2A8-0E01-4806-8C31-861E0C1AA024}" name="Column8410"/>
    <tableColumn id="8425" xr3:uid="{190EF662-1F2E-40A8-AD1E-C8E94C4F19FF}" name="Column8411"/>
    <tableColumn id="8426" xr3:uid="{437814E4-B756-40D7-847D-8C7E5FE6F73A}" name="Column8412"/>
    <tableColumn id="8427" xr3:uid="{4B7FF7D0-C320-4D76-BD38-265207B3D4F9}" name="Column8413"/>
    <tableColumn id="8428" xr3:uid="{B43167C7-0561-4BB8-A402-FF6A123532B5}" name="Column8414"/>
    <tableColumn id="8429" xr3:uid="{C149325A-DB67-4EDF-BDAA-1BA0386A7B83}" name="Column8415"/>
    <tableColumn id="8430" xr3:uid="{AFE22CBE-8BD5-48B8-B0FC-F498E866329F}" name="Column8416"/>
    <tableColumn id="8431" xr3:uid="{E7109545-6684-4B62-84F0-34213CEAD5F6}" name="Column8417"/>
    <tableColumn id="8432" xr3:uid="{91FFF01B-6923-4A46-8641-3C3883D3C1DF}" name="Column8418"/>
    <tableColumn id="8433" xr3:uid="{E9516FFA-7539-4A5D-BC64-D047EA28F015}" name="Column8419"/>
    <tableColumn id="8434" xr3:uid="{9920997B-19D4-4132-BA09-3C3716716CF1}" name="Column8420"/>
    <tableColumn id="8435" xr3:uid="{B6522969-7F01-4F7D-A877-6895982B8282}" name="Column8421"/>
    <tableColumn id="8436" xr3:uid="{8208F8BA-A36E-4852-B412-F8E2AAB69886}" name="Column8422"/>
    <tableColumn id="8437" xr3:uid="{140BE875-1689-4C06-8BAE-0BDA175180D5}" name="Column8423"/>
    <tableColumn id="8438" xr3:uid="{DB15106F-5108-4BF1-8490-276B62EF1AE1}" name="Column8424"/>
    <tableColumn id="8439" xr3:uid="{DC0A8C6B-AFD3-467E-BBB5-153036183C28}" name="Column8425"/>
    <tableColumn id="8440" xr3:uid="{8536F830-84EB-4A43-B5C3-F4A8369A1F44}" name="Column8426"/>
    <tableColumn id="8441" xr3:uid="{00B5C3A4-C9A2-49F4-8536-80637F6A1F2F}" name="Column8427"/>
    <tableColumn id="8442" xr3:uid="{89FAB221-9853-40A8-8D0D-D159A3A88B75}" name="Column8428"/>
    <tableColumn id="8443" xr3:uid="{F9668567-43A2-419B-9F0E-ACDDE56D513E}" name="Column8429"/>
    <tableColumn id="8444" xr3:uid="{93C3E381-6123-4BD8-9E79-6A2E4372445C}" name="Column8430"/>
    <tableColumn id="8445" xr3:uid="{44FF5D73-53E9-4973-9487-5B3A32BA800E}" name="Column8431"/>
    <tableColumn id="8446" xr3:uid="{DA792513-F035-40E8-BDE9-254A9937D765}" name="Column8432"/>
    <tableColumn id="8447" xr3:uid="{EBB2F77D-7F15-403A-91BF-FA4F1E0150E1}" name="Column8433"/>
    <tableColumn id="8448" xr3:uid="{7EA5BD3A-260F-4776-AD49-7924DC2E580E}" name="Column8434"/>
    <tableColumn id="8449" xr3:uid="{CFDAA0B1-B944-4884-BD46-53BB0CF56A5E}" name="Column8435"/>
    <tableColumn id="8450" xr3:uid="{F0B9DCD2-B62E-4C46-AC0C-99862B8E641B}" name="Column8436"/>
    <tableColumn id="8451" xr3:uid="{84C435EA-1266-41FD-B983-893DD6AE7A6E}" name="Column8437"/>
    <tableColumn id="8452" xr3:uid="{8CECAC0F-A2A0-42EA-A098-F15323BCA461}" name="Column8438"/>
    <tableColumn id="8453" xr3:uid="{CB0EADB6-C318-4064-B6D6-FDD6308F6490}" name="Column8439"/>
    <tableColumn id="8454" xr3:uid="{F73EFBEE-F7A7-46E8-98F4-259B87398191}" name="Column8440"/>
    <tableColumn id="8455" xr3:uid="{E85E673A-0A71-4F09-8371-1982CDB4F39C}" name="Column8441"/>
    <tableColumn id="8456" xr3:uid="{9992A26F-EE3B-47D7-87DD-6ECB78AF1E7D}" name="Column8442"/>
    <tableColumn id="8457" xr3:uid="{A133A9D5-174A-45B5-A0ED-D19FA2C2FDA0}" name="Column8443"/>
    <tableColumn id="8458" xr3:uid="{60E20A01-157A-4D7C-98B7-8C439CB324F1}" name="Column8444"/>
    <tableColumn id="8459" xr3:uid="{CB8C840C-2C7B-4AD3-83A3-B3FF109AF6BB}" name="Column8445"/>
    <tableColumn id="8460" xr3:uid="{7F5BE61E-7689-4BD7-8E90-447EB10EF6C3}" name="Column8446"/>
    <tableColumn id="8461" xr3:uid="{B9E5B521-2A71-4894-92D9-FB12B3CDA2F1}" name="Column8447"/>
    <tableColumn id="8462" xr3:uid="{DF7A09FC-1F82-4816-9B62-EBD63AB1D654}" name="Column8448"/>
    <tableColumn id="8463" xr3:uid="{EEB19ADA-6FCD-4708-8C82-1D9A539F81DA}" name="Column8449"/>
    <tableColumn id="8464" xr3:uid="{2987703B-EF78-43B3-B3EB-1D37197E10E0}" name="Column8450"/>
    <tableColumn id="8465" xr3:uid="{2F4D98CB-05BF-4C8B-BB83-C45BFF363071}" name="Column8451"/>
    <tableColumn id="8466" xr3:uid="{6081ED12-F4F9-46CA-B482-EC62D5D2AFAC}" name="Column8452"/>
    <tableColumn id="8467" xr3:uid="{E5C54AAB-D6DC-4723-9DD3-8E747FFE0627}" name="Column8453"/>
    <tableColumn id="8468" xr3:uid="{DDD503C7-81AD-4389-88AD-0DFA55BB5B91}" name="Column8454"/>
    <tableColumn id="8469" xr3:uid="{320919F5-0EDD-43B7-B157-8FB845A0880D}" name="Column8455"/>
    <tableColumn id="8470" xr3:uid="{981EF978-D2B3-42E4-B695-D8F83BC81826}" name="Column8456"/>
    <tableColumn id="8471" xr3:uid="{176E1C01-56F0-4220-8EBC-C607A3267AF4}" name="Column8457"/>
    <tableColumn id="8472" xr3:uid="{9427D672-013A-4476-95F8-5BCDEFFB227C}" name="Column8458"/>
    <tableColumn id="8473" xr3:uid="{A3F3FD5C-5EEE-49A7-B1CA-BA15833101B7}" name="Column8459"/>
    <tableColumn id="8474" xr3:uid="{24EBE288-34F5-4DD9-9DFC-1D1FD99C16F2}" name="Column8460"/>
    <tableColumn id="8475" xr3:uid="{E252F82F-F773-4489-8371-0B6AC841407A}" name="Column8461"/>
    <tableColumn id="8476" xr3:uid="{0E215F34-B25D-4C1D-9823-1D8D00570FBE}" name="Column8462"/>
    <tableColumn id="8477" xr3:uid="{C9E83544-41DE-4F97-8422-75777A2AC53E}" name="Column8463"/>
    <tableColumn id="8478" xr3:uid="{DB055160-51E0-4E41-9155-21B9CD130124}" name="Column8464"/>
    <tableColumn id="8479" xr3:uid="{BF2A02E7-E211-4DDA-A1F5-E513FA373ECD}" name="Column8465"/>
    <tableColumn id="8480" xr3:uid="{4A149380-0BC7-42CF-A418-770222132346}" name="Column8466"/>
    <tableColumn id="8481" xr3:uid="{61B4D336-FE6D-4531-9870-179D99EC50AA}" name="Column8467"/>
    <tableColumn id="8482" xr3:uid="{C734B17C-A752-447B-A059-2FFB71C527B9}" name="Column8468"/>
    <tableColumn id="8483" xr3:uid="{67124E78-2333-4C64-83B4-26D597E1B741}" name="Column8469"/>
    <tableColumn id="8484" xr3:uid="{E6640CE2-766B-4F72-9AEC-B99F202A6D23}" name="Column8470"/>
    <tableColumn id="8485" xr3:uid="{C6ADACDC-CB41-4CAC-9B06-24CA8594B6A6}" name="Column8471"/>
    <tableColumn id="8486" xr3:uid="{3E289F7F-5FE7-447C-9916-A4F62E20B18F}" name="Column8472"/>
    <tableColumn id="8487" xr3:uid="{020B7F44-EDEC-43C2-86C6-617EC89E47A6}" name="Column8473"/>
    <tableColumn id="8488" xr3:uid="{06B022C4-32F4-405A-8862-5E734372E7D2}" name="Column8474"/>
    <tableColumn id="8489" xr3:uid="{62C452F3-C000-4DB6-B2D7-DDE6F4FC27D1}" name="Column8475"/>
    <tableColumn id="8490" xr3:uid="{FA4E6DA0-D0ED-473E-98B5-A28CCCEE0EBD}" name="Column8476"/>
    <tableColumn id="8491" xr3:uid="{E7CF3FA8-93EA-4732-B8BF-593935348177}" name="Column8477"/>
    <tableColumn id="8492" xr3:uid="{A37ACFEF-CECD-4C6C-A78C-DC33E02EE4EE}" name="Column8478"/>
    <tableColumn id="8493" xr3:uid="{144A52E2-EA55-4F57-B444-D41BF05CC0DC}" name="Column8479"/>
    <tableColumn id="8494" xr3:uid="{297F6235-92AC-408D-AABF-B6E364D1698A}" name="Column8480"/>
    <tableColumn id="8495" xr3:uid="{E7FE9574-8E2B-4275-8ED1-DB2D133363C2}" name="Column8481"/>
    <tableColumn id="8496" xr3:uid="{C461EE29-7BA2-4BAA-8D39-B01CE95015A8}" name="Column8482"/>
    <tableColumn id="8497" xr3:uid="{FC3D75C8-806E-4B19-B9C3-198B36C91D02}" name="Column8483"/>
    <tableColumn id="8498" xr3:uid="{026F0B1D-4763-4A07-A39B-CCFDF17FCF21}" name="Column8484"/>
    <tableColumn id="8499" xr3:uid="{CA3698E7-3CC8-4FE2-A1DF-55953408573D}" name="Column8485"/>
    <tableColumn id="8500" xr3:uid="{3765DB79-7D7E-49D0-AE88-166C364C5457}" name="Column8486"/>
    <tableColumn id="8501" xr3:uid="{A24F1281-E204-4A89-AE9E-701F7289EF87}" name="Column8487"/>
    <tableColumn id="8502" xr3:uid="{F03589C6-CF4A-4C81-B30C-CF1781BC471D}" name="Column8488"/>
    <tableColumn id="8503" xr3:uid="{5C11A8C1-2531-4B2B-AAED-6D45980E7DA8}" name="Column8489"/>
    <tableColumn id="8504" xr3:uid="{08C3223F-0D22-48FB-9E29-3515F1B011E0}" name="Column8490"/>
    <tableColumn id="8505" xr3:uid="{C350E922-46EC-40D1-AF7D-80379B4F0AF7}" name="Column8491"/>
    <tableColumn id="8506" xr3:uid="{B33CC0FC-41A6-4C80-BAE7-309937DF45A2}" name="Column8492"/>
    <tableColumn id="8507" xr3:uid="{FAA3AF86-AA33-4087-9676-2427427B9488}" name="Column8493"/>
    <tableColumn id="8508" xr3:uid="{109AA132-8636-48D0-BD41-0899D20F06EC}" name="Column8494"/>
    <tableColumn id="8509" xr3:uid="{041766A4-9FB4-4021-BAE5-9C39A83DD7B0}" name="Column8495"/>
    <tableColumn id="8510" xr3:uid="{F8EA51D8-950F-45A1-BD10-4918F50DC4D7}" name="Column8496"/>
    <tableColumn id="8511" xr3:uid="{737891C5-787B-4332-A14E-DEFA8732A57F}" name="Column8497"/>
    <tableColumn id="8512" xr3:uid="{FC5A094C-2FDE-42BF-9BB0-07C5CD14EFDF}" name="Column8498"/>
    <tableColumn id="8513" xr3:uid="{1C7163E4-5ACC-4FF7-AC7C-D3D58E602EAD}" name="Column8499"/>
    <tableColumn id="8514" xr3:uid="{01F3B90D-60AB-47C7-875B-6DEC057302B4}" name="Column8500"/>
    <tableColumn id="8515" xr3:uid="{17FCC3ED-B864-4A5B-9012-469B9130F7AD}" name="Column8501"/>
    <tableColumn id="8516" xr3:uid="{DF296C23-3FFB-4E13-ABD3-7F329C7E01EE}" name="Column8502"/>
    <tableColumn id="8517" xr3:uid="{9138B254-CC61-4CA4-806E-7635EDFF7599}" name="Column8503"/>
    <tableColumn id="8518" xr3:uid="{9A277426-F49A-4549-8F8F-653144F9AF44}" name="Column8504"/>
    <tableColumn id="8519" xr3:uid="{072D7080-3264-42DB-ABCB-C525221424A3}" name="Column8505"/>
    <tableColumn id="8520" xr3:uid="{F5557A9B-821E-4189-B21A-F73C67EE1C60}" name="Column8506"/>
    <tableColumn id="8521" xr3:uid="{5C10C653-4600-45CA-99D1-D67FF8CBA42C}" name="Column8507"/>
    <tableColumn id="8522" xr3:uid="{48CD6829-6929-4B41-A389-19098B991083}" name="Column8508"/>
    <tableColumn id="8523" xr3:uid="{B9842E5D-8687-4693-95DA-87892EF7E59A}" name="Column8509"/>
    <tableColumn id="8524" xr3:uid="{BB3A2234-0979-49D4-BFB7-964B70BE5844}" name="Column8510"/>
    <tableColumn id="8525" xr3:uid="{83695FC7-D34F-46CD-BFE5-2C7C5C8ACFB6}" name="Column8511"/>
    <tableColumn id="8526" xr3:uid="{11BA0911-B58E-4BDE-A2D5-9D8DF2CB027D}" name="Column8512"/>
    <tableColumn id="8527" xr3:uid="{F1E2EC70-D031-4524-BE7A-3FC906460392}" name="Column8513"/>
    <tableColumn id="8528" xr3:uid="{43B02966-6D66-4D29-9139-F388624BA875}" name="Column8514"/>
    <tableColumn id="8529" xr3:uid="{346AECB0-907D-41B4-961C-6DED3F6AA2E5}" name="Column8515"/>
    <tableColumn id="8530" xr3:uid="{6A58CD46-DCD5-47B3-A2E7-245C73BBAA00}" name="Column8516"/>
    <tableColumn id="8531" xr3:uid="{BCB584B4-74D8-4850-83DC-9BAA3DA9670F}" name="Column8517"/>
    <tableColumn id="8532" xr3:uid="{337A92B3-76FD-4DFD-8863-FFD450C9AF08}" name="Column8518"/>
    <tableColumn id="8533" xr3:uid="{C769D971-4DA4-46D6-B56E-818994367C20}" name="Column8519"/>
    <tableColumn id="8534" xr3:uid="{2E11BF39-2BE4-4FE8-BDD5-0F2C24B5C656}" name="Column8520"/>
    <tableColumn id="8535" xr3:uid="{0C161B63-C819-4C0F-9213-CDE7560D2896}" name="Column8521"/>
    <tableColumn id="8536" xr3:uid="{5D15F7E0-BCFA-414C-B626-44B2A7D3B5EE}" name="Column8522"/>
    <tableColumn id="8537" xr3:uid="{8A718F0B-7C74-4DE0-A9F5-20A23D917B24}" name="Column8523"/>
    <tableColumn id="8538" xr3:uid="{43D4A94E-B49E-45AD-BB01-8D4415A87ABA}" name="Column8524"/>
    <tableColumn id="8539" xr3:uid="{974AFCAD-6DEC-4D50-8720-9AE8D1FE81EA}" name="Column8525"/>
    <tableColumn id="8540" xr3:uid="{2ECA9868-7135-48CE-938C-62C733A94255}" name="Column8526"/>
    <tableColumn id="8541" xr3:uid="{E1B7E977-003A-48DB-9245-E19AC17A6361}" name="Column8527"/>
    <tableColumn id="8542" xr3:uid="{99B211C9-B3ED-480D-907B-BB53C6D5018F}" name="Column8528"/>
    <tableColumn id="8543" xr3:uid="{E01C729D-3BB8-45CA-B838-FE537E7DBA16}" name="Column8529"/>
    <tableColumn id="8544" xr3:uid="{BEB0D680-84A6-49BD-B8E6-4BBAB63CC863}" name="Column8530"/>
    <tableColumn id="8545" xr3:uid="{152E714E-00C5-4659-91A1-9DDBEFCBBD9E}" name="Column8531"/>
    <tableColumn id="8546" xr3:uid="{BEBCB907-4837-4D0B-AE64-AF2E0026F913}" name="Column8532"/>
    <tableColumn id="8547" xr3:uid="{5D686CBD-FA9D-4468-A943-32FE9584704C}" name="Column8533"/>
    <tableColumn id="8548" xr3:uid="{69227090-41C3-4CAB-83F0-AEB33CD41675}" name="Column8534"/>
    <tableColumn id="8549" xr3:uid="{EF4F5435-37AA-427E-9885-21CF1C1CC74E}" name="Column8535"/>
    <tableColumn id="8550" xr3:uid="{37A181F7-BB7F-47E0-8CA7-8D8D2D537532}" name="Column8536"/>
    <tableColumn id="8551" xr3:uid="{CEDCA242-1CDD-4595-8097-E97C9D74C92C}" name="Column8537"/>
    <tableColumn id="8552" xr3:uid="{650F02EE-346E-48AA-BA76-721D542BFD3B}" name="Column8538"/>
    <tableColumn id="8553" xr3:uid="{4FB495D9-35D6-48F5-8099-340DC000966F}" name="Column8539"/>
    <tableColumn id="8554" xr3:uid="{44062A37-0887-4FF1-B30D-E530A2E8D9B2}" name="Column8540"/>
    <tableColumn id="8555" xr3:uid="{9870CC9B-2EAE-4FEA-AADD-D0717FA6CF62}" name="Column8541"/>
    <tableColumn id="8556" xr3:uid="{BE61BD00-F7C4-4F57-A053-D8259EF4D67C}" name="Column8542"/>
    <tableColumn id="8557" xr3:uid="{3CBDE562-619B-4E09-97F6-BD8C6BCD2829}" name="Column8543"/>
    <tableColumn id="8558" xr3:uid="{25849292-9434-45B1-9472-565A9FCF5B8E}" name="Column8544"/>
    <tableColumn id="8559" xr3:uid="{57673C1C-BA34-4014-84D3-C4DE31C25CAF}" name="Column8545"/>
    <tableColumn id="8560" xr3:uid="{953931BF-1194-4008-AE55-07B5167B6C4A}" name="Column8546"/>
    <tableColumn id="8561" xr3:uid="{3C4FAEA8-0171-40E2-9F97-4682D1805339}" name="Column8547"/>
    <tableColumn id="8562" xr3:uid="{75B643C1-66FE-42B8-BA19-6A22B35ED0F8}" name="Column8548"/>
    <tableColumn id="8563" xr3:uid="{6EB61F57-B520-41E3-A0AD-83E9B83A8082}" name="Column8549"/>
    <tableColumn id="8564" xr3:uid="{195AB162-2F3B-4C6A-9BC7-F939862F7D17}" name="Column8550"/>
    <tableColumn id="8565" xr3:uid="{31211B3B-F492-4764-830B-BE9048C606A6}" name="Column8551"/>
    <tableColumn id="8566" xr3:uid="{7825868B-6CCE-4EE2-A23F-822CFC03AAE4}" name="Column8552"/>
    <tableColumn id="8567" xr3:uid="{60A233CE-A448-45F4-A03E-C3AF7E401473}" name="Column8553"/>
    <tableColumn id="8568" xr3:uid="{94DE165B-AEC4-4B69-BEA0-45A8CEC23BE3}" name="Column8554"/>
    <tableColumn id="8569" xr3:uid="{79B76693-EC4B-4F8B-94A4-E5A4D37F7AB8}" name="Column8555"/>
    <tableColumn id="8570" xr3:uid="{BB04A0B8-88A1-431B-B154-6169DE5A1829}" name="Column8556"/>
    <tableColumn id="8571" xr3:uid="{6FDBE254-3C75-4B20-9CE3-696FC8D7634E}" name="Column8557"/>
    <tableColumn id="8572" xr3:uid="{B44BED28-F3EB-4B38-ACC1-0E85FE3785BC}" name="Column8558"/>
    <tableColumn id="8573" xr3:uid="{62C2368F-AED6-4840-A383-843FE619A907}" name="Column8559"/>
    <tableColumn id="8574" xr3:uid="{E4613975-6811-4210-BF1C-FE7C6097CE19}" name="Column8560"/>
    <tableColumn id="8575" xr3:uid="{62C907A7-BC38-4BE2-BA1F-3F97C1F8FAAD}" name="Column8561"/>
    <tableColumn id="8576" xr3:uid="{07B01BBC-61CB-4AA6-9D19-60D0F1A3B79B}" name="Column8562"/>
    <tableColumn id="8577" xr3:uid="{B80A1995-D2F4-4836-B25D-17637C32DE37}" name="Column8563"/>
    <tableColumn id="8578" xr3:uid="{C574371F-C419-4FBD-8B45-C248F72DD26F}" name="Column8564"/>
    <tableColumn id="8579" xr3:uid="{D8030FBF-27F3-452C-89D5-1FB1BB4A0E09}" name="Column8565"/>
    <tableColumn id="8580" xr3:uid="{1EECEE07-CD75-4F6B-A280-028F61D349FE}" name="Column8566"/>
    <tableColumn id="8581" xr3:uid="{FF926927-CC7F-4408-BA2D-F265AD526CD9}" name="Column8567"/>
    <tableColumn id="8582" xr3:uid="{99A97C65-4D71-498C-9EA4-959834A012B0}" name="Column8568"/>
    <tableColumn id="8583" xr3:uid="{6BCE41C1-99C5-4B24-A795-E2FA5FF82840}" name="Column8569"/>
    <tableColumn id="8584" xr3:uid="{7FBF82CB-DCF4-481E-A598-4611A8398CA5}" name="Column8570"/>
    <tableColumn id="8585" xr3:uid="{CFF2EBE3-A417-4CD8-B6EC-DA7DD94998AA}" name="Column8571"/>
    <tableColumn id="8586" xr3:uid="{DCBF13A4-08B8-41A6-9795-31BC28416537}" name="Column8572"/>
    <tableColumn id="8587" xr3:uid="{DBD179F2-E7A1-41D8-9D3C-66CF1A7BBAA6}" name="Column8573"/>
    <tableColumn id="8588" xr3:uid="{A51CD9CC-61E4-4D8F-97F0-96B19EB4AD4D}" name="Column8574"/>
    <tableColumn id="8589" xr3:uid="{8F7D57E9-E9BC-4D2E-9442-86DAFD23F3B8}" name="Column8575"/>
    <tableColumn id="8590" xr3:uid="{55FDE003-20A7-4E58-9046-7DB19672ABBF}" name="Column8576"/>
    <tableColumn id="8591" xr3:uid="{74765DF4-2629-4C4F-A573-F7D33A9F9A71}" name="Column8577"/>
    <tableColumn id="8592" xr3:uid="{8ECF7981-0240-42B0-90E2-2E1153D40AF5}" name="Column8578"/>
    <tableColumn id="8593" xr3:uid="{68664D3D-B325-49CC-82D3-C94BD0FFD04E}" name="Column8579"/>
    <tableColumn id="8594" xr3:uid="{9B8C575B-6ADB-4325-9C88-C3148889BD5B}" name="Column8580"/>
    <tableColumn id="8595" xr3:uid="{CBEC18AB-3760-4478-8AFB-F4E07E46E03F}" name="Column8581"/>
    <tableColumn id="8596" xr3:uid="{C7943D81-206D-46B1-828B-B36219FFC646}" name="Column8582"/>
    <tableColumn id="8597" xr3:uid="{1DAE5236-5E70-4D98-969D-6E8034F8E129}" name="Column8583"/>
    <tableColumn id="8598" xr3:uid="{737DB94B-42ED-490F-82F9-2ACEEB8FA733}" name="Column8584"/>
    <tableColumn id="8599" xr3:uid="{162762EA-E172-48B2-BF22-EA1C627B861B}" name="Column8585"/>
    <tableColumn id="8600" xr3:uid="{0486C975-8176-4FED-A595-3AC1B8D95276}" name="Column8586"/>
    <tableColumn id="8601" xr3:uid="{5632C6B6-5200-4D82-8433-D138E1AC0AF6}" name="Column8587"/>
    <tableColumn id="8602" xr3:uid="{F5D3D3E1-7B8D-4D56-8BC1-C31E21A0CDEB}" name="Column8588"/>
    <tableColumn id="8603" xr3:uid="{C883E6F0-05BB-4BD3-9F87-156AEFB08C7A}" name="Column8589"/>
    <tableColumn id="8604" xr3:uid="{6DC76B5B-EBB8-40EF-A7EC-F6057ADFBFE8}" name="Column8590"/>
    <tableColumn id="8605" xr3:uid="{AFBA37A6-73BC-46E2-86E8-A2DFF79A1339}" name="Column8591"/>
    <tableColumn id="8606" xr3:uid="{7523E453-C344-48B7-953E-5F08318D8A50}" name="Column8592"/>
    <tableColumn id="8607" xr3:uid="{3C235BB2-1DCE-4DB0-BC14-3D11F4F378E8}" name="Column8593"/>
    <tableColumn id="8608" xr3:uid="{B6959101-79D0-455E-B8DC-1EAC9DA4817D}" name="Column8594"/>
    <tableColumn id="8609" xr3:uid="{4B735635-E53B-49F8-B220-9F52D0DE82EC}" name="Column8595"/>
    <tableColumn id="8610" xr3:uid="{5A7B4CA2-EF39-4FC8-AB09-1298720C5E6D}" name="Column8596"/>
    <tableColumn id="8611" xr3:uid="{48180E21-431D-4CEB-BDD0-708D7C3B0ADC}" name="Column8597"/>
    <tableColumn id="8612" xr3:uid="{044F947F-8129-4EFA-9D01-6361C25F219F}" name="Column8598"/>
    <tableColumn id="8613" xr3:uid="{EFB43DF1-4515-445D-91DE-1DFF8BF26BEB}" name="Column8599"/>
    <tableColumn id="8614" xr3:uid="{2BA89634-35C5-46DF-8768-EACC285F624B}" name="Column8600"/>
    <tableColumn id="8615" xr3:uid="{5ECCF84D-9938-424B-93BC-8A5ECAF6EB10}" name="Column8601"/>
    <tableColumn id="8616" xr3:uid="{0ECC0110-C114-4BF7-B32D-18330CB16E39}" name="Column8602"/>
    <tableColumn id="8617" xr3:uid="{C82B586A-612E-4CDC-B74D-46B3442F4E14}" name="Column8603"/>
    <tableColumn id="8618" xr3:uid="{55DAEFE9-CE80-48C9-B80B-3979E9E43A74}" name="Column8604"/>
    <tableColumn id="8619" xr3:uid="{E8842D2E-91EE-42EE-8C98-B85AD0FBFEE9}" name="Column8605"/>
    <tableColumn id="8620" xr3:uid="{54E10F35-988E-423B-87A0-B6C4B10AAD14}" name="Column8606"/>
    <tableColumn id="8621" xr3:uid="{F76C1A2A-3F42-4A94-82AB-EDF57468D0D7}" name="Column8607"/>
    <tableColumn id="8622" xr3:uid="{11644BD0-DB54-4A4C-8845-9A6FEFCB9E2F}" name="Column8608"/>
    <tableColumn id="8623" xr3:uid="{C675A5BC-14A4-42F9-8771-8AE1EE384474}" name="Column8609"/>
    <tableColumn id="8624" xr3:uid="{D3047CC8-3740-491E-B10B-59F3E6B60B72}" name="Column8610"/>
    <tableColumn id="8625" xr3:uid="{2159B841-90D6-48B1-A605-880B196C9F14}" name="Column8611"/>
    <tableColumn id="8626" xr3:uid="{BB634FA7-0203-4306-81BF-A9DC0D358508}" name="Column8612"/>
    <tableColumn id="8627" xr3:uid="{DC61D06C-D9E4-4B6D-A95C-9470BE53476F}" name="Column8613"/>
    <tableColumn id="8628" xr3:uid="{E4FE18C4-AAC2-4BE7-8C41-24D20174FF72}" name="Column8614"/>
    <tableColumn id="8629" xr3:uid="{4A08004D-A380-408E-A7A0-440EF0EA8615}" name="Column8615"/>
    <tableColumn id="8630" xr3:uid="{F87425FA-65D7-4052-8628-BEE8E36CB571}" name="Column8616"/>
    <tableColumn id="8631" xr3:uid="{451D1D39-A4DF-441F-ADF7-61D04801CC0D}" name="Column8617"/>
    <tableColumn id="8632" xr3:uid="{61592096-2617-4AAF-90EE-9997BDDDD369}" name="Column8618"/>
    <tableColumn id="8633" xr3:uid="{5DC96961-196C-442E-818D-39AAF395F3FC}" name="Column8619"/>
    <tableColumn id="8634" xr3:uid="{40741945-3279-4F86-A875-A29F37904793}" name="Column8620"/>
    <tableColumn id="8635" xr3:uid="{47F910C7-5C31-409F-9A45-54CF9DF8435B}" name="Column8621"/>
    <tableColumn id="8636" xr3:uid="{7B659E4E-5AB1-440A-A8E2-05F8A31250F8}" name="Column8622"/>
    <tableColumn id="8637" xr3:uid="{DF8578A4-ED0D-4AB1-A54E-FC530A632B2C}" name="Column8623"/>
    <tableColumn id="8638" xr3:uid="{540FBB3F-1ACA-4F5C-B216-18C7A10ED123}" name="Column8624"/>
    <tableColumn id="8639" xr3:uid="{0209755E-5697-4011-8287-042AF9EE0084}" name="Column8625"/>
    <tableColumn id="8640" xr3:uid="{C09D6894-0F5F-466B-AEB0-56B680472D2C}" name="Column8626"/>
    <tableColumn id="8641" xr3:uid="{8081C694-71B8-45EF-9388-10CC9955A2F1}" name="Column8627"/>
    <tableColumn id="8642" xr3:uid="{4ACF58EF-5E72-4C66-8FC3-64D13AB0EDD6}" name="Column8628"/>
    <tableColumn id="8643" xr3:uid="{1FF5411B-D7BD-489A-8094-6EBE4D0F3988}" name="Column8629"/>
    <tableColumn id="8644" xr3:uid="{ED5FFD40-01D5-46B8-B1B1-FEF5D2E3D57D}" name="Column8630"/>
    <tableColumn id="8645" xr3:uid="{67E4869D-F33E-4B28-88B7-701FF226FDD3}" name="Column8631"/>
    <tableColumn id="8646" xr3:uid="{44076267-2B6A-4ABD-A903-31D3C12C503D}" name="Column8632"/>
    <tableColumn id="8647" xr3:uid="{C60C4744-9696-4CDD-9A7E-2487DC8A2280}" name="Column8633"/>
    <tableColumn id="8648" xr3:uid="{804A20BE-1040-45B0-9B2B-06EA06AF8ED5}" name="Column8634"/>
    <tableColumn id="8649" xr3:uid="{F953953D-1B6A-4836-8DC0-51A613055CDD}" name="Column8635"/>
    <tableColumn id="8650" xr3:uid="{6944EFCA-3A19-4A94-92B0-BF28B22EB0A4}" name="Column8636"/>
    <tableColumn id="8651" xr3:uid="{9CD1E580-F64C-4B12-8871-231A1CB18D7D}" name="Column8637"/>
    <tableColumn id="8652" xr3:uid="{43B4907C-231D-4737-85A1-55E77B218366}" name="Column8638"/>
    <tableColumn id="8653" xr3:uid="{1BA5F0F9-D85F-4DB4-A0C6-058B89C38E0C}" name="Column8639"/>
    <tableColumn id="8654" xr3:uid="{001A9872-BE52-4BB7-B151-6A98D4554D90}" name="Column8640"/>
    <tableColumn id="8655" xr3:uid="{06086FBF-24BD-4453-A595-3154B37E4073}" name="Column8641"/>
    <tableColumn id="8656" xr3:uid="{21466E1F-4E59-48C9-9ABB-5784A94EA619}" name="Column8642"/>
    <tableColumn id="8657" xr3:uid="{7C3C12E9-C6D8-4FD7-A13A-85EF3AC97CE4}" name="Column8643"/>
    <tableColumn id="8658" xr3:uid="{A96B0F5A-04E3-4D39-AD69-D1141D462694}" name="Column8644"/>
    <tableColumn id="8659" xr3:uid="{778DB5A1-4FD3-4714-8ACC-76800EC19B06}" name="Column8645"/>
    <tableColumn id="8660" xr3:uid="{578B413E-2698-4A5F-B403-C3ECEE8E21D1}" name="Column8646"/>
    <tableColumn id="8661" xr3:uid="{20EBF32B-163A-4BB8-AA62-BCECC5DDA6D2}" name="Column8647"/>
    <tableColumn id="8662" xr3:uid="{FDCB8218-E44A-4661-AC38-A7C8D4446BA7}" name="Column8648"/>
    <tableColumn id="8663" xr3:uid="{864BE413-5CC3-4EAE-84AE-30DEFDDC5CFA}" name="Column8649"/>
    <tableColumn id="8664" xr3:uid="{DB3711C6-375A-48D0-A290-3233E237DBF2}" name="Column8650"/>
    <tableColumn id="8665" xr3:uid="{DD681257-1CD7-451D-B858-D09D05558348}" name="Column8651"/>
    <tableColumn id="8666" xr3:uid="{C4D39E4E-AF81-4F06-A27A-DEA9B1F81578}" name="Column8652"/>
    <tableColumn id="8667" xr3:uid="{3656F1DD-B737-4909-8BA3-E9756057F6EF}" name="Column8653"/>
    <tableColumn id="8668" xr3:uid="{CEE74E90-8947-4FC0-8829-63D76CEEB9A5}" name="Column8654"/>
    <tableColumn id="8669" xr3:uid="{5908EBDB-CEE0-4F30-9866-7B7AAB426CDA}" name="Column8655"/>
    <tableColumn id="8670" xr3:uid="{7353615A-9073-4140-A267-707EB8A6AC7C}" name="Column8656"/>
    <tableColumn id="8671" xr3:uid="{274D02CF-AEE5-4A4E-8098-FC9AD0C585BB}" name="Column8657"/>
    <tableColumn id="8672" xr3:uid="{A8C71EA3-5B3F-46DA-8493-D3458EC78FDB}" name="Column8658"/>
    <tableColumn id="8673" xr3:uid="{ACB7D766-59F2-4966-AFAC-D02D57E1EBDE}" name="Column8659"/>
    <tableColumn id="8674" xr3:uid="{C5B97208-68DE-4B50-9D2A-2057B40ED3CE}" name="Column8660"/>
    <tableColumn id="8675" xr3:uid="{D0BAAC85-8B11-46CA-A4D3-09F09D5FA62D}" name="Column8661"/>
    <tableColumn id="8676" xr3:uid="{921BC061-CA15-414F-A0F2-7A7140EEF95A}" name="Column8662"/>
    <tableColumn id="8677" xr3:uid="{0DC70F8F-BD33-42EF-A3FA-089CDB4F6A7C}" name="Column8663"/>
    <tableColumn id="8678" xr3:uid="{39D39340-73BC-480E-A927-C56F720334C8}" name="Column8664"/>
    <tableColumn id="8679" xr3:uid="{362B2ED1-0BC7-4A07-A215-56D9127E38CC}" name="Column8665"/>
    <tableColumn id="8680" xr3:uid="{610BE41A-DD29-40DA-B20A-704AB6666050}" name="Column8666"/>
    <tableColumn id="8681" xr3:uid="{635AFD17-CABB-4C39-B4F1-D9982D368CFB}" name="Column8667"/>
    <tableColumn id="8682" xr3:uid="{D23E885F-E8DE-4310-A7EF-323CC65CA641}" name="Column8668"/>
    <tableColumn id="8683" xr3:uid="{2B7226EA-5B79-4565-BD3B-9AD9AA4C1C48}" name="Column8669"/>
    <tableColumn id="8684" xr3:uid="{85785F9D-F167-4B75-BF19-ED9A6494922A}" name="Column8670"/>
    <tableColumn id="8685" xr3:uid="{76A6BA52-F0CA-4239-9A23-EE2C7F00CF5D}" name="Column8671"/>
    <tableColumn id="8686" xr3:uid="{57FA5FB5-21CD-4CB9-B82A-CCA10C41528A}" name="Column8672"/>
    <tableColumn id="8687" xr3:uid="{BCE3A088-2AA7-42EA-ABC7-CCC765275D8C}" name="Column8673"/>
    <tableColumn id="8688" xr3:uid="{B431B1C4-A645-4CC2-8C2F-1EC63E40F2DE}" name="Column8674"/>
    <tableColumn id="8689" xr3:uid="{133AA9E2-2680-4364-9A9E-9BDE65D3E815}" name="Column8675"/>
    <tableColumn id="8690" xr3:uid="{397C46F4-37BC-44CA-AE55-D54E9EE44A34}" name="Column8676"/>
    <tableColumn id="8691" xr3:uid="{5D5B9F48-BFFE-48F4-A702-D917094D158E}" name="Column8677"/>
    <tableColumn id="8692" xr3:uid="{05EC6F4B-528A-4B85-9C98-FE41AC7CCC12}" name="Column8678"/>
    <tableColumn id="8693" xr3:uid="{7AE85410-C00E-48CB-AF20-8D63F11FDAE1}" name="Column8679"/>
    <tableColumn id="8694" xr3:uid="{0B5288A6-7265-47E0-92FA-CA87C39C9596}" name="Column8680"/>
    <tableColumn id="8695" xr3:uid="{1825F744-5AA5-4964-B029-6CB9D7A5F7BE}" name="Column8681"/>
    <tableColumn id="8696" xr3:uid="{EF5CA427-5D04-4EFA-A840-21BFD255ECA2}" name="Column8682"/>
    <tableColumn id="8697" xr3:uid="{32CCCD46-6C98-46AE-B5BF-1E1804E8C051}" name="Column8683"/>
    <tableColumn id="8698" xr3:uid="{979ABF5D-38DE-494A-B424-3F3805B14681}" name="Column8684"/>
    <tableColumn id="8699" xr3:uid="{88BAD963-C773-4A9E-8007-038E831CB75D}" name="Column8685"/>
    <tableColumn id="8700" xr3:uid="{5CF3E72B-BA0B-4159-AFC2-2EF04B0C1B53}" name="Column8686"/>
    <tableColumn id="8701" xr3:uid="{CF1D8E1C-4CE6-466D-9531-986698FAC357}" name="Column8687"/>
    <tableColumn id="8702" xr3:uid="{2D73F4C3-BDCD-4EF6-8655-8A754D5B344A}" name="Column8688"/>
    <tableColumn id="8703" xr3:uid="{FFA40959-0AA9-4E29-B8A3-1AE3F8EAB213}" name="Column8689"/>
    <tableColumn id="8704" xr3:uid="{C7EEB29D-CF68-4822-AEC0-F03A36BCB5F9}" name="Column8690"/>
    <tableColumn id="8705" xr3:uid="{BBEB7CEF-D71D-4DB1-A604-90CB86499E5D}" name="Column8691"/>
    <tableColumn id="8706" xr3:uid="{6C013325-1EF6-459C-BEBE-4938881FA3F7}" name="Column8692"/>
    <tableColumn id="8707" xr3:uid="{75A55E66-B5BD-4E5F-A915-5CD9322AE765}" name="Column8693"/>
    <tableColumn id="8708" xr3:uid="{A12A3792-D2F3-4E83-BF58-A76CCD15CBB5}" name="Column8694"/>
    <tableColumn id="8709" xr3:uid="{6BF99A52-DBBA-4DDE-9386-0DF5F78CC80F}" name="Column8695"/>
    <tableColumn id="8710" xr3:uid="{BF7DE9A9-4FF5-4408-BC94-BFAE0E29DDE4}" name="Column8696"/>
    <tableColumn id="8711" xr3:uid="{C8FA7B58-63B7-4FEC-8D80-689976A4E73E}" name="Column8697"/>
    <tableColumn id="8712" xr3:uid="{FBC40581-AF26-438B-BB55-507B11A40D3B}" name="Column8698"/>
    <tableColumn id="8713" xr3:uid="{10076331-2151-4E26-A99E-F8EBCCAEE50C}" name="Column8699"/>
    <tableColumn id="8714" xr3:uid="{1B370E08-94E9-4159-9E00-26285AD74A4A}" name="Column8700"/>
    <tableColumn id="8715" xr3:uid="{D80981BB-C0AF-4F40-9894-7D760F05E737}" name="Column8701"/>
    <tableColumn id="8716" xr3:uid="{AF9CD028-2D73-4DCA-AA12-65F401DAADB2}" name="Column8702"/>
    <tableColumn id="8717" xr3:uid="{90098263-2C13-4D08-AA8F-BDBF3034E166}" name="Column8703"/>
    <tableColumn id="8718" xr3:uid="{6AAE9B10-C0EC-4AD7-937C-1E137FB6AB2A}" name="Column8704"/>
    <tableColumn id="8719" xr3:uid="{71F4D315-8EF5-4B22-944E-7ABE8BF6A32C}" name="Column8705"/>
    <tableColumn id="8720" xr3:uid="{8DED9EBB-66CA-444A-BC66-02901EE19F42}" name="Column8706"/>
    <tableColumn id="8721" xr3:uid="{0CC5068B-CD5F-4622-A0E8-A2F5C2C11D61}" name="Column8707"/>
    <tableColumn id="8722" xr3:uid="{EC24C4AB-C322-4BBC-BA26-7CFDCE3D9861}" name="Column8708"/>
    <tableColumn id="8723" xr3:uid="{A691A98E-016B-483D-BC61-4CF8AB57A766}" name="Column8709"/>
    <tableColumn id="8724" xr3:uid="{A914D205-AC1D-4DDE-9D55-4410C4B0D814}" name="Column8710"/>
    <tableColumn id="8725" xr3:uid="{3E652573-9356-4134-8141-7F27FD9199C0}" name="Column8711"/>
    <tableColumn id="8726" xr3:uid="{A6C9F8FB-570C-43AB-8A97-E13B2FC429BD}" name="Column8712"/>
    <tableColumn id="8727" xr3:uid="{8D5C0D13-636C-4DB9-B803-D70EE4C7B36F}" name="Column8713"/>
    <tableColumn id="8728" xr3:uid="{6DFDF151-F247-43DA-AEF8-2982BCF25D0C}" name="Column8714"/>
    <tableColumn id="8729" xr3:uid="{8FDCDDAE-5431-4CE8-922C-0D09B823A485}" name="Column8715"/>
    <tableColumn id="8730" xr3:uid="{AB54145C-AD64-45C7-BEE1-35119A31B256}" name="Column8716"/>
    <tableColumn id="8731" xr3:uid="{FE49D6A1-B644-4CA9-9AA4-CF31457CB12E}" name="Column8717"/>
    <tableColumn id="8732" xr3:uid="{E1E333C3-ADC9-4936-AE4F-1AA276F3A62C}" name="Column8718"/>
    <tableColumn id="8733" xr3:uid="{2EA44973-9E19-434D-8AB2-56318510F86F}" name="Column8719"/>
    <tableColumn id="8734" xr3:uid="{60977F2B-94EA-440E-B417-11B2A87F711B}" name="Column8720"/>
    <tableColumn id="8735" xr3:uid="{E1955A16-EEA5-413A-87C0-2FA76DDF4A72}" name="Column8721"/>
    <tableColumn id="8736" xr3:uid="{F0E59C06-F5CB-4B07-A1BB-62D225D7A8AF}" name="Column8722"/>
    <tableColumn id="8737" xr3:uid="{45D4443F-AA74-4426-A389-3B6EBF378D60}" name="Column8723"/>
    <tableColumn id="8738" xr3:uid="{B78C1DA5-0661-4BB9-A908-4F3432FC81DD}" name="Column8724"/>
    <tableColumn id="8739" xr3:uid="{257BF54F-A95D-4DB6-92C6-14D22CBCCFDF}" name="Column8725"/>
    <tableColumn id="8740" xr3:uid="{3B7D1455-849C-4BC5-BE55-BE927D001385}" name="Column8726"/>
    <tableColumn id="8741" xr3:uid="{9F49924B-D770-467C-94A7-9A1CED2D6307}" name="Column8727"/>
    <tableColumn id="8742" xr3:uid="{5A383699-1661-4586-ABA9-FF9BE47E26C9}" name="Column8728"/>
    <tableColumn id="8743" xr3:uid="{BB614928-EC5E-4E0C-9254-BD3CED3A9059}" name="Column8729"/>
    <tableColumn id="8744" xr3:uid="{6CDB9C39-58E5-4129-B7E9-35E2E298700B}" name="Column8730"/>
    <tableColumn id="8745" xr3:uid="{F4CF0636-63B9-4793-A0D8-91D93330240B}" name="Column8731"/>
    <tableColumn id="8746" xr3:uid="{68285A4A-30C6-4CBF-BDA0-16F87051DB61}" name="Column8732"/>
    <tableColumn id="8747" xr3:uid="{06789C45-BFBC-4650-9D26-62D22EAE0B61}" name="Column8733"/>
    <tableColumn id="8748" xr3:uid="{FFBC977C-E0D2-442F-8345-7BEFF3595978}" name="Column8734"/>
    <tableColumn id="8749" xr3:uid="{E7A537BC-1E39-4378-8B38-5E170FE77F44}" name="Column8735"/>
    <tableColumn id="8750" xr3:uid="{614F2731-BD04-4EC5-BB6F-636DCF108360}" name="Column8736"/>
    <tableColumn id="8751" xr3:uid="{8F25F2DC-7786-4CD6-99AF-9E8ACE7A0F69}" name="Column8737"/>
    <tableColumn id="8752" xr3:uid="{FFB26FCF-F0CF-4EB5-A9D9-7CC3F7F39DCE}" name="Column8738"/>
    <tableColumn id="8753" xr3:uid="{BE52C3EB-5F0D-4C82-B052-911B4A589ED0}" name="Column8739"/>
    <tableColumn id="8754" xr3:uid="{A7A62F43-1D07-40E6-AFF8-EE5DFA39A3FF}" name="Column8740"/>
    <tableColumn id="8755" xr3:uid="{440B271A-34A1-4824-90D2-7D9C7193F320}" name="Column8741"/>
    <tableColumn id="8756" xr3:uid="{A38EFA58-4A46-4AB3-AB4C-5F29F13EB0A8}" name="Column8742"/>
    <tableColumn id="8757" xr3:uid="{B4E93B0E-4E0D-4764-BCB9-1E93871EDA8A}" name="Column8743"/>
    <tableColumn id="8758" xr3:uid="{5234AA59-331B-45FE-ADAC-F79B3B67E702}" name="Column8744"/>
    <tableColumn id="8759" xr3:uid="{B122C137-7F69-4DBC-A0E1-1A0053BA097A}" name="Column8745"/>
    <tableColumn id="8760" xr3:uid="{53CF1CB4-889C-4786-BF8D-1A4E243B3CCF}" name="Column8746"/>
    <tableColumn id="8761" xr3:uid="{B652BEDB-612F-432E-B62C-998548459B8A}" name="Column8747"/>
    <tableColumn id="8762" xr3:uid="{5D8E2680-811C-40FA-AC38-2DE461257DC2}" name="Column8748"/>
    <tableColumn id="8763" xr3:uid="{FE2CFA19-B16E-43AE-96E3-7FE719A17E0B}" name="Column8749"/>
    <tableColumn id="8764" xr3:uid="{F76F6088-0C01-4EB7-87E7-235C6BD59718}" name="Column8750"/>
    <tableColumn id="8765" xr3:uid="{6DD97CBF-1B8D-4F0F-8D36-9387EC60A577}" name="Column8751"/>
    <tableColumn id="8766" xr3:uid="{F7257E17-EAC4-4083-9B95-6BA1493E64AE}" name="Column8752"/>
    <tableColumn id="8767" xr3:uid="{BD7BA14C-B2B7-4C2F-8C4E-00003B802225}" name="Column8753"/>
    <tableColumn id="8768" xr3:uid="{7E387444-BA3F-4D0C-884D-D370AEC28100}" name="Column8754"/>
    <tableColumn id="8769" xr3:uid="{A6F47A50-7FFD-4937-8B56-82DF547EE3C9}" name="Column8755"/>
    <tableColumn id="8770" xr3:uid="{DEEA9623-049E-4AB2-A017-3E2AF12E2E1F}" name="Column8756"/>
    <tableColumn id="8771" xr3:uid="{8BFC154E-1EF6-41B3-B972-82D77FE7A0BB}" name="Column8757"/>
    <tableColumn id="8772" xr3:uid="{49C7394C-981B-4960-AE7B-E0F5C94E2399}" name="Column8758"/>
    <tableColumn id="8773" xr3:uid="{761EBF72-1C58-4A30-8CF6-0DE9CFCDBF26}" name="Column8759"/>
    <tableColumn id="8774" xr3:uid="{6968E175-9F34-45B3-A627-C99801E2E9E1}" name="Column8760"/>
    <tableColumn id="8775" xr3:uid="{FBFC5FB4-ED47-486B-9CC9-66E0F2553FC4}" name="Column8761"/>
    <tableColumn id="8776" xr3:uid="{6B5591D7-5461-4E91-91B7-39458749565A}" name="Column8762"/>
    <tableColumn id="8777" xr3:uid="{30DB123D-E339-4F71-AEF1-CB09AED15145}" name="Column8763"/>
    <tableColumn id="8778" xr3:uid="{D645AE4F-B670-4BA6-B259-C1277C8D17D2}" name="Column8764"/>
    <tableColumn id="8779" xr3:uid="{DFC39C67-3E18-4BD2-A03A-857F3CC54DE5}" name="Column8765"/>
    <tableColumn id="8780" xr3:uid="{C355EA39-8574-4C7F-B276-F5EAB929A4C1}" name="Column8766"/>
    <tableColumn id="8781" xr3:uid="{E4E84B3C-2A0E-4540-B01A-E8A9CC4C9DF0}" name="Column8767"/>
    <tableColumn id="8782" xr3:uid="{D4F68600-64D1-4FB5-8C8C-65C62A09937D}" name="Column8768"/>
    <tableColumn id="8783" xr3:uid="{229350EE-9072-4C93-9366-8D022C5686D6}" name="Column8769"/>
    <tableColumn id="8784" xr3:uid="{DE7AF8A4-52C7-44C3-8BFC-45DA2F342482}" name="Column8770"/>
    <tableColumn id="8785" xr3:uid="{F2AE52E0-F0A7-440A-91CF-ADB2013CE27A}" name="Column8771"/>
    <tableColumn id="8786" xr3:uid="{8D5E3F8A-538F-4143-B1F2-BF161F45CF33}" name="Column8772"/>
    <tableColumn id="8787" xr3:uid="{FC392414-981A-4043-BCE2-3F704A7102E6}" name="Column8773"/>
    <tableColumn id="8788" xr3:uid="{42CA8784-9084-48BF-A6D8-056335C3FE70}" name="Column8774"/>
    <tableColumn id="8789" xr3:uid="{F05156B4-85AC-49EA-9EE8-947CD592ACA5}" name="Column8775"/>
    <tableColumn id="8790" xr3:uid="{7B305F2B-0071-49F1-AE03-489D1FA18202}" name="Column8776"/>
    <tableColumn id="8791" xr3:uid="{36BFBE9D-8EC6-4B68-8CD0-90CCB56DDD23}" name="Column8777"/>
    <tableColumn id="8792" xr3:uid="{7A19BFC7-6FCE-4DB0-93B3-C879E07A11A7}" name="Column8778"/>
    <tableColumn id="8793" xr3:uid="{706C94AF-E678-4962-8130-C0E6C6016FC3}" name="Column8779"/>
    <tableColumn id="8794" xr3:uid="{109ACB1A-9B17-46DD-9CF3-75008A6B61AA}" name="Column8780"/>
    <tableColumn id="8795" xr3:uid="{B67EE367-96ED-4006-AEC9-6D974591AD1E}" name="Column8781"/>
    <tableColumn id="8796" xr3:uid="{3DB65D7F-902D-4265-AD7B-10BB37CC547D}" name="Column8782"/>
    <tableColumn id="8797" xr3:uid="{723C060C-EA53-4FFD-8923-E930811C6130}" name="Column8783"/>
    <tableColumn id="8798" xr3:uid="{1B4D0715-3FB5-4EE9-9D77-C8937C843EC3}" name="Column8784"/>
    <tableColumn id="8799" xr3:uid="{8247667B-D141-4877-AECC-F6DDE24FBD41}" name="Column8785"/>
    <tableColumn id="8800" xr3:uid="{F0155CDE-43A1-42A7-9AF7-4908A2C9E0F6}" name="Column8786"/>
    <tableColumn id="8801" xr3:uid="{C5A10E8D-52FA-4E49-8153-C8D7D0252632}" name="Column8787"/>
    <tableColumn id="8802" xr3:uid="{0A43AFF8-4E02-4280-9526-990D9F190D0E}" name="Column8788"/>
    <tableColumn id="8803" xr3:uid="{6149CB00-B313-4FCB-B687-EFA3770033E7}" name="Column8789"/>
    <tableColumn id="8804" xr3:uid="{8203E734-A066-48D8-AA34-1E2DB580F5F0}" name="Column8790"/>
    <tableColumn id="8805" xr3:uid="{71581407-9629-41CA-B047-58CC16F6A915}" name="Column8791"/>
    <tableColumn id="8806" xr3:uid="{D7AC20AE-9506-4FC3-9CCE-D8DDBA504868}" name="Column8792"/>
    <tableColumn id="8807" xr3:uid="{60D64AD6-F286-41CC-B049-E77E5815D642}" name="Column8793"/>
    <tableColumn id="8808" xr3:uid="{47C4FE84-C43B-4819-8D26-00FBC5541ABC}" name="Column8794"/>
    <tableColumn id="8809" xr3:uid="{3361D4A6-558B-4AE5-A0CE-6408BAC6F436}" name="Column8795"/>
    <tableColumn id="8810" xr3:uid="{AC9577B4-D259-4353-8DE5-9A5D531AB066}" name="Column8796"/>
    <tableColumn id="8811" xr3:uid="{9C8AE376-AA24-4CFD-B952-1C4D2A1A82C3}" name="Column8797"/>
    <tableColumn id="8812" xr3:uid="{513F1836-CD63-4E8E-8CFA-5C88C5DAF747}" name="Column8798"/>
    <tableColumn id="8813" xr3:uid="{3435F3AC-6146-4821-A4E4-52A73FDCC51D}" name="Column8799"/>
    <tableColumn id="8814" xr3:uid="{BCBC9C82-9D96-4604-8919-AE8E2EB85DD1}" name="Column8800"/>
    <tableColumn id="8815" xr3:uid="{89D3EFC1-D227-4604-8C9F-05D4F79D53B9}" name="Column8801"/>
    <tableColumn id="8816" xr3:uid="{9C756C0E-6D83-482E-AA02-6D0EDCA901E9}" name="Column8802"/>
    <tableColumn id="8817" xr3:uid="{F376AB71-6557-4868-8CE6-FAFBD963285C}" name="Column8803"/>
    <tableColumn id="8818" xr3:uid="{CC64878F-ADEF-49B1-9C9B-7C8BBA0EDA08}" name="Column8804"/>
    <tableColumn id="8819" xr3:uid="{00F27E73-9B6C-4A35-9B06-66B2D0DB98EB}" name="Column8805"/>
    <tableColumn id="8820" xr3:uid="{6713380E-7A01-45AD-80DD-41C0CBE1EEF8}" name="Column8806"/>
    <tableColumn id="8821" xr3:uid="{4F03A80F-AD99-465D-9EC4-8BCE71051A66}" name="Column8807"/>
    <tableColumn id="8822" xr3:uid="{C0B5BAC0-30CF-47C6-B950-7B0DE32DC2D2}" name="Column8808"/>
    <tableColumn id="8823" xr3:uid="{79740D33-2A5E-43F6-9ED7-ADB617671377}" name="Column8809"/>
    <tableColumn id="8824" xr3:uid="{A8216387-C84E-4BEA-B768-F27276026D34}" name="Column8810"/>
    <tableColumn id="8825" xr3:uid="{6BE70DB0-CBC0-417C-90E7-4284FC2F0337}" name="Column8811"/>
    <tableColumn id="8826" xr3:uid="{67AD935E-8327-4CEA-8865-46A5AA79339A}" name="Column8812"/>
    <tableColumn id="8827" xr3:uid="{D6C742ED-6932-4DAA-8C2A-A0B16EA767DB}" name="Column8813"/>
    <tableColumn id="8828" xr3:uid="{6DBA2F50-D2C5-4B2C-A42A-FADDDB296E44}" name="Column8814"/>
    <tableColumn id="8829" xr3:uid="{A90A9B56-8B91-44BC-96F2-E470602D2E55}" name="Column8815"/>
    <tableColumn id="8830" xr3:uid="{02728EC2-6FFD-4870-851A-26A4080F03C6}" name="Column8816"/>
    <tableColumn id="8831" xr3:uid="{97714664-0861-4AC8-A657-656D5F450684}" name="Column8817"/>
    <tableColumn id="8832" xr3:uid="{8259ED5A-4468-4BE8-8153-D959F35DE5D0}" name="Column8818"/>
    <tableColumn id="8833" xr3:uid="{4ED966E0-D229-4516-8C81-A55C47D278CA}" name="Column8819"/>
    <tableColumn id="8834" xr3:uid="{C623D93B-1E2B-4D89-B709-63F16652A567}" name="Column8820"/>
    <tableColumn id="8835" xr3:uid="{47519AAC-39F5-4006-8A62-0E47454023C2}" name="Column8821"/>
    <tableColumn id="8836" xr3:uid="{8477E2E4-F1D8-4573-9A34-A63668FAB4B0}" name="Column8822"/>
    <tableColumn id="8837" xr3:uid="{6B2258EC-0600-403C-A755-5E33EC4AECB6}" name="Column8823"/>
    <tableColumn id="8838" xr3:uid="{09538C2A-D981-4CB7-A148-A4B9EAE47CEC}" name="Column8824"/>
    <tableColumn id="8839" xr3:uid="{6E2060A5-F821-427A-A26A-68901C64A4CD}" name="Column8825"/>
    <tableColumn id="8840" xr3:uid="{88272DFB-CD6B-4F73-94C4-B0E11FEA7F17}" name="Column8826"/>
    <tableColumn id="8841" xr3:uid="{73C41462-0F7D-4929-B7FF-DBE603AA2161}" name="Column8827"/>
    <tableColumn id="8842" xr3:uid="{FD2887CC-BA09-4190-9F51-75F59B2A5513}" name="Column8828"/>
    <tableColumn id="8843" xr3:uid="{F90A26A5-39EB-49AF-AE56-542D92BA087B}" name="Column8829"/>
    <tableColumn id="8844" xr3:uid="{D981AADC-7864-493E-BC6A-B6C5C4FF2E55}" name="Column8830"/>
    <tableColumn id="8845" xr3:uid="{4C72A8F7-C60D-4542-810A-43215352EFE4}" name="Column8831"/>
    <tableColumn id="8846" xr3:uid="{CC636695-750E-44B6-A939-7B6A3E558363}" name="Column8832"/>
    <tableColumn id="8847" xr3:uid="{AEAF22AE-97A2-40CF-B41B-CB5837625A14}" name="Column8833"/>
    <tableColumn id="8848" xr3:uid="{0024C47B-9208-4ADA-A9F8-A3AD9F1EB686}" name="Column8834"/>
    <tableColumn id="8849" xr3:uid="{BF36E0E2-A96E-4953-9AFC-C4AE1447E8D4}" name="Column8835"/>
    <tableColumn id="8850" xr3:uid="{7CAE2CCF-8610-45DC-81BB-9517C9D95F21}" name="Column8836"/>
    <tableColumn id="8851" xr3:uid="{2578FCDD-ED19-4195-B7FE-6B34BC02294B}" name="Column8837"/>
    <tableColumn id="8852" xr3:uid="{5CF5DB4D-3CE4-474A-8830-A14162C9D380}" name="Column8838"/>
    <tableColumn id="8853" xr3:uid="{1F5224B2-A2B5-44D8-BD9C-DEF90D11C673}" name="Column8839"/>
    <tableColumn id="8854" xr3:uid="{99927EC7-FAF1-4F53-98F7-1498D60452DB}" name="Column8840"/>
    <tableColumn id="8855" xr3:uid="{5173C5D7-B81E-458B-8D53-51B42E9B831D}" name="Column8841"/>
    <tableColumn id="8856" xr3:uid="{B0F139F2-12DA-42F9-BDC5-CBA57A3C6A0B}" name="Column8842"/>
    <tableColumn id="8857" xr3:uid="{5E120876-F950-4A57-857E-A86902E48637}" name="Column8843"/>
    <tableColumn id="8858" xr3:uid="{6BC695D3-D902-4991-8F44-F037C656EA83}" name="Column8844"/>
    <tableColumn id="8859" xr3:uid="{A73D23DF-1EA3-41E3-8E78-A2E37BD110B9}" name="Column8845"/>
    <tableColumn id="8860" xr3:uid="{CF885296-8337-4BB1-B3FD-9512E257A50A}" name="Column8846"/>
    <tableColumn id="8861" xr3:uid="{FB78456B-A168-4B18-8FA1-6730DB367A53}" name="Column8847"/>
    <tableColumn id="8862" xr3:uid="{9C58779A-1A3D-402D-B1C7-476CBDE5C832}" name="Column8848"/>
    <tableColumn id="8863" xr3:uid="{271A0955-6DA7-4946-AEF7-9D1A34961D32}" name="Column8849"/>
    <tableColumn id="8864" xr3:uid="{01D1CB58-B32A-4E5E-9A58-1671B5719428}" name="Column8850"/>
    <tableColumn id="8865" xr3:uid="{4F2B87F7-8354-406D-8366-633156982718}" name="Column8851"/>
    <tableColumn id="8866" xr3:uid="{46EF94E4-9B92-46FE-87D7-085E4881D91C}" name="Column8852"/>
    <tableColumn id="8867" xr3:uid="{EC3136B9-DA3E-4233-8030-66A43DCC074C}" name="Column8853"/>
    <tableColumn id="8868" xr3:uid="{226BFCF0-74FF-4FBC-B725-B5DB356213C7}" name="Column8854"/>
    <tableColumn id="8869" xr3:uid="{C9F0F590-6879-4314-8EFC-2E615650607E}" name="Column8855"/>
    <tableColumn id="8870" xr3:uid="{72410335-9EA7-4550-984B-DDE65AD1D456}" name="Column8856"/>
    <tableColumn id="8871" xr3:uid="{9D084871-079D-45B5-BF81-3E03B2A802E1}" name="Column8857"/>
    <tableColumn id="8872" xr3:uid="{5476C49F-9C00-4B80-97CB-3D4272C19AA2}" name="Column8858"/>
    <tableColumn id="8873" xr3:uid="{F5AD7FE8-6907-4364-82AD-4118B3D839E9}" name="Column8859"/>
    <tableColumn id="8874" xr3:uid="{5D9A0901-E59F-41C6-9FF2-263E420AEB27}" name="Column8860"/>
    <tableColumn id="8875" xr3:uid="{C40B51CE-71A1-4A0A-83C4-A1CB3AD23A0B}" name="Column8861"/>
    <tableColumn id="8876" xr3:uid="{7F47AB54-F35B-4E9C-A688-10A94A72D223}" name="Column8862"/>
    <tableColumn id="8877" xr3:uid="{08537D4B-007E-4930-86C0-2E36C20F60C2}" name="Column8863"/>
    <tableColumn id="8878" xr3:uid="{1CBA1730-5AF9-4876-A06A-1BC8B6B59EEE}" name="Column8864"/>
    <tableColumn id="8879" xr3:uid="{BC52CDE4-A6B6-4EB0-8D27-D3021A5AFB8F}" name="Column8865"/>
    <tableColumn id="8880" xr3:uid="{5995E359-D4B6-4588-ACA8-CA873FBAE39A}" name="Column8866"/>
    <tableColumn id="8881" xr3:uid="{BDD0D02E-24EA-464E-8A18-ACFF88553922}" name="Column8867"/>
    <tableColumn id="8882" xr3:uid="{865792EC-00F3-4827-88F3-4806AF0629C8}" name="Column8868"/>
    <tableColumn id="8883" xr3:uid="{EBD101BD-1010-439F-A9A3-1649EF25175C}" name="Column8869"/>
    <tableColumn id="8884" xr3:uid="{904C4E49-3929-419B-B993-82AB6DC2BED7}" name="Column8870"/>
    <tableColumn id="8885" xr3:uid="{CE733558-FFFB-46BD-91EE-810E442C06EA}" name="Column8871"/>
    <tableColumn id="8886" xr3:uid="{0A7764C0-AC77-4FF5-A481-67C11323595D}" name="Column8872"/>
    <tableColumn id="8887" xr3:uid="{3EEA4959-0CE9-4DE8-941A-4ED0A902F157}" name="Column8873"/>
    <tableColumn id="8888" xr3:uid="{3B52FC01-B611-4139-9202-377F3BC17CD6}" name="Column8874"/>
    <tableColumn id="8889" xr3:uid="{CCBCF9C4-F1E3-4353-A730-98A22D8037CA}" name="Column8875"/>
    <tableColumn id="8890" xr3:uid="{D19D68A8-699A-42DA-9274-EE7551C2C93E}" name="Column8876"/>
    <tableColumn id="8891" xr3:uid="{49207F56-328B-4C44-B994-AB465BC971CE}" name="Column8877"/>
    <tableColumn id="8892" xr3:uid="{C674E47E-374E-41CD-8A79-6F05CBB0362C}" name="Column8878"/>
    <tableColumn id="8893" xr3:uid="{94E91DE1-193B-4B3A-A8C4-D3637BA6F713}" name="Column8879"/>
    <tableColumn id="8894" xr3:uid="{DE4F7B55-C31A-4D9E-A716-3FEF2DA11AB8}" name="Column8880"/>
    <tableColumn id="8895" xr3:uid="{5BCEDF92-6F6A-44E0-AEA4-3BFDD56892E6}" name="Column8881"/>
    <tableColumn id="8896" xr3:uid="{B76271D5-A443-4688-B373-1EAF555BCBDA}" name="Column8882"/>
    <tableColumn id="8897" xr3:uid="{B8A7CCEC-B168-445D-88D8-53639FF6F2B2}" name="Column8883"/>
    <tableColumn id="8898" xr3:uid="{2899BD9A-3C8C-4F0F-9566-9DC51F3AEE52}" name="Column8884"/>
    <tableColumn id="8899" xr3:uid="{86E5454E-F784-4472-9783-3688264EFE47}" name="Column8885"/>
    <tableColumn id="8900" xr3:uid="{C929BF49-2570-4230-B3B1-5A38F67CB56E}" name="Column8886"/>
    <tableColumn id="8901" xr3:uid="{98B15BE1-B801-405D-AFD4-52B535964D31}" name="Column8887"/>
    <tableColumn id="8902" xr3:uid="{6369BB82-749C-42C2-9E11-14843BB3FEBC}" name="Column8888"/>
    <tableColumn id="8903" xr3:uid="{77BCCCA4-6E11-41B2-877B-F78C2F40FFAB}" name="Column8889"/>
    <tableColumn id="8904" xr3:uid="{4FE56B90-7AA3-487D-9211-EC2BBE18028F}" name="Column8890"/>
    <tableColumn id="8905" xr3:uid="{7285A5BD-FB00-4387-A6F0-18D1C6ACBCAE}" name="Column8891"/>
    <tableColumn id="8906" xr3:uid="{43970F9F-3CD5-4763-8097-CE9F06F00714}" name="Column8892"/>
    <tableColumn id="8907" xr3:uid="{02AAB548-B781-4325-B277-11450A6B56BB}" name="Column8893"/>
    <tableColumn id="8908" xr3:uid="{D63F6655-FC7D-4481-9CF8-A2DED1D8DE83}" name="Column8894"/>
    <tableColumn id="8909" xr3:uid="{9069D0CE-215A-4A1A-A4BD-897C106E3B4C}" name="Column8895"/>
    <tableColumn id="8910" xr3:uid="{6511B318-C226-4374-BBDD-5C1A5543B589}" name="Column8896"/>
    <tableColumn id="8911" xr3:uid="{291E3B4F-3186-4215-A485-6E82C627AD59}" name="Column8897"/>
    <tableColumn id="8912" xr3:uid="{3CAAB134-5125-4DE4-A76F-CD370CE734AF}" name="Column8898"/>
    <tableColumn id="8913" xr3:uid="{4BA8F4F6-DBB4-45FA-B262-0797126E6603}" name="Column8899"/>
    <tableColumn id="8914" xr3:uid="{E80B6D13-7C71-40EF-93CD-757FFED6EB91}" name="Column8900"/>
    <tableColumn id="8915" xr3:uid="{0F4AF21E-6356-4D6A-BE5C-4C6C727793AE}" name="Column8901"/>
    <tableColumn id="8916" xr3:uid="{6971537E-9977-49D8-8D57-E08E54EB126C}" name="Column8902"/>
    <tableColumn id="8917" xr3:uid="{FB703655-80AB-4B7B-A140-A4ACF4BC7B1A}" name="Column8903"/>
    <tableColumn id="8918" xr3:uid="{EB493E09-1146-459C-BF3A-CA4DD2CAAC26}" name="Column8904"/>
    <tableColumn id="8919" xr3:uid="{2A3CF49C-F2D8-47CB-B424-016FCB7BBB28}" name="Column8905"/>
    <tableColumn id="8920" xr3:uid="{2C2180C6-A5B1-40F2-AC93-3EEBE14A376C}" name="Column8906"/>
    <tableColumn id="8921" xr3:uid="{B67A1BC6-8EDB-4C5B-8444-B018A3632F55}" name="Column8907"/>
    <tableColumn id="8922" xr3:uid="{4358884E-AFFA-468A-AD27-3D1233F5ECE6}" name="Column8908"/>
    <tableColumn id="8923" xr3:uid="{C786FB3B-2A0F-482A-ADB0-7919D8EF65F2}" name="Column8909"/>
    <tableColumn id="8924" xr3:uid="{7FDED862-125B-4FE6-A170-899AE81EFC32}" name="Column8910"/>
    <tableColumn id="8925" xr3:uid="{38F12524-4725-481A-AFD6-CF8CE909283F}" name="Column8911"/>
    <tableColumn id="8926" xr3:uid="{15954EB0-3B3E-46A7-B6B4-4EB9776E95C0}" name="Column8912"/>
    <tableColumn id="8927" xr3:uid="{EA07B782-11C1-4A08-8DA2-0526BA260A19}" name="Column8913"/>
    <tableColumn id="8928" xr3:uid="{206EDC18-599C-4313-A357-B4A5870F0302}" name="Column8914"/>
    <tableColumn id="8929" xr3:uid="{F6D4D750-8C07-462C-A3F6-C71133787A42}" name="Column8915"/>
    <tableColumn id="8930" xr3:uid="{D5AFBFC7-659A-44D5-AD89-9EDBDE0E6A79}" name="Column8916"/>
    <tableColumn id="8931" xr3:uid="{17D6E051-F8EF-45D1-8E10-0607C56DC322}" name="Column8917"/>
    <tableColumn id="8932" xr3:uid="{A71B3B08-3D5F-43F3-A1BC-1723F3A96D02}" name="Column8918"/>
    <tableColumn id="8933" xr3:uid="{605B4819-5B46-442E-914E-60093CB55B3E}" name="Column8919"/>
    <tableColumn id="8934" xr3:uid="{3D2DEBDF-5B11-42AE-8CD3-9C4CB660CAFF}" name="Column8920"/>
    <tableColumn id="8935" xr3:uid="{652ADCB7-4722-44BE-86F7-E5EE96557FC9}" name="Column8921"/>
    <tableColumn id="8936" xr3:uid="{DE746CAE-5755-4D00-B327-C8DCBBE90435}" name="Column8922"/>
    <tableColumn id="8937" xr3:uid="{AC469EE6-80AA-4B31-B534-6830C5C0481C}" name="Column8923"/>
    <tableColumn id="8938" xr3:uid="{EEB12CBD-7FDC-496B-88CB-902814F5E3ED}" name="Column8924"/>
    <tableColumn id="8939" xr3:uid="{03FB56CC-104A-468E-9F6B-0888A8944086}" name="Column8925"/>
    <tableColumn id="8940" xr3:uid="{BB5BB233-94CF-424E-A9FA-7222468CA430}" name="Column8926"/>
    <tableColumn id="8941" xr3:uid="{B77A4C3E-8346-4399-B8B7-F68F1F61287B}" name="Column8927"/>
    <tableColumn id="8942" xr3:uid="{71F068A6-5185-4218-998B-4B931CC396FA}" name="Column8928"/>
    <tableColumn id="8943" xr3:uid="{09FBAB08-2F96-42AC-BA33-38D02FA35558}" name="Column8929"/>
    <tableColumn id="8944" xr3:uid="{05627C6B-4271-45DB-A7D1-55ACD2A085DD}" name="Column8930"/>
    <tableColumn id="8945" xr3:uid="{6A1A4479-F174-4CBC-A694-935AB4509BCB}" name="Column8931"/>
    <tableColumn id="8946" xr3:uid="{374AF87C-4B82-4FB5-8885-B237642AD5F9}" name="Column8932"/>
    <tableColumn id="8947" xr3:uid="{684C640A-9BD9-444E-A84E-FFDB06214CA2}" name="Column8933"/>
    <tableColumn id="8948" xr3:uid="{73B25155-659E-4ED9-A6CA-8F54DC7C385B}" name="Column8934"/>
    <tableColumn id="8949" xr3:uid="{4C15EF3B-1ABF-4FAA-99F7-89D71BF2AE34}" name="Column8935"/>
    <tableColumn id="8950" xr3:uid="{368F58CB-A31D-4256-9261-587612245EAE}" name="Column8936"/>
    <tableColumn id="8951" xr3:uid="{CABD0C2A-522A-47DC-9469-83FBF278AD0B}" name="Column8937"/>
    <tableColumn id="8952" xr3:uid="{97FA7D40-6D88-422C-A8FE-EEF4435A8C69}" name="Column8938"/>
    <tableColumn id="8953" xr3:uid="{E0F39EBC-56C0-461E-B8DB-75810521A187}" name="Column8939"/>
    <tableColumn id="8954" xr3:uid="{2A90A390-460F-40E5-935B-46EA829DEB6F}" name="Column8940"/>
    <tableColumn id="8955" xr3:uid="{0F89BC13-9413-4564-A76F-34EB7D3FBD0E}" name="Column8941"/>
    <tableColumn id="8956" xr3:uid="{E53A815D-92FE-4D0D-84E2-E6A2AA150D86}" name="Column8942"/>
    <tableColumn id="8957" xr3:uid="{EA53401E-ECB7-43D0-A3BC-4239EED9267E}" name="Column8943"/>
    <tableColumn id="8958" xr3:uid="{7F0C6652-3DF5-4FBB-99FD-BEFB25E99926}" name="Column8944"/>
    <tableColumn id="8959" xr3:uid="{EE47B126-EBC5-40FF-BC8C-EFA7136353FE}" name="Column8945"/>
    <tableColumn id="8960" xr3:uid="{3102F480-86BB-4443-8B84-B3724516C56F}" name="Column8946"/>
    <tableColumn id="8961" xr3:uid="{71443151-1D01-4BC2-B993-619B11F5BDA8}" name="Column8947"/>
    <tableColumn id="8962" xr3:uid="{7B954495-5126-4C6B-A726-E3EE931B42AE}" name="Column8948"/>
    <tableColumn id="8963" xr3:uid="{18562AF9-9759-4645-870D-6E552A051DF4}" name="Column8949"/>
    <tableColumn id="8964" xr3:uid="{368E32CC-3277-4B8E-8876-A0483D926784}" name="Column8950"/>
    <tableColumn id="8965" xr3:uid="{E77D483C-A214-4DAF-9C9D-DBDB88BA3EAB}" name="Column8951"/>
    <tableColumn id="8966" xr3:uid="{79BB254B-5ACC-4262-922F-B3D46A2CBEF4}" name="Column8952"/>
    <tableColumn id="8967" xr3:uid="{8E98D71E-9453-406E-A9A2-0B6CBDAB1491}" name="Column8953"/>
    <tableColumn id="8968" xr3:uid="{9F6FAF91-7D7C-4599-BC7B-83F525DE48CE}" name="Column8954"/>
    <tableColumn id="8969" xr3:uid="{08216F1F-3EB3-4B79-9A4F-D9280F679901}" name="Column8955"/>
    <tableColumn id="8970" xr3:uid="{30251DBD-7B2D-41E0-B5E3-4D64CAD1A1F9}" name="Column8956"/>
    <tableColumn id="8971" xr3:uid="{DF97E68A-F6D7-471D-9657-985E830EDE5A}" name="Column8957"/>
    <tableColumn id="8972" xr3:uid="{4BF213DC-1942-4D76-B695-A6AAE3D1D711}" name="Column8958"/>
    <tableColumn id="8973" xr3:uid="{5140881D-C0BC-4196-BDB6-06FC3D4A20D4}" name="Column8959"/>
    <tableColumn id="8974" xr3:uid="{D07F960D-057F-4A66-8E37-BDF0DC5702AD}" name="Column8960"/>
    <tableColumn id="8975" xr3:uid="{01D9DE98-C58F-42BC-9B8F-4A2BE4956543}" name="Column8961"/>
    <tableColumn id="8976" xr3:uid="{91C5447D-F79E-4D5B-AAEC-C825E80B6687}" name="Column8962"/>
    <tableColumn id="8977" xr3:uid="{EBE99C32-FE34-4E90-B967-0742D45D60CC}" name="Column8963"/>
    <tableColumn id="8978" xr3:uid="{EEE30477-584D-4246-A875-DACE755D4044}" name="Column8964"/>
    <tableColumn id="8979" xr3:uid="{25724064-309B-4D2B-B5CB-18C3A9291113}" name="Column8965"/>
    <tableColumn id="8980" xr3:uid="{28BFD8A5-B36E-464C-A05F-29A1801FAF9D}" name="Column8966"/>
    <tableColumn id="8981" xr3:uid="{FA7AA63A-ED1C-4DFC-ADC1-CFB35B8E475B}" name="Column8967"/>
    <tableColumn id="8982" xr3:uid="{5E6EC7DF-6038-41F7-BDFF-1D28F57C3DB3}" name="Column8968"/>
    <tableColumn id="8983" xr3:uid="{BE6217DB-47BB-4E5D-A920-4486A2B4075B}" name="Column8969"/>
    <tableColumn id="8984" xr3:uid="{6B333998-C46E-4E56-8E51-90532F5C1EA0}" name="Column8970"/>
    <tableColumn id="8985" xr3:uid="{2A89FAF8-6124-453E-AF3E-9B90D2440C52}" name="Column8971"/>
    <tableColumn id="8986" xr3:uid="{29875EDA-5D4D-4249-B4C3-9326C16759CB}" name="Column8972"/>
    <tableColumn id="8987" xr3:uid="{2B684C7B-7816-4E05-8E66-DBA7EB2283EF}" name="Column8973"/>
    <tableColumn id="8988" xr3:uid="{EB6159FB-A80A-4D32-B896-1361C77B9111}" name="Column8974"/>
    <tableColumn id="8989" xr3:uid="{B12B10EF-6698-4779-A3B9-16DFBA29E745}" name="Column8975"/>
    <tableColumn id="8990" xr3:uid="{8CE7BE99-AA8D-4100-970C-C890C8D69C7C}" name="Column8976"/>
    <tableColumn id="8991" xr3:uid="{CA898A59-42FF-497D-AB37-65507473318C}" name="Column8977"/>
    <tableColumn id="8992" xr3:uid="{E78E35E9-FC24-4926-80ED-7F10A5A4651D}" name="Column8978"/>
    <tableColumn id="8993" xr3:uid="{C6839724-E4B8-4B73-A59F-1932E4ACC245}" name="Column8979"/>
    <tableColumn id="8994" xr3:uid="{1B21B83B-676F-4599-B4EE-3A21E1B1B35D}" name="Column8980"/>
    <tableColumn id="8995" xr3:uid="{3E72A20E-A5BE-415B-9CCC-7F08C2F3686F}" name="Column8981"/>
    <tableColumn id="8996" xr3:uid="{7E352DE2-B3CA-4ADC-87C2-F5B466F0E2C8}" name="Column8982"/>
    <tableColumn id="8997" xr3:uid="{D541C96B-5814-454F-90DD-316A8629EF11}" name="Column8983"/>
    <tableColumn id="8998" xr3:uid="{6453D52F-CFBF-418B-873F-87A80E389D09}" name="Column8984"/>
    <tableColumn id="8999" xr3:uid="{91195BAF-B115-4395-8F07-89A9B35F95A3}" name="Column8985"/>
    <tableColumn id="9000" xr3:uid="{F08405AA-4817-4BE5-B025-641E130806D6}" name="Column8986"/>
    <tableColumn id="9001" xr3:uid="{1A9D4E48-1CB6-4753-A06C-494234096378}" name="Column8987"/>
    <tableColumn id="9002" xr3:uid="{7587128F-8516-4770-8523-7B970194F718}" name="Column8988"/>
    <tableColumn id="9003" xr3:uid="{47818BC0-8209-42AC-B4C1-9B277BE114AD}" name="Column8989"/>
    <tableColumn id="9004" xr3:uid="{8B576217-15FD-49F4-B336-8EB49B216962}" name="Column8990"/>
    <tableColumn id="9005" xr3:uid="{077CB5DF-5845-44AD-ACAF-418C8F952BE5}" name="Column8991"/>
    <tableColumn id="9006" xr3:uid="{A2EEE65A-B273-409F-B633-E22DD9DDAC2B}" name="Column8992"/>
    <tableColumn id="9007" xr3:uid="{AFD4A028-917E-4D54-9177-62724816A348}" name="Column8993"/>
    <tableColumn id="9008" xr3:uid="{3D17EF54-7957-47A8-BDB8-0F67E6732375}" name="Column8994"/>
    <tableColumn id="9009" xr3:uid="{788BFBFD-F7C6-40B5-84F2-715D65B11B4A}" name="Column8995"/>
    <tableColumn id="9010" xr3:uid="{8D2948DB-D2F7-4AC7-AABC-2B629C19A6DD}" name="Column8996"/>
    <tableColumn id="9011" xr3:uid="{14BC1B73-8B6D-45D7-AFE9-81D1D7CA5456}" name="Column8997"/>
    <tableColumn id="9012" xr3:uid="{ECF62541-01B5-4FDD-A668-5B39A35DED94}" name="Column8998"/>
    <tableColumn id="9013" xr3:uid="{62D9C6E2-20FD-4F83-A673-C8C329702D08}" name="Column8999"/>
    <tableColumn id="9014" xr3:uid="{0C874FEB-6816-4988-BC5C-46ED23100278}" name="Column9000"/>
    <tableColumn id="9015" xr3:uid="{0A7A4FAE-D8B2-4E15-A73F-D136EF2E2B4A}" name="Column9001"/>
    <tableColumn id="9016" xr3:uid="{6DEB7CA6-5BC1-49F9-A8A1-DC6FBDF5FCB3}" name="Column9002"/>
    <tableColumn id="9017" xr3:uid="{2B53EC0C-1868-4841-A4CA-46EACE5D3156}" name="Column9003"/>
    <tableColumn id="9018" xr3:uid="{93F94588-4860-49E8-945F-0646CBC9818C}" name="Column9004"/>
    <tableColumn id="9019" xr3:uid="{572099D7-1FE9-4F17-9361-6F040126340B}" name="Column9005"/>
    <tableColumn id="9020" xr3:uid="{3D421703-466C-429F-A8C4-1D9DC73529D2}" name="Column9006"/>
    <tableColumn id="9021" xr3:uid="{DF28EC07-6934-4589-928B-B42831890535}" name="Column9007"/>
    <tableColumn id="9022" xr3:uid="{D2907CC5-A4F5-4447-98DD-CF49397A31D8}" name="Column9008"/>
    <tableColumn id="9023" xr3:uid="{977941E1-D30F-4710-8358-A39FF931E7B3}" name="Column9009"/>
    <tableColumn id="9024" xr3:uid="{5F284726-22BC-4459-8D36-474F541F2DBF}" name="Column9010"/>
    <tableColumn id="9025" xr3:uid="{8C75BD7D-70DA-4993-A331-4C56C154580D}" name="Column9011"/>
    <tableColumn id="9026" xr3:uid="{11466DD8-CA8E-4B26-986F-7AB6098065FD}" name="Column9012"/>
    <tableColumn id="9027" xr3:uid="{F7799F8A-A137-43B2-89EB-B5E6F83329ED}" name="Column9013"/>
    <tableColumn id="9028" xr3:uid="{8310CE09-BA64-4E15-B30B-348B2FA336CD}" name="Column9014"/>
    <tableColumn id="9029" xr3:uid="{4E68150A-B694-4F8A-A8D3-B774BF43022A}" name="Column9015"/>
    <tableColumn id="9030" xr3:uid="{07746235-1097-4443-838F-31378B29A134}" name="Column9016"/>
    <tableColumn id="9031" xr3:uid="{B9838DA9-2D6E-4324-9DD6-3B3608A342C8}" name="Column9017"/>
    <tableColumn id="9032" xr3:uid="{32613F5C-F2D4-40A6-AF16-2FCD796E5E14}" name="Column9018"/>
    <tableColumn id="9033" xr3:uid="{700E9AAC-0CD2-497D-88B1-566EB0CFABB0}" name="Column9019"/>
    <tableColumn id="9034" xr3:uid="{2A0E6879-8F83-4287-814F-3B38A3A74C90}" name="Column9020"/>
    <tableColumn id="9035" xr3:uid="{5A143ED8-2D60-4FFB-88C1-517CB56E09FC}" name="Column9021"/>
    <tableColumn id="9036" xr3:uid="{2E9E3A31-D4A9-450E-9EFE-3879BFD4B8AC}" name="Column9022"/>
    <tableColumn id="9037" xr3:uid="{92609044-CD84-47C9-84DB-6FB2F0076DDB}" name="Column9023"/>
    <tableColumn id="9038" xr3:uid="{2A57C40C-922C-409A-83C5-9956C70B5E45}" name="Column9024"/>
    <tableColumn id="9039" xr3:uid="{17D4558E-E144-4053-9910-4AEB45459B0A}" name="Column9025"/>
    <tableColumn id="9040" xr3:uid="{567BCCE3-29D2-41DB-A282-1B17964EF5AA}" name="Column9026"/>
    <tableColumn id="9041" xr3:uid="{CE4B9A9E-1B5D-4F4E-9565-2334DFC8435D}" name="Column9027"/>
    <tableColumn id="9042" xr3:uid="{090AD9C9-7277-4BF9-B827-42D7E17F87A0}" name="Column9028"/>
    <tableColumn id="9043" xr3:uid="{C8BB7597-028A-4426-A74D-9010CDB68925}" name="Column9029"/>
    <tableColumn id="9044" xr3:uid="{9BCB3424-8DDF-4C50-823E-BD8E937EDB86}" name="Column9030"/>
    <tableColumn id="9045" xr3:uid="{49A55A2E-7A5F-4355-86CA-AC5F4987A57B}" name="Column9031"/>
    <tableColumn id="9046" xr3:uid="{1CA3903C-7AA1-4971-8A7B-65BFEDDC79A3}" name="Column9032"/>
    <tableColumn id="9047" xr3:uid="{6577D017-3CBC-490C-AFED-23980BF8AA9E}" name="Column9033"/>
    <tableColumn id="9048" xr3:uid="{361499C0-3FC9-4E01-9928-D762F6C3BCBB}" name="Column9034"/>
    <tableColumn id="9049" xr3:uid="{BBF1DD11-DF3B-4758-AEF9-BFE08DA20876}" name="Column9035"/>
    <tableColumn id="9050" xr3:uid="{4118A836-78CB-48E7-BCBB-9061AF04AB0C}" name="Column9036"/>
    <tableColumn id="9051" xr3:uid="{0A9286DF-2E0B-4336-85E7-7E78834FA225}" name="Column9037"/>
    <tableColumn id="9052" xr3:uid="{F506B792-94B0-4D63-AE2A-15F355E7D85B}" name="Column9038"/>
    <tableColumn id="9053" xr3:uid="{D7BEDAA7-4D24-4863-8E42-CCBB04BE43D2}" name="Column9039"/>
    <tableColumn id="9054" xr3:uid="{2B32CF70-A6AB-4242-84EC-F99CF92D29E4}" name="Column9040"/>
    <tableColumn id="9055" xr3:uid="{057EC573-BAF8-43A5-A80E-8433D55C0260}" name="Column9041"/>
    <tableColumn id="9056" xr3:uid="{32099293-5B02-49FE-BEF8-36251BAF848C}" name="Column9042"/>
    <tableColumn id="9057" xr3:uid="{F2251950-AEE6-4C84-90EE-DC23E91FE711}" name="Column9043"/>
    <tableColumn id="9058" xr3:uid="{9B94783B-B5B6-426A-AB06-CD240D215A82}" name="Column9044"/>
    <tableColumn id="9059" xr3:uid="{63F0C887-4BAF-45B1-9BC4-84135537C3C3}" name="Column9045"/>
    <tableColumn id="9060" xr3:uid="{617DC6BB-0ABE-4FC3-BA83-628EC22CCB10}" name="Column9046"/>
    <tableColumn id="9061" xr3:uid="{5E72812F-897C-40B3-9E46-E6EE77DE49F6}" name="Column9047"/>
    <tableColumn id="9062" xr3:uid="{317A0496-0255-4A1E-9E6B-B4191434B75C}" name="Column9048"/>
    <tableColumn id="9063" xr3:uid="{168C7ED5-3DE0-4F71-965A-2A66BD862DF6}" name="Column9049"/>
    <tableColumn id="9064" xr3:uid="{6F8F6E5B-D617-46FC-BA29-725856C091D0}" name="Column9050"/>
    <tableColumn id="9065" xr3:uid="{CFCC57D6-EB72-41D7-8F67-90A188354457}" name="Column9051"/>
    <tableColumn id="9066" xr3:uid="{8494F536-B068-4DB3-91FE-E132ED3E8D8F}" name="Column9052"/>
    <tableColumn id="9067" xr3:uid="{4DC6FB0D-14EA-49BF-882B-BE3C13C494BC}" name="Column9053"/>
    <tableColumn id="9068" xr3:uid="{6E320F0C-E8F5-418A-A503-CEFE999D42D1}" name="Column9054"/>
    <tableColumn id="9069" xr3:uid="{2AD3ADB3-8A5E-40F8-9022-251BC1FB3B67}" name="Column9055"/>
    <tableColumn id="9070" xr3:uid="{1B93E3B0-1B3A-4C13-B6B5-7792A35A49C0}" name="Column9056"/>
    <tableColumn id="9071" xr3:uid="{A04C6079-ADCC-42B6-9245-95A40257FA9C}" name="Column9057"/>
    <tableColumn id="9072" xr3:uid="{E3C896DD-1692-4F97-AC50-D21B55E6F075}" name="Column9058"/>
    <tableColumn id="9073" xr3:uid="{9B8BEB6B-988D-4715-88A1-C87ED74211BD}" name="Column9059"/>
    <tableColumn id="9074" xr3:uid="{2DC2DDA5-DC77-441E-9D3E-70480597DBF9}" name="Column9060"/>
    <tableColumn id="9075" xr3:uid="{5FEB6BC1-8876-47FE-897D-7731DECE100B}" name="Column9061"/>
    <tableColumn id="9076" xr3:uid="{E1FBEFD8-868E-40D9-B416-9101D21B33D4}" name="Column9062"/>
    <tableColumn id="9077" xr3:uid="{C41D2F9F-FC82-4074-BD99-480B2F46D143}" name="Column9063"/>
    <tableColumn id="9078" xr3:uid="{9215C62B-481E-4A4A-918A-307A2337F6DE}" name="Column9064"/>
    <tableColumn id="9079" xr3:uid="{6DBAD382-C8D0-452D-9094-83D0E20CAEC1}" name="Column9065"/>
    <tableColumn id="9080" xr3:uid="{C3473DFC-622C-42B2-A8CB-2EC2EE3AC62E}" name="Column9066"/>
    <tableColumn id="9081" xr3:uid="{AD311B3F-B4AF-41D3-9A78-86B8DBB7EA48}" name="Column9067"/>
    <tableColumn id="9082" xr3:uid="{998B5A37-A52F-40B0-B812-04447944B4AF}" name="Column9068"/>
    <tableColumn id="9083" xr3:uid="{DDEFE2A3-56D5-461E-AF5B-3FA70B70A6FF}" name="Column9069"/>
    <tableColumn id="9084" xr3:uid="{CD887981-0D68-47E5-A1BD-80548DF52386}" name="Column9070"/>
    <tableColumn id="9085" xr3:uid="{BCC6974E-02B0-4E04-92A3-6710A2D7EEBB}" name="Column9071"/>
    <tableColumn id="9086" xr3:uid="{6FFC625A-EDB1-45CF-B679-2F31DD53A39D}" name="Column9072"/>
    <tableColumn id="9087" xr3:uid="{1A385C45-4A7F-483F-A982-A51A9837FF45}" name="Column9073"/>
    <tableColumn id="9088" xr3:uid="{23FE99D5-67E2-4777-A217-7293BBEA1E43}" name="Column9074"/>
    <tableColumn id="9089" xr3:uid="{F66BE44A-FD3B-4964-B67F-F728F0435C59}" name="Column9075"/>
    <tableColumn id="9090" xr3:uid="{6936458C-D104-426C-B8C2-36A518F26CD4}" name="Column9076"/>
    <tableColumn id="9091" xr3:uid="{AD23CF0D-DAEB-4490-AC2F-109D03A87F0D}" name="Column9077"/>
    <tableColumn id="9092" xr3:uid="{69FAE458-9145-4C7F-AFAA-E56F3D8D26CB}" name="Column9078"/>
    <tableColumn id="9093" xr3:uid="{BF0A9D54-8978-4CCD-932C-7A2976D5A94D}" name="Column9079"/>
    <tableColumn id="9094" xr3:uid="{FAA289BD-364B-4ACB-BE59-A9E7C17739AA}" name="Column9080"/>
    <tableColumn id="9095" xr3:uid="{FAC1F368-D855-4976-9024-B0E8AAD7A4DD}" name="Column9081"/>
    <tableColumn id="9096" xr3:uid="{C10D6FB8-5D1D-4882-9BAD-6DD8BBD6DA6A}" name="Column9082"/>
    <tableColumn id="9097" xr3:uid="{E3B08E3E-2BDD-4093-BB23-BE0AAC1DA47D}" name="Column9083"/>
    <tableColumn id="9098" xr3:uid="{83E9D26E-3CA7-4FBB-9FCC-17EE1E7DFCD1}" name="Column9084"/>
    <tableColumn id="9099" xr3:uid="{1A9427FC-557A-440C-B2BC-AF7F0FF5BC4F}" name="Column9085"/>
    <tableColumn id="9100" xr3:uid="{4744381B-3B08-4102-961A-08DBF75575C3}" name="Column9086"/>
    <tableColumn id="9101" xr3:uid="{9CCCADDE-ADAE-4BC7-95A6-966900010660}" name="Column9087"/>
    <tableColumn id="9102" xr3:uid="{BB9E65C3-9822-41F4-94D1-24E1BCDD474D}" name="Column9088"/>
    <tableColumn id="9103" xr3:uid="{21918F05-12AF-40BC-B73F-B1C19ADE888C}" name="Column9089"/>
    <tableColumn id="9104" xr3:uid="{FE9F7625-D692-4D2F-B9BA-49194A39C863}" name="Column9090"/>
    <tableColumn id="9105" xr3:uid="{068F9997-8B4E-4C63-AAF3-D2A8F80C562D}" name="Column9091"/>
    <tableColumn id="9106" xr3:uid="{D8A231F2-E581-477C-B5E3-3432BD0DAACC}" name="Column9092"/>
    <tableColumn id="9107" xr3:uid="{10AA4BB7-7FC5-4ED6-9EBC-68100C9F8BE2}" name="Column9093"/>
    <tableColumn id="9108" xr3:uid="{D5592B74-DDD2-4CDA-A314-73150B78A69C}" name="Column9094"/>
    <tableColumn id="9109" xr3:uid="{D6FE1418-667D-439F-A0DB-F5C255D42D7C}" name="Column9095"/>
    <tableColumn id="9110" xr3:uid="{E8C7B18A-3852-4656-AD13-F2B97AC78EA4}" name="Column9096"/>
    <tableColumn id="9111" xr3:uid="{91D49516-D4CD-49C5-B70B-E9A5984A694E}" name="Column9097"/>
    <tableColumn id="9112" xr3:uid="{71E59BFD-400B-4836-B8A4-4998D852FC01}" name="Column9098"/>
    <tableColumn id="9113" xr3:uid="{1ACEE03F-B538-46D4-9AFF-61CA499F57AB}" name="Column9099"/>
    <tableColumn id="9114" xr3:uid="{5C4A875C-D275-4DF3-999A-EA52729BC2C1}" name="Column9100"/>
    <tableColumn id="9115" xr3:uid="{9E4BCD94-48A1-4654-AEAE-3F47DDF45EF7}" name="Column9101"/>
    <tableColumn id="9116" xr3:uid="{BB37E761-1C52-4BDE-81FA-05E5BD6685DA}" name="Column9102"/>
    <tableColumn id="9117" xr3:uid="{2B3DEC69-FE02-46F1-83DF-92CCC1EA1676}" name="Column9103"/>
    <tableColumn id="9118" xr3:uid="{C45BEDAC-3DC0-4FD5-803D-90F085B2FFAA}" name="Column9104"/>
    <tableColumn id="9119" xr3:uid="{BF691FAF-9EFE-441E-B5B7-9A7292EF9E2B}" name="Column9105"/>
    <tableColumn id="9120" xr3:uid="{10B82B19-41FA-4495-AF55-EBFC378FC692}" name="Column9106"/>
    <tableColumn id="9121" xr3:uid="{DF7A80B1-B9CF-48C8-9171-A5347D29605E}" name="Column9107"/>
    <tableColumn id="9122" xr3:uid="{31A6B40F-8D2E-4F5B-93DE-742E803EC96D}" name="Column9108"/>
    <tableColumn id="9123" xr3:uid="{EBF4FB49-0140-427A-A10F-D2554F10526B}" name="Column9109"/>
    <tableColumn id="9124" xr3:uid="{B517841B-8193-4A00-AB30-FFF055EDAE5A}" name="Column9110"/>
    <tableColumn id="9125" xr3:uid="{B448AD5B-FEAC-435B-91BA-52670DA1BECE}" name="Column9111"/>
    <tableColumn id="9126" xr3:uid="{21B39D3E-1B6C-4DF5-9A5E-1B6D2E3D59A3}" name="Column9112"/>
    <tableColumn id="9127" xr3:uid="{412AEFD1-4B75-4794-87BE-457558148C56}" name="Column9113"/>
    <tableColumn id="9128" xr3:uid="{D2BA8781-0498-4641-9C4F-9B687DBAE884}" name="Column9114"/>
    <tableColumn id="9129" xr3:uid="{A2E126CA-3A95-4D0F-981A-9DB4C0C7A7E9}" name="Column9115"/>
    <tableColumn id="9130" xr3:uid="{7E8C5F5A-F877-4FD5-A996-DECA9E494049}" name="Column9116"/>
    <tableColumn id="9131" xr3:uid="{6E673A99-0F62-414B-91C3-5D72B4DEE3AF}" name="Column9117"/>
    <tableColumn id="9132" xr3:uid="{0077CC62-66A8-4C4D-9BAD-24A16EE0E9BE}" name="Column9118"/>
    <tableColumn id="9133" xr3:uid="{669FB0D4-C1A0-44B0-BB68-9FC248C2BC89}" name="Column9119"/>
    <tableColumn id="9134" xr3:uid="{C4E5104B-39E1-4164-846F-7F13D3E603FC}" name="Column9120"/>
    <tableColumn id="9135" xr3:uid="{AABE10D6-E521-448F-A069-AC280ABF9A58}" name="Column9121"/>
    <tableColumn id="9136" xr3:uid="{07988100-FD49-4EB3-94E4-FBC03BDB4030}" name="Column9122"/>
    <tableColumn id="9137" xr3:uid="{3704301E-473D-4D9C-B335-71B8F9BDD021}" name="Column9123"/>
    <tableColumn id="9138" xr3:uid="{076C87F9-C6DA-4847-B055-817CAA4988DC}" name="Column9124"/>
    <tableColumn id="9139" xr3:uid="{DF020101-233E-4BB0-939A-A25FF654EB82}" name="Column9125"/>
    <tableColumn id="9140" xr3:uid="{49EF0C74-F3E6-4877-84E2-0663C2EE25AA}" name="Column9126"/>
    <tableColumn id="9141" xr3:uid="{E98F0018-7EE5-496A-9C1D-920794FB19D9}" name="Column9127"/>
    <tableColumn id="9142" xr3:uid="{06D807E4-E20F-4168-AC23-C09CA8C56071}" name="Column9128"/>
    <tableColumn id="9143" xr3:uid="{EE44F52B-CB28-4455-BF7C-392324E3B8D1}" name="Column9129"/>
    <tableColumn id="9144" xr3:uid="{2A7D5A36-6336-4AFA-AD09-D9F23821A05F}" name="Column9130"/>
    <tableColumn id="9145" xr3:uid="{82ADE91F-A81A-4E11-A491-96AFF7F8A8BB}" name="Column9131"/>
    <tableColumn id="9146" xr3:uid="{3A5A27B5-5287-446A-9720-1198101703C2}" name="Column9132"/>
    <tableColumn id="9147" xr3:uid="{D7318D87-06B4-4F36-8B67-DDDFB4524752}" name="Column9133"/>
    <tableColumn id="9148" xr3:uid="{85791377-376B-4F7E-BD4F-5B3693F02DAE}" name="Column9134"/>
    <tableColumn id="9149" xr3:uid="{34D25C7A-FF50-4E48-B66C-D95076C1951E}" name="Column9135"/>
    <tableColumn id="9150" xr3:uid="{BB7A4319-4BAB-4C66-84EA-022C6DA686BB}" name="Column9136"/>
    <tableColumn id="9151" xr3:uid="{15672AC8-9020-4505-932E-DD32D41E3532}" name="Column9137"/>
    <tableColumn id="9152" xr3:uid="{ADFFFF0D-4C8F-46B5-B9BE-B256ACC7365D}" name="Column9138"/>
    <tableColumn id="9153" xr3:uid="{3BD57E85-36D6-446A-A66E-614CC8A8E1B8}" name="Column9139"/>
    <tableColumn id="9154" xr3:uid="{BCCB5DDE-F720-4C0D-A152-2A3EA94FE32D}" name="Column9140"/>
    <tableColumn id="9155" xr3:uid="{3D24BEDB-CB9C-41A2-B10A-D7575B5FCD54}" name="Column9141"/>
    <tableColumn id="9156" xr3:uid="{C0B2CC1F-6741-4121-A0CC-4DF6A9578248}" name="Column9142"/>
    <tableColumn id="9157" xr3:uid="{DAB46590-C315-467C-806D-A13B9DD22A45}" name="Column9143"/>
    <tableColumn id="9158" xr3:uid="{F52412C0-5C74-4485-AB88-265EED91B1EC}" name="Column9144"/>
    <tableColumn id="9159" xr3:uid="{19B4E528-E4A6-43CB-92B1-57165A26F25C}" name="Column9145"/>
    <tableColumn id="9160" xr3:uid="{BBC3C45B-F4C3-4526-A02C-046C846A24D4}" name="Column9146"/>
    <tableColumn id="9161" xr3:uid="{7186AFDD-FFE6-4267-AF2E-8062F54CB571}" name="Column9147"/>
    <tableColumn id="9162" xr3:uid="{229BA0F9-FAE7-4B17-B4A3-3D29852C7F21}" name="Column9148"/>
    <tableColumn id="9163" xr3:uid="{A6781A60-82EF-42A0-8F7F-9EB6E9C93A71}" name="Column9149"/>
    <tableColumn id="9164" xr3:uid="{90DF39A0-4046-4B35-90E2-BB5FD10B7EC9}" name="Column9150"/>
    <tableColumn id="9165" xr3:uid="{7D45924B-4E17-41D2-AC5B-5C8DE9F49C1D}" name="Column9151"/>
    <tableColumn id="9166" xr3:uid="{9063FAFB-9725-4F08-90FB-0FB702844B0E}" name="Column9152"/>
    <tableColumn id="9167" xr3:uid="{64A4A0CB-76ED-46CD-80C3-14BB82C55762}" name="Column9153"/>
    <tableColumn id="9168" xr3:uid="{ABCBDF8B-FEBF-4E43-9BEF-B70CA5F029B2}" name="Column9154"/>
    <tableColumn id="9169" xr3:uid="{4FFBA210-593F-4720-9F23-23F72C561E68}" name="Column9155"/>
    <tableColumn id="9170" xr3:uid="{CE9D1CB7-23FA-4726-9D66-F6134CCEBE69}" name="Column9156"/>
    <tableColumn id="9171" xr3:uid="{B4683605-0A99-4CE6-AD52-2A83AF23EC8A}" name="Column9157"/>
    <tableColumn id="9172" xr3:uid="{2D69DC39-AB78-45A8-A168-59FF65A08D31}" name="Column9158"/>
    <tableColumn id="9173" xr3:uid="{94FD8E40-968F-4D2A-AC4B-247F4FFF8CD4}" name="Column9159"/>
    <tableColumn id="9174" xr3:uid="{2C9C4B05-C5E3-4DFE-9B67-7568CC38D13A}" name="Column9160"/>
    <tableColumn id="9175" xr3:uid="{9AB6E8A0-76F7-4884-B924-E5CE1DD664F2}" name="Column9161"/>
    <tableColumn id="9176" xr3:uid="{E37F905B-8658-4FC0-B3FE-5893B5919D13}" name="Column9162"/>
    <tableColumn id="9177" xr3:uid="{6B99D892-8B03-41F3-9C1D-C77A9C515C2E}" name="Column9163"/>
    <tableColumn id="9178" xr3:uid="{AF085B2F-2B47-4276-9B40-EEB7C48F87A9}" name="Column9164"/>
    <tableColumn id="9179" xr3:uid="{178B9E62-2989-4997-871F-3BDF453961A5}" name="Column9165"/>
    <tableColumn id="9180" xr3:uid="{C3111249-3FA9-4CAE-B569-E9611332071F}" name="Column9166"/>
    <tableColumn id="9181" xr3:uid="{B85B4AA8-9B8C-484B-8B02-3AFACBFC0762}" name="Column9167"/>
    <tableColumn id="9182" xr3:uid="{E9B2EEA7-4154-4B1E-9866-0272FCF99D42}" name="Column9168"/>
    <tableColumn id="9183" xr3:uid="{3F6913BF-1986-4334-B15D-F29115CEFAA3}" name="Column9169"/>
    <tableColumn id="9184" xr3:uid="{2D35CCB2-A6CC-47A2-AA6D-ED7B3CF70D9B}" name="Column9170"/>
    <tableColumn id="9185" xr3:uid="{AC25612C-ACDF-4EAE-ACD3-E4FD8DFD599F}" name="Column9171"/>
    <tableColumn id="9186" xr3:uid="{EED4E637-F77B-4406-9339-5EB177F8E93F}" name="Column9172"/>
    <tableColumn id="9187" xr3:uid="{4165F1FA-1807-4923-8B05-C1E3D5A47546}" name="Column9173"/>
    <tableColumn id="9188" xr3:uid="{D385626D-CE76-4846-9781-1A0A9BECF100}" name="Column9174"/>
    <tableColumn id="9189" xr3:uid="{B87B42A8-8230-4E84-9B35-27AADA78F4D0}" name="Column9175"/>
    <tableColumn id="9190" xr3:uid="{8E6D8658-E5F2-4FB0-9F9D-CB48F58FB0BC}" name="Column9176"/>
    <tableColumn id="9191" xr3:uid="{AC97ADCE-DC37-4D60-8117-D72C3BB9AB51}" name="Column9177"/>
    <tableColumn id="9192" xr3:uid="{4A3E8FF7-B2C8-4A44-A8C7-A5614114A1A7}" name="Column9178"/>
    <tableColumn id="9193" xr3:uid="{F38F431E-0E24-4560-B95A-02A1E7FC33A7}" name="Column9179"/>
    <tableColumn id="9194" xr3:uid="{DD9F004C-A2F9-46DF-A194-917DB4B03AD5}" name="Column9180"/>
    <tableColumn id="9195" xr3:uid="{B3737CF6-FC20-4558-AD19-95F0DDE6B998}" name="Column9181"/>
    <tableColumn id="9196" xr3:uid="{14A06819-34D9-42FB-BC8F-A147EBD1358F}" name="Column9182"/>
    <tableColumn id="9197" xr3:uid="{91E906E2-C2F7-4D0E-860D-5160F9DFC813}" name="Column9183"/>
    <tableColumn id="9198" xr3:uid="{24627690-1AEB-4336-84D0-FF157590F940}" name="Column9184"/>
    <tableColumn id="9199" xr3:uid="{EAC7AF58-E82A-4689-B77F-68124917900C}" name="Column9185"/>
    <tableColumn id="9200" xr3:uid="{97B82ABB-91AE-4355-B2AC-304B2B32589F}" name="Column9186"/>
    <tableColumn id="9201" xr3:uid="{ED51D3E5-E640-459E-A235-2F040F875801}" name="Column9187"/>
    <tableColumn id="9202" xr3:uid="{BEFF5150-CF63-4627-83D9-5DBE18DDE067}" name="Column9188"/>
    <tableColumn id="9203" xr3:uid="{78DF61E1-DE49-4C4B-BE85-4C5A64431CFB}" name="Column9189"/>
    <tableColumn id="9204" xr3:uid="{0F30B67D-6E9C-4603-927B-373A30BCD84D}" name="Column9190"/>
    <tableColumn id="9205" xr3:uid="{6A1D87B0-006B-4AA9-AA71-D6F46DCF172B}" name="Column9191"/>
    <tableColumn id="9206" xr3:uid="{B4A09A78-4DCB-4E80-80A8-4E608228F849}" name="Column9192"/>
    <tableColumn id="9207" xr3:uid="{3B06C180-AF3A-4086-89AE-8AAB57CCC0D8}" name="Column9193"/>
    <tableColumn id="9208" xr3:uid="{8D92366F-E630-48A2-A9C3-84DBA78843A5}" name="Column9194"/>
    <tableColumn id="9209" xr3:uid="{1060C79F-75BB-4150-BC25-CD4E83764785}" name="Column9195"/>
    <tableColumn id="9210" xr3:uid="{12B1AFF0-8295-4BC6-A674-C4E3668CAB39}" name="Column9196"/>
    <tableColumn id="9211" xr3:uid="{5F5A7621-3E2F-41FA-BA39-D5784213E01C}" name="Column9197"/>
    <tableColumn id="9212" xr3:uid="{837ECAD7-72D4-451E-9066-9FA85A80AA00}" name="Column9198"/>
    <tableColumn id="9213" xr3:uid="{6FEF5CB0-2576-4CED-9E0F-CA4DFA50885F}" name="Column9199"/>
    <tableColumn id="9214" xr3:uid="{5DA1B752-1634-4058-BE96-BCA83DCD6078}" name="Column9200"/>
    <tableColumn id="9215" xr3:uid="{542095A9-9C00-4491-AA3F-4CD54B0C5147}" name="Column9201"/>
    <tableColumn id="9216" xr3:uid="{5D0CAE65-346B-494E-A6CB-43D230741A0B}" name="Column9202"/>
    <tableColumn id="9217" xr3:uid="{1266FB40-2592-40AB-BD66-52F96B7FFB6C}" name="Column9203"/>
    <tableColumn id="9218" xr3:uid="{4151A32C-1B0C-498E-A5C3-8F9909AB92FF}" name="Column9204"/>
    <tableColumn id="9219" xr3:uid="{8DA73639-1FFC-4E90-AED3-519E41892CB1}" name="Column9205"/>
    <tableColumn id="9220" xr3:uid="{B7A2B141-CF39-455A-81C1-FA3DFB6104B1}" name="Column9206"/>
    <tableColumn id="9221" xr3:uid="{D7874E7A-EB8B-40D9-A87A-788EEA991E1E}" name="Column9207"/>
    <tableColumn id="9222" xr3:uid="{5666DE09-E57E-4BFF-802F-B771ED9399F4}" name="Column9208"/>
    <tableColumn id="9223" xr3:uid="{69380D50-89B8-43FF-98E7-C68E500647F8}" name="Column9209"/>
    <tableColumn id="9224" xr3:uid="{8886F908-2A33-4908-94F8-9EA302C84F36}" name="Column9210"/>
    <tableColumn id="9225" xr3:uid="{659A1DA8-34ED-4604-900D-DB49EE9D86FC}" name="Column9211"/>
    <tableColumn id="9226" xr3:uid="{D4BC3211-331C-447E-BC14-4E464E6509FE}" name="Column9212"/>
    <tableColumn id="9227" xr3:uid="{191A7F21-B038-4065-9676-BC65647B0912}" name="Column9213"/>
    <tableColumn id="9228" xr3:uid="{F1023B9C-92E0-44B6-827F-86F8EA318D4E}" name="Column9214"/>
    <tableColumn id="9229" xr3:uid="{D2A27299-D9C6-43E8-91BF-3CDA82598213}" name="Column9215"/>
    <tableColumn id="9230" xr3:uid="{AB964379-8B4A-4B3B-B4DE-91F12A2DBBC2}" name="Column9216"/>
    <tableColumn id="9231" xr3:uid="{21C81C60-52CE-4934-BCDE-4CF5EDEDEF81}" name="Column9217"/>
    <tableColumn id="9232" xr3:uid="{32384D31-F228-4CE0-BE9C-6390A9B16C69}" name="Column9218"/>
    <tableColumn id="9233" xr3:uid="{E6C8B1E2-A9B7-4269-B773-F437A5E33002}" name="Column9219"/>
    <tableColumn id="9234" xr3:uid="{C734B142-6758-4493-8835-9C352803EDCE}" name="Column9220"/>
    <tableColumn id="9235" xr3:uid="{F154ACD6-E84A-4299-BDB0-B8E30E0DCADE}" name="Column9221"/>
    <tableColumn id="9236" xr3:uid="{E3AB457F-59D4-4EBC-AB22-6B2E7AD0E50B}" name="Column9222"/>
    <tableColumn id="9237" xr3:uid="{89982AB9-856A-4278-86BE-27D1C4AD0CEC}" name="Column9223"/>
    <tableColumn id="9238" xr3:uid="{B3C59E1D-802A-41C7-8839-1D7EFD1A7241}" name="Column9224"/>
    <tableColumn id="9239" xr3:uid="{8281D824-EFD8-45CB-9819-4A2A55368802}" name="Column9225"/>
    <tableColumn id="9240" xr3:uid="{176FD9CD-71D8-4FBB-9913-D84EDD4DA32D}" name="Column9226"/>
    <tableColumn id="9241" xr3:uid="{EE30A458-629B-4C36-A484-33EFF07313FD}" name="Column9227"/>
    <tableColumn id="9242" xr3:uid="{3D441210-35FB-4F05-916C-AF08BD9F25BB}" name="Column9228"/>
    <tableColumn id="9243" xr3:uid="{B9CE0BF0-6D7E-4FE9-A455-92DC02DB08C5}" name="Column9229"/>
    <tableColumn id="9244" xr3:uid="{21C0FF6E-A1DF-465C-B2FD-63087DEF5D68}" name="Column9230"/>
    <tableColumn id="9245" xr3:uid="{0A8FC286-ED9E-4036-8E4B-3D9E47752B05}" name="Column9231"/>
    <tableColumn id="9246" xr3:uid="{35AB74F6-091D-48CE-83B1-2FF137C75EB8}" name="Column9232"/>
    <tableColumn id="9247" xr3:uid="{15B495A6-DDC3-44A6-9E14-2785D2C140B6}" name="Column9233"/>
    <tableColumn id="9248" xr3:uid="{32B07AA3-D95C-4AD2-9389-55BB7889FB34}" name="Column9234"/>
    <tableColumn id="9249" xr3:uid="{0BC03DE9-C123-4155-B34B-4360FD84C0F3}" name="Column9235"/>
    <tableColumn id="9250" xr3:uid="{5212EC88-4C26-4720-AA5B-FD07C223E978}" name="Column9236"/>
    <tableColumn id="9251" xr3:uid="{CD047943-A3D9-4577-B29F-E2EFE7BBF639}" name="Column9237"/>
    <tableColumn id="9252" xr3:uid="{109D07C1-DDA0-44A2-9C17-3E6CFABFD422}" name="Column9238"/>
    <tableColumn id="9253" xr3:uid="{08DD0357-D6CE-47D3-AD44-B73FBF45DDB0}" name="Column9239"/>
    <tableColumn id="9254" xr3:uid="{8A84F794-9B1C-4C1D-B6CA-3B7B38B89F72}" name="Column9240"/>
    <tableColumn id="9255" xr3:uid="{3715888F-95B1-414D-94D7-611D472348C3}" name="Column9241"/>
    <tableColumn id="9256" xr3:uid="{9B4FF5A9-4C38-4003-AB7E-A07CA1B1A402}" name="Column9242"/>
    <tableColumn id="9257" xr3:uid="{420F82FA-CD9C-400A-89C6-6E424A331EDA}" name="Column9243"/>
    <tableColumn id="9258" xr3:uid="{EDA1BCD7-2444-49CA-9525-646949FF0D93}" name="Column9244"/>
    <tableColumn id="9259" xr3:uid="{5C5197DE-7AE9-4821-BDD3-28791F4AF043}" name="Column9245"/>
    <tableColumn id="9260" xr3:uid="{D0842493-BABD-48BE-8631-BFA4CC6209C4}" name="Column9246"/>
    <tableColumn id="9261" xr3:uid="{C702DBD6-E649-4477-9955-0C9EC9C6D7F5}" name="Column9247"/>
    <tableColumn id="9262" xr3:uid="{2EF648AB-596A-48B8-BF9D-4774B86E7B1B}" name="Column9248"/>
    <tableColumn id="9263" xr3:uid="{84FC629F-D93C-475F-BD4B-595BB9A7B2E7}" name="Column9249"/>
    <tableColumn id="9264" xr3:uid="{C3A72486-A9EC-409D-AB7A-F76CC6304F58}" name="Column9250"/>
    <tableColumn id="9265" xr3:uid="{E7098F41-52A6-47A5-A57E-0D686CAB68CD}" name="Column9251"/>
    <tableColumn id="9266" xr3:uid="{BA234DDF-ECC8-4DF0-9979-16D22EEF3606}" name="Column9252"/>
    <tableColumn id="9267" xr3:uid="{99208C24-CE6B-44F2-9EB0-E0189CA0F115}" name="Column9253"/>
    <tableColumn id="9268" xr3:uid="{C103301D-A5AE-49F7-A7B1-B68495F3CE95}" name="Column9254"/>
    <tableColumn id="9269" xr3:uid="{CB7C17EB-43B4-41B7-AC2E-D7111196EFB9}" name="Column9255"/>
    <tableColumn id="9270" xr3:uid="{55DD9B71-67DC-4C81-8FD6-EE7EB1EC6366}" name="Column9256"/>
    <tableColumn id="9271" xr3:uid="{725BEEDB-FA88-4C40-AE31-6F13E3E2AD97}" name="Column9257"/>
    <tableColumn id="9272" xr3:uid="{2F953E4D-3FD5-4601-A626-C06095C98F7E}" name="Column9258"/>
    <tableColumn id="9273" xr3:uid="{43DAB5FA-8F1B-4525-87A9-3C2BE615898C}" name="Column9259"/>
    <tableColumn id="9274" xr3:uid="{26C92B3D-AED0-4819-A87F-3C7D942DD2B5}" name="Column9260"/>
    <tableColumn id="9275" xr3:uid="{D0DC7DCE-B58D-4E05-9606-230D8333B02D}" name="Column9261"/>
    <tableColumn id="9276" xr3:uid="{E6A8E070-11FE-45F3-9AE6-FAC0E3B428DC}" name="Column9262"/>
    <tableColumn id="9277" xr3:uid="{CA4729A0-8EE2-43CF-8786-52E9871F1604}" name="Column9263"/>
    <tableColumn id="9278" xr3:uid="{D4621621-CB0C-4455-9421-7E61F3C02AE1}" name="Column9264"/>
    <tableColumn id="9279" xr3:uid="{8D921180-AACF-480F-A1DC-22AFB9B29117}" name="Column9265"/>
    <tableColumn id="9280" xr3:uid="{2AB20597-DD44-4455-9544-E89DBFCC0991}" name="Column9266"/>
    <tableColumn id="9281" xr3:uid="{6681135B-EA7E-4269-8564-E0DBE7130749}" name="Column9267"/>
    <tableColumn id="9282" xr3:uid="{68E54FCF-6452-49D8-891B-82FB7A818985}" name="Column9268"/>
    <tableColumn id="9283" xr3:uid="{AF769E44-5386-43AA-80E2-832A0342C5CC}" name="Column9269"/>
    <tableColumn id="9284" xr3:uid="{D8BC3427-FEA9-45E3-BF9E-9450054DD492}" name="Column9270"/>
    <tableColumn id="9285" xr3:uid="{95684ABD-5F07-4657-A4A5-3BA701A327CE}" name="Column9271"/>
    <tableColumn id="9286" xr3:uid="{593EE38E-289E-4D79-9D4A-B823F41FC9EA}" name="Column9272"/>
    <tableColumn id="9287" xr3:uid="{EDE7DF0D-DC67-443F-B834-8A761C3965FB}" name="Column9273"/>
    <tableColumn id="9288" xr3:uid="{A5483018-CF0B-4530-A489-425B17E200E8}" name="Column9274"/>
    <tableColumn id="9289" xr3:uid="{A001686D-DBF1-4D9A-A00B-031A57E3BFE0}" name="Column9275"/>
    <tableColumn id="9290" xr3:uid="{8E800711-EE61-46BE-BC20-C14233EAB71D}" name="Column9276"/>
    <tableColumn id="9291" xr3:uid="{13859412-E733-42F3-9490-D28B372C5224}" name="Column9277"/>
    <tableColumn id="9292" xr3:uid="{C2210B9E-03AC-4457-9EFE-F7D0CDC13F7D}" name="Column9278"/>
    <tableColumn id="9293" xr3:uid="{8884E53A-F9CF-4DC7-B056-FAF0C64F8A85}" name="Column9279"/>
    <tableColumn id="9294" xr3:uid="{B3129649-7825-4CD4-908F-F32A3AA55691}" name="Column9280"/>
    <tableColumn id="9295" xr3:uid="{4B89D079-2CED-4479-A49A-583FE8A36062}" name="Column9281"/>
    <tableColumn id="9296" xr3:uid="{5C1745A9-0027-49BD-8459-40CA4B22B265}" name="Column9282"/>
    <tableColumn id="9297" xr3:uid="{9485F4EE-88EC-4145-B1E0-6C60835B3A28}" name="Column9283"/>
    <tableColumn id="9298" xr3:uid="{1A3C4EB7-15B2-4145-95FA-77075367D45E}" name="Column9284"/>
    <tableColumn id="9299" xr3:uid="{E314610C-6A40-4C2A-98CB-9A44171EB60B}" name="Column9285"/>
    <tableColumn id="9300" xr3:uid="{4E2A2942-AE3F-4545-B237-10DED61630F3}" name="Column9286"/>
    <tableColumn id="9301" xr3:uid="{52113D12-5C10-4C41-9C71-D9D9773633CD}" name="Column9287"/>
    <tableColumn id="9302" xr3:uid="{CA4EFECF-3752-411C-869E-29259855969F}" name="Column9288"/>
    <tableColumn id="9303" xr3:uid="{0749541F-D42E-49C1-9AE7-98A0152E8600}" name="Column9289"/>
    <tableColumn id="9304" xr3:uid="{91734052-9EB5-424F-8FB5-F39EE826D430}" name="Column9290"/>
    <tableColumn id="9305" xr3:uid="{58473BDD-1D13-43E1-8FC0-F322222EF4E4}" name="Column9291"/>
    <tableColumn id="9306" xr3:uid="{95DE280F-F494-4C7E-A0E2-6D68F26B9705}" name="Column9292"/>
    <tableColumn id="9307" xr3:uid="{1D4C40D3-23FF-4BC1-94C4-7B2208BB4D86}" name="Column9293"/>
    <tableColumn id="9308" xr3:uid="{FBF75187-C9D4-4EC9-A710-F792E813930D}" name="Column9294"/>
    <tableColumn id="9309" xr3:uid="{3F28FFD8-1E64-49BF-9BAE-EEABD483ED70}" name="Column9295"/>
    <tableColumn id="9310" xr3:uid="{36A850F9-EBAD-48A8-94CB-0547E942DD6C}" name="Column9296"/>
    <tableColumn id="9311" xr3:uid="{FDA91F1F-6F71-4008-8287-DF58D6333E52}" name="Column9297"/>
    <tableColumn id="9312" xr3:uid="{97E8480A-FE20-4A37-94CC-967D04CCB9A0}" name="Column9298"/>
    <tableColumn id="9313" xr3:uid="{1981D9DF-EED6-48F6-A164-E851A1EDC169}" name="Column9299"/>
    <tableColumn id="9314" xr3:uid="{9A65B71E-1C4B-4BCB-B4DB-6D9601BF81B6}" name="Column9300"/>
    <tableColumn id="9315" xr3:uid="{29E4CDC2-36BA-45A4-B4DB-03178BCEBA50}" name="Column9301"/>
    <tableColumn id="9316" xr3:uid="{97B9807E-2362-4C06-8B95-F23C943C3C6B}" name="Column9302"/>
    <tableColumn id="9317" xr3:uid="{1780F031-2B6E-4ADE-9A08-AFCC5C2C523C}" name="Column9303"/>
    <tableColumn id="9318" xr3:uid="{15AB5188-4281-4085-B1A5-15CDF1DF0DEF}" name="Column9304"/>
    <tableColumn id="9319" xr3:uid="{6712D610-27DB-4DFD-B974-5D4C0844B377}" name="Column9305"/>
    <tableColumn id="9320" xr3:uid="{5C990C20-526A-448B-AC57-FE1F25253A1C}" name="Column9306"/>
    <tableColumn id="9321" xr3:uid="{D98E4FF3-88B6-4B4B-88D2-0C43EE8F05BE}" name="Column9307"/>
    <tableColumn id="9322" xr3:uid="{88A0F42A-C91E-4120-A314-DD73DD49E9AB}" name="Column9308"/>
    <tableColumn id="9323" xr3:uid="{56872763-B999-4087-89D4-CB78B034EFF4}" name="Column9309"/>
    <tableColumn id="9324" xr3:uid="{CF296627-5F23-4FCD-A999-4FD4821418B7}" name="Column9310"/>
    <tableColumn id="9325" xr3:uid="{250E6900-B006-462D-94D0-983686A00202}" name="Column9311"/>
    <tableColumn id="9326" xr3:uid="{F1490431-61BF-4470-9D9A-3C4D55AF3F9F}" name="Column9312"/>
    <tableColumn id="9327" xr3:uid="{E093A2AD-D016-40B0-973C-7F5BE90AB078}" name="Column9313"/>
    <tableColumn id="9328" xr3:uid="{2A585068-710A-4A45-B99D-F6CC276FABEE}" name="Column9314"/>
    <tableColumn id="9329" xr3:uid="{19C6807E-ADD0-4C99-93A3-287DCC12A733}" name="Column9315"/>
    <tableColumn id="9330" xr3:uid="{A6A06D67-BD61-4CBA-84F3-5F798141656C}" name="Column9316"/>
    <tableColumn id="9331" xr3:uid="{49DCA8E2-585A-4D8A-8741-28DAE1F7EAED}" name="Column9317"/>
    <tableColumn id="9332" xr3:uid="{078D5A9E-914B-4B3A-AB70-55EC2D04CA33}" name="Column9318"/>
    <tableColumn id="9333" xr3:uid="{26BC03B2-03CD-4889-9C41-397EF0429708}" name="Column9319"/>
    <tableColumn id="9334" xr3:uid="{AA8AA112-682C-4D04-B50A-FE97DF3EF735}" name="Column9320"/>
    <tableColumn id="9335" xr3:uid="{5F9D2A26-F84B-46A4-9968-1E12F3785B06}" name="Column9321"/>
    <tableColumn id="9336" xr3:uid="{AF5D7DCA-3FA2-4E22-B78E-6702D54917BA}" name="Column9322"/>
    <tableColumn id="9337" xr3:uid="{809033F9-C272-4B2C-A07D-FED66FC31C19}" name="Column9323"/>
    <tableColumn id="9338" xr3:uid="{F7DB41DE-B492-43B8-96AD-F7CC48C41ED0}" name="Column9324"/>
    <tableColumn id="9339" xr3:uid="{AFBD69FD-4AA2-43E4-9D00-CDC7C0DAABE2}" name="Column9325"/>
    <tableColumn id="9340" xr3:uid="{D1888F89-9604-4C3F-83B7-21BF1693783E}" name="Column9326"/>
    <tableColumn id="9341" xr3:uid="{B364E8B8-BF13-4577-8FC8-A64FF4628C5E}" name="Column9327"/>
    <tableColumn id="9342" xr3:uid="{F43F630E-991F-4509-BCB6-22142A7B5A4E}" name="Column9328"/>
    <tableColumn id="9343" xr3:uid="{51B22973-CFD5-4E63-BF4F-39A98A049C32}" name="Column9329"/>
    <tableColumn id="9344" xr3:uid="{6F9663EA-90D5-494D-9BAF-84CDC0D7A196}" name="Column9330"/>
    <tableColumn id="9345" xr3:uid="{3239D2E8-C050-481A-9DC7-C309CAB8EC69}" name="Column9331"/>
    <tableColumn id="9346" xr3:uid="{9D815E88-0A00-46D6-8962-D7B5C4E0FDD6}" name="Column9332"/>
    <tableColumn id="9347" xr3:uid="{804ABABB-EA36-4AF5-9791-73EFC659F7EA}" name="Column9333"/>
    <tableColumn id="9348" xr3:uid="{02348CAA-5917-4077-B57C-A0ED8108D239}" name="Column9334"/>
    <tableColumn id="9349" xr3:uid="{D94BD5F8-E5E6-4240-A6DC-7AF938061ED7}" name="Column9335"/>
    <tableColumn id="9350" xr3:uid="{2A2F586D-4BCC-405F-BC01-D526AF0F3196}" name="Column9336"/>
    <tableColumn id="9351" xr3:uid="{E83FB3F3-A9EB-48F5-AC6B-318BE0B2785A}" name="Column9337"/>
    <tableColumn id="9352" xr3:uid="{FFF48570-E723-46B4-B8E4-49FBDB147951}" name="Column9338"/>
    <tableColumn id="9353" xr3:uid="{EE754CB9-F53C-4E8D-9898-BDC14DAA8E60}" name="Column9339"/>
    <tableColumn id="9354" xr3:uid="{BFCF90E1-5745-4D74-8D9B-34CC99986C9A}" name="Column9340"/>
    <tableColumn id="9355" xr3:uid="{E5FCB73B-46B7-424C-B110-89DA95EE3CD3}" name="Column9341"/>
    <tableColumn id="9356" xr3:uid="{7FD730CF-0D1E-4884-9271-2D6AB250ABBE}" name="Column9342"/>
    <tableColumn id="9357" xr3:uid="{DBEEF189-1196-4FF4-86EC-E4E6877EF6F9}" name="Column9343"/>
    <tableColumn id="9358" xr3:uid="{52A53640-634A-4F12-88DA-06D1F610683D}" name="Column9344"/>
    <tableColumn id="9359" xr3:uid="{504EA9BD-04AD-41EC-BFC5-283BB0743E25}" name="Column9345"/>
    <tableColumn id="9360" xr3:uid="{B7CF1CF9-461C-4879-BB85-F62C4E2F78F4}" name="Column9346"/>
    <tableColumn id="9361" xr3:uid="{9AD06680-BD36-4147-8207-D2B0BB243C14}" name="Column9347"/>
    <tableColumn id="9362" xr3:uid="{3DE5105E-7722-4E08-AF94-CD3B48663237}" name="Column9348"/>
    <tableColumn id="9363" xr3:uid="{9C328DFF-9AB8-457C-B1AA-3B6A729432CC}" name="Column9349"/>
    <tableColumn id="9364" xr3:uid="{51358CF4-40EE-4381-9EC4-54D179F13890}" name="Column9350"/>
    <tableColumn id="9365" xr3:uid="{2084FFC0-D7F0-47B2-AAE4-26DF6DDF1B52}" name="Column9351"/>
    <tableColumn id="9366" xr3:uid="{B27FB9BC-6F39-4695-9A37-6DAB9A1FCBA6}" name="Column9352"/>
    <tableColumn id="9367" xr3:uid="{44F5CD1B-8C65-4AD1-B1C6-00D6DD9C7195}" name="Column9353"/>
    <tableColumn id="9368" xr3:uid="{C3B6B6DE-EBDC-4509-8C5A-3777449F5293}" name="Column9354"/>
    <tableColumn id="9369" xr3:uid="{4A14D913-5859-4B5E-965B-4C09E9FBF340}" name="Column9355"/>
    <tableColumn id="9370" xr3:uid="{4314FB4D-A74A-4477-B9C3-6CA46A8238DA}" name="Column9356"/>
    <tableColumn id="9371" xr3:uid="{FFAD5326-B812-4D6D-ACD0-D652E9ADCC6B}" name="Column9357"/>
    <tableColumn id="9372" xr3:uid="{D797433D-6B4F-44E3-BDE7-5C556DB4859D}" name="Column9358"/>
    <tableColumn id="9373" xr3:uid="{7233E29B-E38F-49BF-850E-61ACABB1DBC5}" name="Column9359"/>
    <tableColumn id="9374" xr3:uid="{372EC356-E744-4E18-9F3F-97F65A26886B}" name="Column9360"/>
    <tableColumn id="9375" xr3:uid="{9BAACEA9-47F0-471E-B7DC-0C1B93A98BE7}" name="Column9361"/>
    <tableColumn id="9376" xr3:uid="{B2977E7C-73E5-431F-A7F0-FF953F457F2B}" name="Column9362"/>
    <tableColumn id="9377" xr3:uid="{AED9F98D-3BE6-4B53-8F52-7CDAA11BBC7A}" name="Column9363"/>
    <tableColumn id="9378" xr3:uid="{DE2DF197-32A1-4C5F-8B71-CD5C7421AE39}" name="Column9364"/>
    <tableColumn id="9379" xr3:uid="{015652A4-2A0A-4EDA-ACB6-25B9BAC60D29}" name="Column9365"/>
    <tableColumn id="9380" xr3:uid="{EE21F48A-BBD3-4150-B76A-D35916DA0206}" name="Column9366"/>
    <tableColumn id="9381" xr3:uid="{0F0030E3-BAE8-40D1-BA67-8A4F14C97FBA}" name="Column9367"/>
    <tableColumn id="9382" xr3:uid="{FD1A5E09-E507-4CEB-9677-3B0AEE2D27C6}" name="Column9368"/>
    <tableColumn id="9383" xr3:uid="{7CD6347D-D848-4C15-8FF1-A5F6D6CFF475}" name="Column9369"/>
    <tableColumn id="9384" xr3:uid="{C07FD672-7B98-4B06-B3DA-D9698FBBB0DB}" name="Column9370"/>
    <tableColumn id="9385" xr3:uid="{E6602EA8-4F7F-4EA1-B443-DDDB6C3B9FFB}" name="Column9371"/>
    <tableColumn id="9386" xr3:uid="{57547C5F-DDFA-4A21-A571-B8DED243B6EF}" name="Column9372"/>
    <tableColumn id="9387" xr3:uid="{65E3E970-CC58-4D94-A69B-4290DB54D28F}" name="Column9373"/>
    <tableColumn id="9388" xr3:uid="{1CAE5094-BB86-4BC3-A32C-1BAA35449543}" name="Column9374"/>
    <tableColumn id="9389" xr3:uid="{3F9D9906-877B-4C41-BB5E-42CBD9CAA55B}" name="Column9375"/>
    <tableColumn id="9390" xr3:uid="{F8854A56-2D92-4C7D-A906-509BDCC5763D}" name="Column9376"/>
    <tableColumn id="9391" xr3:uid="{0BA8686B-E86C-4DAD-AB28-A311E8314347}" name="Column9377"/>
    <tableColumn id="9392" xr3:uid="{7042998A-5D34-4C92-B06B-757AAFC46661}" name="Column9378"/>
    <tableColumn id="9393" xr3:uid="{99C9371F-FA74-4E0E-B8D7-FAE0720FC998}" name="Column9379"/>
    <tableColumn id="9394" xr3:uid="{8CF0DC62-0BB3-4E34-ACD4-301E5E5AEBD9}" name="Column9380"/>
    <tableColumn id="9395" xr3:uid="{6A12E0DA-8A26-4819-9CB7-B6157861EEAD}" name="Column9381"/>
    <tableColumn id="9396" xr3:uid="{D583C8AE-4207-4E6E-96E3-CB351E41BE64}" name="Column9382"/>
    <tableColumn id="9397" xr3:uid="{461190CF-9F3A-424C-8EF0-326F8D7DF119}" name="Column9383"/>
    <tableColumn id="9398" xr3:uid="{401AEDE5-E108-4C58-BDD0-08BE41B103B7}" name="Column9384"/>
    <tableColumn id="9399" xr3:uid="{4E1AA698-9DDF-4669-85AB-3C993A4D1BF6}" name="Column9385"/>
    <tableColumn id="9400" xr3:uid="{BF9B74BB-D6FA-4858-9F3A-10AB868514F4}" name="Column9386"/>
    <tableColumn id="9401" xr3:uid="{8AF8FCEE-D4B4-4966-AB87-BAA87BC0ACD2}" name="Column9387"/>
    <tableColumn id="9402" xr3:uid="{78ED7EFD-DBB0-47C5-855B-9C69A13D5298}" name="Column9388"/>
    <tableColumn id="9403" xr3:uid="{A6C32937-56E2-4235-9503-B5FAE9A9E8B2}" name="Column9389"/>
    <tableColumn id="9404" xr3:uid="{E8DAA0FA-3C29-4393-9B65-999E9FE6EABF}" name="Column9390"/>
    <tableColumn id="9405" xr3:uid="{C99131DE-AC9E-436F-AB8E-A132A7B2D6AE}" name="Column9391"/>
    <tableColumn id="9406" xr3:uid="{84057B2D-9BC9-40F7-BAED-770C7DEE2EBD}" name="Column9392"/>
    <tableColumn id="9407" xr3:uid="{AE83B68F-301F-4A2C-A575-FC67A0D276C2}" name="Column9393"/>
    <tableColumn id="9408" xr3:uid="{B5BF1BD2-DFFD-45D0-BCBA-12990CE91733}" name="Column9394"/>
    <tableColumn id="9409" xr3:uid="{AEF40666-D376-4519-B041-F4E8DD3B35FB}" name="Column9395"/>
    <tableColumn id="9410" xr3:uid="{699DA73B-1E35-41C8-87FA-909746FE5E21}" name="Column9396"/>
    <tableColumn id="9411" xr3:uid="{3054A164-B890-4FC7-8823-DB2E2F95E130}" name="Column9397"/>
    <tableColumn id="9412" xr3:uid="{58D42C77-4108-42F6-8577-9B21DE37A831}" name="Column9398"/>
    <tableColumn id="9413" xr3:uid="{0545A998-9AAC-49FF-9840-65E8DB677656}" name="Column9399"/>
    <tableColumn id="9414" xr3:uid="{DC2AA542-53D1-436D-B929-9C801F99A014}" name="Column9400"/>
    <tableColumn id="9415" xr3:uid="{697D3DDE-724D-4F91-AF0D-EBA328FB5AC9}" name="Column9401"/>
    <tableColumn id="9416" xr3:uid="{116D2E79-353E-457C-8B25-BBA125A258C6}" name="Column9402"/>
    <tableColumn id="9417" xr3:uid="{90048ECD-FF47-4B40-9CDA-335429637EE3}" name="Column9403"/>
    <tableColumn id="9418" xr3:uid="{67133422-BAD2-4058-8A4B-5CE47C1C3FB9}" name="Column9404"/>
    <tableColumn id="9419" xr3:uid="{7FAD6226-DB32-4E93-B18B-A7FF23119201}" name="Column9405"/>
    <tableColumn id="9420" xr3:uid="{3B2F9A73-9D0A-4DFB-AC2B-93C141E846C3}" name="Column9406"/>
    <tableColumn id="9421" xr3:uid="{BCB2B289-F667-479D-BA1D-E16AA3B7F52D}" name="Column9407"/>
    <tableColumn id="9422" xr3:uid="{42DF59D6-FFCD-4A3B-B1D8-6A141BE5A449}" name="Column9408"/>
    <tableColumn id="9423" xr3:uid="{C4573AD5-0197-4283-8041-0B7E7AC540BF}" name="Column9409"/>
    <tableColumn id="9424" xr3:uid="{1DDCC979-D444-406F-9A27-0727ABCB8785}" name="Column9410"/>
    <tableColumn id="9425" xr3:uid="{E6F45198-6A79-4D46-A297-EEB072B37483}" name="Column9411"/>
    <tableColumn id="9426" xr3:uid="{1E88ECCC-0EE6-4212-8B81-40D9430FE696}" name="Column9412"/>
    <tableColumn id="9427" xr3:uid="{CBB74C49-5B6E-4E30-8853-573B2AC7F20A}" name="Column9413"/>
    <tableColumn id="9428" xr3:uid="{D472F78D-FB7D-43AE-AF40-12F60544D594}" name="Column9414"/>
    <tableColumn id="9429" xr3:uid="{5B542CEE-2A9C-45C2-B6F1-6A464EAF937B}" name="Column9415"/>
    <tableColumn id="9430" xr3:uid="{38F59EC1-8323-4059-9FA2-D005C592F791}" name="Column9416"/>
    <tableColumn id="9431" xr3:uid="{84B29ABC-EA9F-40D0-86A6-AFCF9FAC2C26}" name="Column9417"/>
    <tableColumn id="9432" xr3:uid="{140A3AC4-D0E8-4F49-B397-F497C7233300}" name="Column9418"/>
    <tableColumn id="9433" xr3:uid="{86E66CCF-5F22-4767-B69F-AC2892843597}" name="Column9419"/>
    <tableColumn id="9434" xr3:uid="{6F788310-BCE5-4166-AEF8-BD76DFAD1A8D}" name="Column9420"/>
    <tableColumn id="9435" xr3:uid="{1C289C11-4612-4B1D-9EE7-9C1B3D90E4B8}" name="Column9421"/>
    <tableColumn id="9436" xr3:uid="{8B20B8E7-ADAB-4BF8-B01E-9A1B015608BD}" name="Column9422"/>
    <tableColumn id="9437" xr3:uid="{B8728AA4-92A2-4247-8C99-39D13402B82C}" name="Column9423"/>
    <tableColumn id="9438" xr3:uid="{90F1F2D0-ABAE-4EAA-8038-9E72C484610E}" name="Column9424"/>
    <tableColumn id="9439" xr3:uid="{A6587A05-7710-4FCA-B117-73CCF7EA3857}" name="Column9425"/>
    <tableColumn id="9440" xr3:uid="{A6B318F9-DF46-4668-A9C3-6E7C7A32D39F}" name="Column9426"/>
    <tableColumn id="9441" xr3:uid="{BCAA85A7-FE34-48F7-AB1E-211CFC3C56B2}" name="Column9427"/>
    <tableColumn id="9442" xr3:uid="{B2A3A205-E1B4-4D9C-8E0E-3C6E5BFF13EE}" name="Column9428"/>
    <tableColumn id="9443" xr3:uid="{4B976CE5-B0C9-4CB2-9D33-681BF358D271}" name="Column9429"/>
    <tableColumn id="9444" xr3:uid="{19C3C882-5507-48DD-B924-BA9872530E47}" name="Column9430"/>
    <tableColumn id="9445" xr3:uid="{D53B1559-E61B-46DB-9CB9-CABE645DE127}" name="Column9431"/>
    <tableColumn id="9446" xr3:uid="{756A5191-D7F9-457D-BD12-D8BD86A6AB99}" name="Column9432"/>
    <tableColumn id="9447" xr3:uid="{4838DBA6-F028-4239-B9D8-E07BBCEF9871}" name="Column9433"/>
    <tableColumn id="9448" xr3:uid="{468D9678-7566-4FC9-AED0-6D763B276DA1}" name="Column9434"/>
    <tableColumn id="9449" xr3:uid="{F4D65B24-3997-4FEE-A22C-6A0EC5FBA866}" name="Column9435"/>
    <tableColumn id="9450" xr3:uid="{43CB5AD1-0AA5-4E65-8740-6A3CF4D53F48}" name="Column9436"/>
    <tableColumn id="9451" xr3:uid="{B903A3CF-F4D7-4271-8E14-FD38C22622AA}" name="Column9437"/>
    <tableColumn id="9452" xr3:uid="{F24784EF-A3A3-4088-916D-E4D9EDF4B001}" name="Column9438"/>
    <tableColumn id="9453" xr3:uid="{4ED20F2F-2279-4F60-8CC0-0A7ADD251DFD}" name="Column9439"/>
    <tableColumn id="9454" xr3:uid="{C9A39DD2-8AFA-4B94-96F2-DE576AD285A7}" name="Column9440"/>
    <tableColumn id="9455" xr3:uid="{57364A85-7023-482C-A799-667E22EFC5F3}" name="Column9441"/>
    <tableColumn id="9456" xr3:uid="{3BCB29E4-F5E4-450B-922C-092F8D8EE29A}" name="Column9442"/>
    <tableColumn id="9457" xr3:uid="{709A5AC0-0364-47C1-8AC5-C55D7DFC12E2}" name="Column9443"/>
    <tableColumn id="9458" xr3:uid="{655FF7C2-EE0E-495F-9906-A40B33B2B4ED}" name="Column9444"/>
    <tableColumn id="9459" xr3:uid="{2A194250-FBCE-4302-AFC5-3EB3E99EEFC1}" name="Column9445"/>
    <tableColumn id="9460" xr3:uid="{21817CE0-1990-4480-BB17-25AA2F0BF3F9}" name="Column9446"/>
    <tableColumn id="9461" xr3:uid="{2BAAD6DD-A4C9-4593-B15F-D962F7452955}" name="Column9447"/>
    <tableColumn id="9462" xr3:uid="{BFCE1BEE-3F77-4689-8A58-F17DE798FF78}" name="Column9448"/>
    <tableColumn id="9463" xr3:uid="{0F92E61B-5C4E-478F-A799-07B6528E6B87}" name="Column9449"/>
    <tableColumn id="9464" xr3:uid="{AB1A4D65-92D6-450D-A1C6-98793A5B21A8}" name="Column9450"/>
    <tableColumn id="9465" xr3:uid="{C8AF0463-1732-4003-A2A3-2AC0A6E713E7}" name="Column9451"/>
    <tableColumn id="9466" xr3:uid="{EFC00427-948B-4853-B4B2-61EDBF8FD4FD}" name="Column9452"/>
    <tableColumn id="9467" xr3:uid="{F2C4C7BF-B18F-4BC2-B289-0CEC3FF76E5C}" name="Column9453"/>
    <tableColumn id="9468" xr3:uid="{82FCFB41-E464-4BC6-B1F8-0B012EFA7CFE}" name="Column9454"/>
    <tableColumn id="9469" xr3:uid="{CBF7CD9C-0B9F-448D-8602-55108A2858D0}" name="Column9455"/>
    <tableColumn id="9470" xr3:uid="{D2CCA446-DAF3-4EAE-B095-A564091020E0}" name="Column9456"/>
    <tableColumn id="9471" xr3:uid="{7F23C0A7-F16C-4F12-AD22-5320E635B98D}" name="Column9457"/>
    <tableColumn id="9472" xr3:uid="{2616AADB-5DCC-4690-BFD5-EDEF6FCC4911}" name="Column9458"/>
    <tableColumn id="9473" xr3:uid="{5BFD5248-0D4B-47F3-B7A2-3068C661208C}" name="Column9459"/>
    <tableColumn id="9474" xr3:uid="{BF09D2E5-342C-4532-A2CA-D578CDAE8393}" name="Column9460"/>
    <tableColumn id="9475" xr3:uid="{D8510AF4-B529-4F7D-820D-D764152A0935}" name="Column9461"/>
    <tableColumn id="9476" xr3:uid="{21BE9426-7FE2-440B-852F-080CF01F5B28}" name="Column9462"/>
    <tableColumn id="9477" xr3:uid="{893D6DF8-EF4D-4559-9824-2A70821B1475}" name="Column9463"/>
    <tableColumn id="9478" xr3:uid="{EAC44BE1-A30A-44F8-BBED-2776C1986CAD}" name="Column9464"/>
    <tableColumn id="9479" xr3:uid="{6C823769-1B45-46A6-B9D7-36344F46859D}" name="Column9465"/>
    <tableColumn id="9480" xr3:uid="{9E2D1323-FBA2-4619-AC1E-DC309134F855}" name="Column9466"/>
    <tableColumn id="9481" xr3:uid="{F16970EB-0F56-45B8-AF0F-F22C52895A60}" name="Column9467"/>
    <tableColumn id="9482" xr3:uid="{AA5E5B1D-6710-42C2-AC16-BE40A8AF3C04}" name="Column9468"/>
    <tableColumn id="9483" xr3:uid="{0F29BC51-4C39-4C0B-9694-6498DD6AD6AB}" name="Column9469"/>
    <tableColumn id="9484" xr3:uid="{66479536-2411-49F5-ABA1-832F4146B739}" name="Column9470"/>
    <tableColumn id="9485" xr3:uid="{312EE980-3897-4370-B01A-5F41E251A17E}" name="Column9471"/>
    <tableColumn id="9486" xr3:uid="{90562D6C-4924-4D45-A583-64DEF6891204}" name="Column9472"/>
    <tableColumn id="9487" xr3:uid="{D7C8683A-B1E7-4C2B-89D9-01B328869B9E}" name="Column9473"/>
    <tableColumn id="9488" xr3:uid="{95732D05-3867-4E1F-AB69-F3356943219E}" name="Column9474"/>
    <tableColumn id="9489" xr3:uid="{DD9775ED-2114-491F-98F3-4371E2CA459D}" name="Column9475"/>
    <tableColumn id="9490" xr3:uid="{4B151205-EFB3-48F7-A492-BBFA58782ED5}" name="Column9476"/>
    <tableColumn id="9491" xr3:uid="{AD13F95D-62A5-4334-95ED-ADBD61531051}" name="Column9477"/>
    <tableColumn id="9492" xr3:uid="{6B504363-04FF-4481-AB8E-524464813640}" name="Column9478"/>
    <tableColumn id="9493" xr3:uid="{4ACD2322-E443-4BE8-983F-9D14E84A2F27}" name="Column9479"/>
    <tableColumn id="9494" xr3:uid="{C5888339-0EE4-4DC9-874B-7EA4C2AAE6E5}" name="Column9480"/>
    <tableColumn id="9495" xr3:uid="{47ED7B47-030D-47C4-AF30-30E19AE62BBA}" name="Column9481"/>
    <tableColumn id="9496" xr3:uid="{70691C52-A6B1-424B-8068-BF77A97B2A52}" name="Column9482"/>
    <tableColumn id="9497" xr3:uid="{B12EFDB0-189A-4104-A286-832AE4324AFF}" name="Column9483"/>
    <tableColumn id="9498" xr3:uid="{32971F94-8E70-4237-A1DA-728B76DB5F9D}" name="Column9484"/>
    <tableColumn id="9499" xr3:uid="{B1F0BE11-AC78-4C28-9B65-C869129D3CCC}" name="Column9485"/>
    <tableColumn id="9500" xr3:uid="{E3F1347E-F0BF-4511-B077-880237F4A6AC}" name="Column9486"/>
    <tableColumn id="9501" xr3:uid="{9D219C3C-CF92-41EE-B889-659991D7B100}" name="Column9487"/>
    <tableColumn id="9502" xr3:uid="{8B3969C1-3DBD-48F4-AF5C-650F6BB0F3E8}" name="Column9488"/>
    <tableColumn id="9503" xr3:uid="{1E1B158F-7098-4493-9A09-248F1E7D0AF0}" name="Column9489"/>
    <tableColumn id="9504" xr3:uid="{59704422-9A70-47C0-A0D2-C8863F1EFCD8}" name="Column9490"/>
    <tableColumn id="9505" xr3:uid="{24669D09-539C-4C12-8347-378D9CBC7086}" name="Column9491"/>
    <tableColumn id="9506" xr3:uid="{38C4742F-9B31-4569-9A66-2B0A8FFD6C34}" name="Column9492"/>
    <tableColumn id="9507" xr3:uid="{6EC80C41-5639-4B1F-94B0-8D99C12CCC77}" name="Column9493"/>
    <tableColumn id="9508" xr3:uid="{A0963316-9C50-4419-9973-BBCA41D095A1}" name="Column9494"/>
    <tableColumn id="9509" xr3:uid="{22AAC5FB-15BE-4E6D-96B9-34DAADDCFC03}" name="Column9495"/>
    <tableColumn id="9510" xr3:uid="{F378EF76-FDFE-430C-8217-57263DD56C40}" name="Column9496"/>
    <tableColumn id="9511" xr3:uid="{19220FBA-161D-47A1-BCC7-83E8E86E6CD1}" name="Column9497"/>
    <tableColumn id="9512" xr3:uid="{30861DB7-471D-4C6A-B4FC-59AB255D9F26}" name="Column9498"/>
    <tableColumn id="9513" xr3:uid="{1BD8421E-E4B4-4E56-B004-153BD5163F5C}" name="Column9499"/>
    <tableColumn id="9514" xr3:uid="{3FE1CD62-4DBE-4B45-B138-72A6264E0165}" name="Column9500"/>
    <tableColumn id="9515" xr3:uid="{D8600972-8F08-4783-AC47-3E20883AEBA2}" name="Column9501"/>
    <tableColumn id="9516" xr3:uid="{9D046412-CC07-4326-B84A-9FA720B99B36}" name="Column9502"/>
    <tableColumn id="9517" xr3:uid="{3E802A3A-3C35-4B8B-BAAB-B4421247DB04}" name="Column9503"/>
    <tableColumn id="9518" xr3:uid="{42B43F32-9A2C-4092-80B9-057F426797F2}" name="Column9504"/>
    <tableColumn id="9519" xr3:uid="{72B3A49E-9BEA-45E6-B209-2375EAC44156}" name="Column9505"/>
    <tableColumn id="9520" xr3:uid="{50FA781C-DC90-4C94-A39C-366BC023AD2C}" name="Column9506"/>
    <tableColumn id="9521" xr3:uid="{D42572A8-9542-41C3-805E-DC90539AF08A}" name="Column9507"/>
    <tableColumn id="9522" xr3:uid="{24787FBA-2FB7-4DD2-B84A-707A2A2A46B7}" name="Column9508"/>
    <tableColumn id="9523" xr3:uid="{DBFFBE09-A27C-439C-A862-51EE1C5651DB}" name="Column9509"/>
    <tableColumn id="9524" xr3:uid="{EA0075F4-7CF1-4D72-8B47-8BF4D41AD5FD}" name="Column9510"/>
    <tableColumn id="9525" xr3:uid="{6E4E9E2A-B3F7-4D56-9AD7-0BB993ADFF6A}" name="Column9511"/>
    <tableColumn id="9526" xr3:uid="{150A3E4B-0A88-4E4D-B5DD-FB2EC68F6AB8}" name="Column9512"/>
    <tableColumn id="9527" xr3:uid="{3A15BA21-57C1-402E-A0CD-06E7B8D8C252}" name="Column9513"/>
    <tableColumn id="9528" xr3:uid="{F9A5988F-D0A2-4692-A2E8-089BBBC44315}" name="Column9514"/>
    <tableColumn id="9529" xr3:uid="{0CA51375-6662-4FB6-9F8C-A07047ED0ED6}" name="Column9515"/>
    <tableColumn id="9530" xr3:uid="{70C11F5B-00A3-420E-A334-51B6D0CE2145}" name="Column9516"/>
    <tableColumn id="9531" xr3:uid="{F76277A8-C8FA-4A03-B351-F33CDB4B7D28}" name="Column9517"/>
    <tableColumn id="9532" xr3:uid="{E50500A2-750B-4773-BE26-B21081C88D52}" name="Column9518"/>
    <tableColumn id="9533" xr3:uid="{245AA275-FD06-4723-A5EE-D053723868AC}" name="Column9519"/>
    <tableColumn id="9534" xr3:uid="{13F26F06-F455-4874-89A7-D963D53FC783}" name="Column9520"/>
    <tableColumn id="9535" xr3:uid="{3C82239D-CF4F-43EA-AACA-98E692B71FFA}" name="Column9521"/>
    <tableColumn id="9536" xr3:uid="{59826820-C009-47BD-A259-672BC6EC6FDA}" name="Column9522"/>
    <tableColumn id="9537" xr3:uid="{5904AA2C-B70A-4494-B9C6-38DDFA57D354}" name="Column9523"/>
    <tableColumn id="9538" xr3:uid="{959FA50E-0220-4FB9-98A5-67F35065B0DB}" name="Column9524"/>
    <tableColumn id="9539" xr3:uid="{29664146-24FD-411F-A153-A7B2D0B892AD}" name="Column9525"/>
    <tableColumn id="9540" xr3:uid="{5D4C822E-E3A5-46B9-BEEF-1B6C05ADBDF1}" name="Column9526"/>
    <tableColumn id="9541" xr3:uid="{FAD5AE5D-D641-46E4-ADC9-E8B9E06F669C}" name="Column9527"/>
    <tableColumn id="9542" xr3:uid="{266B7A95-BDC8-4967-912F-7A343B800768}" name="Column9528"/>
    <tableColumn id="9543" xr3:uid="{44C72F5B-0265-4E8C-94F5-1AF63920EB7A}" name="Column9529"/>
    <tableColumn id="9544" xr3:uid="{83898EB9-3161-47F0-8FAD-0881A56E4804}" name="Column9530"/>
    <tableColumn id="9545" xr3:uid="{8C8906E4-5F05-4465-8876-D500C8691AB9}" name="Column9531"/>
    <tableColumn id="9546" xr3:uid="{935B8134-9DD0-4D35-A349-D58C5D2B1F75}" name="Column9532"/>
    <tableColumn id="9547" xr3:uid="{0BDEC215-1F9F-4B1F-BAF6-4E84FF5C7652}" name="Column9533"/>
    <tableColumn id="9548" xr3:uid="{20AEE7F5-56EA-4ADF-9742-0E6336D28392}" name="Column9534"/>
    <tableColumn id="9549" xr3:uid="{ABAB6B84-687D-4E12-95FB-43B8AC3B2547}" name="Column9535"/>
    <tableColumn id="9550" xr3:uid="{5C4C0DAC-E157-46EB-9358-FF8C4E5D8474}" name="Column9536"/>
    <tableColumn id="9551" xr3:uid="{7508191E-1373-4957-957B-0A7E964E2440}" name="Column9537"/>
    <tableColumn id="9552" xr3:uid="{8BE1EECB-079F-494E-8764-AAD4ADBFAAC4}" name="Column9538"/>
    <tableColumn id="9553" xr3:uid="{9D1B2AE3-68C0-4FD5-889F-1352CDF7DBAB}" name="Column9539"/>
    <tableColumn id="9554" xr3:uid="{B4027B5A-A134-4BFE-8D0E-582ACCC0F641}" name="Column9540"/>
    <tableColumn id="9555" xr3:uid="{4F2906E7-CC8F-46F7-9566-DC6057AA7707}" name="Column9541"/>
    <tableColumn id="9556" xr3:uid="{2EE7018D-FBDC-4B8C-98FD-20285152163B}" name="Column9542"/>
    <tableColumn id="9557" xr3:uid="{8752BC64-027C-4419-967B-5D631DAAE27F}" name="Column9543"/>
    <tableColumn id="9558" xr3:uid="{42D83879-98A2-43A5-87FA-470BBCB72A16}" name="Column9544"/>
    <tableColumn id="9559" xr3:uid="{45883CF1-C0B2-4358-AAD1-67CB75E58D52}" name="Column9545"/>
    <tableColumn id="9560" xr3:uid="{39E71B54-3E58-4198-BB17-31459F5523B9}" name="Column9546"/>
    <tableColumn id="9561" xr3:uid="{B446FFE3-42D9-4AEF-B87C-82BF722DF578}" name="Column9547"/>
    <tableColumn id="9562" xr3:uid="{A2D4EF6D-2803-4C5A-9BF3-810F3C5CE852}" name="Column9548"/>
    <tableColumn id="9563" xr3:uid="{0840E210-8B82-433E-9D85-7635408CE5E6}" name="Column9549"/>
    <tableColumn id="9564" xr3:uid="{C8EBBEF3-0CC4-4027-8F71-25472B80EE00}" name="Column9550"/>
    <tableColumn id="9565" xr3:uid="{C29B21CB-2722-4C9E-A4F3-B326A53EEB21}" name="Column9551"/>
    <tableColumn id="9566" xr3:uid="{03EAA090-F126-47EB-B54B-2821D180D012}" name="Column9552"/>
    <tableColumn id="9567" xr3:uid="{A3704699-A48B-4C82-BB76-AD20109BB846}" name="Column9553"/>
    <tableColumn id="9568" xr3:uid="{9581518A-ED51-4297-8D4C-50811980CD03}" name="Column9554"/>
    <tableColumn id="9569" xr3:uid="{D0E43D90-7C66-4BC4-AF91-032EB4261A0F}" name="Column9555"/>
    <tableColumn id="9570" xr3:uid="{07A435C8-FBEB-4FD7-B9CD-14FF05E9FE10}" name="Column9556"/>
    <tableColumn id="9571" xr3:uid="{827BBA2B-DC74-435A-95E9-B12DA934D40E}" name="Column9557"/>
    <tableColumn id="9572" xr3:uid="{3E06CF4D-D134-4FD3-AA8B-A3C65522A5BA}" name="Column9558"/>
    <tableColumn id="9573" xr3:uid="{1D89E209-9ABF-44CC-A7F9-E338A4CCB43B}" name="Column9559"/>
    <tableColumn id="9574" xr3:uid="{86013E7F-0BBF-4AC2-895D-3AF1AF51E95B}" name="Column9560"/>
    <tableColumn id="9575" xr3:uid="{01AA51F0-2137-4CF7-B2EB-8D86A11E487A}" name="Column9561"/>
    <tableColumn id="9576" xr3:uid="{C9224A7E-842D-4831-81BC-84E817C33A42}" name="Column9562"/>
    <tableColumn id="9577" xr3:uid="{EAC52495-76A7-48C9-9B66-D562F9B210CF}" name="Column9563"/>
    <tableColumn id="9578" xr3:uid="{3456A9A4-29D8-4BF9-B455-E191DB9D2DA4}" name="Column9564"/>
    <tableColumn id="9579" xr3:uid="{9858A7FF-2846-4A36-AE49-11AB369AD506}" name="Column9565"/>
    <tableColumn id="9580" xr3:uid="{3678B2BF-3B8E-4C29-82A9-49F45EB5BFDC}" name="Column9566"/>
    <tableColumn id="9581" xr3:uid="{42388799-C224-4A70-BEB7-DC2535D5A782}" name="Column9567"/>
    <tableColumn id="9582" xr3:uid="{D5A59B22-4FDC-4A8F-A6BF-59C244B52AC1}" name="Column9568"/>
    <tableColumn id="9583" xr3:uid="{C8E2160C-A9C3-4618-81A5-519C5F8A4382}" name="Column9569"/>
    <tableColumn id="9584" xr3:uid="{337CFDB2-F5C0-41A6-B078-764D81A4EA53}" name="Column9570"/>
    <tableColumn id="9585" xr3:uid="{EBB7BFFD-C4DC-4971-BC8A-DB84BD345E63}" name="Column9571"/>
    <tableColumn id="9586" xr3:uid="{9D54E189-C105-43B1-B887-A5E3CDD3A263}" name="Column9572"/>
    <tableColumn id="9587" xr3:uid="{D69B694A-242E-4BD5-9FF7-1E6126146F1B}" name="Column9573"/>
    <tableColumn id="9588" xr3:uid="{75464BB6-70EC-4AD4-BF5A-2AC4001CD59F}" name="Column9574"/>
    <tableColumn id="9589" xr3:uid="{BF04A765-D710-4CE7-923F-A8327E07C63D}" name="Column9575"/>
    <tableColumn id="9590" xr3:uid="{34E56606-DC54-42BE-92AD-A92BE7E3FD05}" name="Column9576"/>
    <tableColumn id="9591" xr3:uid="{B7A31F7D-BE32-4338-AE1D-28752D9A8EEE}" name="Column9577"/>
    <tableColumn id="9592" xr3:uid="{398E783A-13CC-480D-8B7E-36C6D20D9170}" name="Column9578"/>
    <tableColumn id="9593" xr3:uid="{12F4D4C9-28DE-458C-903A-9EE770CD8A04}" name="Column9579"/>
    <tableColumn id="9594" xr3:uid="{9DC71777-CE64-43E2-B458-38730B9090E1}" name="Column9580"/>
    <tableColumn id="9595" xr3:uid="{C78245BB-A8ED-4F14-9D55-6B36F6C8D591}" name="Column9581"/>
    <tableColumn id="9596" xr3:uid="{117A543B-EFE7-4600-B6F6-C7C2C9EF0100}" name="Column9582"/>
    <tableColumn id="9597" xr3:uid="{EACF8654-7EEA-4C84-9058-05831E8DE2AD}" name="Column9583"/>
    <tableColumn id="9598" xr3:uid="{8A0A413C-35CF-4F4A-B9D6-B8BF8B4A0880}" name="Column9584"/>
    <tableColumn id="9599" xr3:uid="{F4E15A5B-E114-4525-9445-A6390FFD6882}" name="Column9585"/>
    <tableColumn id="9600" xr3:uid="{F59D44AA-0BF0-40A3-985C-613869AAE8F4}" name="Column9586"/>
    <tableColumn id="9601" xr3:uid="{9125A964-F715-4943-897C-EA0FADEAFCCC}" name="Column9587"/>
    <tableColumn id="9602" xr3:uid="{36185BB5-4400-4CFA-A3E7-16E8028F35EB}" name="Column9588"/>
    <tableColumn id="9603" xr3:uid="{E66981B7-A859-4CB5-BCEB-48B5107BF70B}" name="Column9589"/>
    <tableColumn id="9604" xr3:uid="{D105D6B8-A084-4F2E-9F1B-188FC5A89ED7}" name="Column9590"/>
    <tableColumn id="9605" xr3:uid="{7B51F692-2B84-4EBB-9C21-9A12C86A5A76}" name="Column9591"/>
    <tableColumn id="9606" xr3:uid="{46F4A29A-BD19-4E88-9E47-FB43723789C2}" name="Column9592"/>
    <tableColumn id="9607" xr3:uid="{C1488462-43A2-45ED-860F-938F593A49BA}" name="Column9593"/>
    <tableColumn id="9608" xr3:uid="{A3E3930D-4D73-4782-B88B-934BAD0FA690}" name="Column9594"/>
    <tableColumn id="9609" xr3:uid="{6E340B72-0FE4-445D-BA36-B344524FFB97}" name="Column9595"/>
    <tableColumn id="9610" xr3:uid="{8F20A9FA-FF46-4840-8E97-0BAFA48F2CD9}" name="Column9596"/>
    <tableColumn id="9611" xr3:uid="{81F9A1E7-80EF-4077-93D6-843284E45FB8}" name="Column9597"/>
    <tableColumn id="9612" xr3:uid="{37A00C61-15CE-42B8-96B8-82BE1CEDBCAA}" name="Column9598"/>
    <tableColumn id="9613" xr3:uid="{5D70DD43-7A9E-43F5-BF72-F0B8DE0E0E83}" name="Column9599"/>
    <tableColumn id="9614" xr3:uid="{D13CB68F-D269-4BE1-936B-8F0513D3CF51}" name="Column9600"/>
    <tableColumn id="9615" xr3:uid="{A19D405E-D5BA-4E92-99CA-3BA1558AAC15}" name="Column9601"/>
    <tableColumn id="9616" xr3:uid="{CE662CB1-112C-4803-BE1A-5B329A620749}" name="Column9602"/>
    <tableColumn id="9617" xr3:uid="{1CDAA0F5-4DCB-4C73-AAC7-403AAA81FB5E}" name="Column9603"/>
    <tableColumn id="9618" xr3:uid="{A8B8465C-A640-4F65-BE8F-CCF6BD816EF9}" name="Column9604"/>
    <tableColumn id="9619" xr3:uid="{6CD08AA0-38CC-483A-94A2-2116379CD1EB}" name="Column9605"/>
    <tableColumn id="9620" xr3:uid="{32FF55F7-1BA3-4DFD-A117-14E122B896B7}" name="Column9606"/>
    <tableColumn id="9621" xr3:uid="{993C1CCE-5402-4E04-8FB4-A2CBDC2FF029}" name="Column9607"/>
    <tableColumn id="9622" xr3:uid="{E002C61B-53D1-4B08-B8D9-C7BBA1C1DF0B}" name="Column9608"/>
    <tableColumn id="9623" xr3:uid="{3EA8A1CF-A774-469E-8F60-8AD6FF9D5B6F}" name="Column9609"/>
    <tableColumn id="9624" xr3:uid="{82D7CF46-5D09-4C03-A449-D8266FEFCA34}" name="Column9610"/>
    <tableColumn id="9625" xr3:uid="{6DBBB844-ED8E-4D78-95D3-702A2BF9C8F0}" name="Column9611"/>
    <tableColumn id="9626" xr3:uid="{8B004216-00E9-4FCF-8259-56F6EC57B112}" name="Column9612"/>
    <tableColumn id="9627" xr3:uid="{3F1BEBE6-54F9-4D8E-A9E3-185638C59276}" name="Column9613"/>
    <tableColumn id="9628" xr3:uid="{560FF30D-85C4-46EE-A22A-1753EE8DFFAF}" name="Column9614"/>
    <tableColumn id="9629" xr3:uid="{6EEC6643-FA10-44CC-A50D-087F2B553C88}" name="Column9615"/>
    <tableColumn id="9630" xr3:uid="{F0E36D5D-81D2-404A-A3CB-9617166F4293}" name="Column9616"/>
    <tableColumn id="9631" xr3:uid="{43B9DB27-8D97-4A58-AD79-E5B4270C4FEE}" name="Column9617"/>
    <tableColumn id="9632" xr3:uid="{9DDAAECA-EFD5-40E2-90D1-33588E277083}" name="Column9618"/>
    <tableColumn id="9633" xr3:uid="{852FCE08-828D-47FF-A820-AF9A4A599962}" name="Column9619"/>
    <tableColumn id="9634" xr3:uid="{89DF1107-21F6-4115-8025-0138AB09E8FB}" name="Column9620"/>
    <tableColumn id="9635" xr3:uid="{2FFEEA7D-6FD4-422E-98D6-8859731885F5}" name="Column9621"/>
    <tableColumn id="9636" xr3:uid="{176AC1D2-CE51-466E-9543-D85A69213A4C}" name="Column9622"/>
    <tableColumn id="9637" xr3:uid="{4EA415EC-6A79-4C5F-8911-89446B44D950}" name="Column9623"/>
    <tableColumn id="9638" xr3:uid="{5C59627E-638C-43AC-9885-ABC89E440057}" name="Column9624"/>
    <tableColumn id="9639" xr3:uid="{3BE0B0E6-2585-4D0C-9DDA-3FC3EED3E2F6}" name="Column9625"/>
    <tableColumn id="9640" xr3:uid="{73B9D2F2-F881-44EC-BFF7-650657984C7F}" name="Column9626"/>
    <tableColumn id="9641" xr3:uid="{E201CB4C-53FF-4860-9C39-E341790A0651}" name="Column9627"/>
    <tableColumn id="9642" xr3:uid="{AE3EDA8D-F020-46DD-9A3C-EED3DEF2E48C}" name="Column9628"/>
    <tableColumn id="9643" xr3:uid="{E3C3AF57-8F51-4E0C-B67B-88922B1661E0}" name="Column9629"/>
    <tableColumn id="9644" xr3:uid="{972BDC3F-64BE-4BD2-B3A4-1A7B145C163A}" name="Column9630"/>
    <tableColumn id="9645" xr3:uid="{8F61D42D-F4DD-42B3-BFFC-6F21B51046D1}" name="Column9631"/>
    <tableColumn id="9646" xr3:uid="{5E3D1C58-2966-4922-864A-811567982618}" name="Column9632"/>
    <tableColumn id="9647" xr3:uid="{683A9F4A-F5D6-44B3-A635-8D4E28A871E5}" name="Column9633"/>
    <tableColumn id="9648" xr3:uid="{5A1884CD-47CC-4502-9751-2614B660BD50}" name="Column9634"/>
    <tableColumn id="9649" xr3:uid="{44869AE7-F26A-4722-8BD1-91480B7DCBE5}" name="Column9635"/>
    <tableColumn id="9650" xr3:uid="{9DD191AF-BE6D-4F90-AF44-EA85DA8EA55F}" name="Column9636"/>
    <tableColumn id="9651" xr3:uid="{EEC92D7E-BBB2-475D-821E-84F17745454F}" name="Column9637"/>
    <tableColumn id="9652" xr3:uid="{8D60DECD-4296-4378-91E5-F1F361C37F4E}" name="Column9638"/>
    <tableColumn id="9653" xr3:uid="{22C017CE-E9DA-4138-B15E-32EBDC528DBF}" name="Column9639"/>
    <tableColumn id="9654" xr3:uid="{3DB28A96-995A-4A52-AF73-36CD503A73F2}" name="Column9640"/>
    <tableColumn id="9655" xr3:uid="{468B42F2-0DBB-412E-95DB-C414A1EF243B}" name="Column9641"/>
    <tableColumn id="9656" xr3:uid="{F859EDBF-1544-4B3C-AA0E-110F8C23F072}" name="Column9642"/>
    <tableColumn id="9657" xr3:uid="{29575055-262A-4418-841E-F9136EB01D10}" name="Column9643"/>
    <tableColumn id="9658" xr3:uid="{817346F4-048C-4767-A1D5-CF6112F6D766}" name="Column9644"/>
    <tableColumn id="9659" xr3:uid="{3D73A310-E031-494A-93B8-69CCC4A35FFD}" name="Column9645"/>
    <tableColumn id="9660" xr3:uid="{5B5E285E-29AD-4BD4-B53E-F40063F3D85A}" name="Column9646"/>
    <tableColumn id="9661" xr3:uid="{0A3A2321-87AA-4AF5-AE4D-C44A7A8E42C9}" name="Column9647"/>
    <tableColumn id="9662" xr3:uid="{C92B715D-6896-4F12-BBE3-E989D2ED2FDF}" name="Column9648"/>
    <tableColumn id="9663" xr3:uid="{9AAACA21-AB34-4365-9B46-3AF001D235F6}" name="Column9649"/>
    <tableColumn id="9664" xr3:uid="{FA644467-6545-4031-A6EB-A0FD350E71DB}" name="Column9650"/>
    <tableColumn id="9665" xr3:uid="{A4CA51B0-D70C-4F04-BC74-351A917F4231}" name="Column9651"/>
    <tableColumn id="9666" xr3:uid="{5E282F20-5988-4663-A982-E0738C9A8F53}" name="Column9652"/>
    <tableColumn id="9667" xr3:uid="{824AB446-4FFB-47D3-81D5-0F59B090B2F1}" name="Column9653"/>
    <tableColumn id="9668" xr3:uid="{13C5A896-1FE5-4832-A763-341C030A3667}" name="Column9654"/>
    <tableColumn id="9669" xr3:uid="{78EED61F-28F9-486A-891C-3EE5D0E9E721}" name="Column9655"/>
    <tableColumn id="9670" xr3:uid="{565B4C78-EEA2-4BDE-87AA-B37012BE263A}" name="Column9656"/>
    <tableColumn id="9671" xr3:uid="{C7C27617-01F5-44AE-BCEC-C907BADD4F03}" name="Column9657"/>
    <tableColumn id="9672" xr3:uid="{BB5C66CC-F987-4364-A271-736EB1198857}" name="Column9658"/>
    <tableColumn id="9673" xr3:uid="{D1EFE0EC-0368-4BA5-81A8-B1C4AB5FDE74}" name="Column9659"/>
    <tableColumn id="9674" xr3:uid="{079DCF1E-6AB8-464E-A69F-5012C87B57CC}" name="Column9660"/>
    <tableColumn id="9675" xr3:uid="{CDB0E3C9-DABA-4DF9-A646-FF7EF23C98CD}" name="Column9661"/>
    <tableColumn id="9676" xr3:uid="{9BAC9E25-4B21-49C6-9B12-002DE9E23120}" name="Column9662"/>
    <tableColumn id="9677" xr3:uid="{FF14EE6D-DD9B-481D-8A90-0E9AB973D85C}" name="Column9663"/>
    <tableColumn id="9678" xr3:uid="{1BC0323D-AAA9-45D9-975D-6230CDF1CE0C}" name="Column9664"/>
    <tableColumn id="9679" xr3:uid="{56986F05-05AD-492D-B5DB-972025F6030E}" name="Column9665"/>
    <tableColumn id="9680" xr3:uid="{3398C26C-8FC0-49BE-83D3-A72850B0FB46}" name="Column9666"/>
    <tableColumn id="9681" xr3:uid="{1C200965-E7B1-4F16-BACA-7F836D537E39}" name="Column9667"/>
    <tableColumn id="9682" xr3:uid="{1239CB0D-A3FB-4D50-ACB7-74B54D99124B}" name="Column9668"/>
    <tableColumn id="9683" xr3:uid="{8BD8132A-CE40-4FF3-8CA6-CE7D273D0BF0}" name="Column9669"/>
    <tableColumn id="9684" xr3:uid="{E584BD84-1475-4C5F-AF3E-4FA5DF898DC5}" name="Column9670"/>
    <tableColumn id="9685" xr3:uid="{FD6E8D80-82B8-428E-A3B0-B42F89349240}" name="Column9671"/>
    <tableColumn id="9686" xr3:uid="{705C06B8-81D7-4BD9-813C-D36F87526E0B}" name="Column9672"/>
    <tableColumn id="9687" xr3:uid="{ECB0AC5F-FE1D-47D4-AD14-4D1619AF982C}" name="Column9673"/>
    <tableColumn id="9688" xr3:uid="{87BEA194-319D-4A3C-8D07-9FC3EBD44875}" name="Column9674"/>
    <tableColumn id="9689" xr3:uid="{691914E1-3A4F-4316-A264-61FCAA9A3904}" name="Column9675"/>
    <tableColumn id="9690" xr3:uid="{BBFBE64F-F165-4177-A0B3-1F118F1E60F5}" name="Column9676"/>
    <tableColumn id="9691" xr3:uid="{F9FCBAB3-F3E0-4CC8-9097-B939A78E9289}" name="Column9677"/>
    <tableColumn id="9692" xr3:uid="{F4C7E86B-D4A2-4C5A-92A7-AF3889262B42}" name="Column9678"/>
    <tableColumn id="9693" xr3:uid="{45C4FC17-24F9-4C78-A2A7-FAC7DEE2D95D}" name="Column9679"/>
    <tableColumn id="9694" xr3:uid="{40249F58-E3A7-4294-B6E0-70708B3821F3}" name="Column9680"/>
    <tableColumn id="9695" xr3:uid="{B1011A65-1F65-4EE3-82E0-6430AD29F63A}" name="Column9681"/>
    <tableColumn id="9696" xr3:uid="{28085E94-752C-41E3-87D4-592A84D4C0FA}" name="Column9682"/>
    <tableColumn id="9697" xr3:uid="{736B09D9-DA57-446E-AA6C-8AB514F0B312}" name="Column9683"/>
    <tableColumn id="9698" xr3:uid="{3FE383F2-C29F-4B71-9AE5-374FE831BECD}" name="Column9684"/>
    <tableColumn id="9699" xr3:uid="{73A24FEC-2A84-4DA7-AF0D-6C4C511484EB}" name="Column9685"/>
    <tableColumn id="9700" xr3:uid="{67B1782B-CD2B-4DD3-8871-6B8F9E9FF3CA}" name="Column9686"/>
    <tableColumn id="9701" xr3:uid="{02348470-E82B-488E-96F2-6D06E03CB979}" name="Column9687"/>
    <tableColumn id="9702" xr3:uid="{7F546E74-EC66-42D4-9C35-7032E1FED8E5}" name="Column9688"/>
    <tableColumn id="9703" xr3:uid="{5C700239-C099-4924-A0D9-81A998399D08}" name="Column9689"/>
    <tableColumn id="9704" xr3:uid="{3B7AD108-3E98-460D-A595-01BEB7C4C696}" name="Column9690"/>
    <tableColumn id="9705" xr3:uid="{4798A7A1-CC4B-449E-ACB4-BAD784ED99FF}" name="Column9691"/>
    <tableColumn id="9706" xr3:uid="{E4F9449C-6972-477D-B3D3-F91AA898715F}" name="Column9692"/>
    <tableColumn id="9707" xr3:uid="{61CCEBB6-D062-421E-8F5E-99E55F034482}" name="Column9693"/>
    <tableColumn id="9708" xr3:uid="{B638B418-868C-4E24-93B7-510978C4AFF1}" name="Column9694"/>
    <tableColumn id="9709" xr3:uid="{B4F1276B-1472-45B7-A22E-F794DE25AEE8}" name="Column9695"/>
    <tableColumn id="9710" xr3:uid="{89B6DB7D-F60D-472B-A504-B79C1342C085}" name="Column9696"/>
    <tableColumn id="9711" xr3:uid="{A9B28E7E-63A9-46FE-97DA-BD3C8A1329C3}" name="Column9697"/>
    <tableColumn id="9712" xr3:uid="{348085D1-6426-4D1E-9769-7A5ED921E948}" name="Column9698"/>
    <tableColumn id="9713" xr3:uid="{C6B996ED-DDBB-482C-8843-D5122118B9FD}" name="Column9699"/>
    <tableColumn id="9714" xr3:uid="{B618B023-7BBA-44FF-9BFD-66AAE31DF2AC}" name="Column9700"/>
    <tableColumn id="9715" xr3:uid="{466A1B25-AAF8-4D26-A04B-A78CF27EFC38}" name="Column9701"/>
    <tableColumn id="9716" xr3:uid="{FEB2EA02-308A-4BBB-9A42-4BFBA540EB13}" name="Column9702"/>
    <tableColumn id="9717" xr3:uid="{0F14CF89-20E2-4FA1-B48C-E7EEBA6136EB}" name="Column9703"/>
    <tableColumn id="9718" xr3:uid="{9B9473AE-C2C3-47EA-9932-1881BAC20866}" name="Column9704"/>
    <tableColumn id="9719" xr3:uid="{E70416EE-0A23-46B7-BF01-43F8153F8ECE}" name="Column9705"/>
    <tableColumn id="9720" xr3:uid="{4D45FC02-80BC-42AB-9E56-21B3994095F4}" name="Column9706"/>
    <tableColumn id="9721" xr3:uid="{7BAC329A-1BA9-4E2E-9AEE-5042E37BB201}" name="Column9707"/>
    <tableColumn id="9722" xr3:uid="{7D304CB2-3204-4654-B322-8861549E1BC1}" name="Column9708"/>
    <tableColumn id="9723" xr3:uid="{DA5FE5D1-25E5-485D-9246-EBE26E66A827}" name="Column9709"/>
    <tableColumn id="9724" xr3:uid="{E8E731F5-53A2-48AC-89DE-FD1D715AB2E8}" name="Column9710"/>
    <tableColumn id="9725" xr3:uid="{F604D5B5-C3A1-43DC-A2E5-2D59A00DB322}" name="Column9711"/>
    <tableColumn id="9726" xr3:uid="{D28D8C2D-EE99-4891-9117-FAADA40DA050}" name="Column9712"/>
    <tableColumn id="9727" xr3:uid="{7AA20181-3818-4026-86B4-10C2462D0CB9}" name="Column9713"/>
    <tableColumn id="9728" xr3:uid="{4446A07E-8681-413E-8677-CA8357F9B088}" name="Column9714"/>
    <tableColumn id="9729" xr3:uid="{33AA84D1-D593-4223-9090-0972B910160A}" name="Column9715"/>
    <tableColumn id="9730" xr3:uid="{33846EC3-E77C-4749-8641-99EAA0743ACC}" name="Column9716"/>
    <tableColumn id="9731" xr3:uid="{7B6E8EC3-38EE-4A0E-87C1-CDEA7448B2E0}" name="Column9717"/>
    <tableColumn id="9732" xr3:uid="{C5B581E9-36AC-48F8-A70F-1987810C154A}" name="Column9718"/>
    <tableColumn id="9733" xr3:uid="{9E95E66E-74A7-494D-9891-152E23EBB2A7}" name="Column9719"/>
    <tableColumn id="9734" xr3:uid="{432F0CD4-8B32-4170-9838-ED50EC7507BD}" name="Column9720"/>
    <tableColumn id="9735" xr3:uid="{C3FD8D7E-49E7-4ADB-86F6-848990650060}" name="Column9721"/>
    <tableColumn id="9736" xr3:uid="{E2EFA949-DFBE-4C07-ACEE-3F6451112B21}" name="Column9722"/>
    <tableColumn id="9737" xr3:uid="{88230749-F639-40A8-8F32-6ACD65729646}" name="Column9723"/>
    <tableColumn id="9738" xr3:uid="{2A34453C-66FA-4557-95EF-36E317B9E23C}" name="Column9724"/>
    <tableColumn id="9739" xr3:uid="{CD552D52-1AB1-4D37-BB8A-3F720E5D3299}" name="Column9725"/>
    <tableColumn id="9740" xr3:uid="{635F8281-1041-496C-B7AB-DCC47CE98B9C}" name="Column9726"/>
    <tableColumn id="9741" xr3:uid="{D7D9692A-1452-4EC0-820A-7CD569C803D8}" name="Column9727"/>
    <tableColumn id="9742" xr3:uid="{C272E9CE-E711-4AE6-8EEC-9E562359244D}" name="Column9728"/>
    <tableColumn id="9743" xr3:uid="{4B905DF3-C27B-489C-A047-EB1C3EF3A587}" name="Column9729"/>
    <tableColumn id="9744" xr3:uid="{AC1E180F-C876-41D1-8353-CD1CE0628665}" name="Column9730"/>
    <tableColumn id="9745" xr3:uid="{D5408C3F-35C3-447C-BC57-903F8FE451A0}" name="Column9731"/>
    <tableColumn id="9746" xr3:uid="{35C7F152-C8F9-45A3-BB29-E8075DCD89B5}" name="Column9732"/>
    <tableColumn id="9747" xr3:uid="{8778516E-9402-4E7A-80BF-CDF1DB5A02CB}" name="Column9733"/>
    <tableColumn id="9748" xr3:uid="{16B05B27-D458-4A0E-96AE-63F8BB7BCC47}" name="Column9734"/>
    <tableColumn id="9749" xr3:uid="{43C46B69-696A-491F-95AF-9369922C3245}" name="Column9735"/>
    <tableColumn id="9750" xr3:uid="{5249922B-5BD7-4853-BEA6-3322560BD939}" name="Column9736"/>
    <tableColumn id="9751" xr3:uid="{27227248-16F9-4CE8-99F2-6B47B17513FC}" name="Column9737"/>
    <tableColumn id="9752" xr3:uid="{358B5734-E0F7-425B-B5B7-778C904AD1AE}" name="Column9738"/>
    <tableColumn id="9753" xr3:uid="{3E75EDA1-FA41-4515-BBE5-F1FD496A2962}" name="Column9739"/>
    <tableColumn id="9754" xr3:uid="{0932342C-E50E-4BC3-B887-AA02CC588D86}" name="Column9740"/>
    <tableColumn id="9755" xr3:uid="{B2E6A6B1-8C13-4AD1-8D06-C8DEBC8D2549}" name="Column9741"/>
    <tableColumn id="9756" xr3:uid="{8DC477DA-18FC-431D-96F0-CACE6E3D271D}" name="Column9742"/>
    <tableColumn id="9757" xr3:uid="{B284EC71-B6AB-4015-AEF3-482F6F402970}" name="Column9743"/>
    <tableColumn id="9758" xr3:uid="{1DB0BD23-EF36-40D5-B30F-C3240E575535}" name="Column9744"/>
    <tableColumn id="9759" xr3:uid="{32A43900-6479-42DD-8DD9-38CE17099332}" name="Column9745"/>
    <tableColumn id="9760" xr3:uid="{0019811D-C60A-4DA6-BCF8-D307E0CF70E4}" name="Column9746"/>
    <tableColumn id="9761" xr3:uid="{31220094-7674-41C9-924D-0B4D0423A4EE}" name="Column9747"/>
    <tableColumn id="9762" xr3:uid="{15ADA839-FFC3-466E-ACB5-C28FF7312D33}" name="Column9748"/>
    <tableColumn id="9763" xr3:uid="{C5066F2F-47B1-4F4A-B2D8-6040A11DB392}" name="Column9749"/>
    <tableColumn id="9764" xr3:uid="{7D9D5AE2-F197-497F-966F-B271FB540E26}" name="Column9750"/>
    <tableColumn id="9765" xr3:uid="{EC8B7495-23A5-4159-83D1-B4A213B419F7}" name="Column9751"/>
    <tableColumn id="9766" xr3:uid="{DE05B8FD-135C-4FDD-BE67-395B1EADA97B}" name="Column9752"/>
    <tableColumn id="9767" xr3:uid="{4A36BF11-034F-4E85-A17A-586520310815}" name="Column9753"/>
    <tableColumn id="9768" xr3:uid="{EE84CA3B-E4EA-42A2-B262-16451255A14C}" name="Column9754"/>
    <tableColumn id="9769" xr3:uid="{75E60346-4B3A-481D-8252-96629450938A}" name="Column9755"/>
    <tableColumn id="9770" xr3:uid="{28C9694E-2BBB-4923-9D5B-B89BC8343CF2}" name="Column9756"/>
    <tableColumn id="9771" xr3:uid="{AA07F7FA-BBA1-4601-A817-DB6A079EAA46}" name="Column9757"/>
    <tableColumn id="9772" xr3:uid="{1B8AE81B-C726-4A5C-90DD-D2228D777D46}" name="Column9758"/>
    <tableColumn id="9773" xr3:uid="{8F0938B1-7CDD-47BF-A361-4CC2C2617866}" name="Column9759"/>
    <tableColumn id="9774" xr3:uid="{2967F078-A3A2-4A25-90A3-8F8864381592}" name="Column9760"/>
    <tableColumn id="9775" xr3:uid="{3D2227F4-9C98-49C5-9893-03045DA67DE1}" name="Column9761"/>
    <tableColumn id="9776" xr3:uid="{50058793-8A84-415D-B644-A955CA9E88DF}" name="Column9762"/>
    <tableColumn id="9777" xr3:uid="{DBDF3F4A-6B92-442E-91E7-F7D06D0E4800}" name="Column9763"/>
    <tableColumn id="9778" xr3:uid="{94E70E78-F29E-49BF-9FAF-CF2EE9EEB6BC}" name="Column9764"/>
    <tableColumn id="9779" xr3:uid="{C08C086B-2865-4457-8A65-50ECBD2E5A55}" name="Column9765"/>
    <tableColumn id="9780" xr3:uid="{F3BAA2D9-89FB-46C1-A365-549631707AC9}" name="Column9766"/>
    <tableColumn id="9781" xr3:uid="{D2877F34-A513-4ADA-8146-EE71B6FEA533}" name="Column9767"/>
    <tableColumn id="9782" xr3:uid="{6D89B480-D5F0-4AFC-BDCB-5228EEEF61DB}" name="Column9768"/>
    <tableColumn id="9783" xr3:uid="{E6339D7D-1758-4428-B5B7-3BC0CB7C5A4A}" name="Column9769"/>
    <tableColumn id="9784" xr3:uid="{D6EA7150-72C8-41CA-B604-1881BBF0A8A4}" name="Column9770"/>
    <tableColumn id="9785" xr3:uid="{C8CEA6C1-7986-4583-B878-9F9DA2C7EFF5}" name="Column9771"/>
    <tableColumn id="9786" xr3:uid="{43DFECA8-E289-4C4B-B37F-DEEFED173C66}" name="Column9772"/>
    <tableColumn id="9787" xr3:uid="{34C74D7C-56ED-413D-BBA3-4A9DADA4B286}" name="Column9773"/>
    <tableColumn id="9788" xr3:uid="{797E3FF4-7BED-4243-A2DB-34004C8A7C7A}" name="Column9774"/>
    <tableColumn id="9789" xr3:uid="{E4CD1F1B-80C5-4DD2-A8E4-EA5C7EE13EB3}" name="Column9775"/>
    <tableColumn id="9790" xr3:uid="{83E10296-2A30-4A36-B6C5-1B9D17631A61}" name="Column9776"/>
    <tableColumn id="9791" xr3:uid="{3B2F7C3A-9F78-4261-A6F8-2E8EDA4EF62C}" name="Column9777"/>
    <tableColumn id="9792" xr3:uid="{F14480E4-9D9B-45BF-A7A7-FF715CE98F3C}" name="Column9778"/>
    <tableColumn id="9793" xr3:uid="{9389C170-D576-4C26-9DD4-1A860698173C}" name="Column9779"/>
    <tableColumn id="9794" xr3:uid="{B9DE0651-C20D-49D5-99F6-804E73298893}" name="Column9780"/>
    <tableColumn id="9795" xr3:uid="{4BC7EA95-D8C5-4223-A7EB-B2D50B8F6EEB}" name="Column9781"/>
    <tableColumn id="9796" xr3:uid="{FE84726F-C7B7-485B-8C9A-67FBCB508DF0}" name="Column9782"/>
    <tableColumn id="9797" xr3:uid="{F74B4D61-E3C1-4851-975B-53A313D000A5}" name="Column9783"/>
    <tableColumn id="9798" xr3:uid="{C1D68A8D-570E-4AE0-8FB5-7D54057A0DB4}" name="Column9784"/>
    <tableColumn id="9799" xr3:uid="{2C6CDBA1-E1BA-40CA-85EC-F8645BCED1FB}" name="Column9785"/>
    <tableColumn id="9800" xr3:uid="{36F97210-896E-4E30-BAF7-2B54D4A6A99F}" name="Column9786"/>
    <tableColumn id="9801" xr3:uid="{62CFBC5C-FC7B-4359-B1DA-FB75656E19FB}" name="Column9787"/>
    <tableColumn id="9802" xr3:uid="{CBC0CCA5-A8ED-464C-9CBF-C88FB02021ED}" name="Column9788"/>
    <tableColumn id="9803" xr3:uid="{5F66C7CA-32FD-4385-83E4-4FACB01FAF9C}" name="Column9789"/>
    <tableColumn id="9804" xr3:uid="{003281AD-4E1D-428D-9A8D-827B9EC9B6AC}" name="Column9790"/>
    <tableColumn id="9805" xr3:uid="{98E13248-ACEA-44D4-87D5-D5F4004189B4}" name="Column9791"/>
    <tableColumn id="9806" xr3:uid="{5A52599F-DB1B-4CE5-B462-14C1691015E3}" name="Column9792"/>
    <tableColumn id="9807" xr3:uid="{2CD3A9FC-F15C-4C0B-B3ED-0545D02B4485}" name="Column9793"/>
    <tableColumn id="9808" xr3:uid="{8F6467D4-314C-4224-A639-6D2F3F74E733}" name="Column9794"/>
    <tableColumn id="9809" xr3:uid="{0A4B924A-9942-43BB-A4EB-C40453F541FF}" name="Column9795"/>
    <tableColumn id="9810" xr3:uid="{C9163022-E245-4C4E-BFB0-7C10F6EF0351}" name="Column9796"/>
    <tableColumn id="9811" xr3:uid="{0616DD75-662E-40BA-BF72-4DF1D69F29C6}" name="Column9797"/>
    <tableColumn id="9812" xr3:uid="{418EDACC-3CCA-4700-994E-73B04A63B4AF}" name="Column9798"/>
    <tableColumn id="9813" xr3:uid="{62297C89-199B-4AB4-A54F-C43AA317E056}" name="Column9799"/>
    <tableColumn id="9814" xr3:uid="{FB023828-2DF4-40A3-8252-35FC7792036C}" name="Column9800"/>
    <tableColumn id="9815" xr3:uid="{3A03C2EA-2684-4FAE-A6AF-FBFC7389E0F2}" name="Column9801"/>
    <tableColumn id="9816" xr3:uid="{69E05C21-3511-43EE-9835-9B960F25E59C}" name="Column9802"/>
    <tableColumn id="9817" xr3:uid="{0789F09B-3683-4488-9123-64D5D335A87C}" name="Column9803"/>
    <tableColumn id="9818" xr3:uid="{7275DDA5-63DF-4399-B206-3CB323BDDF5E}" name="Column9804"/>
    <tableColumn id="9819" xr3:uid="{2C1698A8-AFD7-4F1A-9D15-527EE5D6B96A}" name="Column9805"/>
    <tableColumn id="9820" xr3:uid="{614063A1-B2C6-4EC1-8469-B3F59A45B641}" name="Column9806"/>
    <tableColumn id="9821" xr3:uid="{7FB0F6EC-BEB4-4F4B-BCC6-BF8926725B01}" name="Column9807"/>
    <tableColumn id="9822" xr3:uid="{434CE3AB-1BC0-4A77-A1BE-886DB6713331}" name="Column9808"/>
    <tableColumn id="9823" xr3:uid="{01B70F0D-8813-4DA6-8F49-C0B887805C25}" name="Column9809"/>
    <tableColumn id="9824" xr3:uid="{92CC55D7-0304-4ED4-B9DE-E3ACF95683CE}" name="Column9810"/>
    <tableColumn id="9825" xr3:uid="{8D353BD8-7ECA-4DF5-ABF3-41B87139454A}" name="Column9811"/>
    <tableColumn id="9826" xr3:uid="{6EDA4BFD-30BE-4342-A696-2CC7781CD24E}" name="Column9812"/>
    <tableColumn id="9827" xr3:uid="{B736A2A4-2A61-4C49-9CAA-695E4EA5DB05}" name="Column9813"/>
    <tableColumn id="9828" xr3:uid="{C8C52F8B-E0AC-45E7-8BBA-C1553561E7A1}" name="Column9814"/>
    <tableColumn id="9829" xr3:uid="{2D2E1171-4EB1-4760-8469-E82C2C18DA7F}" name="Column9815"/>
    <tableColumn id="9830" xr3:uid="{72098289-C425-4858-BF07-9D383A77018E}" name="Column9816"/>
    <tableColumn id="9831" xr3:uid="{998CF873-D404-4841-82AC-80B49ACF65AA}" name="Column9817"/>
    <tableColumn id="9832" xr3:uid="{13F52BB3-623F-4298-9B7F-ADA608C8144D}" name="Column9818"/>
    <tableColumn id="9833" xr3:uid="{D1E7191D-0AD1-46E5-9B79-BA3CC9FCDFD2}" name="Column9819"/>
    <tableColumn id="9834" xr3:uid="{19A8DDE5-9C18-4341-8435-AA208480E5EC}" name="Column9820"/>
    <tableColumn id="9835" xr3:uid="{BFD059C8-D696-44E1-809E-F44D7F935E5A}" name="Column9821"/>
    <tableColumn id="9836" xr3:uid="{EDB1C5D3-31EC-4172-9B26-A1E4807EBDDF}" name="Column9822"/>
    <tableColumn id="9837" xr3:uid="{8F914FA7-1476-4A59-BACD-BB59338BAC33}" name="Column9823"/>
    <tableColumn id="9838" xr3:uid="{A7BC029C-EE4D-4EB5-9D21-1ED0D6ACFC77}" name="Column9824"/>
    <tableColumn id="9839" xr3:uid="{EF9E66E6-79FB-4E09-A8DA-0A59DC0E3996}" name="Column9825"/>
    <tableColumn id="9840" xr3:uid="{AB30E0A3-F1C2-49C9-8981-8D7E33C1CBF0}" name="Column9826"/>
    <tableColumn id="9841" xr3:uid="{54D8E2E2-4F93-47E4-B68A-834F786DB457}" name="Column9827"/>
    <tableColumn id="9842" xr3:uid="{B96E0F2C-5B8D-4761-9EA7-2CADC14020DD}" name="Column9828"/>
    <tableColumn id="9843" xr3:uid="{57950299-C977-4103-8801-9EF46E5E4D45}" name="Column9829"/>
    <tableColumn id="9844" xr3:uid="{44BD5A7D-7C1D-4523-B535-7B006C81F6AD}" name="Column9830"/>
    <tableColumn id="9845" xr3:uid="{98052E95-E22D-4FD7-BB66-F537A47850EE}" name="Column9831"/>
    <tableColumn id="9846" xr3:uid="{66F7208A-4C76-4C3A-A232-B0C793116546}" name="Column9832"/>
    <tableColumn id="9847" xr3:uid="{86BBB93C-F418-4107-BC94-A80F76783E3E}" name="Column9833"/>
    <tableColumn id="9848" xr3:uid="{567196B7-4E25-4FCC-9C1A-ACD78F4A3792}" name="Column9834"/>
    <tableColumn id="9849" xr3:uid="{816B4AD2-5CDE-4523-A5CE-9A9A486DDBE9}" name="Column9835"/>
    <tableColumn id="9850" xr3:uid="{5FC2DE64-7301-4D57-AF69-7E8882EC6917}" name="Column9836"/>
    <tableColumn id="9851" xr3:uid="{5FF692C6-6398-4688-A87F-F2D5ADA74BB2}" name="Column9837"/>
    <tableColumn id="9852" xr3:uid="{332A0C4E-D4C6-4795-ACB3-D247D8DAABCB}" name="Column9838"/>
    <tableColumn id="9853" xr3:uid="{49DCA457-2224-46FE-BD74-34F1D57369E5}" name="Column9839"/>
    <tableColumn id="9854" xr3:uid="{A00C8D12-2875-494C-AD98-FC6BAA0B6E0C}" name="Column9840"/>
    <tableColumn id="9855" xr3:uid="{410B5E65-5AC6-45D1-A900-D0934AEC4A0D}" name="Column9841"/>
    <tableColumn id="9856" xr3:uid="{DA35449C-8029-4A45-90E5-BBFD230DDD70}" name="Column9842"/>
    <tableColumn id="9857" xr3:uid="{5E2DE15E-1DDA-483B-886D-A254E70D3B34}" name="Column9843"/>
    <tableColumn id="9858" xr3:uid="{26B558F5-55A9-49F7-9415-9AD89B8D58AA}" name="Column9844"/>
    <tableColumn id="9859" xr3:uid="{8038AD07-859C-4E0E-A4F4-3B9FA78EA0C3}" name="Column9845"/>
    <tableColumn id="9860" xr3:uid="{B6E8C8CA-A199-4AFA-8A78-7D527B26D4CC}" name="Column9846"/>
    <tableColumn id="9861" xr3:uid="{0F27A0F4-61E8-404F-B578-CE2B2F8D5332}" name="Column9847"/>
    <tableColumn id="9862" xr3:uid="{6C463631-D9A1-4219-937D-6FB5BBBF458C}" name="Column9848"/>
    <tableColumn id="9863" xr3:uid="{0204F2D7-18CE-444A-B571-EF6417E6F40D}" name="Column9849"/>
    <tableColumn id="9864" xr3:uid="{25F763C0-E2D3-4322-88D9-40030F9F408D}" name="Column9850"/>
    <tableColumn id="9865" xr3:uid="{E35E47C0-E2AA-44B6-AABD-E251622C6A3B}" name="Column9851"/>
    <tableColumn id="9866" xr3:uid="{614D460B-ABCC-4AF5-8D8D-DBBB090AEB65}" name="Column9852"/>
    <tableColumn id="9867" xr3:uid="{B4096C4A-2E30-4D41-80EF-931D4B93FE68}" name="Column9853"/>
    <tableColumn id="9868" xr3:uid="{60A092F0-D39E-40A8-B107-ED1191600C3C}" name="Column9854"/>
    <tableColumn id="9869" xr3:uid="{B48B371E-40E7-4529-B8D4-912341314838}" name="Column9855"/>
    <tableColumn id="9870" xr3:uid="{1D9F8DFF-821C-49DD-A69C-1F7B95F77AA3}" name="Column9856"/>
    <tableColumn id="9871" xr3:uid="{89F1395F-4F8F-4906-AEBB-0620B33FD8A6}" name="Column9857"/>
    <tableColumn id="9872" xr3:uid="{32E255D1-0D58-4825-BC01-FC2B78B0F5AF}" name="Column9858"/>
    <tableColumn id="9873" xr3:uid="{38EAF80A-AB5F-44F9-B72C-694BF6A66558}" name="Column9859"/>
    <tableColumn id="9874" xr3:uid="{B96AA2DB-19EF-4A80-8F02-FDE04431F0AE}" name="Column9860"/>
    <tableColumn id="9875" xr3:uid="{2D4811F8-DE54-4278-9E74-7CA634807C8F}" name="Column9861"/>
    <tableColumn id="9876" xr3:uid="{4FC5DA57-9960-4E67-B1B9-C5A93A35E581}" name="Column9862"/>
    <tableColumn id="9877" xr3:uid="{ED8BC298-968B-4544-8063-12C01B6DD02B}" name="Column9863"/>
    <tableColumn id="9878" xr3:uid="{B7971F58-600D-492A-85B4-8F478180EF35}" name="Column9864"/>
    <tableColumn id="9879" xr3:uid="{699F201C-CAE0-4E5D-BC0A-6D9367F06CB1}" name="Column9865"/>
    <tableColumn id="9880" xr3:uid="{C1F4BF67-6193-4500-94D2-DCA441FC209D}" name="Column9866"/>
    <tableColumn id="9881" xr3:uid="{98950B1D-DD44-40FE-B1A3-8A310AF3329D}" name="Column9867"/>
    <tableColumn id="9882" xr3:uid="{ECA8B10E-E38C-43EB-8F02-C848905359B7}" name="Column9868"/>
    <tableColumn id="9883" xr3:uid="{2B547786-FEC0-4A51-942D-93680F2D9D2F}" name="Column9869"/>
    <tableColumn id="9884" xr3:uid="{046925BC-ED50-4DC1-BFB4-161C88FC96FA}" name="Column9870"/>
    <tableColumn id="9885" xr3:uid="{04AAB5FC-4425-4258-AD39-E03362E2A8FB}" name="Column9871"/>
    <tableColumn id="9886" xr3:uid="{79484C0B-E59C-460A-9CCD-988DB1ABDB96}" name="Column9872"/>
    <tableColumn id="9887" xr3:uid="{E9C00F1C-C36A-48ED-A5D3-B933249892F2}" name="Column9873"/>
    <tableColumn id="9888" xr3:uid="{C2161883-C2C0-450C-A678-C6375F6E2A4B}" name="Column9874"/>
    <tableColumn id="9889" xr3:uid="{8197C85D-4484-4BB3-A938-036C67875CA9}" name="Column9875"/>
    <tableColumn id="9890" xr3:uid="{77749BF0-02AB-4A92-854D-30E96B97799D}" name="Column9876"/>
    <tableColumn id="9891" xr3:uid="{129AF8FF-A767-4B09-8414-FCB98876D048}" name="Column9877"/>
    <tableColumn id="9892" xr3:uid="{6E20182C-0FF5-42A5-9D39-6202F6AE0553}" name="Column9878"/>
    <tableColumn id="9893" xr3:uid="{61150278-F5FC-43C5-8F66-B57ADCE21B70}" name="Column9879"/>
    <tableColumn id="9894" xr3:uid="{F2EEE328-FCC3-412D-98FF-7C5995F8FEFD}" name="Column9880"/>
    <tableColumn id="9895" xr3:uid="{709F1381-BC1C-4C1D-8EE8-1EFAAF1B1133}" name="Column9881"/>
    <tableColumn id="9896" xr3:uid="{038138D5-9443-4325-8686-3BD359AD339C}" name="Column9882"/>
    <tableColumn id="9897" xr3:uid="{7389D99D-865B-4BEA-B518-EBE9BBFA5B4C}" name="Column9883"/>
    <tableColumn id="9898" xr3:uid="{A770B0E9-062A-4CF9-AB9B-BDA191D15144}" name="Column9884"/>
    <tableColumn id="9899" xr3:uid="{12B97E7B-4050-4C4B-B58E-58F47EE3D1EB}" name="Column9885"/>
    <tableColumn id="9900" xr3:uid="{B71B87C5-3778-4709-8AD2-43549BDBB4C4}" name="Column9886"/>
    <tableColumn id="9901" xr3:uid="{DAEE2305-5967-40D7-8EEC-3D0C08803E64}" name="Column9887"/>
    <tableColumn id="9902" xr3:uid="{C0B1F4CD-5A1F-4EFD-B087-53ABEA8F3D72}" name="Column9888"/>
    <tableColumn id="9903" xr3:uid="{B9FC2D77-CF26-47FC-95DC-00F03E25F9F5}" name="Column9889"/>
    <tableColumn id="9904" xr3:uid="{B2B04FC1-AC8F-4DA7-8993-BCA87D47EDAF}" name="Column9890"/>
    <tableColumn id="9905" xr3:uid="{B384C4EA-D269-4ECC-A5BE-D8412D1EC99A}" name="Column9891"/>
    <tableColumn id="9906" xr3:uid="{ABA67D16-B1C2-451E-9EE6-AF62869C3251}" name="Column9892"/>
    <tableColumn id="9907" xr3:uid="{1BDEF7E0-434A-4DCE-A214-E53F9F6214AD}" name="Column9893"/>
    <tableColumn id="9908" xr3:uid="{D5524568-F682-4838-A632-8A88AAAB9B55}" name="Column9894"/>
    <tableColumn id="9909" xr3:uid="{0C872C15-1D72-4D6F-B7D9-30DAA0680DBC}" name="Column9895"/>
    <tableColumn id="9910" xr3:uid="{684E9FF6-5C49-40F8-8F93-8A6A68B62DB7}" name="Column9896"/>
    <tableColumn id="9911" xr3:uid="{AB99FAAF-5D6E-4972-BFD4-E65964599CF8}" name="Column9897"/>
    <tableColumn id="9912" xr3:uid="{3F430B7C-4E06-4DEC-B103-48B8AB7DE982}" name="Column9898"/>
    <tableColumn id="9913" xr3:uid="{830FE4B0-F70D-48EE-96B9-AAA83DD8D4D2}" name="Column9899"/>
    <tableColumn id="9914" xr3:uid="{81815366-41F8-42B0-92EC-660458234B97}" name="Column9900"/>
    <tableColumn id="9915" xr3:uid="{D85CD9B2-3B7B-42D7-81D6-B5132E269143}" name="Column9901"/>
    <tableColumn id="9916" xr3:uid="{B149AA49-1B31-4E71-9905-E8D1E301DBFE}" name="Column9902"/>
    <tableColumn id="9917" xr3:uid="{E201842B-F5BE-48A6-AA61-21E20A45ABFD}" name="Column9903"/>
    <tableColumn id="9918" xr3:uid="{8D50DEE7-556F-4933-95EB-FBF850477FBB}" name="Column9904"/>
    <tableColumn id="9919" xr3:uid="{1D8DF33B-09B3-463E-A980-3ECC0C8D3B07}" name="Column9905"/>
    <tableColumn id="9920" xr3:uid="{A1A2748C-7A2A-43D4-95F9-C4320525CFFD}" name="Column9906"/>
    <tableColumn id="9921" xr3:uid="{0719D832-5C5B-48C7-847C-F47C2C890058}" name="Column9907"/>
    <tableColumn id="9922" xr3:uid="{74592335-7E63-4E5B-B27A-5F360B1B216A}" name="Column9908"/>
    <tableColumn id="9923" xr3:uid="{A7E4775B-D75E-4E08-9020-2E6E798A3F18}" name="Column9909"/>
    <tableColumn id="9924" xr3:uid="{3894FF34-62F2-407A-ACF1-02427B0E5AEF}" name="Column9910"/>
    <tableColumn id="9925" xr3:uid="{FA4A3401-7472-4E03-836D-9DA7B95F89CA}" name="Column9911"/>
    <tableColumn id="9926" xr3:uid="{C6A97913-6326-4D4F-8A59-F7465621437A}" name="Column9912"/>
    <tableColumn id="9927" xr3:uid="{7277B5BE-A1DD-49B9-A5B8-A2E35D906D92}" name="Column9913"/>
    <tableColumn id="9928" xr3:uid="{3FD2A9AE-D678-4732-9AD5-5F0D2968EE90}" name="Column9914"/>
    <tableColumn id="9929" xr3:uid="{0552AB33-5BD3-472A-8CEA-5EB5E25AAB0B}" name="Column9915"/>
    <tableColumn id="9930" xr3:uid="{6D03B97D-461B-4617-80CF-6724FD0D94FB}" name="Column9916"/>
    <tableColumn id="9931" xr3:uid="{B453739A-55A0-491B-BD2D-581BBEEEAAC6}" name="Column9917"/>
    <tableColumn id="9932" xr3:uid="{9F57B30F-3C79-4515-9F25-F088375CCD90}" name="Column9918"/>
    <tableColumn id="9933" xr3:uid="{738C267B-0F09-4DDC-812B-21B0A2493B6F}" name="Column9919"/>
    <tableColumn id="9934" xr3:uid="{1A59545B-2EFB-44F3-BE37-472B13F1C15E}" name="Column9920"/>
    <tableColumn id="9935" xr3:uid="{157A5F04-662D-4125-B05B-790EB88D957C}" name="Column9921"/>
    <tableColumn id="9936" xr3:uid="{871C8776-788A-4999-B496-0F3819E26DE3}" name="Column9922"/>
    <tableColumn id="9937" xr3:uid="{C1722BA3-44F2-4101-8DB8-4A1BED34F707}" name="Column9923"/>
    <tableColumn id="9938" xr3:uid="{8A4167F8-77E6-4B2D-A5B6-4DF3ECFC70D4}" name="Column9924"/>
    <tableColumn id="9939" xr3:uid="{76E886E3-254A-49CF-A709-2763F16B0143}" name="Column9925"/>
    <tableColumn id="9940" xr3:uid="{0703A5D3-6F01-4F48-9AD5-47D0018C7395}" name="Column9926"/>
    <tableColumn id="9941" xr3:uid="{2BC75FF2-BBE0-48D4-AD1E-4172C04DF2F4}" name="Column9927"/>
    <tableColumn id="9942" xr3:uid="{E2C425B1-0B14-49CC-96CE-CEEA3E261D81}" name="Column9928"/>
    <tableColumn id="9943" xr3:uid="{49D82F5B-8AD1-4D2C-9BED-D7F09D56FC2B}" name="Column9929"/>
    <tableColumn id="9944" xr3:uid="{D912E944-FE66-4032-9126-5381621F0763}" name="Column9930"/>
    <tableColumn id="9945" xr3:uid="{9863420F-591B-4DD1-9962-0B33E5D03F3E}" name="Column9931"/>
    <tableColumn id="9946" xr3:uid="{50FAE537-8C4D-4EBE-B17D-7C91CA2FB34A}" name="Column9932"/>
    <tableColumn id="9947" xr3:uid="{BC3B4248-6C15-4518-993B-040FA26583C7}" name="Column9933"/>
    <tableColumn id="9948" xr3:uid="{AB216DF1-5D38-475E-95D5-1BDC2C1A4DE3}" name="Column9934"/>
    <tableColumn id="9949" xr3:uid="{51FDE90C-4673-4428-B73F-BFC71FE4F866}" name="Column9935"/>
    <tableColumn id="9950" xr3:uid="{C889C7D4-A9E9-42E6-A050-8D64816594DB}" name="Column9936"/>
    <tableColumn id="9951" xr3:uid="{6FB39F1B-41A1-4A5E-B9CD-7FA1601A42AA}" name="Column9937"/>
    <tableColumn id="9952" xr3:uid="{69DA3D0B-EE1A-434C-971E-7028DAEFF9AC}" name="Column9938"/>
    <tableColumn id="9953" xr3:uid="{271094AE-017D-4B50-B72A-52421157B7E4}" name="Column9939"/>
    <tableColumn id="9954" xr3:uid="{6BF03223-33A4-4477-9ED6-BFC9999F52E9}" name="Column9940"/>
    <tableColumn id="9955" xr3:uid="{0136253E-0353-4984-8B16-39B53DB6A226}" name="Column9941"/>
    <tableColumn id="9956" xr3:uid="{05A56B10-0BBC-4138-B297-9F10E63FB2C1}" name="Column9942"/>
    <tableColumn id="9957" xr3:uid="{33D6D855-048C-4848-832B-4CA11F1E8916}" name="Column9943"/>
    <tableColumn id="9958" xr3:uid="{74F80D94-97DF-4235-B030-9AFE430DD3BF}" name="Column9944"/>
    <tableColumn id="9959" xr3:uid="{90DDA5C3-8E7C-4859-850B-8990C31139FE}" name="Column9945"/>
    <tableColumn id="9960" xr3:uid="{936351EB-54C9-4EC6-92AF-03092C66AAB5}" name="Column9946"/>
    <tableColumn id="9961" xr3:uid="{7B2E6A6C-D848-4951-8F6A-B03FAA3E79B4}" name="Column9947"/>
    <tableColumn id="9962" xr3:uid="{D8012769-59E2-431A-BA5E-ED3719194008}" name="Column9948"/>
    <tableColumn id="9963" xr3:uid="{0C2BF47A-B2D1-494C-9698-16150B05A634}" name="Column9949"/>
    <tableColumn id="9964" xr3:uid="{5F316346-1D99-485F-A017-FA0743927A0C}" name="Column9950"/>
    <tableColumn id="9965" xr3:uid="{13CA72C5-4691-4510-974B-419403FD9B6C}" name="Column9951"/>
    <tableColumn id="9966" xr3:uid="{26CAB397-B841-4311-847E-B37FE330F76D}" name="Column9952"/>
    <tableColumn id="9967" xr3:uid="{7601AA6A-5B06-44A8-AEF6-45ED4E7FF83B}" name="Column9953"/>
    <tableColumn id="9968" xr3:uid="{5ED8529E-A290-4FEA-8B10-A00A1D00111E}" name="Column9954"/>
    <tableColumn id="9969" xr3:uid="{E7CEEF5C-BD68-4570-BBF1-C82681BBDA18}" name="Column9955"/>
    <tableColumn id="9970" xr3:uid="{206A9E4B-26C1-4416-B6D9-1A197DDF9134}" name="Column9956"/>
    <tableColumn id="9971" xr3:uid="{0A9641DB-E407-4331-9F66-EB68E8DE3DDA}" name="Column9957"/>
    <tableColumn id="9972" xr3:uid="{A9C554BE-D50E-4811-B8DC-5DD16DC93968}" name="Column9958"/>
    <tableColumn id="9973" xr3:uid="{21F596BC-643D-4578-A677-7FB0303841F5}" name="Column9959"/>
    <tableColumn id="9974" xr3:uid="{A1F8010D-F67B-4F59-A1A9-701B6A244184}" name="Column9960"/>
    <tableColumn id="9975" xr3:uid="{33B852DE-A090-4F5B-9BBA-FAE100793D25}" name="Column9961"/>
    <tableColumn id="9976" xr3:uid="{BA00751F-6D71-4389-B9F1-83AC21711475}" name="Column9962"/>
    <tableColumn id="9977" xr3:uid="{4FF8F781-8F4E-46FA-AF93-E502ADD0FA69}" name="Column9963"/>
    <tableColumn id="9978" xr3:uid="{2EED0596-D984-4633-9C6D-9236C9F2CA3F}" name="Column9964"/>
    <tableColumn id="9979" xr3:uid="{F9F9E60E-B002-4CCA-8423-16700D3E2A9F}" name="Column9965"/>
    <tableColumn id="9980" xr3:uid="{68F20A9C-5C02-4B1A-8508-4FFDE091557B}" name="Column9966"/>
    <tableColumn id="9981" xr3:uid="{22EB5F2A-B75B-40E5-BB01-B39F0C4079DA}" name="Column9967"/>
    <tableColumn id="9982" xr3:uid="{C11751F7-97B5-48B4-A3F8-EAC1FDA0D36C}" name="Column9968"/>
    <tableColumn id="9983" xr3:uid="{5CDC97DB-2823-44A9-AF36-5E6411F74578}" name="Column9969"/>
    <tableColumn id="9984" xr3:uid="{95BD5EE3-8D4B-47DE-9997-F4A07B401A7D}" name="Column9970"/>
    <tableColumn id="9985" xr3:uid="{682F15E1-158B-4C9F-8B76-CEC3DA05B939}" name="Column9971"/>
    <tableColumn id="9986" xr3:uid="{28E2B2EA-0C68-4BF0-83E4-8AB73E7B7951}" name="Column9972"/>
    <tableColumn id="9987" xr3:uid="{7D8AFC2E-E282-4733-A86D-A83C06B464D3}" name="Column9973"/>
    <tableColumn id="9988" xr3:uid="{54F4A363-FB02-4672-B988-7B2975714AE4}" name="Column9974"/>
    <tableColumn id="9989" xr3:uid="{7820CA3F-F3E8-4CCF-AB4D-48CC49A06157}" name="Column9975"/>
    <tableColumn id="9990" xr3:uid="{98C8880D-DFDE-4419-B329-71320C871D0A}" name="Column9976"/>
    <tableColumn id="9991" xr3:uid="{F7BFB65C-A775-49A5-88F5-5112D2450E15}" name="Column9977"/>
    <tableColumn id="9992" xr3:uid="{C4F08BA6-9CAE-4BA8-8847-77CE536BA16A}" name="Column9978"/>
    <tableColumn id="9993" xr3:uid="{435A3FC5-8D24-4369-9685-161295FD332F}" name="Column9979"/>
    <tableColumn id="9994" xr3:uid="{7D73839F-3C53-46BD-A0ED-10005E355856}" name="Column9980"/>
    <tableColumn id="9995" xr3:uid="{6683737F-7CE1-480D-B3F5-E8894B0B92F0}" name="Column9981"/>
    <tableColumn id="9996" xr3:uid="{63B3D715-2094-4797-B3EE-72CADD69F592}" name="Column9982"/>
    <tableColumn id="9997" xr3:uid="{BEED09AC-98D3-4EE9-B276-21E3120B0742}" name="Column9983"/>
    <tableColumn id="9998" xr3:uid="{5C28E08B-C4FC-4D00-AB1B-1916939E2EE1}" name="Column9984"/>
    <tableColumn id="9999" xr3:uid="{98A0133D-B2D4-4AAB-8E2C-9F0ECEBD1E15}" name="Column9985"/>
    <tableColumn id="10000" xr3:uid="{7509DA99-2C73-4512-B573-92114710033D}" name="Column9986"/>
    <tableColumn id="10001" xr3:uid="{D3D3C911-A0FC-4084-AEAD-F5DB28CE4F19}" name="Column9987"/>
    <tableColumn id="10002" xr3:uid="{902FD43F-CC6C-45A4-9615-839211E0EB5E}" name="Column9988"/>
    <tableColumn id="10003" xr3:uid="{5F5F216B-E45A-4436-BBFD-0427535CD9B3}" name="Column9989"/>
    <tableColumn id="10004" xr3:uid="{3D68C5DE-441D-4CEF-84BA-65955751E603}" name="Column9990"/>
    <tableColumn id="10005" xr3:uid="{F9156D70-9890-4B9C-8718-596D888537ED}" name="Column9991"/>
    <tableColumn id="10006" xr3:uid="{6A4A24BE-E2A6-4AE8-8B65-FB6E33CADA66}" name="Column9992"/>
    <tableColumn id="10007" xr3:uid="{1E017639-9978-493F-A83A-C4F4615248AE}" name="Column9993"/>
    <tableColumn id="10008" xr3:uid="{D0710200-6D84-4DE0-AA58-5CE46677018A}" name="Column9994"/>
    <tableColumn id="10009" xr3:uid="{11A14BE7-58E0-4F8E-A52C-2B25C849FB41}" name="Column9995"/>
    <tableColumn id="10010" xr3:uid="{571496AF-BD6F-4C9D-A525-2F5DC07BF27F}" name="Column9996"/>
    <tableColumn id="10011" xr3:uid="{568CB62A-041A-401F-9BE8-5D28EFD542FF}" name="Column9997"/>
    <tableColumn id="10012" xr3:uid="{8CEA124E-753B-4CF0-A6D3-498A11989FE7}" name="Column9998"/>
    <tableColumn id="10013" xr3:uid="{42AA4473-9AEF-4FAE-B03C-7FCA299DF333}" name="Column9999"/>
    <tableColumn id="10014" xr3:uid="{DA6BD972-1242-4540-B0F6-F46CC660BEFC}" name="Column10000"/>
    <tableColumn id="10015" xr3:uid="{558F2423-A104-4325-B727-1FA7B7CE969A}" name="Column10001"/>
    <tableColumn id="10016" xr3:uid="{6DA465F9-6AF6-476B-B634-E964192BB54C}" name="Column10002"/>
    <tableColumn id="10017" xr3:uid="{D5BFD868-AB45-4A40-8112-0DCE15E8FC69}" name="Column10003"/>
    <tableColumn id="10018" xr3:uid="{66E97DD0-D101-48F1-8AA8-6DFCA94EB033}" name="Column10004"/>
    <tableColumn id="10019" xr3:uid="{BAB1C6C8-84C4-4F64-8A7B-67148085DA1C}" name="Column10005"/>
    <tableColumn id="10020" xr3:uid="{78FDF67E-13A2-4181-80F2-74937E676993}" name="Column10006"/>
    <tableColumn id="10021" xr3:uid="{210C73C6-8650-47AC-98F8-C5476B142CB5}" name="Column10007"/>
    <tableColumn id="10022" xr3:uid="{37FB2084-2478-470E-AA74-4FF4FD604708}" name="Column10008"/>
    <tableColumn id="10023" xr3:uid="{AA74DA5E-1876-4E68-B4BF-CEA9E0A9CCDF}" name="Column10009"/>
    <tableColumn id="10024" xr3:uid="{135A964B-0839-453F-900E-9725ED3506A9}" name="Column10010"/>
    <tableColumn id="10025" xr3:uid="{8FB625DB-6554-440C-92BF-2AF90EB9EA35}" name="Column10011"/>
    <tableColumn id="10026" xr3:uid="{8965F5BD-ECEB-4E9F-B792-0198A26869D7}" name="Column10012"/>
    <tableColumn id="10027" xr3:uid="{20E0C651-AD9D-4D3C-BED4-16555C9EB21B}" name="Column10013"/>
    <tableColumn id="10028" xr3:uid="{CC19048D-665D-43C2-8A2A-25F0CEF89676}" name="Column10014"/>
    <tableColumn id="10029" xr3:uid="{64D6CDFA-8124-44B9-A7EB-B5661465AB30}" name="Column10015"/>
    <tableColumn id="10030" xr3:uid="{D4CC674B-0515-43B5-9DDD-78AA5C3A6567}" name="Column10016"/>
    <tableColumn id="10031" xr3:uid="{C2D7AECD-2928-41BB-B7A1-0E8410894535}" name="Column10017"/>
    <tableColumn id="10032" xr3:uid="{F07F8F3C-8D8B-439C-856C-3A6ADD079FF7}" name="Column10018"/>
    <tableColumn id="10033" xr3:uid="{80E03BE7-8546-4452-A84C-8BD1C4DCF9C0}" name="Column10019"/>
    <tableColumn id="10034" xr3:uid="{DAA32E0D-22ED-4C91-A76E-65BD34571036}" name="Column10020"/>
    <tableColumn id="10035" xr3:uid="{9D9E238D-6738-45CB-BE1C-9DA6B7CEC0FA}" name="Column10021"/>
    <tableColumn id="10036" xr3:uid="{C30FD618-8D1C-4FDD-A33F-D1D337D9D37A}" name="Column10022"/>
    <tableColumn id="10037" xr3:uid="{D7B754E5-14B9-4955-A14D-552FF3314BF3}" name="Column10023"/>
    <tableColumn id="10038" xr3:uid="{7601EF1C-C2B8-4063-95F1-B5274095006D}" name="Column10024"/>
    <tableColumn id="10039" xr3:uid="{25C33961-36AD-4D48-9D40-3F1F669AABF2}" name="Column10025"/>
    <tableColumn id="10040" xr3:uid="{43056A7B-7819-4C90-9B67-A039CDD83E8D}" name="Column10026"/>
    <tableColumn id="10041" xr3:uid="{9EDA3CF8-43D9-4C6C-B9FF-7807DE279339}" name="Column10027"/>
    <tableColumn id="10042" xr3:uid="{9EA195AB-CE26-4161-A169-63DEDA7AFB75}" name="Column10028"/>
    <tableColumn id="10043" xr3:uid="{9639CED7-5CFD-46EF-AEEF-7CA9D41D7386}" name="Column10029"/>
    <tableColumn id="10044" xr3:uid="{CCF499FF-EE58-491E-B348-932DFC1204AD}" name="Column10030"/>
    <tableColumn id="10045" xr3:uid="{0C2ED91B-9D32-4490-BFFD-6108079ADC2A}" name="Column10031"/>
    <tableColumn id="10046" xr3:uid="{31CF7D91-BA55-40F6-8051-C7B4BC556699}" name="Column10032"/>
    <tableColumn id="10047" xr3:uid="{76567D8C-6307-4067-8AB0-2A7E28394950}" name="Column10033"/>
    <tableColumn id="10048" xr3:uid="{58083C76-F4EB-45C4-9D9E-36453B20B9DF}" name="Column10034"/>
    <tableColumn id="10049" xr3:uid="{47EF7B80-08D6-419E-9714-4A24B187CFF9}" name="Column10035"/>
    <tableColumn id="10050" xr3:uid="{F9DAFDD5-A17F-4C79-81D5-3A5287A05E81}" name="Column10036"/>
    <tableColumn id="10051" xr3:uid="{BCB2BA5B-376E-43B1-B7A8-177D440ADCF5}" name="Column10037"/>
    <tableColumn id="10052" xr3:uid="{090990E1-1359-4139-A0D7-FBAAEFF22412}" name="Column10038"/>
    <tableColumn id="10053" xr3:uid="{2711877F-DAA0-459E-A19B-1A41B527FAF9}" name="Column10039"/>
    <tableColumn id="10054" xr3:uid="{8149FD92-88FE-4E81-964B-C0553C506022}" name="Column10040"/>
    <tableColumn id="10055" xr3:uid="{F5EE455F-ADCC-43A6-BFB3-420482C8D4CD}" name="Column10041"/>
    <tableColumn id="10056" xr3:uid="{B39CF095-3DFC-4965-90C8-62A1335BD0DF}" name="Column10042"/>
    <tableColumn id="10057" xr3:uid="{FFE39E5B-423D-4C23-8A55-BED98A78150E}" name="Column10043"/>
    <tableColumn id="10058" xr3:uid="{6C29221C-4F02-4138-9AB6-989F7A9A28BF}" name="Column10044"/>
    <tableColumn id="10059" xr3:uid="{BDF2AFFF-D089-48F0-B7B9-9267D4BD6B54}" name="Column10045"/>
    <tableColumn id="10060" xr3:uid="{1907073C-50A6-49EE-BC16-FE55C58914D5}" name="Column10046"/>
    <tableColumn id="10061" xr3:uid="{B4FA6E0E-F050-41B4-B0A7-10694140D328}" name="Column10047"/>
    <tableColumn id="10062" xr3:uid="{34E58CF2-E415-40F3-AA74-D30FC1E84AA8}" name="Column10048"/>
    <tableColumn id="10063" xr3:uid="{E35C16F9-B895-451E-9AB7-586E2BA5E37C}" name="Column10049"/>
    <tableColumn id="10064" xr3:uid="{D52861BD-781B-4329-A5D8-F35C8731DE19}" name="Column10050"/>
    <tableColumn id="10065" xr3:uid="{6886F5D3-CAB1-4A7D-BDED-FB87518A27B4}" name="Column10051"/>
    <tableColumn id="10066" xr3:uid="{485BF541-2F3B-48E5-9CA0-723B878FF003}" name="Column10052"/>
    <tableColumn id="10067" xr3:uid="{B7A1B379-E6BE-473C-9213-EA8DA07965FC}" name="Column10053"/>
    <tableColumn id="10068" xr3:uid="{F2FAC52B-0C95-4698-B441-1322A07F6133}" name="Column10054"/>
    <tableColumn id="10069" xr3:uid="{AEFB186A-0F17-4B2E-8AAC-875F1959C7FC}" name="Column10055"/>
    <tableColumn id="10070" xr3:uid="{98363B19-75B9-4F81-9A6A-FAFB3A09AA61}" name="Column10056"/>
    <tableColumn id="10071" xr3:uid="{E9CE9C42-43A2-43A5-9C91-507EAAA47645}" name="Column10057"/>
    <tableColumn id="10072" xr3:uid="{9EB10F3F-6C08-4147-9A2D-688EE8A69174}" name="Column10058"/>
    <tableColumn id="10073" xr3:uid="{1EA614EC-79B0-441C-A023-E2960A8949A9}" name="Column10059"/>
    <tableColumn id="10074" xr3:uid="{86F35D86-A0C1-4A6B-998C-F402DCC57A6C}" name="Column10060"/>
    <tableColumn id="10075" xr3:uid="{547EB4B9-579D-4428-9997-36D94FBAB3C1}" name="Column10061"/>
    <tableColumn id="10076" xr3:uid="{2BB20846-69F4-4C50-8244-AB8D6C57C15E}" name="Column10062"/>
    <tableColumn id="10077" xr3:uid="{27507389-1481-4482-97C2-151A684BDB59}" name="Column10063"/>
    <tableColumn id="10078" xr3:uid="{AE4344F7-9432-45AA-95C1-48342DE832FA}" name="Column10064"/>
    <tableColumn id="10079" xr3:uid="{F0FB3A2F-F5EF-4DBF-BB79-024D9669D31E}" name="Column10065"/>
    <tableColumn id="10080" xr3:uid="{E263E581-C715-45DF-921B-5B70B0926B86}" name="Column10066"/>
    <tableColumn id="10081" xr3:uid="{78519AE0-539D-497B-B4CC-FAA955C317F9}" name="Column10067"/>
    <tableColumn id="10082" xr3:uid="{E544F522-741A-489B-8A73-541D1D359DAA}" name="Column10068"/>
    <tableColumn id="10083" xr3:uid="{0B565F1B-037B-44C5-8D47-C48D3D0C4D59}" name="Column10069"/>
    <tableColumn id="10084" xr3:uid="{BE514328-F3C4-4FF0-A470-A4041FF230DA}" name="Column10070"/>
    <tableColumn id="10085" xr3:uid="{242295ED-1A0A-41F8-B1E7-0F3FE95B3601}" name="Column10071"/>
    <tableColumn id="10086" xr3:uid="{36D99526-F186-43E8-91A4-87C0761527EF}" name="Column10072"/>
    <tableColumn id="10087" xr3:uid="{5EA6E446-6512-4343-B847-8435D973A33A}" name="Column10073"/>
    <tableColumn id="10088" xr3:uid="{2E117F59-C456-4503-8703-A7D4F87E1872}" name="Column10074"/>
    <tableColumn id="10089" xr3:uid="{44A78D05-956C-4B75-9DC3-683BF1A18002}" name="Column10075"/>
    <tableColumn id="10090" xr3:uid="{46A61486-377C-4832-B9D8-BC92C6036FB4}" name="Column10076"/>
    <tableColumn id="10091" xr3:uid="{9731CD23-A8BF-4990-BFF7-BC32E5AC9AB2}" name="Column10077"/>
    <tableColumn id="10092" xr3:uid="{C8DAAF7E-EB9F-4545-A6E9-608D2E51485F}" name="Column10078"/>
    <tableColumn id="10093" xr3:uid="{9E3F90EE-92CE-4C8D-8A8F-E9BA0699116F}" name="Column10079"/>
    <tableColumn id="10094" xr3:uid="{D97CA804-AA3D-4022-8825-6EC4C5A26CDF}" name="Column10080"/>
    <tableColumn id="10095" xr3:uid="{AD4849B6-5B6D-4875-903C-928F2740B529}" name="Column10081"/>
    <tableColumn id="10096" xr3:uid="{6AAF31BB-50B4-48C9-8EFA-A4C7C0311BB0}" name="Column10082"/>
    <tableColumn id="10097" xr3:uid="{E895BDCB-4B23-4F41-934A-FDA79A77BBF3}" name="Column10083"/>
    <tableColumn id="10098" xr3:uid="{80813F6B-C781-47DE-9EA2-A865A168118C}" name="Column10084"/>
    <tableColumn id="10099" xr3:uid="{1485A478-E645-4B89-A9AA-E06DF84F4C2D}" name="Column10085"/>
    <tableColumn id="10100" xr3:uid="{81F0E4ED-3FBB-45AF-BCA1-E3B7F766AD0F}" name="Column10086"/>
    <tableColumn id="10101" xr3:uid="{A28118AD-3358-401B-9081-27D91CE63724}" name="Column10087"/>
    <tableColumn id="10102" xr3:uid="{FA9F61F2-80F0-4B6E-9B03-E7C4C459D230}" name="Column10088"/>
    <tableColumn id="10103" xr3:uid="{B84A6100-6669-42ED-80C5-6A50FC12F004}" name="Column10089"/>
    <tableColumn id="10104" xr3:uid="{E17A8419-685C-474E-903D-35C12D4234E4}" name="Column10090"/>
    <tableColumn id="10105" xr3:uid="{5B7E1D38-04AF-49AA-A345-9339021F2A57}" name="Column10091"/>
    <tableColumn id="10106" xr3:uid="{D1834CB3-CC37-4475-8C96-69C4F1B3C10D}" name="Column10092"/>
    <tableColumn id="10107" xr3:uid="{956F660C-9B06-41BE-A3BD-21E6C47F19D2}" name="Column10093"/>
    <tableColumn id="10108" xr3:uid="{5B52A226-13AD-43EE-A2DA-91E866C0DF32}" name="Column10094"/>
    <tableColumn id="10109" xr3:uid="{CF083EC5-1E96-4A59-A018-A1DE404B1901}" name="Column10095"/>
    <tableColumn id="10110" xr3:uid="{E4704D4B-01F5-4464-BBD9-36817BDBBE6F}" name="Column10096"/>
    <tableColumn id="10111" xr3:uid="{5DAE44EF-E27C-4CDB-A892-9A1B67A48500}" name="Column10097"/>
    <tableColumn id="10112" xr3:uid="{0A0CA0FE-5313-41F2-92BB-D8D1ECC75108}" name="Column10098"/>
    <tableColumn id="10113" xr3:uid="{DF3CB6EF-EF4A-43F1-8994-D229EF26249E}" name="Column10099"/>
    <tableColumn id="10114" xr3:uid="{835D3C00-11C1-48B5-8E18-0839854F5A80}" name="Column10100"/>
    <tableColumn id="10115" xr3:uid="{875B4C62-646A-4766-A21F-428023591327}" name="Column10101"/>
    <tableColumn id="10116" xr3:uid="{B0804994-1E64-49A5-B288-890DEB0CDB52}" name="Column10102"/>
    <tableColumn id="10117" xr3:uid="{B1178EBE-9809-4315-9B6F-678911B12BAA}" name="Column10103"/>
    <tableColumn id="10118" xr3:uid="{BA2752CC-8552-4AD0-8CC3-75D7B8004283}" name="Column10104"/>
    <tableColumn id="10119" xr3:uid="{D2D5A223-20DE-480D-8FA3-E4A51B4048FB}" name="Column10105"/>
    <tableColumn id="10120" xr3:uid="{56ACA61E-658A-4975-92FE-D17BA4DB1A46}" name="Column10106"/>
    <tableColumn id="10121" xr3:uid="{F61C4815-8D46-48CB-864B-E58B80ED3B55}" name="Column10107"/>
    <tableColumn id="10122" xr3:uid="{12EECE6D-9A03-484F-8B73-F91162245DBC}" name="Column10108"/>
    <tableColumn id="10123" xr3:uid="{B2C745B6-FF06-4038-AF2F-0BBE89F557E4}" name="Column10109"/>
    <tableColumn id="10124" xr3:uid="{6F71C808-C5BD-4B6E-B21A-83415960271D}" name="Column10110"/>
    <tableColumn id="10125" xr3:uid="{3640ADB0-4F4F-48FE-AA2F-C2E17D3DCC82}" name="Column10111"/>
    <tableColumn id="10126" xr3:uid="{B864CCBD-02B2-442C-99B7-293875EC567E}" name="Column10112"/>
    <tableColumn id="10127" xr3:uid="{EBF5A560-101D-4FA9-926E-AE22089DDC8D}" name="Column10113"/>
    <tableColumn id="10128" xr3:uid="{C6C4307E-6FA7-4A8A-9D27-494C2AA1C57D}" name="Column10114"/>
    <tableColumn id="10129" xr3:uid="{A859BB7A-4913-42D7-AC59-9B26D29E5493}" name="Column10115"/>
    <tableColumn id="10130" xr3:uid="{F7FCFDD6-601E-4EA1-83ED-AD871612E5B4}" name="Column10116"/>
    <tableColumn id="10131" xr3:uid="{053F6B40-59D6-4D20-90D9-A392A515ED4C}" name="Column10117"/>
    <tableColumn id="10132" xr3:uid="{D57179BF-8E39-4976-894F-3172E6C56A47}" name="Column10118"/>
    <tableColumn id="10133" xr3:uid="{FDCF12C3-EC94-4EE4-A6BE-FF2D0E15C536}" name="Column10119"/>
    <tableColumn id="10134" xr3:uid="{8E9ED25A-6D74-4058-A02B-7DC5C97B72A0}" name="Column10120"/>
    <tableColumn id="10135" xr3:uid="{7DBAD9BE-3DA7-463E-8EAC-36579B623FA3}" name="Column10121"/>
    <tableColumn id="10136" xr3:uid="{6E47CFFB-BD91-42DF-A692-76BFF50C059D}" name="Column10122"/>
    <tableColumn id="10137" xr3:uid="{5D6C94E6-950A-4551-971A-74C647DD04E8}" name="Column10123"/>
    <tableColumn id="10138" xr3:uid="{B3DCB493-FA41-4C17-A963-219FD764C41B}" name="Column10124"/>
    <tableColumn id="10139" xr3:uid="{C3FCA95D-578C-4D43-A0A2-6638ED94AF53}" name="Column10125"/>
    <tableColumn id="10140" xr3:uid="{FC8C4E8D-28FF-4C70-A9FB-AFF4E1C6D95D}" name="Column10126"/>
    <tableColumn id="10141" xr3:uid="{09CCD7D6-01D7-4845-8F9E-F5CED01C8697}" name="Column10127"/>
    <tableColumn id="10142" xr3:uid="{AB381265-523D-4E1B-B946-B6EF5F5AA73F}" name="Column10128"/>
    <tableColumn id="10143" xr3:uid="{5215B0B1-B2CC-4598-BDF5-B34748BCB918}" name="Column10129"/>
    <tableColumn id="10144" xr3:uid="{C79B7E4A-C34F-4D4A-9DCE-95B1FC5013DE}" name="Column10130"/>
    <tableColumn id="10145" xr3:uid="{0FCE265C-BA40-4A44-B9FA-C5EAE7812730}" name="Column10131"/>
    <tableColumn id="10146" xr3:uid="{AFBD1879-D4EA-40A8-82E0-65A7197CD432}" name="Column10132"/>
    <tableColumn id="10147" xr3:uid="{63B11380-B36F-403F-924F-8B2FAAD8928F}" name="Column10133"/>
    <tableColumn id="10148" xr3:uid="{493799DB-F485-416E-84A2-0DDBDDC5AB6C}" name="Column10134"/>
    <tableColumn id="10149" xr3:uid="{C5D7EFB6-8617-4139-94CC-73A45629F640}" name="Column10135"/>
    <tableColumn id="10150" xr3:uid="{5982B47C-B550-4349-BAA7-06E4D7A82908}" name="Column10136"/>
    <tableColumn id="10151" xr3:uid="{0C774837-7920-440C-83C3-4B33F2351D3C}" name="Column10137"/>
    <tableColumn id="10152" xr3:uid="{18AC10A8-22CA-4B2A-A67E-55F9DCEBCB31}" name="Column10138"/>
    <tableColumn id="10153" xr3:uid="{8DBAB907-B2A7-44C3-8E00-A91F4F70F9E5}" name="Column10139"/>
    <tableColumn id="10154" xr3:uid="{0AD56488-FE11-43EC-8217-8D81E9A99408}" name="Column10140"/>
    <tableColumn id="10155" xr3:uid="{28514DC0-64A4-4C79-9DC1-9A099CB45B66}" name="Column10141"/>
    <tableColumn id="10156" xr3:uid="{D5F66995-A374-4B07-AD99-FAB704D509A2}" name="Column10142"/>
    <tableColumn id="10157" xr3:uid="{E694556D-0E2F-4BD8-9F48-4D1E884F8088}" name="Column10143"/>
    <tableColumn id="10158" xr3:uid="{857FA55F-0053-42C6-A765-B0AA604B5353}" name="Column10144"/>
    <tableColumn id="10159" xr3:uid="{3E38296D-F46D-4FD1-BEF9-937FB46D41D4}" name="Column10145"/>
    <tableColumn id="10160" xr3:uid="{53CB28AF-9B29-46C3-9643-BAC027832A4E}" name="Column10146"/>
    <tableColumn id="10161" xr3:uid="{2B0A62AB-6355-4D29-B9BA-CFE23C0BCA72}" name="Column10147"/>
    <tableColumn id="10162" xr3:uid="{896F639D-E394-43B2-A6E1-72F9461BFBAC}" name="Column10148"/>
    <tableColumn id="10163" xr3:uid="{6550DEB1-345B-4213-8E39-190EC5B4F18B}" name="Column10149"/>
    <tableColumn id="10164" xr3:uid="{F66A0CA7-7346-4701-99DF-AE7E1A658675}" name="Column10150"/>
    <tableColumn id="10165" xr3:uid="{7FA7E8EA-4211-4FBA-B552-BB46EB57A79C}" name="Column10151"/>
    <tableColumn id="10166" xr3:uid="{8FAC0C0F-D1D5-4795-A8B3-3ECEC2B61B8D}" name="Column10152"/>
    <tableColumn id="10167" xr3:uid="{9FEAF6FE-BF77-4EBC-A0F1-749DEB36CD5F}" name="Column10153"/>
    <tableColumn id="10168" xr3:uid="{4989CFC0-C2A8-45F6-B4E8-B76D4F10C0F2}" name="Column10154"/>
    <tableColumn id="10169" xr3:uid="{B474DC08-735B-4664-A296-D0AE1D6DAA11}" name="Column10155"/>
    <tableColumn id="10170" xr3:uid="{FA5805AB-B4BE-43CD-8425-A961F0DC7D73}" name="Column10156"/>
    <tableColumn id="10171" xr3:uid="{F0D612DF-CB80-4FDF-9D73-DF63F5FE1985}" name="Column10157"/>
    <tableColumn id="10172" xr3:uid="{CD8685DB-DFDE-4796-B218-1A7B7EF79BB7}" name="Column10158"/>
    <tableColumn id="10173" xr3:uid="{B94DE2F1-F0D9-4362-ADBD-43A5EF65875C}" name="Column10159"/>
    <tableColumn id="10174" xr3:uid="{47652C3E-1301-4F1F-8F92-1D7F03FF6C92}" name="Column10160"/>
    <tableColumn id="10175" xr3:uid="{D9FAC5F5-AD24-45B1-9B37-AADBC51D19A6}" name="Column10161"/>
    <tableColumn id="10176" xr3:uid="{452C15A8-2248-4496-B1BE-B9848ACC1A7B}" name="Column10162"/>
    <tableColumn id="10177" xr3:uid="{0469FE0F-8FB1-4977-9D75-39B7BEF0C30E}" name="Column10163"/>
    <tableColumn id="10178" xr3:uid="{00CEF627-FB7E-4A05-90A9-E35272276857}" name="Column10164"/>
    <tableColumn id="10179" xr3:uid="{76B0C1B5-6BCE-4354-8386-2917C5E51290}" name="Column10165"/>
    <tableColumn id="10180" xr3:uid="{932C8991-BB24-4EC1-AAF6-8D59F435E325}" name="Column10166"/>
    <tableColumn id="10181" xr3:uid="{0D295AB9-96CA-40DF-BB16-A41EC0F2816B}" name="Column10167"/>
    <tableColumn id="10182" xr3:uid="{56678617-659C-4DE3-B908-E54CBC271A03}" name="Column10168"/>
    <tableColumn id="10183" xr3:uid="{DA1F9D5A-F43C-4956-A8A9-46979153A19A}" name="Column10169"/>
    <tableColumn id="10184" xr3:uid="{6CD062C2-BA05-4B66-AE3C-A6A7F981C80E}" name="Column10170"/>
    <tableColumn id="10185" xr3:uid="{6EA90AF8-EA60-4810-B8A7-F9753956A259}" name="Column10171"/>
    <tableColumn id="10186" xr3:uid="{43C56221-1297-4C14-9190-6A3622734E8F}" name="Column10172"/>
    <tableColumn id="10187" xr3:uid="{848538F5-AF68-4305-87E5-334772F6ED15}" name="Column10173"/>
    <tableColumn id="10188" xr3:uid="{3D6AD262-BEA3-4752-85E7-1812E0A5770B}" name="Column10174"/>
    <tableColumn id="10189" xr3:uid="{6DC74ED9-696B-47A3-A5D2-CF3968D3ADBD}" name="Column10175"/>
    <tableColumn id="10190" xr3:uid="{BB02151B-A1FB-4BF6-9555-E4DD2DFA5106}" name="Column10176"/>
    <tableColumn id="10191" xr3:uid="{12B62103-6EE3-4E47-A672-2E34A66AAB17}" name="Column10177"/>
    <tableColumn id="10192" xr3:uid="{9DC4CE02-4EA6-4375-BFCE-7A4DE2ACBA88}" name="Column10178"/>
    <tableColumn id="10193" xr3:uid="{D03BADAE-6F31-42DA-8537-58F6F9245E18}" name="Column10179"/>
    <tableColumn id="10194" xr3:uid="{D1107DC8-1547-41C1-9D75-6DA7497A4AB1}" name="Column10180"/>
    <tableColumn id="10195" xr3:uid="{7028FA9E-DE3F-4AF0-B183-CCC9793ECC19}" name="Column10181"/>
    <tableColumn id="10196" xr3:uid="{1627A940-20C8-4B28-8A6F-3AD40318A59E}" name="Column10182"/>
    <tableColumn id="10197" xr3:uid="{88AAD693-BD9B-4A36-8409-6F5BDC3D85CD}" name="Column10183"/>
    <tableColumn id="10198" xr3:uid="{9A5E5EDE-84CA-4587-B59F-547EAC13C0D5}" name="Column10184"/>
    <tableColumn id="10199" xr3:uid="{D0CDD2B4-5EE5-4128-88E1-6A437E622470}" name="Column10185"/>
    <tableColumn id="10200" xr3:uid="{78805293-9F13-4714-94CF-5B87454DE59E}" name="Column10186"/>
    <tableColumn id="10201" xr3:uid="{327FDA59-2A57-4389-8E45-298616CB0451}" name="Column10187"/>
    <tableColumn id="10202" xr3:uid="{E8FA52B3-FFAE-4D54-A83A-B274C32C86B7}" name="Column10188"/>
    <tableColumn id="10203" xr3:uid="{829D2C16-0A24-406E-A157-5F84AFC121F2}" name="Column10189"/>
    <tableColumn id="10204" xr3:uid="{92A82A26-DC1A-4421-958A-4A322C4289A8}" name="Column10190"/>
    <tableColumn id="10205" xr3:uid="{81F68613-E698-428C-8EB0-C17B7948DAA8}" name="Column10191"/>
    <tableColumn id="10206" xr3:uid="{573DA0EA-1683-4436-8DEC-1313DF870849}" name="Column10192"/>
    <tableColumn id="10207" xr3:uid="{66EF526E-CFFA-49B1-A7D6-9B7AF6CF07F5}" name="Column10193"/>
    <tableColumn id="10208" xr3:uid="{57FCAF4F-8705-4C3C-8E4C-494BF88FDEDD}" name="Column10194"/>
    <tableColumn id="10209" xr3:uid="{F5CBC76E-51F3-480C-9551-A1AC4A86E9E0}" name="Column10195"/>
    <tableColumn id="10210" xr3:uid="{54B08B66-B90D-490B-BAD6-ADA07214331B}" name="Column10196"/>
    <tableColumn id="10211" xr3:uid="{119F69C8-035B-4A3C-8BBB-DF834D661018}" name="Column10197"/>
    <tableColumn id="10212" xr3:uid="{2B0C0332-815D-4A6C-A86D-6BC17232CD33}" name="Column10198"/>
    <tableColumn id="10213" xr3:uid="{23BBEB8B-602F-4BA1-BCF5-9061B046058F}" name="Column10199"/>
    <tableColumn id="10214" xr3:uid="{269E4349-5BE1-4001-803B-AC06439456BD}" name="Column10200"/>
    <tableColumn id="10215" xr3:uid="{02AA9655-080C-4915-B119-4F367F13D114}" name="Column10201"/>
    <tableColumn id="10216" xr3:uid="{3EE4961F-75CC-4B58-97AD-25BF10F8483B}" name="Column10202"/>
    <tableColumn id="10217" xr3:uid="{BCB89188-F82F-47F9-A3AE-04A5A3B7FCEE}" name="Column10203"/>
    <tableColumn id="10218" xr3:uid="{5B0730EC-928F-4A0E-A249-466B237827E1}" name="Column10204"/>
    <tableColumn id="10219" xr3:uid="{BD6B4713-A36A-4A3A-A0EB-B3141A842BCB}" name="Column10205"/>
    <tableColumn id="10220" xr3:uid="{F7D7C324-C82D-4F0B-85AA-F265D052BBD0}" name="Column10206"/>
    <tableColumn id="10221" xr3:uid="{4606CC33-BC3F-4AF0-BEDD-7222873223C1}" name="Column10207"/>
    <tableColumn id="10222" xr3:uid="{0DDB8FB9-2672-4D0B-B757-8510BC4ADE84}" name="Column10208"/>
    <tableColumn id="10223" xr3:uid="{1F2C2DB3-CABA-4ECA-B0B6-4750B7749454}" name="Column10209"/>
    <tableColumn id="10224" xr3:uid="{D97E8848-3A84-4EE7-9402-6F3F1124D03C}" name="Column10210"/>
    <tableColumn id="10225" xr3:uid="{137500B2-34CB-46A5-865F-42E8636EDB85}" name="Column10211"/>
    <tableColumn id="10226" xr3:uid="{79498465-6290-410A-B5CC-2382825AC97E}" name="Column10212"/>
    <tableColumn id="10227" xr3:uid="{A6C7EA0A-4281-4A26-B735-3FBC860D67AA}" name="Column10213"/>
    <tableColumn id="10228" xr3:uid="{A0D2C53D-D3B6-4712-BCE0-326A8860C4A5}" name="Column10214"/>
    <tableColumn id="10229" xr3:uid="{E8F30725-4D04-4FDD-AF9D-AA378C75AD8F}" name="Column10215"/>
    <tableColumn id="10230" xr3:uid="{65D651BE-B06C-424E-B968-39BCF00A4C74}" name="Column10216"/>
    <tableColumn id="10231" xr3:uid="{DBFF0A8B-B06B-46F4-835A-3CA20650A06B}" name="Column10217"/>
    <tableColumn id="10232" xr3:uid="{247961CF-0529-4982-A1AB-F0967F74AEDA}" name="Column10218"/>
    <tableColumn id="10233" xr3:uid="{607245A2-2D51-46A6-BA33-7294674E1B56}" name="Column10219"/>
    <tableColumn id="10234" xr3:uid="{76224AFA-FF09-4E52-BF90-6116344A370F}" name="Column10220"/>
    <tableColumn id="10235" xr3:uid="{2AB902D4-CC2E-4520-9B10-FB4087EF1A6B}" name="Column10221"/>
    <tableColumn id="10236" xr3:uid="{F3403770-0FAD-44C4-A6CA-9A986B7DCCB6}" name="Column10222"/>
    <tableColumn id="10237" xr3:uid="{51D485AA-6267-47D4-A85B-484206BEC7F1}" name="Column10223"/>
    <tableColumn id="10238" xr3:uid="{0007907B-FCC7-40A3-AAD2-3635D1334DE5}" name="Column10224"/>
    <tableColumn id="10239" xr3:uid="{BA5FE082-6196-4B35-A072-9369CCE8E7DE}" name="Column10225"/>
    <tableColumn id="10240" xr3:uid="{64A0B827-A53C-450D-AF6A-401B7B4C1A8F}" name="Column10226"/>
    <tableColumn id="10241" xr3:uid="{A8C49CD3-6E24-4EB5-9B63-CD780B3B4498}" name="Column10227"/>
    <tableColumn id="10242" xr3:uid="{89BD4194-7310-42DF-B60B-134A93593937}" name="Column10228"/>
    <tableColumn id="10243" xr3:uid="{DB07B531-0A7C-4865-AA92-FD8404FD4025}" name="Column10229"/>
    <tableColumn id="10244" xr3:uid="{17E8AE4E-795E-43BF-8D74-AE38E4410749}" name="Column10230"/>
    <tableColumn id="10245" xr3:uid="{5DE0E6B0-A8E9-4769-A67C-26027ABD9876}" name="Column10231"/>
    <tableColumn id="10246" xr3:uid="{35550CE3-9129-4005-A64D-CFE47758522C}" name="Column10232"/>
    <tableColumn id="10247" xr3:uid="{3A8F2EFD-0EF3-4E00-9517-25EB3D68DFFF}" name="Column10233"/>
    <tableColumn id="10248" xr3:uid="{18CAE6DF-3847-4C28-A33B-9EFD980D4E58}" name="Column10234"/>
    <tableColumn id="10249" xr3:uid="{95400CCD-0A86-4C66-8B4D-150F70CCE614}" name="Column10235"/>
    <tableColumn id="10250" xr3:uid="{50191ECF-324E-43E1-839B-E0AF2BC842B7}" name="Column10236"/>
    <tableColumn id="10251" xr3:uid="{F1C008F3-9FBB-49CA-AFC2-355BC8C78083}" name="Column10237"/>
    <tableColumn id="10252" xr3:uid="{3359D552-A437-4DFA-93D0-2661F99285CA}" name="Column10238"/>
    <tableColumn id="10253" xr3:uid="{1EEA8275-A5CF-4F7B-8AEA-C1298C45A35E}" name="Column10239"/>
    <tableColumn id="10254" xr3:uid="{3A74CA7C-E131-4BB3-B323-761C8DDE3430}" name="Column10240"/>
    <tableColumn id="10255" xr3:uid="{1CF9EC09-EC37-4D6C-99C7-D5176D1162E4}" name="Column10241"/>
    <tableColumn id="10256" xr3:uid="{1B0374B3-2EAF-471F-9567-C1B81DA49A4B}" name="Column10242"/>
    <tableColumn id="10257" xr3:uid="{3B70E81D-26A4-4425-893C-1BD118EC920B}" name="Column10243"/>
    <tableColumn id="10258" xr3:uid="{585A1B12-5C26-45DF-B773-FD292503EF74}" name="Column10244"/>
    <tableColumn id="10259" xr3:uid="{A2F4A3B9-B53B-4790-904E-9ABBC9745918}" name="Column10245"/>
    <tableColumn id="10260" xr3:uid="{467830E1-26AC-4FB0-9E6A-BE1E769AC0A1}" name="Column10246"/>
    <tableColumn id="10261" xr3:uid="{D41EFBBB-7DCC-4859-A7A4-EC31E44B841B}" name="Column10247"/>
    <tableColumn id="10262" xr3:uid="{D0C5D059-49FF-473D-808F-6168BC54EA56}" name="Column10248"/>
    <tableColumn id="10263" xr3:uid="{B0EF9775-A534-450D-BCEF-18CFAAB7FFDA}" name="Column10249"/>
    <tableColumn id="10264" xr3:uid="{3D5BE127-BD25-4CE9-A434-5088AF5129DA}" name="Column10250"/>
    <tableColumn id="10265" xr3:uid="{6A676FBB-A45F-4755-A598-DA0B5C7752A6}" name="Column10251"/>
    <tableColumn id="10266" xr3:uid="{6B26B409-C3DA-40C8-8BA5-D812290C3886}" name="Column10252"/>
    <tableColumn id="10267" xr3:uid="{6F681351-702E-450C-B1DD-8B1A7CC1602E}" name="Column10253"/>
    <tableColumn id="10268" xr3:uid="{0DAFC574-C664-4B69-B2BD-EFDA3E74E6B3}" name="Column10254"/>
    <tableColumn id="10269" xr3:uid="{BF39A37D-993E-4317-8179-C4A800C98EFE}" name="Column10255"/>
    <tableColumn id="10270" xr3:uid="{2AB6DC9A-76A2-4907-AE48-D9954A42A455}" name="Column10256"/>
    <tableColumn id="10271" xr3:uid="{9E76CC0C-C07D-499C-ADA4-B04682B3E635}" name="Column10257"/>
    <tableColumn id="10272" xr3:uid="{1CDB5BFC-6C1A-4FF5-B258-BCEA7BBE8D2C}" name="Column10258"/>
    <tableColumn id="10273" xr3:uid="{207D1B31-266F-4DD6-BEFE-99595EBE484C}" name="Column10259"/>
    <tableColumn id="10274" xr3:uid="{83457807-76E0-4439-BC49-7E829351AA51}" name="Column10260"/>
    <tableColumn id="10275" xr3:uid="{758A736A-FB23-4EB0-9C5A-FAF502F7AFE3}" name="Column10261"/>
    <tableColumn id="10276" xr3:uid="{C9F5979B-DFDB-4F6C-A8E3-D0C25A1DB5BB}" name="Column10262"/>
    <tableColumn id="10277" xr3:uid="{49DF0CE0-AF19-4597-B0F3-E337ED06176F}" name="Column10263"/>
    <tableColumn id="10278" xr3:uid="{61DEC6F7-2C78-417E-A41D-BF5D22354E85}" name="Column10264"/>
    <tableColumn id="10279" xr3:uid="{69359FBE-4137-47B2-9F27-363931CA18EE}" name="Column10265"/>
    <tableColumn id="10280" xr3:uid="{E5C73F71-6657-4458-A53E-749B23E4F567}" name="Column10266"/>
    <tableColumn id="10281" xr3:uid="{668ECD6B-F2E5-432A-94DC-DF12D1ECC7C0}" name="Column10267"/>
    <tableColumn id="10282" xr3:uid="{DCEAA46B-8A7B-4CF0-8444-0DE72B6422BB}" name="Column10268"/>
    <tableColumn id="10283" xr3:uid="{52F9AA14-F51A-4E64-A7BB-6F06AB8C0F23}" name="Column10269"/>
    <tableColumn id="10284" xr3:uid="{793B529F-0427-4BCD-BF79-D9706056B220}" name="Column10270"/>
    <tableColumn id="10285" xr3:uid="{089E9498-395C-479E-8268-05132F12ACCF}" name="Column10271"/>
    <tableColumn id="10286" xr3:uid="{40D4B8C9-5A48-4174-B008-7F84793F0AED}" name="Column10272"/>
    <tableColumn id="10287" xr3:uid="{74298C95-9BE1-47CC-8A44-4E461486A093}" name="Column10273"/>
    <tableColumn id="10288" xr3:uid="{EF5D489C-7CBB-4AF5-A66F-DD0E148D108C}" name="Column10274"/>
    <tableColumn id="10289" xr3:uid="{A95DB388-7A19-4B4D-8237-BC50A26E67A8}" name="Column10275"/>
    <tableColumn id="10290" xr3:uid="{2CD9584B-1D04-464A-8DD9-DDBE0F2DED29}" name="Column10276"/>
    <tableColumn id="10291" xr3:uid="{D16A32A7-D327-4019-9BA1-32701D5AA72F}" name="Column10277"/>
    <tableColumn id="10292" xr3:uid="{CC49831E-FFD3-45D5-AB6B-375EAB23D29D}" name="Column10278"/>
    <tableColumn id="10293" xr3:uid="{6A0AA1D6-473D-4BFA-AEDE-BDFCF169D458}" name="Column10279"/>
    <tableColumn id="10294" xr3:uid="{7E002A62-B015-454D-BB73-0B9F51075716}" name="Column10280"/>
    <tableColumn id="10295" xr3:uid="{0C1E0DFF-94EF-438A-B993-1D5E9CCABE0E}" name="Column10281"/>
    <tableColumn id="10296" xr3:uid="{EB0E4944-690C-46EC-8248-528089496E25}" name="Column10282"/>
    <tableColumn id="10297" xr3:uid="{7E52DAA3-CA25-404D-9498-6C5DD85C8F80}" name="Column10283"/>
    <tableColumn id="10298" xr3:uid="{E9A29169-8045-460E-B643-8B4233068003}" name="Column10284"/>
    <tableColumn id="10299" xr3:uid="{C767C612-7118-4849-BAA5-8EC27CA0BA2B}" name="Column10285"/>
    <tableColumn id="10300" xr3:uid="{D66BA718-F34D-4963-BDFD-72C57D6EDE8A}" name="Column10286"/>
    <tableColumn id="10301" xr3:uid="{DDEE1DEE-53DF-4092-BFF6-7CCBA34E4F5A}" name="Column10287"/>
    <tableColumn id="10302" xr3:uid="{19D94D08-979F-43CA-B59F-AD8E7573DF51}" name="Column10288"/>
    <tableColumn id="10303" xr3:uid="{D0B48F50-D2EF-420F-B663-45D3BBF463FD}" name="Column10289"/>
    <tableColumn id="10304" xr3:uid="{8345EF2B-9E7E-4C4C-B279-E67A4A4CFD12}" name="Column10290"/>
    <tableColumn id="10305" xr3:uid="{8E324663-728B-4BFE-9BEC-304ACF110D7C}" name="Column10291"/>
    <tableColumn id="10306" xr3:uid="{8A9751A0-BFFE-4937-9757-B388EC423372}" name="Column10292"/>
    <tableColumn id="10307" xr3:uid="{D43F7D99-156E-41A9-8E25-73E8E772506E}" name="Column10293"/>
    <tableColumn id="10308" xr3:uid="{913AB560-6962-4AD4-8A64-96FE95004E88}" name="Column10294"/>
    <tableColumn id="10309" xr3:uid="{CB005663-98BF-4166-92D4-AF6AA878205C}" name="Column10295"/>
    <tableColumn id="10310" xr3:uid="{3AAD47CA-918D-46A5-8F88-79FEEB1F4229}" name="Column10296"/>
    <tableColumn id="10311" xr3:uid="{8F3021F7-09F1-4CF3-B5EA-D67B770050CE}" name="Column10297"/>
    <tableColumn id="10312" xr3:uid="{5E07D915-C9F8-4C00-ACB0-AFAE5D5220DD}" name="Column10298"/>
    <tableColumn id="10313" xr3:uid="{683E4C47-A7B6-44FC-85BB-B85853D0638C}" name="Column10299"/>
    <tableColumn id="10314" xr3:uid="{A326C0FB-ADF3-4D50-8E9F-FCC4292C314B}" name="Column10300"/>
    <tableColumn id="10315" xr3:uid="{1C56B1A8-315A-4CD2-A1D1-C08FE5EB6F36}" name="Column10301"/>
    <tableColumn id="10316" xr3:uid="{8FBD5E48-71CA-4217-9167-154CDCFA54E2}" name="Column10302"/>
    <tableColumn id="10317" xr3:uid="{254908DF-C80B-42E8-93BA-B19672478231}" name="Column10303"/>
    <tableColumn id="10318" xr3:uid="{1CD58126-1F4E-4037-B3A3-9926172ABE8E}" name="Column10304"/>
    <tableColumn id="10319" xr3:uid="{CBE41D26-3D74-459A-A166-C612C4B503C4}" name="Column10305"/>
    <tableColumn id="10320" xr3:uid="{2B72EA17-5785-4A2F-8B58-1A0275E09156}" name="Column10306"/>
    <tableColumn id="10321" xr3:uid="{2CD888AE-C653-4EEF-9CF9-F20E8D54282C}" name="Column10307"/>
    <tableColumn id="10322" xr3:uid="{667084D2-19E4-4E5F-B706-8A3AE519A79E}" name="Column10308"/>
    <tableColumn id="10323" xr3:uid="{EDF23B08-8D0E-4F2E-8A45-FD2927A38708}" name="Column10309"/>
    <tableColumn id="10324" xr3:uid="{4153AD19-2298-40FD-8EBB-F3C68911A92F}" name="Column10310"/>
    <tableColumn id="10325" xr3:uid="{6C259AA1-59BB-472C-831D-F82B5292F3CF}" name="Column10311"/>
    <tableColumn id="10326" xr3:uid="{CB98FA15-9112-48FF-A481-09973CD4FCB4}" name="Column10312"/>
    <tableColumn id="10327" xr3:uid="{027D956E-6FA1-437C-AC2F-6B776F215765}" name="Column10313"/>
    <tableColumn id="10328" xr3:uid="{955F1313-3014-4098-8CAF-3563F69FC6DD}" name="Column10314"/>
    <tableColumn id="10329" xr3:uid="{F4F7237D-6B29-4360-91A8-835BB3D4F0FE}" name="Column10315"/>
    <tableColumn id="10330" xr3:uid="{80013BBF-AAE6-475A-8166-83CF3080F73C}" name="Column10316"/>
    <tableColumn id="10331" xr3:uid="{1B432110-33A8-47F0-A04F-28F23134483F}" name="Column10317"/>
    <tableColumn id="10332" xr3:uid="{604C1438-7737-442E-87A9-ECDE43064E4B}" name="Column10318"/>
    <tableColumn id="10333" xr3:uid="{20D22891-E194-48E2-BDBD-3C2183F09583}" name="Column10319"/>
    <tableColumn id="10334" xr3:uid="{4ECA2928-AA47-48B2-907E-FB5DA99AB044}" name="Column10320"/>
    <tableColumn id="10335" xr3:uid="{C24E2510-6E24-4FB6-92DA-1EAA2E4FCC08}" name="Column10321"/>
    <tableColumn id="10336" xr3:uid="{4D416D38-E897-48D5-B841-9AA04DBE78CA}" name="Column10322"/>
    <tableColumn id="10337" xr3:uid="{BFD66260-C619-4EA0-A7A6-5C83EEA02219}" name="Column10323"/>
    <tableColumn id="10338" xr3:uid="{5A743166-72D0-4933-82BF-6298ACA90980}" name="Column10324"/>
    <tableColumn id="10339" xr3:uid="{C6CE7154-C249-41AC-9091-D1D3282EB2DC}" name="Column10325"/>
    <tableColumn id="10340" xr3:uid="{398EE877-CFA1-47B5-9992-23D502105AE5}" name="Column10326"/>
    <tableColumn id="10341" xr3:uid="{B1BF11F6-6CE7-4BA6-8F3B-84B10CB62DEF}" name="Column10327"/>
    <tableColumn id="10342" xr3:uid="{4129A30A-05E8-41EA-98ED-B2B3D5076141}" name="Column10328"/>
    <tableColumn id="10343" xr3:uid="{E093C13E-3D1C-48D3-84D8-A4C6F3C6F636}" name="Column10329"/>
    <tableColumn id="10344" xr3:uid="{9855B5D8-2011-438B-806C-6301CF60178C}" name="Column10330"/>
    <tableColumn id="10345" xr3:uid="{6C2CECDB-D94E-449D-9376-648A35E17267}" name="Column10331"/>
    <tableColumn id="10346" xr3:uid="{EF75FBCB-7AF1-43AB-A0DB-C5BC3C66B9F7}" name="Column10332"/>
    <tableColumn id="10347" xr3:uid="{EDA37198-8289-485D-80C5-E1C2FE188AA7}" name="Column10333"/>
    <tableColumn id="10348" xr3:uid="{4099ADC0-6496-4C7E-91B4-9AEF37F6A268}" name="Column10334"/>
    <tableColumn id="10349" xr3:uid="{26C5D7EA-2B78-4C9E-A95E-409E639CA719}" name="Column10335"/>
    <tableColumn id="10350" xr3:uid="{17A568EA-5735-4C52-A694-7193210CB3FE}" name="Column10336"/>
    <tableColumn id="10351" xr3:uid="{686A36CE-12FE-445C-8107-344370FFCEA2}" name="Column10337"/>
    <tableColumn id="10352" xr3:uid="{3669FB1E-8633-4D59-AB80-80544591486E}" name="Column10338"/>
    <tableColumn id="10353" xr3:uid="{25F4C01F-C587-4C7D-B799-39641DC6C3EF}" name="Column10339"/>
    <tableColumn id="10354" xr3:uid="{8B9193F3-2908-46F2-85F4-EF8E291CA389}" name="Column10340"/>
    <tableColumn id="10355" xr3:uid="{CB5D192F-5CF4-4291-9869-63C50CC0555D}" name="Column10341"/>
    <tableColumn id="10356" xr3:uid="{64375A7B-4D52-43A8-ABA5-00A9794CB999}" name="Column10342"/>
    <tableColumn id="10357" xr3:uid="{3509CEC2-033D-49CE-9694-CDDD0CFED95D}" name="Column10343"/>
    <tableColumn id="10358" xr3:uid="{9909CCD2-FCE0-4B3E-8065-A0259CD0D62D}" name="Column10344"/>
    <tableColumn id="10359" xr3:uid="{81D64792-5EA5-4ECA-AA4A-237582144EB8}" name="Column10345"/>
    <tableColumn id="10360" xr3:uid="{4C285F5D-879C-414C-8F44-90D1D8F192BD}" name="Column10346"/>
    <tableColumn id="10361" xr3:uid="{08E8E42C-28CC-4DB2-9366-C2486F7E5884}" name="Column10347"/>
    <tableColumn id="10362" xr3:uid="{7A3E94E8-26CE-4EA8-8512-700227204417}" name="Column10348"/>
    <tableColumn id="10363" xr3:uid="{DC97A066-A84B-4455-8FD1-AFCC1ED95C27}" name="Column10349"/>
    <tableColumn id="10364" xr3:uid="{BBE83727-A4BE-47D1-81D7-8B5491E91F90}" name="Column10350"/>
    <tableColumn id="10365" xr3:uid="{07C123F8-BA58-42D3-8383-399EEFDD0B23}" name="Column10351"/>
    <tableColumn id="10366" xr3:uid="{1D75C7B9-5653-41A8-9909-758D7FCBA364}" name="Column10352"/>
    <tableColumn id="10367" xr3:uid="{21151D9F-0195-452D-9AFD-5F911E8D59D0}" name="Column10353"/>
    <tableColumn id="10368" xr3:uid="{FD5B84B6-1E79-4CCA-B3E9-BEE317902DE5}" name="Column10354"/>
    <tableColumn id="10369" xr3:uid="{C956F9BE-FA44-46EE-96E4-78BD20FE6FF9}" name="Column10355"/>
    <tableColumn id="10370" xr3:uid="{D0463F24-D3F8-48A7-80E3-2CB60A21C98C}" name="Column10356"/>
    <tableColumn id="10371" xr3:uid="{AC97DB69-7C65-4EC0-B110-3DA4A6E193A0}" name="Column10357"/>
    <tableColumn id="10372" xr3:uid="{D813C6C5-5482-4ECA-88D0-8FCCB45FDCAC}" name="Column10358"/>
    <tableColumn id="10373" xr3:uid="{0EDF31DD-E32B-41E7-B2D0-1C7D9E4D9E8F}" name="Column10359"/>
    <tableColumn id="10374" xr3:uid="{F8087F49-6D22-47D8-851B-7D8B9F33301B}" name="Column10360"/>
    <tableColumn id="10375" xr3:uid="{28703CEB-BADA-4B85-8584-D50635698447}" name="Column10361"/>
    <tableColumn id="10376" xr3:uid="{D56504A0-BC9F-4252-B5FD-C30AE4F193EB}" name="Column10362"/>
    <tableColumn id="10377" xr3:uid="{A62255A7-5A47-4FCC-A0F7-AC2472D2C64C}" name="Column10363"/>
    <tableColumn id="10378" xr3:uid="{CBC37EA4-7A5A-42F5-954A-6506552341EE}" name="Column10364"/>
    <tableColumn id="10379" xr3:uid="{768C4C72-1FD7-48AE-BC13-547E9034F9EA}" name="Column10365"/>
    <tableColumn id="10380" xr3:uid="{78E31374-6C60-4AB9-BA97-01CED44B8345}" name="Column10366"/>
    <tableColumn id="10381" xr3:uid="{B47791A2-A8D2-4500-87FF-0A0371112FB6}" name="Column10367"/>
    <tableColumn id="10382" xr3:uid="{21413941-0A1E-4BA4-921A-58684CF6D035}" name="Column10368"/>
    <tableColumn id="10383" xr3:uid="{E7404063-F9B4-4FD5-8F47-0516F7AF28E3}" name="Column10369"/>
    <tableColumn id="10384" xr3:uid="{FCAD7071-60EB-4ACA-A731-295D0C3BB6EC}" name="Column10370"/>
    <tableColumn id="10385" xr3:uid="{AF2CD8FE-C2DC-4281-AA8F-BC778427E2B0}" name="Column10371"/>
    <tableColumn id="10386" xr3:uid="{B43E00DF-9764-4F06-A582-197F6EC5308B}" name="Column10372"/>
    <tableColumn id="10387" xr3:uid="{FD30B760-8AA9-4850-B895-9A4D9A939016}" name="Column10373"/>
    <tableColumn id="10388" xr3:uid="{BCBF3EA2-6386-4CD8-A145-3046C04EDDE0}" name="Column10374"/>
    <tableColumn id="10389" xr3:uid="{C5E66EC4-C2C0-491C-90B5-BC2A7EE1A396}" name="Column10375"/>
    <tableColumn id="10390" xr3:uid="{4E20C326-BAB1-4B03-AB69-586EC58A84AD}" name="Column10376"/>
    <tableColumn id="10391" xr3:uid="{3554DA06-1C95-4E7F-92CE-C00D44EC960B}" name="Column10377"/>
    <tableColumn id="10392" xr3:uid="{EE9A07F7-0F37-4CFC-98FF-7785F72E166E}" name="Column10378"/>
    <tableColumn id="10393" xr3:uid="{414D752D-D400-443B-8168-E768CCEF89B6}" name="Column10379"/>
    <tableColumn id="10394" xr3:uid="{00BB1B9F-123F-4857-A3D2-85A9BB7072B1}" name="Column10380"/>
    <tableColumn id="10395" xr3:uid="{C4E0E09C-9EAB-4332-B5A7-0EAD3B2D5A9F}" name="Column10381"/>
    <tableColumn id="10396" xr3:uid="{B8F353C2-748A-44C0-B7F5-F873DFB72F7A}" name="Column10382"/>
    <tableColumn id="10397" xr3:uid="{7755760B-27A7-4DA4-A9AA-266566B66B35}" name="Column10383"/>
    <tableColumn id="10398" xr3:uid="{F8C30729-B733-4286-91C7-1EC2C176B22C}" name="Column10384"/>
    <tableColumn id="10399" xr3:uid="{C6C5C59B-923D-422A-9AEE-E98ABDB7A5A1}" name="Column10385"/>
    <tableColumn id="10400" xr3:uid="{B2A6C44F-1239-494B-80DA-D36E3E881F59}" name="Column10386"/>
    <tableColumn id="10401" xr3:uid="{82CA8EB2-AFC2-4314-AA0C-8D74C385BA11}" name="Column10387"/>
    <tableColumn id="10402" xr3:uid="{8C8AF2CB-9B61-4A5A-8847-F09B081B6506}" name="Column10388"/>
    <tableColumn id="10403" xr3:uid="{F260C0D0-0733-4544-94A2-2762CB054A67}" name="Column10389"/>
    <tableColumn id="10404" xr3:uid="{152D951D-5106-47FF-9B3E-70A9A147ADE3}" name="Column10390"/>
    <tableColumn id="10405" xr3:uid="{C899282D-5969-4CED-9712-CC6A059870BE}" name="Column10391"/>
    <tableColumn id="10406" xr3:uid="{812F2ABC-DACD-4AE7-BADF-EAF82E0B82F5}" name="Column10392"/>
    <tableColumn id="10407" xr3:uid="{1D8D301F-4A1C-49C2-9B2F-5B7E808048A8}" name="Column10393"/>
    <tableColumn id="10408" xr3:uid="{BFD7D660-848D-4B49-BC83-5F719F010FF5}" name="Column10394"/>
    <tableColumn id="10409" xr3:uid="{34ED675F-230A-4DB4-965B-9036D5CA2BB8}" name="Column10395"/>
    <tableColumn id="10410" xr3:uid="{D46890F9-44E2-4BB7-8099-E1E02B842B3A}" name="Column10396"/>
    <tableColumn id="10411" xr3:uid="{DE158E76-86C5-4AAB-8FD3-7325ECD261CA}" name="Column10397"/>
    <tableColumn id="10412" xr3:uid="{51215416-8E81-4FBB-9D40-D46D4D2ACC8C}" name="Column10398"/>
    <tableColumn id="10413" xr3:uid="{F1C44927-B551-4BF9-87AD-C0B0442A8AFA}" name="Column10399"/>
    <tableColumn id="10414" xr3:uid="{6D077FD4-DB7C-4824-95F7-FAE7A9AADD85}" name="Column10400"/>
    <tableColumn id="10415" xr3:uid="{4E872260-A41C-43E5-87A9-643F9AFC5D17}" name="Column10401"/>
    <tableColumn id="10416" xr3:uid="{7B29DB3C-6EB9-4D71-9C42-44B450E15093}" name="Column10402"/>
    <tableColumn id="10417" xr3:uid="{B477085B-BEA5-418A-9031-DDB6643960A1}" name="Column10403"/>
    <tableColumn id="10418" xr3:uid="{2E59BB4E-1783-47BD-B5A4-C1966F58F7C5}" name="Column10404"/>
    <tableColumn id="10419" xr3:uid="{F0A69F1E-39AA-4DD6-BC80-3EC47534B8E1}" name="Column10405"/>
    <tableColumn id="10420" xr3:uid="{CB015196-A310-40C8-8BF0-A967757F61A2}" name="Column10406"/>
    <tableColumn id="10421" xr3:uid="{0D870C80-8ADD-42AC-A9D0-D0496011D274}" name="Column10407"/>
    <tableColumn id="10422" xr3:uid="{E7178B64-21B5-4FDF-A715-B0DA32AAE0A8}" name="Column10408"/>
    <tableColumn id="10423" xr3:uid="{30ED9525-A371-4C1B-A1A2-04438652D4F3}" name="Column10409"/>
    <tableColumn id="10424" xr3:uid="{B762D5BE-1F2C-492C-B1D2-D8652CD41B3A}" name="Column10410"/>
    <tableColumn id="10425" xr3:uid="{7A982F0A-A162-403F-A8FC-8E6DEA885CD9}" name="Column10411"/>
    <tableColumn id="10426" xr3:uid="{83DAC178-76F9-49AF-94AA-CE6D468A9319}" name="Column10412"/>
    <tableColumn id="10427" xr3:uid="{08040A8A-2439-4C08-A9EF-6C882AFD863F}" name="Column10413"/>
    <tableColumn id="10428" xr3:uid="{E3F49D7D-CBC6-40CA-923D-2C24AC8B17F2}" name="Column10414"/>
    <tableColumn id="10429" xr3:uid="{83C17E35-C60E-4072-B2A4-92B4908A9E18}" name="Column10415"/>
    <tableColumn id="10430" xr3:uid="{675823A1-1C61-421D-B06E-A7F72DB3FE58}" name="Column10416"/>
    <tableColumn id="10431" xr3:uid="{8AF95622-03B8-4A80-9567-5A48C09E61BF}" name="Column10417"/>
    <tableColumn id="10432" xr3:uid="{F1BB7BE1-6609-4680-8C99-F40359230E80}" name="Column10418"/>
    <tableColumn id="10433" xr3:uid="{0268FAAB-8613-4330-A758-346DB371D5E6}" name="Column10419"/>
    <tableColumn id="10434" xr3:uid="{5271A65A-790E-4CBD-A2CB-4D92D89E67F8}" name="Column10420"/>
    <tableColumn id="10435" xr3:uid="{62AD511F-AB48-4712-BC0A-BC58BB78964B}" name="Column10421"/>
    <tableColumn id="10436" xr3:uid="{66C6447D-153D-4CB9-BC4E-88EBE4FA420F}" name="Column10422"/>
    <tableColumn id="10437" xr3:uid="{0E8B4891-7B51-468C-8F41-DEDA275ABF5B}" name="Column10423"/>
    <tableColumn id="10438" xr3:uid="{D8D216CB-2404-4A44-86CF-49E54FF7DD3F}" name="Column10424"/>
    <tableColumn id="10439" xr3:uid="{53730F98-9B48-4FAD-BE21-6F69964D79E1}" name="Column10425"/>
    <tableColumn id="10440" xr3:uid="{EE3F5BCD-E989-48D9-8531-9C058E47E47F}" name="Column10426"/>
    <tableColumn id="10441" xr3:uid="{D54E0B21-B8D2-4E79-9DED-88EB0C99D069}" name="Column10427"/>
    <tableColumn id="10442" xr3:uid="{54271D79-D95F-4F94-87C8-8CB9C8987501}" name="Column10428"/>
    <tableColumn id="10443" xr3:uid="{5B0E90FF-DDC6-4640-A52B-A17805B3AAD6}" name="Column10429"/>
    <tableColumn id="10444" xr3:uid="{D6CDE7C4-933D-4D94-846D-DDA86B40E55B}" name="Column10430"/>
    <tableColumn id="10445" xr3:uid="{7530F324-4ECA-4DA8-8332-23F3E3E561CB}" name="Column10431"/>
    <tableColumn id="10446" xr3:uid="{D311F817-79DD-4DC9-9A1E-F61CA982E8BB}" name="Column10432"/>
    <tableColumn id="10447" xr3:uid="{7A8F07CA-8C3B-40B3-ABB4-C738BA6EAE90}" name="Column10433"/>
    <tableColumn id="10448" xr3:uid="{1EC99CB1-D6FB-4C8B-A69E-781F316977A2}" name="Column10434"/>
    <tableColumn id="10449" xr3:uid="{5354E8E0-036D-4D3D-8B98-120A21D28377}" name="Column10435"/>
    <tableColumn id="10450" xr3:uid="{C0340354-20DE-4C55-A28C-59044891D19B}" name="Column10436"/>
    <tableColumn id="10451" xr3:uid="{8D89F531-2720-4471-A546-037F88551CA9}" name="Column10437"/>
    <tableColumn id="10452" xr3:uid="{6F86F115-2E04-4A79-85E1-CDDED17F0308}" name="Column10438"/>
    <tableColumn id="10453" xr3:uid="{58B91806-91E7-494D-A598-18484189BD6A}" name="Column10439"/>
    <tableColumn id="10454" xr3:uid="{73C4EC56-B5B7-4C8D-AB68-C6775C9F2407}" name="Column10440"/>
    <tableColumn id="10455" xr3:uid="{BDD3A5BE-6123-4408-ABF9-6778E9F4C243}" name="Column10441"/>
    <tableColumn id="10456" xr3:uid="{34FAB737-6698-41B1-880D-7CBB11BB2D7A}" name="Column10442"/>
    <tableColumn id="10457" xr3:uid="{789D4F0F-A058-4114-9145-106207F48390}" name="Column10443"/>
    <tableColumn id="10458" xr3:uid="{F459C492-9800-40FF-A6CA-1D991EB13853}" name="Column10444"/>
    <tableColumn id="10459" xr3:uid="{6497A492-F956-4A82-AEED-3DA914B5E88F}" name="Column10445"/>
    <tableColumn id="10460" xr3:uid="{9359F0E2-AE0D-4030-80C5-6F6F39660D52}" name="Column10446"/>
    <tableColumn id="10461" xr3:uid="{39E94572-2602-4F16-A939-598F529E9342}" name="Column10447"/>
    <tableColumn id="10462" xr3:uid="{E2AA4A3B-045A-44F0-8059-653128506D13}" name="Column10448"/>
    <tableColumn id="10463" xr3:uid="{25C95108-4D97-40B7-BCE8-F1A736DF4C2B}" name="Column10449"/>
    <tableColumn id="10464" xr3:uid="{50119F7E-17AF-4851-BF85-68FBB38447AA}" name="Column10450"/>
    <tableColumn id="10465" xr3:uid="{9A24D420-D5A3-4BE2-9437-85443EB1FC41}" name="Column10451"/>
    <tableColumn id="10466" xr3:uid="{74DDC5BA-4E82-4A61-8272-9B6113767D4B}" name="Column10452"/>
    <tableColumn id="10467" xr3:uid="{AF2A22C8-8BD5-481C-BCEA-67A49CE66964}" name="Column10453"/>
    <tableColumn id="10468" xr3:uid="{9B12CC25-EC99-4789-8A64-46D8AB37A811}" name="Column10454"/>
    <tableColumn id="10469" xr3:uid="{55A54596-A892-4D88-A45A-625B9213CA55}" name="Column10455"/>
    <tableColumn id="10470" xr3:uid="{4975EFCB-1491-4F34-915C-C03F099F55F6}" name="Column10456"/>
    <tableColumn id="10471" xr3:uid="{EE675E77-D4D4-4F5A-B9A6-C54481F99B7D}" name="Column10457"/>
    <tableColumn id="10472" xr3:uid="{D1FEF860-FE8D-4A99-9EEA-C31B7698EF67}" name="Column10458"/>
    <tableColumn id="10473" xr3:uid="{CB6CD605-AE81-425B-B083-9D5804CC37E3}" name="Column10459"/>
    <tableColumn id="10474" xr3:uid="{281B686B-6C78-4C9E-9F5A-4EE66420D6B0}" name="Column10460"/>
    <tableColumn id="10475" xr3:uid="{D1C281EE-C3FF-40F7-9004-371B31EBBCDB}" name="Column10461"/>
    <tableColumn id="10476" xr3:uid="{4DFDA32F-5B94-4011-8C6E-01583E6B4FEC}" name="Column10462"/>
    <tableColumn id="10477" xr3:uid="{72A2FF8D-27CC-4DBD-8E2F-EE2836F77C48}" name="Column10463"/>
    <tableColumn id="10478" xr3:uid="{399C1D0D-0B68-492C-A7FB-BAB2A44BD222}" name="Column10464"/>
    <tableColumn id="10479" xr3:uid="{BB57921F-ED6A-402D-BB59-BBD2C7985987}" name="Column10465"/>
    <tableColumn id="10480" xr3:uid="{B19FF441-CCAB-4907-A517-2461A49CEDAC}" name="Column10466"/>
    <tableColumn id="10481" xr3:uid="{A68CCAD4-315F-46AE-8013-4745402D07CD}" name="Column10467"/>
    <tableColumn id="10482" xr3:uid="{2BC8A379-CD27-409E-A735-9DA928B1B1DA}" name="Column10468"/>
    <tableColumn id="10483" xr3:uid="{E9AB2174-C3BA-47CD-9CA7-E33EB3C5BECD}" name="Column10469"/>
    <tableColumn id="10484" xr3:uid="{88E2DD96-CFFA-4AA9-A2B0-7D9C2BE86F93}" name="Column10470"/>
    <tableColumn id="10485" xr3:uid="{9E2763B6-16B9-4528-85DB-BE184465FFAE}" name="Column10471"/>
    <tableColumn id="10486" xr3:uid="{19F36140-3E3B-4B30-B919-32F037F12EB6}" name="Column10472"/>
    <tableColumn id="10487" xr3:uid="{CFB655B0-F17A-4CAC-8557-080B76B6934E}" name="Column10473"/>
    <tableColumn id="10488" xr3:uid="{3E68199F-9D12-4436-85F3-9D8738F3A370}" name="Column10474"/>
    <tableColumn id="10489" xr3:uid="{D5660890-0B4E-4C9D-92A0-51D2E8A65CFF}" name="Column10475"/>
    <tableColumn id="10490" xr3:uid="{235C878F-FF35-460E-9A57-F367AE147F7F}" name="Column10476"/>
    <tableColumn id="10491" xr3:uid="{9133AF89-F071-4050-BF7A-738D625FDB09}" name="Column10477"/>
    <tableColumn id="10492" xr3:uid="{FD5B22BA-076E-4FEF-A62A-95E658812FB0}" name="Column10478"/>
    <tableColumn id="10493" xr3:uid="{66A71536-1B89-4269-8B43-9DE376F16E62}" name="Column10479"/>
    <tableColumn id="10494" xr3:uid="{72D22193-0B9D-4637-967B-5B1339603216}" name="Column10480"/>
    <tableColumn id="10495" xr3:uid="{FC6BF559-27B8-4683-A819-A4BD6FACBA94}" name="Column10481"/>
    <tableColumn id="10496" xr3:uid="{C546090D-287F-4EE8-A404-41C546BCCEF9}" name="Column10482"/>
    <tableColumn id="10497" xr3:uid="{2980F79F-D6DD-47F1-850E-93A1BBCB08BA}" name="Column10483"/>
    <tableColumn id="10498" xr3:uid="{92602452-4FE7-48D0-AE73-E9DF3AF4CA10}" name="Column10484"/>
    <tableColumn id="10499" xr3:uid="{FCA96312-2B83-468F-8E02-DFF78410CD01}" name="Column10485"/>
    <tableColumn id="10500" xr3:uid="{72B50CA9-948E-456F-9553-38E198E7B677}" name="Column10486"/>
    <tableColumn id="10501" xr3:uid="{77509D8E-8446-402B-B1B9-CCE8FCEDCFE2}" name="Column10487"/>
    <tableColumn id="10502" xr3:uid="{9AD8AFAA-A585-427A-BD73-B65107542D1F}" name="Column10488"/>
    <tableColumn id="10503" xr3:uid="{B7ADC8AD-C581-4EA1-827B-32D3F6896B98}" name="Column10489"/>
    <tableColumn id="10504" xr3:uid="{0DBD6A77-0E01-4C4F-BD09-012D3847B2A9}" name="Column10490"/>
    <tableColumn id="10505" xr3:uid="{CEE6E7CC-FBAB-45D5-AE2D-9C786FC5000A}" name="Column10491"/>
    <tableColumn id="10506" xr3:uid="{9143E8C3-8942-42C8-BBC9-F59825578DE7}" name="Column10492"/>
    <tableColumn id="10507" xr3:uid="{A998F2B6-7C80-4B09-AB33-BF4FBD8374B5}" name="Column10493"/>
    <tableColumn id="10508" xr3:uid="{0453D06E-3661-4D95-9D83-572562055EC8}" name="Column10494"/>
    <tableColumn id="10509" xr3:uid="{75404946-1C19-4089-B104-2BB86B7B5ED8}" name="Column10495"/>
    <tableColumn id="10510" xr3:uid="{1254FF57-AFF8-4ADD-AF74-8C40A06AE8D8}" name="Column10496"/>
    <tableColumn id="10511" xr3:uid="{8F69299B-F69D-42E6-9AD2-732506072B96}" name="Column10497"/>
    <tableColumn id="10512" xr3:uid="{908062BA-878F-4638-A442-D9900BE3953B}" name="Column10498"/>
    <tableColumn id="10513" xr3:uid="{660BE322-2DA1-4383-86C2-D594A28F5181}" name="Column10499"/>
    <tableColumn id="10514" xr3:uid="{9ADFD811-7C16-493A-ABDC-1FD0E258BD7F}" name="Column10500"/>
    <tableColumn id="10515" xr3:uid="{7F182935-AAF4-4E50-9CF8-DBE852AF3971}" name="Column10501"/>
    <tableColumn id="10516" xr3:uid="{FEA87E6C-3D80-47AB-A358-3CEB2B39867C}" name="Column10502"/>
    <tableColumn id="10517" xr3:uid="{5DDBAC23-D16E-4A98-9ADF-6DD39361FDBA}" name="Column10503"/>
    <tableColumn id="10518" xr3:uid="{7C834BA8-91B8-4FAA-BEE8-670DFA007C26}" name="Column10504"/>
    <tableColumn id="10519" xr3:uid="{99751B04-126D-4717-8629-C154F071FB2A}" name="Column10505"/>
    <tableColumn id="10520" xr3:uid="{9A01456B-5C39-4142-B7B2-988C160C9991}" name="Column10506"/>
    <tableColumn id="10521" xr3:uid="{D005C939-D333-428E-B877-0B7EBB55CFF4}" name="Column10507"/>
    <tableColumn id="10522" xr3:uid="{937CE044-C53C-4E9C-B39A-1BFCC4C899DB}" name="Column10508"/>
    <tableColumn id="10523" xr3:uid="{669BB438-6229-4069-9BA3-B42B8807A91F}" name="Column10509"/>
    <tableColumn id="10524" xr3:uid="{36DDB924-FEB8-4696-94DF-6F11CE05FC33}" name="Column10510"/>
    <tableColumn id="10525" xr3:uid="{1410C16A-1AF0-4473-8547-4DF0F0400A78}" name="Column10511"/>
    <tableColumn id="10526" xr3:uid="{9BAFB8DD-E071-45E1-AAE3-6FFBECEA9C6F}" name="Column10512"/>
    <tableColumn id="10527" xr3:uid="{D9695581-CE0B-44B9-B7CD-1E52B3EAE93A}" name="Column10513"/>
    <tableColumn id="10528" xr3:uid="{4C383A71-02E8-4508-B375-644048EE8D89}" name="Column10514"/>
    <tableColumn id="10529" xr3:uid="{BD9A159D-7305-4A97-A8F4-77D4BCFBB089}" name="Column10515"/>
    <tableColumn id="10530" xr3:uid="{15FDCA8F-B9C1-4C2E-90A4-BA8609A67EEB}" name="Column10516"/>
    <tableColumn id="10531" xr3:uid="{B7A380FE-A79A-4A6A-B4A1-068F1AA94291}" name="Column10517"/>
    <tableColumn id="10532" xr3:uid="{1E673F82-5D6C-4495-BAA8-A54F638C63D0}" name="Column10518"/>
    <tableColumn id="10533" xr3:uid="{CBF4018C-82C9-4C1B-9A95-3F43040DC3A3}" name="Column10519"/>
    <tableColumn id="10534" xr3:uid="{63A9A8CE-6D5C-48C9-B542-1EC693B16E2A}" name="Column10520"/>
    <tableColumn id="10535" xr3:uid="{93E99737-5EC6-4CB8-96FB-F235972B3819}" name="Column10521"/>
    <tableColumn id="10536" xr3:uid="{E20B9906-AEE8-4A75-93DE-4E95EE4781D6}" name="Column10522"/>
    <tableColumn id="10537" xr3:uid="{0CDB7A1C-7588-466D-8DB1-09F5500AB059}" name="Column10523"/>
    <tableColumn id="10538" xr3:uid="{A04F8EFA-84A8-45BF-BFBC-FC740B2190D1}" name="Column10524"/>
    <tableColumn id="10539" xr3:uid="{DE4AD671-9B2D-4849-BE69-0C82A1A6028E}" name="Column10525"/>
    <tableColumn id="10540" xr3:uid="{96A960A6-B34C-46AD-AC21-2EBC8111F79A}" name="Column10526"/>
    <tableColumn id="10541" xr3:uid="{41B12919-7ECA-4903-9C54-5A034B3980F1}" name="Column10527"/>
    <tableColumn id="10542" xr3:uid="{DFE6BE64-6D2B-44A3-BC57-74D274DBF8BB}" name="Column10528"/>
    <tableColumn id="10543" xr3:uid="{CE310D1E-2EBE-4DEE-9E98-1B6CAB7901F2}" name="Column10529"/>
    <tableColumn id="10544" xr3:uid="{7ACACB89-37F4-42EB-A879-58F031ACCB9D}" name="Column10530"/>
    <tableColumn id="10545" xr3:uid="{7A7E7C69-1935-42A7-B8ED-D8ECFEE1FBF8}" name="Column10531"/>
    <tableColumn id="10546" xr3:uid="{20D148D2-5C6F-4B48-90E5-198A6F629442}" name="Column10532"/>
    <tableColumn id="10547" xr3:uid="{4F8C9068-FEA5-4E30-9E5F-C50524E70B27}" name="Column10533"/>
    <tableColumn id="10548" xr3:uid="{7354064C-8F6B-4D89-B1B2-97D3B2B234DF}" name="Column10534"/>
    <tableColumn id="10549" xr3:uid="{F1EF961B-59BD-4818-BC85-B1BBF464C7DA}" name="Column10535"/>
    <tableColumn id="10550" xr3:uid="{A6625990-5350-46CE-A5FE-FDF5CDBDD3C5}" name="Column10536"/>
    <tableColumn id="10551" xr3:uid="{7500EB1A-17FF-49AC-B899-1F567FA620EF}" name="Column10537"/>
    <tableColumn id="10552" xr3:uid="{3B026318-429C-4F4B-9A07-7FD1D0DA3FFC}" name="Column10538"/>
    <tableColumn id="10553" xr3:uid="{B6C6286E-BD64-4785-81B0-8E8D81F04E83}" name="Column10539"/>
    <tableColumn id="10554" xr3:uid="{C896E3C2-CEE6-4B5C-BB90-29D880A2A2FF}" name="Column10540"/>
    <tableColumn id="10555" xr3:uid="{CF323029-6B41-46F8-8992-44ACA0F4000D}" name="Column10541"/>
    <tableColumn id="10556" xr3:uid="{B2A6336E-BFDC-4462-97D0-A80047FCBE79}" name="Column10542"/>
    <tableColumn id="10557" xr3:uid="{8265D61B-B7AF-44CF-B156-44510C6A634B}" name="Column10543"/>
    <tableColumn id="10558" xr3:uid="{A1E3034F-49CA-4A05-A1FE-FE8B7DBD9B97}" name="Column10544"/>
    <tableColumn id="10559" xr3:uid="{C9D2720A-9724-4587-86AB-FB9503A12C42}" name="Column10545"/>
    <tableColumn id="10560" xr3:uid="{193EAE42-3F2A-48E0-B8ED-DBE5A6BEF0AE}" name="Column10546"/>
    <tableColumn id="10561" xr3:uid="{68D66C93-2CD9-4B62-8399-C6EA02A98132}" name="Column10547"/>
    <tableColumn id="10562" xr3:uid="{8E80B330-E742-4FED-B763-79979812B558}" name="Column10548"/>
    <tableColumn id="10563" xr3:uid="{A8C12441-45CE-48A7-8FAC-E5163940911D}" name="Column10549"/>
    <tableColumn id="10564" xr3:uid="{AA00DDC9-CD48-4F3E-AE3E-BFE448391236}" name="Column10550"/>
    <tableColumn id="10565" xr3:uid="{87B8116C-72B5-4762-AEB0-577441115743}" name="Column10551"/>
    <tableColumn id="10566" xr3:uid="{E5B33451-A448-406A-B144-0654B8FD54AB}" name="Column10552"/>
    <tableColumn id="10567" xr3:uid="{9DF8FB8D-8738-4696-A32C-DE4A324BDCEA}" name="Column10553"/>
    <tableColumn id="10568" xr3:uid="{F52B9591-9DCC-4E3F-B1B7-E28DFD6F376D}" name="Column10554"/>
    <tableColumn id="10569" xr3:uid="{CC61D6BB-758B-4476-AD8B-82A53851C3C4}" name="Column10555"/>
    <tableColumn id="10570" xr3:uid="{7E7FDE53-60A5-4E59-979B-0FE221268FE5}" name="Column10556"/>
    <tableColumn id="10571" xr3:uid="{AF914857-3B31-47D1-A444-942D13999500}" name="Column10557"/>
    <tableColumn id="10572" xr3:uid="{5FE8CC5A-ED67-45F2-9C28-E71C3D570F14}" name="Column10558"/>
    <tableColumn id="10573" xr3:uid="{726F38E6-93E9-4F30-94E9-60A51E6B577C}" name="Column10559"/>
    <tableColumn id="10574" xr3:uid="{CCE7E7ED-50F8-413B-80C1-3422CF64B8E1}" name="Column10560"/>
    <tableColumn id="10575" xr3:uid="{FFA0D7A7-D5F9-4656-BD28-C549B18194DE}" name="Column10561"/>
    <tableColumn id="10576" xr3:uid="{BF432766-5E4A-43EF-975D-21E1F44B3773}" name="Column10562"/>
    <tableColumn id="10577" xr3:uid="{78D85345-0796-4681-81F2-DC535D720F8B}" name="Column10563"/>
    <tableColumn id="10578" xr3:uid="{19530B99-CE18-4ECD-B02E-6DA376E8C63E}" name="Column10564"/>
    <tableColumn id="10579" xr3:uid="{0D3EBDE4-1D1A-4D43-AAC8-C244C7DCFE10}" name="Column10565"/>
    <tableColumn id="10580" xr3:uid="{5651266A-DB15-4907-8B99-0D67816C5D30}" name="Column10566"/>
    <tableColumn id="10581" xr3:uid="{8238CDD4-94A2-4226-B34A-A23DE4CC388B}" name="Column10567"/>
    <tableColumn id="10582" xr3:uid="{6FB0B82D-C4C9-4708-9B0B-BD089DFCCAAD}" name="Column10568"/>
    <tableColumn id="10583" xr3:uid="{5F97116B-415E-4676-B762-F1847A606983}" name="Column10569"/>
    <tableColumn id="10584" xr3:uid="{D15CA8A1-CE2B-4F53-96D8-B8C9CAD81325}" name="Column10570"/>
    <tableColumn id="10585" xr3:uid="{288A8130-72E9-448C-AEA5-FFC16B5CAD0D}" name="Column10571"/>
    <tableColumn id="10586" xr3:uid="{18A7E132-0BA2-4705-8BE2-5D8BEEDB2576}" name="Column10572"/>
    <tableColumn id="10587" xr3:uid="{1CB83997-8DCB-4153-8DCB-F22DFD4A4237}" name="Column10573"/>
    <tableColumn id="10588" xr3:uid="{D61C4F50-245E-4AD5-9348-9A4A57B081D4}" name="Column10574"/>
    <tableColumn id="10589" xr3:uid="{A1C341CB-7B7D-439E-93BC-7B01B098F1DE}" name="Column10575"/>
    <tableColumn id="10590" xr3:uid="{3B0EBFC3-2D1E-42B9-AA14-46E3CD67CB83}" name="Column10576"/>
    <tableColumn id="10591" xr3:uid="{CE589C67-B888-4122-B881-7F805412DC3E}" name="Column10577"/>
    <tableColumn id="10592" xr3:uid="{0226ADA3-4D76-4B87-A0F0-4C3EF3ED51E4}" name="Column10578"/>
    <tableColumn id="10593" xr3:uid="{513ED008-F0A7-4C99-8EC3-C4F996D3D5B4}" name="Column10579"/>
    <tableColumn id="10594" xr3:uid="{9F7F9678-BFDD-4BC2-8FDD-BC1457830A7B}" name="Column10580"/>
    <tableColumn id="10595" xr3:uid="{C41C21C6-CD81-46F7-ADDB-75E05C8220B2}" name="Column10581"/>
    <tableColumn id="10596" xr3:uid="{87C048A9-C766-470B-A9C6-1E24C3349B3D}" name="Column10582"/>
    <tableColumn id="10597" xr3:uid="{34C3C574-91A6-43F9-BE9A-988D2BE26DFE}" name="Column10583"/>
    <tableColumn id="10598" xr3:uid="{AFA9BCC5-C1B4-45FD-B13E-205A231FED1B}" name="Column10584"/>
    <tableColumn id="10599" xr3:uid="{951AB8B0-7D5E-4CF7-B8C5-3CDEDD850D76}" name="Column10585"/>
    <tableColumn id="10600" xr3:uid="{D8D6FF25-9EE0-48AC-B03F-634920BE7D41}" name="Column10586"/>
    <tableColumn id="10601" xr3:uid="{4701CD01-6100-4047-BF81-9966D0BAC52E}" name="Column10587"/>
    <tableColumn id="10602" xr3:uid="{601D0BB3-1C34-4531-85EE-03FB36022034}" name="Column10588"/>
    <tableColumn id="10603" xr3:uid="{01FBFE9F-BD2A-4BDE-A83A-B6E333426528}" name="Column10589"/>
    <tableColumn id="10604" xr3:uid="{74ED5BA0-A440-4E0F-8C06-BC0051DC4F82}" name="Column10590"/>
    <tableColumn id="10605" xr3:uid="{817BF1C1-92A4-4024-B6B1-77934E5CD14A}" name="Column10591"/>
    <tableColumn id="10606" xr3:uid="{66C9CE4F-274E-407D-ADF9-0716D9BE1590}" name="Column10592"/>
    <tableColumn id="10607" xr3:uid="{E4BB570D-8131-4A7B-B811-F0A094E9565B}" name="Column10593"/>
    <tableColumn id="10608" xr3:uid="{8F2CC6B8-5520-4265-BD8A-B0AEA7BD4D3A}" name="Column10594"/>
    <tableColumn id="10609" xr3:uid="{6BF4158C-7A9C-4B55-AD43-2647693277D9}" name="Column10595"/>
    <tableColumn id="10610" xr3:uid="{84D93204-6E31-4CA9-8601-7B4587C2CF38}" name="Column10596"/>
    <tableColumn id="10611" xr3:uid="{F86AD8B5-AAF1-4727-964C-47D1F779123A}" name="Column10597"/>
    <tableColumn id="10612" xr3:uid="{20D99629-6245-4621-9EFC-F16FF431969A}" name="Column10598"/>
    <tableColumn id="10613" xr3:uid="{1C1918EB-C616-496A-807E-63A2FD63872F}" name="Column10599"/>
    <tableColumn id="10614" xr3:uid="{6EA0358F-5CC5-4EC8-8B6D-6E7D41584D27}" name="Column10600"/>
    <tableColumn id="10615" xr3:uid="{C2E8EF9A-D45E-40B0-8BC4-862C857EFB59}" name="Column10601"/>
    <tableColumn id="10616" xr3:uid="{94457424-9F6E-4D5D-A935-1F37C6BBA284}" name="Column10602"/>
    <tableColumn id="10617" xr3:uid="{40499FBD-0A0F-4541-9AB0-A5045D020938}" name="Column10603"/>
    <tableColumn id="10618" xr3:uid="{D6B0C975-F1EB-4AD2-B914-E231EA8F57ED}" name="Column10604"/>
    <tableColumn id="10619" xr3:uid="{839610C2-9C64-4876-ABA2-F022086ABFFE}" name="Column10605"/>
    <tableColumn id="10620" xr3:uid="{74D1E23B-EB13-4077-A1B2-B241CF4311F9}" name="Column10606"/>
    <tableColumn id="10621" xr3:uid="{69FDC480-BB51-492F-A408-5296F5368D24}" name="Column10607"/>
    <tableColumn id="10622" xr3:uid="{754AD204-A939-44C2-9DAA-B593FB1CBC6B}" name="Column10608"/>
    <tableColumn id="10623" xr3:uid="{87001FBA-DEEB-4ABE-B0D3-91138563994A}" name="Column10609"/>
    <tableColumn id="10624" xr3:uid="{85306D5E-229A-46F4-8AC5-5D81E1340CC6}" name="Column10610"/>
    <tableColumn id="10625" xr3:uid="{4F6C438D-9EE7-4917-BDAF-6CF1398C10B0}" name="Column10611"/>
    <tableColumn id="10626" xr3:uid="{9EE58D61-3452-4887-845B-CC3135EEFE6B}" name="Column10612"/>
    <tableColumn id="10627" xr3:uid="{275C6732-C9E1-4C4D-B44A-06C848C1D310}" name="Column10613"/>
    <tableColumn id="10628" xr3:uid="{6F1492B3-CEB9-4255-A671-EA6152E5A0C3}" name="Column10614"/>
    <tableColumn id="10629" xr3:uid="{2B92715D-F7D9-46D8-8A9E-C3C366D409B8}" name="Column10615"/>
    <tableColumn id="10630" xr3:uid="{7934843C-69C0-47F1-A7ED-BA15B30B1A86}" name="Column10616"/>
    <tableColumn id="10631" xr3:uid="{EE0C4BA2-9572-473B-9690-72F21978D6A8}" name="Column10617"/>
    <tableColumn id="10632" xr3:uid="{0059FE46-97BF-4CBD-B46E-F1649343871C}" name="Column10618"/>
    <tableColumn id="10633" xr3:uid="{1DE3BE3C-849A-4CCC-A349-B830865FAE8A}" name="Column10619"/>
    <tableColumn id="10634" xr3:uid="{4D1538ED-9E4F-4104-9BC3-7CDE8438031C}" name="Column10620"/>
    <tableColumn id="10635" xr3:uid="{207AAD35-192F-4208-BCB4-F82BB2C47B22}" name="Column10621"/>
    <tableColumn id="10636" xr3:uid="{DB8E0A37-5E45-4A71-9FAC-C8AD1AB376F4}" name="Column10622"/>
    <tableColumn id="10637" xr3:uid="{1062DE0A-8586-4A60-AEEF-26C27BEC0B8D}" name="Column10623"/>
    <tableColumn id="10638" xr3:uid="{ADDFC878-5198-43DE-B175-0A012603DD7A}" name="Column10624"/>
    <tableColumn id="10639" xr3:uid="{CC35C177-F6EE-4237-AB58-C284AE2FA369}" name="Column10625"/>
    <tableColumn id="10640" xr3:uid="{5BD4F9FB-B3B4-4055-9EB8-B0B18907D920}" name="Column10626"/>
    <tableColumn id="10641" xr3:uid="{8882770A-2A62-4F1D-8F0E-A16AA1F69F16}" name="Column10627"/>
    <tableColumn id="10642" xr3:uid="{39D3E4A8-2AB7-4B61-8831-5644FFFE579C}" name="Column10628"/>
    <tableColumn id="10643" xr3:uid="{8CCEFC20-9BAF-45FA-BC3A-BAE6ED95F26D}" name="Column10629"/>
    <tableColumn id="10644" xr3:uid="{74054A17-5E98-4472-ACD7-2DC5C784F43A}" name="Column10630"/>
    <tableColumn id="10645" xr3:uid="{10E95C56-D870-46C0-955A-13C1410F34E9}" name="Column10631"/>
    <tableColumn id="10646" xr3:uid="{072ED351-9A77-498A-A86D-7A97D2321ECA}" name="Column10632"/>
    <tableColumn id="10647" xr3:uid="{6B33478E-CEE4-49AC-B2EC-C4607C4A611E}" name="Column10633"/>
    <tableColumn id="10648" xr3:uid="{5B076E49-D4D2-4CE7-B555-A5FBD566ED5B}" name="Column10634"/>
    <tableColumn id="10649" xr3:uid="{5664E07D-721D-4C42-8ABA-8C75CF336826}" name="Column10635"/>
    <tableColumn id="10650" xr3:uid="{AB09393A-67EA-46CB-90DD-0593831909B6}" name="Column10636"/>
    <tableColumn id="10651" xr3:uid="{6506F0FE-94F4-48A3-82CD-D574F8490137}" name="Column10637"/>
    <tableColumn id="10652" xr3:uid="{8B8B5B6E-1C54-47AA-8BD1-BEFC4EEC46F2}" name="Column10638"/>
    <tableColumn id="10653" xr3:uid="{2796EEE4-6629-4756-B29E-34D46FF7671A}" name="Column10639"/>
    <tableColumn id="10654" xr3:uid="{8A29B8CE-F076-4613-BC6E-BE526BEC2AF3}" name="Column10640"/>
    <tableColumn id="10655" xr3:uid="{952C25D5-7E9D-4394-A8DF-6D515948B7F5}" name="Column10641"/>
    <tableColumn id="10656" xr3:uid="{50F8FE9A-5C0F-4277-86A5-ADC303B6A493}" name="Column10642"/>
    <tableColumn id="10657" xr3:uid="{02092E83-B2F4-41A9-AA03-FCC45142336B}" name="Column10643"/>
    <tableColumn id="10658" xr3:uid="{5A5A9F7A-CFC5-4B48-B02C-3CC87F70FBD3}" name="Column10644"/>
    <tableColumn id="10659" xr3:uid="{4C2BEBAE-CA1B-493B-A8AB-F659F11C2F13}" name="Column10645"/>
    <tableColumn id="10660" xr3:uid="{9F2DBC1A-4059-4FD4-B7BD-431F6A6F6932}" name="Column10646"/>
    <tableColumn id="10661" xr3:uid="{1F9B76F0-D0C2-4353-A2D4-2E82BA4233C6}" name="Column10647"/>
    <tableColumn id="10662" xr3:uid="{FDE70D2E-5741-4ABC-9030-1A2B47D152F2}" name="Column10648"/>
    <tableColumn id="10663" xr3:uid="{58D2CB44-6F71-4ABD-AE9E-341EB3D89584}" name="Column10649"/>
    <tableColumn id="10664" xr3:uid="{86A97F0E-5375-44AF-8783-048304A12FD3}" name="Column10650"/>
    <tableColumn id="10665" xr3:uid="{FC17AB1E-7A18-4187-82F2-4945250E5E1A}" name="Column10651"/>
    <tableColumn id="10666" xr3:uid="{D1A21811-B1D6-45A8-A191-BFCECFE4CF99}" name="Column10652"/>
    <tableColumn id="10667" xr3:uid="{36F72EB1-2B19-4DC3-AA55-1CB18006019F}" name="Column10653"/>
    <tableColumn id="10668" xr3:uid="{4BA4D4CA-BD9F-4F3D-9973-449AEF41C7CC}" name="Column10654"/>
    <tableColumn id="10669" xr3:uid="{5A363468-9EA3-4F48-949D-36727F7E1CF4}" name="Column10655"/>
    <tableColumn id="10670" xr3:uid="{D049E98C-0A6B-4197-A774-73DD438E9552}" name="Column10656"/>
    <tableColumn id="10671" xr3:uid="{62219DEE-924B-40B0-84ED-D264F019F6D7}" name="Column10657"/>
    <tableColumn id="10672" xr3:uid="{406233EE-2A15-4D37-82EE-98D5DE50FBBA}" name="Column10658"/>
    <tableColumn id="10673" xr3:uid="{D5E2A0A7-C662-4135-B3C8-83A640E02DE1}" name="Column10659"/>
    <tableColumn id="10674" xr3:uid="{5A61D14E-A59C-4271-9AAA-AAEFDEBC67F3}" name="Column10660"/>
    <tableColumn id="10675" xr3:uid="{04F16428-DFBC-4389-90AE-4C65759FF778}" name="Column10661"/>
    <tableColumn id="10676" xr3:uid="{56F8DBE4-1DC8-4F34-ACCF-0A847346E85F}" name="Column10662"/>
    <tableColumn id="10677" xr3:uid="{B52E8441-3F56-4229-B157-900074DDBD02}" name="Column10663"/>
    <tableColumn id="10678" xr3:uid="{675123D8-7152-4791-A37E-3D03804DA81A}" name="Column10664"/>
    <tableColumn id="10679" xr3:uid="{00291BA4-95F9-40B3-80EA-C17ED4F5A8CF}" name="Column10665"/>
    <tableColumn id="10680" xr3:uid="{163F6A7E-CB43-4F07-B735-99E4C134ADFE}" name="Column10666"/>
    <tableColumn id="10681" xr3:uid="{72E5D903-9157-4039-8B86-B0AFF25F498C}" name="Column10667"/>
    <tableColumn id="10682" xr3:uid="{7C0BBEF8-1C1A-4FB0-AD13-45384ED7F91A}" name="Column10668"/>
    <tableColumn id="10683" xr3:uid="{D14DF6DC-7D89-47BA-9168-2058753870E8}" name="Column10669"/>
    <tableColumn id="10684" xr3:uid="{F535DACA-D31A-47F0-838B-B1D2BDA7444B}" name="Column10670"/>
    <tableColumn id="10685" xr3:uid="{3808C6E6-D97E-4134-9A09-43ACBDEDD7CC}" name="Column10671"/>
    <tableColumn id="10686" xr3:uid="{BF3342EE-D212-4D95-AF42-0626662B4385}" name="Column10672"/>
    <tableColumn id="10687" xr3:uid="{1C5E6A03-CBED-41A2-8AAD-CED4C4F51902}" name="Column10673"/>
    <tableColumn id="10688" xr3:uid="{DF1C46F0-9CBA-4EC0-8AFC-B58B89C793E9}" name="Column10674"/>
    <tableColumn id="10689" xr3:uid="{BE46FB40-35F8-45E9-AD31-B176E4DF57C6}" name="Column10675"/>
    <tableColumn id="10690" xr3:uid="{DB6856F1-8DD9-44AC-90CC-FF7B4809EB5A}" name="Column10676"/>
    <tableColumn id="10691" xr3:uid="{EAABA1A9-7C74-4C18-873F-DF3A6880E969}" name="Column10677"/>
    <tableColumn id="10692" xr3:uid="{8853A037-E5AE-44B2-AF81-6ADFC766B5AC}" name="Column10678"/>
    <tableColumn id="10693" xr3:uid="{9CC304FC-4AC0-4D37-98BD-9C512E1D83BA}" name="Column10679"/>
    <tableColumn id="10694" xr3:uid="{8F1FDBF4-AB32-4B10-8C65-5A5EE8EC8607}" name="Column10680"/>
    <tableColumn id="10695" xr3:uid="{A0053246-DB64-49C6-A0CC-F8364FC8B517}" name="Column10681"/>
    <tableColumn id="10696" xr3:uid="{B682EA5C-C7A6-47F2-8D44-7951EA6F7332}" name="Column10682"/>
    <tableColumn id="10697" xr3:uid="{448265F5-0A60-4225-B091-41EC6149FA6C}" name="Column10683"/>
    <tableColumn id="10698" xr3:uid="{430F7874-8A0E-4E89-8CDB-EE1F3785F30E}" name="Column10684"/>
    <tableColumn id="10699" xr3:uid="{431DF29F-7EFC-40C7-8FAD-D5229CA5D08B}" name="Column10685"/>
    <tableColumn id="10700" xr3:uid="{429925EB-96CD-460D-A679-5A7D7F5C52C4}" name="Column10686"/>
    <tableColumn id="10701" xr3:uid="{DBA13C8B-CA4E-47F4-9175-37A13E631775}" name="Column10687"/>
    <tableColumn id="10702" xr3:uid="{C1911943-217F-407F-8D39-9921F41707A7}" name="Column10688"/>
    <tableColumn id="10703" xr3:uid="{21248332-509E-4E2D-9628-661523DA9D65}" name="Column10689"/>
    <tableColumn id="10704" xr3:uid="{1C13D948-3025-47FE-B4B2-C38A4180BC64}" name="Column10690"/>
    <tableColumn id="10705" xr3:uid="{92ECED2B-3176-489B-8B9F-08B514EA1687}" name="Column10691"/>
    <tableColumn id="10706" xr3:uid="{DBE9EE3D-1D2E-46C6-AB9B-C5288A8B48E4}" name="Column10692"/>
    <tableColumn id="10707" xr3:uid="{F2B15756-0166-41FC-BDC8-E1DBE5C17A77}" name="Column10693"/>
    <tableColumn id="10708" xr3:uid="{CEDC9789-979B-495D-8D22-78821CEE62E7}" name="Column10694"/>
    <tableColumn id="10709" xr3:uid="{5E2C32BB-0A08-4C57-8841-9DE9181D1762}" name="Column10695"/>
    <tableColumn id="10710" xr3:uid="{54DE705C-1701-47B2-BDFD-A4A994284B41}" name="Column10696"/>
    <tableColumn id="10711" xr3:uid="{49F22AD4-4C61-43DE-8264-FCFC2B8AD5E8}" name="Column10697"/>
    <tableColumn id="10712" xr3:uid="{D636FB9F-5C43-4933-A76B-FB67945DEBE9}" name="Column10698"/>
    <tableColumn id="10713" xr3:uid="{5A0C86EF-AC19-4FEF-8662-5CD129FBF84C}" name="Column10699"/>
    <tableColumn id="10714" xr3:uid="{59BA7CE1-F860-431A-B7D6-A66F4BCB725F}" name="Column10700"/>
    <tableColumn id="10715" xr3:uid="{BCB7729A-A214-4F26-85A9-0B0E4BB6BB05}" name="Column10701"/>
    <tableColumn id="10716" xr3:uid="{86649629-AE01-41A4-B9EB-CF1789FA0330}" name="Column10702"/>
    <tableColumn id="10717" xr3:uid="{E5D225BC-37E7-4A3C-AB93-DE9D34850CB3}" name="Column10703"/>
    <tableColumn id="10718" xr3:uid="{DA801CEF-5BBD-44AC-9B23-6079C59CB8B2}" name="Column10704"/>
    <tableColumn id="10719" xr3:uid="{4D5415AC-9EA8-4D98-BEB0-AB84E680B977}" name="Column10705"/>
    <tableColumn id="10720" xr3:uid="{BB5B0A5B-1684-484F-A0D6-03A9999C56DE}" name="Column10706"/>
    <tableColumn id="10721" xr3:uid="{483499DF-E81A-4F66-AF12-221D3F320737}" name="Column10707"/>
    <tableColumn id="10722" xr3:uid="{9F038615-9B12-49AA-9B74-A14F4C729DC6}" name="Column10708"/>
    <tableColumn id="10723" xr3:uid="{9E8BDDFE-62EF-4556-8362-D23F710800FD}" name="Column10709"/>
    <tableColumn id="10724" xr3:uid="{C4C0CF21-1E84-4185-8BEB-9339B7DA7B75}" name="Column10710"/>
    <tableColumn id="10725" xr3:uid="{B488C6FD-BABE-44F0-B2AA-4A713511B028}" name="Column10711"/>
    <tableColumn id="10726" xr3:uid="{1072E52E-9180-4E1A-9325-06835E360464}" name="Column10712"/>
    <tableColumn id="10727" xr3:uid="{090A5047-E399-4184-9009-2E1DAC84824E}" name="Column10713"/>
    <tableColumn id="10728" xr3:uid="{CE02C2E5-0933-48C9-B56A-749296705459}" name="Column10714"/>
    <tableColumn id="10729" xr3:uid="{905A046E-8D1C-4427-AAAB-40F42B65F785}" name="Column10715"/>
    <tableColumn id="10730" xr3:uid="{DED736A0-0D58-43E7-B1EC-AD829524AE43}" name="Column10716"/>
    <tableColumn id="10731" xr3:uid="{45D40579-E004-4E31-BD42-E8FE4F565F8B}" name="Column10717"/>
    <tableColumn id="10732" xr3:uid="{AB5B7A87-656A-40F0-9285-59987AA24EA5}" name="Column10718"/>
    <tableColumn id="10733" xr3:uid="{5FAEAE11-FF68-4D33-8F4F-09AF6C1D91B8}" name="Column10719"/>
    <tableColumn id="10734" xr3:uid="{DB85DAFC-C542-4439-A1E4-EA2BB07254C8}" name="Column10720"/>
    <tableColumn id="10735" xr3:uid="{0F562DF9-D42A-4C93-A5E8-DF670118B926}" name="Column10721"/>
    <tableColumn id="10736" xr3:uid="{E0391316-DD38-4817-A743-72E7AE1AF29B}" name="Column10722"/>
    <tableColumn id="10737" xr3:uid="{C1E641F2-4B28-4EC6-A4F0-343628024FEF}" name="Column10723"/>
    <tableColumn id="10738" xr3:uid="{56B3BF83-8165-4506-9764-93742238D39B}" name="Column10724"/>
    <tableColumn id="10739" xr3:uid="{CD765715-C8D2-45BA-B5B8-B090569AAA3C}" name="Column10725"/>
    <tableColumn id="10740" xr3:uid="{9438F780-F9CB-49CA-8AC6-2C2CA5490CAC}" name="Column10726"/>
    <tableColumn id="10741" xr3:uid="{2BE32F84-EFE2-4E72-AA95-701527454288}" name="Column10727"/>
    <tableColumn id="10742" xr3:uid="{BEFF2259-BD7A-4171-AFFD-4A2C65A97A8F}" name="Column10728"/>
    <tableColumn id="10743" xr3:uid="{A9CACD99-F5AE-4E3B-819B-DA93D2F14239}" name="Column10729"/>
    <tableColumn id="10744" xr3:uid="{8419B643-B33E-4ABB-AA0C-B9F7481093C3}" name="Column10730"/>
    <tableColumn id="10745" xr3:uid="{0DE668B1-8FB8-43A5-9FCE-293C45F52C82}" name="Column10731"/>
    <tableColumn id="10746" xr3:uid="{64E2BC10-4BED-4067-A90D-1031584AF135}" name="Column10732"/>
    <tableColumn id="10747" xr3:uid="{33A84A9B-B4A9-4255-B4CE-C61D92B65D79}" name="Column10733"/>
    <tableColumn id="10748" xr3:uid="{B5E86AEE-5A05-48F2-91E7-04C837BF2D46}" name="Column10734"/>
    <tableColumn id="10749" xr3:uid="{ADCD6B83-7C38-4E71-AAD5-3ADC21BD7CCF}" name="Column10735"/>
    <tableColumn id="10750" xr3:uid="{A810763A-80E5-4BE1-9F2E-2436816719B5}" name="Column10736"/>
    <tableColumn id="10751" xr3:uid="{A8F4905B-7E4F-445D-B224-AF7C13296082}" name="Column10737"/>
    <tableColumn id="10752" xr3:uid="{60D73D0D-43A6-48DB-BE1A-A6CF8ADF20B2}" name="Column10738"/>
    <tableColumn id="10753" xr3:uid="{BE9C9944-498C-47DC-9AA8-8E37C7698B16}" name="Column10739"/>
    <tableColumn id="10754" xr3:uid="{023D97FE-6BCA-4B2D-ABE5-477EE2FAD7E5}" name="Column10740"/>
    <tableColumn id="10755" xr3:uid="{04E688CB-6B07-4F95-BB91-01DB45570C4C}" name="Column10741"/>
    <tableColumn id="10756" xr3:uid="{8D988A90-15FB-43D9-BAFA-617B2662285E}" name="Column10742"/>
    <tableColumn id="10757" xr3:uid="{4F2EB9F7-7220-442A-97F3-47391B718D64}" name="Column10743"/>
    <tableColumn id="10758" xr3:uid="{9777E016-550F-4187-9D7F-13E48419386B}" name="Column10744"/>
    <tableColumn id="10759" xr3:uid="{8B152B03-BF1E-40DB-A9FE-9EE48FC5D803}" name="Column10745"/>
    <tableColumn id="10760" xr3:uid="{B1BC214D-CC89-4CFB-848B-237DBFB7846D}" name="Column10746"/>
    <tableColumn id="10761" xr3:uid="{912A71E7-638D-44B6-9680-C3A1B42454E9}" name="Column10747"/>
    <tableColumn id="10762" xr3:uid="{846370FC-DBC6-4091-A86E-FB87399EF327}" name="Column10748"/>
    <tableColumn id="10763" xr3:uid="{DDAEFBC8-B78E-4CFE-85C5-3F68E2EC9644}" name="Column10749"/>
    <tableColumn id="10764" xr3:uid="{830FD7B4-8BD2-41B6-848F-7217D27C25B7}" name="Column10750"/>
    <tableColumn id="10765" xr3:uid="{E282F6E9-76DC-4295-80E9-C6AD26F0EABE}" name="Column10751"/>
    <tableColumn id="10766" xr3:uid="{5BD84A8E-13DA-4CDC-985A-2F8DEC50D908}" name="Column10752"/>
    <tableColumn id="10767" xr3:uid="{08617C5B-BFCB-4AD8-BC58-F395574008A6}" name="Column10753"/>
    <tableColumn id="10768" xr3:uid="{A4ABCE26-A471-4228-B80E-801B7DAF3222}" name="Column10754"/>
    <tableColumn id="10769" xr3:uid="{92516EFE-B849-4584-93B7-9EB0DF7A5538}" name="Column10755"/>
    <tableColumn id="10770" xr3:uid="{D9D81401-4E1A-4E81-BF39-A9AEB01C0FF4}" name="Column10756"/>
    <tableColumn id="10771" xr3:uid="{49A1A111-36E0-4B0B-849F-9F00A04DEBEF}" name="Column10757"/>
    <tableColumn id="10772" xr3:uid="{4B1465BC-4907-491D-BD6B-B423215B642E}" name="Column10758"/>
    <tableColumn id="10773" xr3:uid="{DBF404DB-82EA-4746-9F87-7D033F2FAE34}" name="Column10759"/>
    <tableColumn id="10774" xr3:uid="{EFD1DED6-B26D-49ED-B7E4-D906EE7AFF95}" name="Column10760"/>
    <tableColumn id="10775" xr3:uid="{C41C44CC-7241-4EAA-931B-3A99F3254499}" name="Column10761"/>
    <tableColumn id="10776" xr3:uid="{1DEF06F5-2E76-433B-856D-786BF29BC25D}" name="Column10762"/>
    <tableColumn id="10777" xr3:uid="{E0DE848C-4171-46F5-845B-563246450735}" name="Column10763"/>
    <tableColumn id="10778" xr3:uid="{CCBA61C1-DD35-492B-AB79-838CAF3B3FD3}" name="Column10764"/>
    <tableColumn id="10779" xr3:uid="{C959EB16-9792-4556-845B-0B57A0097182}" name="Column10765"/>
    <tableColumn id="10780" xr3:uid="{87FCF682-F28E-4B11-A622-00B7453DD592}" name="Column10766"/>
    <tableColumn id="10781" xr3:uid="{C9DECDA6-9BBA-4612-9D26-5051D1C03E62}" name="Column10767"/>
    <tableColumn id="10782" xr3:uid="{42BAD0B9-4F42-4BEA-80CC-04927E570E6A}" name="Column10768"/>
    <tableColumn id="10783" xr3:uid="{879FD377-846D-4F54-B895-F05F76656110}" name="Column10769"/>
    <tableColumn id="10784" xr3:uid="{3BE58318-0A4D-489D-AF43-FF80F2477402}" name="Column10770"/>
    <tableColumn id="10785" xr3:uid="{629AA75B-21D4-438A-BEA9-B282BAA41FB4}" name="Column10771"/>
    <tableColumn id="10786" xr3:uid="{C9DAB04E-F347-4786-9723-9BF566F83F04}" name="Column10772"/>
    <tableColumn id="10787" xr3:uid="{A0FE29DF-22DA-4722-B187-78FBFEF4482B}" name="Column10773"/>
    <tableColumn id="10788" xr3:uid="{F1E548CC-7749-470D-BFBD-37B70C368F48}" name="Column10774"/>
    <tableColumn id="10789" xr3:uid="{753E418C-A899-49D8-A360-9EE4C2E2F399}" name="Column10775"/>
    <tableColumn id="10790" xr3:uid="{C7CD2667-8A26-4890-9455-656A7360B961}" name="Column10776"/>
    <tableColumn id="10791" xr3:uid="{DD7926F2-87F5-48C5-8938-67B6D4C44904}" name="Column10777"/>
    <tableColumn id="10792" xr3:uid="{E681E2C3-5DF9-494A-9463-682D44A2BA7D}" name="Column10778"/>
    <tableColumn id="10793" xr3:uid="{C36694F0-E9C7-4A66-9E93-49442E2D9BB4}" name="Column10779"/>
    <tableColumn id="10794" xr3:uid="{A39031DD-63EC-4365-B680-1CEE00E83381}" name="Column10780"/>
    <tableColumn id="10795" xr3:uid="{970A044A-F649-4BA0-A435-B7B0A3FA447A}" name="Column10781"/>
    <tableColumn id="10796" xr3:uid="{D6B01495-24EB-4FE7-B9B0-769CB43B9A51}" name="Column10782"/>
    <tableColumn id="10797" xr3:uid="{002DA637-E062-4232-8F3F-1CA3F5A01FB4}" name="Column10783"/>
    <tableColumn id="10798" xr3:uid="{D52B4E94-905F-42A1-950E-963416FB9E9B}" name="Column10784"/>
    <tableColumn id="10799" xr3:uid="{B67E2727-EB84-4FEB-8E30-E6E22AE7089F}" name="Column10785"/>
    <tableColumn id="10800" xr3:uid="{E8B24ED1-125C-477A-B48E-0B08E118BCFF}" name="Column10786"/>
    <tableColumn id="10801" xr3:uid="{ADC3F86E-A530-429B-AB8E-28240C619733}" name="Column10787"/>
    <tableColumn id="10802" xr3:uid="{7980E808-A4E4-4EF9-9036-A7A0F5A44902}" name="Column10788"/>
    <tableColumn id="10803" xr3:uid="{7A723B79-7E06-4DD0-8880-82B6FE2D7341}" name="Column10789"/>
    <tableColumn id="10804" xr3:uid="{28A162F6-4498-46E8-B556-20B213A65E16}" name="Column10790"/>
    <tableColumn id="10805" xr3:uid="{174D0132-2A64-4CBE-837A-D232C684A8B2}" name="Column10791"/>
    <tableColumn id="10806" xr3:uid="{7B3791B2-8679-425B-8E75-784148D5E55B}" name="Column10792"/>
    <tableColumn id="10807" xr3:uid="{96A09C66-58FD-4765-9028-35207926C790}" name="Column10793"/>
    <tableColumn id="10808" xr3:uid="{78C70C31-8130-4432-A5BA-B9C58A5A91EA}" name="Column10794"/>
    <tableColumn id="10809" xr3:uid="{108730BE-3AF0-4CF4-8858-293ABF872E2C}" name="Column10795"/>
    <tableColumn id="10810" xr3:uid="{9F7EA431-CE01-4494-AA84-FEB199D61284}" name="Column10796"/>
    <tableColumn id="10811" xr3:uid="{5E55AFB7-2FE5-47B1-98D7-2AC429ED1CA4}" name="Column10797"/>
    <tableColumn id="10812" xr3:uid="{154B2629-0B1E-4152-B268-1D393DD1C5AB}" name="Column10798"/>
    <tableColumn id="10813" xr3:uid="{6151797B-D0FF-4CD7-A3F3-31D8C58ADB1C}" name="Column10799"/>
    <tableColumn id="10814" xr3:uid="{E66051D5-2599-4FA3-8FB2-186A75E036CA}" name="Column10800"/>
    <tableColumn id="10815" xr3:uid="{D3D10405-02CD-4835-A911-6E5EF312E4BD}" name="Column10801"/>
    <tableColumn id="10816" xr3:uid="{52746C42-DDC6-4E65-999D-4D538DE1D00A}" name="Column10802"/>
    <tableColumn id="10817" xr3:uid="{BF810CDB-7D5B-4D8E-9473-780F2C3546C6}" name="Column10803"/>
    <tableColumn id="10818" xr3:uid="{045BEC96-ECF8-487B-BCB2-F1DD1BCE1AF0}" name="Column10804"/>
    <tableColumn id="10819" xr3:uid="{19EF6128-172D-4976-9393-53D1445E4EF2}" name="Column10805"/>
    <tableColumn id="10820" xr3:uid="{E520598C-1115-4D59-80AF-3706A2357AC6}" name="Column10806"/>
    <tableColumn id="10821" xr3:uid="{43DB61F7-9A3E-42D1-A621-46CFAD936305}" name="Column10807"/>
    <tableColumn id="10822" xr3:uid="{DA535149-EFD9-4AE7-B1EA-60B5032B031A}" name="Column10808"/>
    <tableColumn id="10823" xr3:uid="{5D6356D8-7152-4DDD-8CE0-32121F42BABE}" name="Column10809"/>
    <tableColumn id="10824" xr3:uid="{B698A853-83F6-4E6C-8BCD-F729438D4BA7}" name="Column10810"/>
    <tableColumn id="10825" xr3:uid="{A474E562-F37D-479E-8534-B15E24AE96B2}" name="Column10811"/>
    <tableColumn id="10826" xr3:uid="{227F7D56-0DCD-4B52-AB65-B8AD961CBAC8}" name="Column10812"/>
    <tableColumn id="10827" xr3:uid="{0118E9F3-2CF9-45B2-A2ED-A8AC597FCA7C}" name="Column10813"/>
    <tableColumn id="10828" xr3:uid="{5A3E7A3C-A54B-40CB-906D-B65A4000350C}" name="Column10814"/>
    <tableColumn id="10829" xr3:uid="{B787B3CE-B96C-446A-84D4-C0EC5A747085}" name="Column10815"/>
    <tableColumn id="10830" xr3:uid="{419619B7-B6F1-45DF-8FB6-33AFA6099DEA}" name="Column10816"/>
    <tableColumn id="10831" xr3:uid="{980AE505-8342-435B-BE90-BD7E3DB06977}" name="Column10817"/>
    <tableColumn id="10832" xr3:uid="{F27F580C-22F6-42B9-BB64-48842359AFEF}" name="Column10818"/>
    <tableColumn id="10833" xr3:uid="{A02BE483-7F02-45CC-AD44-3B4561643A46}" name="Column10819"/>
    <tableColumn id="10834" xr3:uid="{967E68E9-F2C8-4D6B-B68C-576BB71CE7A4}" name="Column10820"/>
    <tableColumn id="10835" xr3:uid="{C0D55292-753C-4C18-AF79-37A257CDF25E}" name="Column10821"/>
    <tableColumn id="10836" xr3:uid="{77A621AD-15C0-4B38-BA82-1D431A2DACC1}" name="Column10822"/>
    <tableColumn id="10837" xr3:uid="{1F86F2FB-732C-40F5-A94E-B2ABBB4CB45B}" name="Column10823"/>
    <tableColumn id="10838" xr3:uid="{437076BB-C3AA-407B-BB16-23CDCC6290C0}" name="Column10824"/>
    <tableColumn id="10839" xr3:uid="{92F02B97-08A5-4E2E-B6D8-1228B9897665}" name="Column10825"/>
    <tableColumn id="10840" xr3:uid="{C6F13860-317B-44F8-ABAF-F9EC55A50221}" name="Column10826"/>
    <tableColumn id="10841" xr3:uid="{5711EBA8-2835-4CA7-BB06-2812F6F578AC}" name="Column10827"/>
    <tableColumn id="10842" xr3:uid="{FA78EC32-AADE-4632-8F3C-3FD142420599}" name="Column10828"/>
    <tableColumn id="10843" xr3:uid="{357BB2DC-8A2D-467B-B03D-FF9CA7C4FA74}" name="Column10829"/>
    <tableColumn id="10844" xr3:uid="{5939594F-9B31-4C57-9916-C5616714B6C4}" name="Column10830"/>
    <tableColumn id="10845" xr3:uid="{391DBBF4-6FDD-4713-8C35-24467A4B0C22}" name="Column10831"/>
    <tableColumn id="10846" xr3:uid="{FC08D859-5A7A-4C80-87EF-D7090C70A24C}" name="Column10832"/>
    <tableColumn id="10847" xr3:uid="{704FC1DC-5DDF-496E-9D49-4F233185E917}" name="Column10833"/>
    <tableColumn id="10848" xr3:uid="{3707F3E9-0A38-4F40-AD14-BCB880050CE4}" name="Column10834"/>
    <tableColumn id="10849" xr3:uid="{D91BFED3-E074-4396-95A4-50C047EADEDD}" name="Column10835"/>
    <tableColumn id="10850" xr3:uid="{F7247555-279F-4721-8F0E-B5733E87282B}" name="Column10836"/>
    <tableColumn id="10851" xr3:uid="{C3E2037A-60F4-4E39-8F12-123A0D4EC5D0}" name="Column10837"/>
    <tableColumn id="10852" xr3:uid="{00213453-CEA7-4ECB-9B64-24278322181F}" name="Column10838"/>
    <tableColumn id="10853" xr3:uid="{05B2BEAC-A51F-4419-9674-675FB92C2458}" name="Column10839"/>
    <tableColumn id="10854" xr3:uid="{4347D1B9-42AF-49AB-A58A-78B14D2B60E9}" name="Column10840"/>
    <tableColumn id="10855" xr3:uid="{7934F973-82C8-443E-B95D-BCDBA104EAD9}" name="Column10841"/>
    <tableColumn id="10856" xr3:uid="{7CC55B18-5AAF-46CA-9641-55EE2E7DF232}" name="Column10842"/>
    <tableColumn id="10857" xr3:uid="{A6DB1FAE-E9B8-4573-8C8C-0840A9C57575}" name="Column10843"/>
    <tableColumn id="10858" xr3:uid="{F59062EE-A2BC-46B4-9D2E-939CE0FFC727}" name="Column10844"/>
    <tableColumn id="10859" xr3:uid="{79CD9287-A319-46BB-855F-F6918365C551}" name="Column10845"/>
    <tableColumn id="10860" xr3:uid="{F1F9EC81-E8A2-4A9B-9C44-D3AF86965BD2}" name="Column10846"/>
    <tableColumn id="10861" xr3:uid="{1AAD889A-2E36-4E07-A5AF-BC3C70535922}" name="Column10847"/>
    <tableColumn id="10862" xr3:uid="{075CFDF3-C914-470D-B1A6-E14663EC7FBF}" name="Column10848"/>
    <tableColumn id="10863" xr3:uid="{508123C3-A20D-43E0-B8F9-7B8C59552DC2}" name="Column10849"/>
    <tableColumn id="10864" xr3:uid="{988AA06E-06D2-43C9-A7B6-F015C867EF68}" name="Column10850"/>
    <tableColumn id="10865" xr3:uid="{FB611073-C6F8-46C0-957C-FCC4AD931D91}" name="Column10851"/>
    <tableColumn id="10866" xr3:uid="{99B9AE54-8233-43AE-BB4C-363D95C276BE}" name="Column10852"/>
    <tableColumn id="10867" xr3:uid="{A52382B3-AD74-4677-ADC4-3085DF5EDDA3}" name="Column10853"/>
    <tableColumn id="10868" xr3:uid="{8B43C0CA-3D80-4979-BDE8-43419F124012}" name="Column10854"/>
    <tableColumn id="10869" xr3:uid="{A75900D4-919A-4CCD-BA74-9A9CA9E68A12}" name="Column10855"/>
    <tableColumn id="10870" xr3:uid="{26F344BD-F035-4E8A-9AF6-C530AE9DD02A}" name="Column10856"/>
    <tableColumn id="10871" xr3:uid="{8490EB45-66B5-4D4F-AE89-8CB7D00F3488}" name="Column10857"/>
    <tableColumn id="10872" xr3:uid="{2D45B8EE-D71C-42A4-8B05-3A1D427098C2}" name="Column10858"/>
    <tableColumn id="10873" xr3:uid="{73E40CC1-79A3-4A1C-89B6-3208CF5B6378}" name="Column10859"/>
    <tableColumn id="10874" xr3:uid="{3646350D-2EBC-4EDA-95D0-4D75A925DDF3}" name="Column10860"/>
    <tableColumn id="10875" xr3:uid="{70834E4E-EF25-4061-88BA-31C1810571CC}" name="Column10861"/>
    <tableColumn id="10876" xr3:uid="{399EE895-CD79-4615-A810-6E3F03422BD4}" name="Column10862"/>
    <tableColumn id="10877" xr3:uid="{2F6930B1-A553-4221-B5D6-55D8AA5B52D7}" name="Column10863"/>
    <tableColumn id="10878" xr3:uid="{B030BD47-2D20-4D94-9A19-5CF431C4F325}" name="Column10864"/>
    <tableColumn id="10879" xr3:uid="{665E42A9-B001-45B5-9F9D-7962F1354408}" name="Column10865"/>
    <tableColumn id="10880" xr3:uid="{75DCC7AA-BA05-4B9D-B07B-B5C38660C323}" name="Column10866"/>
    <tableColumn id="10881" xr3:uid="{7BE86873-80B3-43C9-812A-F2936756928E}" name="Column10867"/>
    <tableColumn id="10882" xr3:uid="{88B01EFE-A717-4288-8C99-8463AC0C4FB8}" name="Column10868"/>
    <tableColumn id="10883" xr3:uid="{1181CF91-4D95-4E56-AE28-89247A79C38E}" name="Column10869"/>
    <tableColumn id="10884" xr3:uid="{457E48C2-12DC-4B21-AE19-F989E204CBE9}" name="Column10870"/>
    <tableColumn id="10885" xr3:uid="{7B31F541-5EC6-4695-A77E-9D040F222660}" name="Column10871"/>
    <tableColumn id="10886" xr3:uid="{5E2E2D1A-D1DE-4BEE-8A97-262997BE1AAD}" name="Column10872"/>
    <tableColumn id="10887" xr3:uid="{33BA4E6E-792B-419A-8DCB-C38E6C33EC03}" name="Column10873"/>
    <tableColumn id="10888" xr3:uid="{CBC3313A-101D-4B7C-88A4-0DC056B53217}" name="Column10874"/>
    <tableColumn id="10889" xr3:uid="{FD8E7FAD-C7FE-458F-BF07-B864F971573E}" name="Column10875"/>
    <tableColumn id="10890" xr3:uid="{15154660-5F0A-49AA-B285-28FF72BF21B6}" name="Column10876"/>
    <tableColumn id="10891" xr3:uid="{A9D7A924-C05A-468C-B075-30A61EF58506}" name="Column10877"/>
    <tableColumn id="10892" xr3:uid="{B397A5D2-3F62-4269-B183-CE9884C8D7A1}" name="Column10878"/>
    <tableColumn id="10893" xr3:uid="{2B63474E-0A52-4BE2-8801-6D19419A2D1D}" name="Column10879"/>
    <tableColumn id="10894" xr3:uid="{5C226917-20C0-4E52-BFD9-E1EB5748D30E}" name="Column10880"/>
    <tableColumn id="10895" xr3:uid="{9BAA15CF-1325-4DC1-85B8-47CA4DFECA3A}" name="Column10881"/>
    <tableColumn id="10896" xr3:uid="{5F239D7B-515C-4E7F-894C-6167C5845502}" name="Column10882"/>
    <tableColumn id="10897" xr3:uid="{D77D1301-CFD8-43EA-B624-33C08827A6DB}" name="Column10883"/>
    <tableColumn id="10898" xr3:uid="{0BC5849C-F305-4CBE-AD77-EB07424E5287}" name="Column10884"/>
    <tableColumn id="10899" xr3:uid="{A80DE1C0-4812-4C1C-AA45-231025F14724}" name="Column10885"/>
    <tableColumn id="10900" xr3:uid="{98A826E9-0A27-4A91-BB74-BFD3E9A97F1E}" name="Column10886"/>
    <tableColumn id="10901" xr3:uid="{DC222A79-D45C-4057-B1FB-B6E2BA637C6E}" name="Column10887"/>
    <tableColumn id="10902" xr3:uid="{8A0F9E37-29DA-4EC7-BA31-E4046546849A}" name="Column10888"/>
    <tableColumn id="10903" xr3:uid="{7BF87A3B-FFBF-43D7-8B96-16DF336129CE}" name="Column10889"/>
    <tableColumn id="10904" xr3:uid="{E77DA00C-1B02-47AA-A908-19D9F46B79D4}" name="Column10890"/>
    <tableColumn id="10905" xr3:uid="{24271BB7-DB57-49D4-B927-908560D755CB}" name="Column10891"/>
    <tableColumn id="10906" xr3:uid="{707B0C64-BD99-427F-8C3D-14FB5F93D4A7}" name="Column10892"/>
    <tableColumn id="10907" xr3:uid="{D7F8BD10-5311-488A-97B2-6F9788562787}" name="Column10893"/>
    <tableColumn id="10908" xr3:uid="{E3C0EDA7-9712-4B80-8B46-5C4FC3761DBA}" name="Column10894"/>
    <tableColumn id="10909" xr3:uid="{FA5A5E0C-6BA7-40A2-95A3-E337F73E9B95}" name="Column10895"/>
    <tableColumn id="10910" xr3:uid="{B9C671AB-5B48-4DF9-8210-4C2D2D207609}" name="Column10896"/>
    <tableColumn id="10911" xr3:uid="{B910F8C5-99E0-4362-A1B8-439CAD576959}" name="Column10897"/>
    <tableColumn id="10912" xr3:uid="{F5AC5E4F-A9A5-4C0F-8391-016460CBB337}" name="Column10898"/>
    <tableColumn id="10913" xr3:uid="{387F13C8-E53E-4B97-9408-35C8A7B3B9FE}" name="Column10899"/>
    <tableColumn id="10914" xr3:uid="{66688626-E933-4EE6-AE1D-20383869572F}" name="Column10900"/>
    <tableColumn id="10915" xr3:uid="{BC627EDA-BF79-426E-9203-8FC6E00C6E7D}" name="Column10901"/>
    <tableColumn id="10916" xr3:uid="{D5768A1F-0F64-41C8-8893-07EF221A922B}" name="Column10902"/>
    <tableColumn id="10917" xr3:uid="{77AF0F49-ABE2-42D7-AED6-A0D0EED95B2A}" name="Column10903"/>
    <tableColumn id="10918" xr3:uid="{4F983AF1-1F2B-4D48-AEBD-CA8CAC35E428}" name="Column10904"/>
    <tableColumn id="10919" xr3:uid="{0B562387-31AD-46D4-8082-51D1A6388E44}" name="Column10905"/>
    <tableColumn id="10920" xr3:uid="{D0E39091-6652-45B4-9F98-2A3178A814C1}" name="Column10906"/>
    <tableColumn id="10921" xr3:uid="{12156BA6-4690-422A-8B05-BA0C1BEEE9A8}" name="Column10907"/>
    <tableColumn id="10922" xr3:uid="{D808B763-352C-4711-81BE-163D0C16E741}" name="Column10908"/>
    <tableColumn id="10923" xr3:uid="{A8261F63-BA3A-4B11-94E5-38084DC266A3}" name="Column10909"/>
    <tableColumn id="10924" xr3:uid="{D2BEC7B4-4A11-4348-80F8-8792DC21CD7B}" name="Column10910"/>
    <tableColumn id="10925" xr3:uid="{90296CC7-5BB4-474C-8067-906F9DDC1323}" name="Column10911"/>
    <tableColumn id="10926" xr3:uid="{E1D71C7D-E55B-4202-B49B-325EECD86CF7}" name="Column10912"/>
    <tableColumn id="10927" xr3:uid="{ABC1D232-B0B6-438E-9AC8-F70FDBD72B89}" name="Column10913"/>
    <tableColumn id="10928" xr3:uid="{2CC742D6-3EC0-4C61-B63D-2BFBE629DD8C}" name="Column10914"/>
    <tableColumn id="10929" xr3:uid="{5F7700E9-98B2-48C3-AFC2-B132662E97A7}" name="Column10915"/>
    <tableColumn id="10930" xr3:uid="{C0DE1C8F-10FD-4E7B-A44B-9B324BDA61B1}" name="Column10916"/>
    <tableColumn id="10931" xr3:uid="{4E2E2BCE-548D-40E1-BFB4-D62D5379A2C4}" name="Column10917"/>
    <tableColumn id="10932" xr3:uid="{C4CC6C91-E65F-499B-9234-AB0958F3EEEF}" name="Column10918"/>
    <tableColumn id="10933" xr3:uid="{CF5D003B-F60E-4C9F-878D-3C5ABA89ED15}" name="Column10919"/>
    <tableColumn id="10934" xr3:uid="{F34F2CBF-A55F-4A30-8353-4B9997BDF041}" name="Column10920"/>
    <tableColumn id="10935" xr3:uid="{A1148A13-B3F4-4D63-BBE0-7F1BAF3888D2}" name="Column10921"/>
    <tableColumn id="10936" xr3:uid="{E4A3A0E6-AAFB-49F9-8612-C0CDB944C40C}" name="Column10922"/>
    <tableColumn id="10937" xr3:uid="{2996B248-A50D-4000-AE44-25C3C95130D6}" name="Column10923"/>
    <tableColumn id="10938" xr3:uid="{F9AA16ED-9035-4C43-8775-466C848A16B9}" name="Column10924"/>
    <tableColumn id="10939" xr3:uid="{51F29EA1-0808-4BCD-9394-614D93E43D17}" name="Column10925"/>
    <tableColumn id="10940" xr3:uid="{578351EA-71CD-43F0-B662-2E5183710EF0}" name="Column10926"/>
    <tableColumn id="10941" xr3:uid="{5CD6B5E1-A743-4C4F-8E24-B3CB39B04689}" name="Column10927"/>
    <tableColumn id="10942" xr3:uid="{6AC6E614-ADA1-4040-9667-A3541DF09FB4}" name="Column10928"/>
    <tableColumn id="10943" xr3:uid="{F32AF325-ABFE-471F-8D97-B1B7098CFAB7}" name="Column10929"/>
    <tableColumn id="10944" xr3:uid="{B081974D-E065-4106-8071-4C6A5C470920}" name="Column10930"/>
    <tableColumn id="10945" xr3:uid="{6678FC6A-EAFC-40D2-BA61-4232AA2673BA}" name="Column10931"/>
    <tableColumn id="10946" xr3:uid="{1ED1785C-6B8D-451F-ACC4-02B9062C64D3}" name="Column10932"/>
    <tableColumn id="10947" xr3:uid="{8618D84C-1B80-4BDF-9737-FE6E2BCC3982}" name="Column10933"/>
    <tableColumn id="10948" xr3:uid="{1D88300B-0EAF-4DCA-BFF2-4BF28BA66A34}" name="Column10934"/>
    <tableColumn id="10949" xr3:uid="{8FAB3917-2B64-4D7F-BF50-EE2F759053C6}" name="Column10935"/>
    <tableColumn id="10950" xr3:uid="{8971E8B8-132F-41FD-8CD4-7BFD28CD28F3}" name="Column10936"/>
    <tableColumn id="10951" xr3:uid="{D047E55C-0EB6-469E-88B6-918AA43B5292}" name="Column10937"/>
    <tableColumn id="10952" xr3:uid="{6E5BD25D-8398-4F09-A80B-6BD6BAC8CC97}" name="Column10938"/>
    <tableColumn id="10953" xr3:uid="{EED81557-31C5-4673-8AE5-18137158D08F}" name="Column10939"/>
    <tableColumn id="10954" xr3:uid="{C714F069-2CB8-411C-A8DE-4528C3BBF03E}" name="Column10940"/>
    <tableColumn id="10955" xr3:uid="{E6A0D557-22F7-43C5-B74F-86B5B2BB3387}" name="Column10941"/>
    <tableColumn id="10956" xr3:uid="{77F5E87E-5895-410D-9642-F69167CC96DF}" name="Column10942"/>
    <tableColumn id="10957" xr3:uid="{688C658B-2E55-4188-94EB-10C150ED6EEE}" name="Column10943"/>
    <tableColumn id="10958" xr3:uid="{22761F98-E5D7-4442-996A-F887276A327B}" name="Column10944"/>
    <tableColumn id="10959" xr3:uid="{AE1199F9-4CBE-4373-B1A6-5251E9EE1470}" name="Column10945"/>
    <tableColumn id="10960" xr3:uid="{69FBD880-D11B-49BE-A970-F6E821E99530}" name="Column10946"/>
    <tableColumn id="10961" xr3:uid="{C7ED4F05-ECEC-4ADD-BFDF-ACCEBD860357}" name="Column10947"/>
    <tableColumn id="10962" xr3:uid="{06197FBF-D182-41B7-A971-BBAF090630E6}" name="Column10948"/>
    <tableColumn id="10963" xr3:uid="{4C4D9EC2-BD60-4DE6-83B5-1353E82111D9}" name="Column10949"/>
    <tableColumn id="10964" xr3:uid="{1A05102F-6424-4A62-8952-764141DCC5D6}" name="Column10950"/>
    <tableColumn id="10965" xr3:uid="{CECE7BFB-5A5A-469D-91D5-15BD82DD1DFF}" name="Column10951"/>
    <tableColumn id="10966" xr3:uid="{369076D1-EA86-41D0-AF3F-4C666363DFE6}" name="Column10952"/>
    <tableColumn id="10967" xr3:uid="{A960F385-0515-4AD2-9682-E6427876F276}" name="Column10953"/>
    <tableColumn id="10968" xr3:uid="{F648DF5F-6EC7-4866-AABC-B0972267D47D}" name="Column10954"/>
    <tableColumn id="10969" xr3:uid="{7F60B03B-C5DB-46D7-A78C-0D45E5628F54}" name="Column10955"/>
    <tableColumn id="10970" xr3:uid="{69E2D8A7-AB7B-4C61-ADC4-547ED9533AC6}" name="Column10956"/>
    <tableColumn id="10971" xr3:uid="{5BCAB850-3354-4B24-BCDA-396781AD9D10}" name="Column10957"/>
    <tableColumn id="10972" xr3:uid="{10EF6524-A969-49C9-8186-3B76605ABB08}" name="Column10958"/>
    <tableColumn id="10973" xr3:uid="{5EFD8F20-168E-4940-9E55-0B429C5563FA}" name="Column10959"/>
    <tableColumn id="10974" xr3:uid="{4EA74A7A-70A0-4FBA-AA1E-C67A26C63238}" name="Column10960"/>
    <tableColumn id="10975" xr3:uid="{A01383EB-64BD-473D-87F0-91C95179A8C1}" name="Column10961"/>
    <tableColumn id="10976" xr3:uid="{3A4ED40D-FDC9-467A-84B3-37523CA415C5}" name="Column10962"/>
    <tableColumn id="10977" xr3:uid="{B869E716-8DED-4187-94E4-9ACA320EF10D}" name="Column10963"/>
    <tableColumn id="10978" xr3:uid="{E8E7E39E-8F9C-41D1-9BBA-61E8FAD48424}" name="Column10964"/>
    <tableColumn id="10979" xr3:uid="{3ABE7132-5F50-4B20-925D-28F81EF2F675}" name="Column10965"/>
    <tableColumn id="10980" xr3:uid="{99D0CC40-1ABB-42D0-BFB1-776369D24966}" name="Column10966"/>
    <tableColumn id="10981" xr3:uid="{488F6872-1227-4AAB-B00B-FAD9E1BB78E9}" name="Column10967"/>
    <tableColumn id="10982" xr3:uid="{6247AAAF-1A01-4BC1-825E-311135C47199}" name="Column10968"/>
    <tableColumn id="10983" xr3:uid="{04525403-8BED-424F-98A5-AA674330EF1D}" name="Column10969"/>
    <tableColumn id="10984" xr3:uid="{A1B89026-4A70-4E9B-96D7-970D16CD4E51}" name="Column10970"/>
    <tableColumn id="10985" xr3:uid="{3F18CC5B-C798-4D7A-AAAC-3D46007FE274}" name="Column10971"/>
    <tableColumn id="10986" xr3:uid="{F8507CF1-9075-4B2F-9466-48961DBE1A70}" name="Column10972"/>
    <tableColumn id="10987" xr3:uid="{348ECBF2-9900-48C6-AB0D-EB34D64EAFA6}" name="Column10973"/>
    <tableColumn id="10988" xr3:uid="{F1F6E010-CF13-480C-8B4E-CE149FCF2BE1}" name="Column10974"/>
    <tableColumn id="10989" xr3:uid="{88049B9E-E6B1-4C92-86FC-21CDBE090A68}" name="Column10975"/>
    <tableColumn id="10990" xr3:uid="{BC9C1706-CEDF-4D5F-BB52-D97BBEEEB347}" name="Column10976"/>
    <tableColumn id="10991" xr3:uid="{2ABB7713-2DA8-465B-9058-9389F0597792}" name="Column10977"/>
    <tableColumn id="10992" xr3:uid="{194CC143-F207-4962-8192-DA782EF18BD9}" name="Column10978"/>
    <tableColumn id="10993" xr3:uid="{45EC488E-8679-4B19-8ADB-0E1AFA1A79D0}" name="Column10979"/>
    <tableColumn id="10994" xr3:uid="{7774F49E-6E92-4A94-B4C3-F1389927DA16}" name="Column10980"/>
    <tableColumn id="10995" xr3:uid="{76E87B07-BA39-4289-9D08-75C670925108}" name="Column10981"/>
    <tableColumn id="10996" xr3:uid="{6B54F7DA-9F93-40F2-9FEC-0E6B01C5FFE2}" name="Column10982"/>
    <tableColumn id="10997" xr3:uid="{396B15B5-3F8D-46E7-BCFE-CFC440030536}" name="Column10983"/>
    <tableColumn id="10998" xr3:uid="{3C0F6976-3D05-4871-B70E-FE3D75EAEDE0}" name="Column10984"/>
    <tableColumn id="10999" xr3:uid="{7E3116A6-8759-45B2-9B7A-E887EE347506}" name="Column10985"/>
    <tableColumn id="11000" xr3:uid="{5CD7A9A3-1ABE-44AF-B2BD-116EC3E08655}" name="Column10986"/>
    <tableColumn id="11001" xr3:uid="{90F52AFB-4D51-40EF-BD18-A057EC3E82A0}" name="Column10987"/>
    <tableColumn id="11002" xr3:uid="{A9298636-6771-443A-ADF7-F1C39E8C2F92}" name="Column10988"/>
    <tableColumn id="11003" xr3:uid="{11628AD6-EAB4-41BB-B116-72D863DF8937}" name="Column10989"/>
    <tableColumn id="11004" xr3:uid="{B2D989F6-79CA-4C39-B9C8-3B4C96BB8B71}" name="Column10990"/>
    <tableColumn id="11005" xr3:uid="{D0BBCAFD-7038-41C6-A9C2-3FDE691C3FE0}" name="Column10991"/>
    <tableColumn id="11006" xr3:uid="{00B8F56E-7362-428E-85BA-ED4298895FD5}" name="Column10992"/>
    <tableColumn id="11007" xr3:uid="{8CAE53C2-37BA-4FD2-8991-3098158CBB9F}" name="Column10993"/>
    <tableColumn id="11008" xr3:uid="{52D62077-A560-450E-A08D-DF0B7E7AE4EB}" name="Column10994"/>
    <tableColumn id="11009" xr3:uid="{5DF40637-22C8-4D64-B084-50DC187457B4}" name="Column10995"/>
    <tableColumn id="11010" xr3:uid="{DEB6206B-1014-4AB4-A451-C68B7E3A5A73}" name="Column10996"/>
    <tableColumn id="11011" xr3:uid="{8A0FF09F-D450-4554-925D-BED6F047E98C}" name="Column10997"/>
    <tableColumn id="11012" xr3:uid="{C8535461-CC54-477E-8D4D-582E8D487CF0}" name="Column10998"/>
    <tableColumn id="11013" xr3:uid="{49A206CC-1FF8-4A94-97F4-8C3457012AE9}" name="Column10999"/>
    <tableColumn id="11014" xr3:uid="{0A5DE472-FD7D-4164-B088-FC58B5C6D4CF}" name="Column11000"/>
    <tableColumn id="11015" xr3:uid="{3F2EE2AF-27F1-41AA-9B48-9CC477011696}" name="Column11001"/>
    <tableColumn id="11016" xr3:uid="{C436EEDB-3E83-4CDB-9FE6-7DEEC00CFE31}" name="Column11002"/>
    <tableColumn id="11017" xr3:uid="{6C4EB18C-B553-4FB7-82FE-859076D1F81A}" name="Column11003"/>
    <tableColumn id="11018" xr3:uid="{B6046C27-BBC9-4018-9E5A-6B37D3992B19}" name="Column11004"/>
    <tableColumn id="11019" xr3:uid="{2C15A4D1-1DAC-4113-8A11-FB68851097D8}" name="Column11005"/>
    <tableColumn id="11020" xr3:uid="{41B588BF-D75A-4D6D-AB1D-1AC60B6CC803}" name="Column11006"/>
    <tableColumn id="11021" xr3:uid="{2F54916E-B553-4AEB-9A2B-11B1A1D0082D}" name="Column11007"/>
    <tableColumn id="11022" xr3:uid="{540972EE-4A8D-4965-A175-32A274C9E8D7}" name="Column11008"/>
    <tableColumn id="11023" xr3:uid="{C3EDEDB3-1058-43D2-95FA-4188516ABB7E}" name="Column11009"/>
    <tableColumn id="11024" xr3:uid="{D260B42D-AADF-4F87-B5DC-3CB0B51BBB8D}" name="Column11010"/>
    <tableColumn id="11025" xr3:uid="{6E2D25AC-ADCE-4629-9646-2FABA65C05C5}" name="Column11011"/>
    <tableColumn id="11026" xr3:uid="{6982759A-5765-4994-95AD-E29A05EE380B}" name="Column11012"/>
    <tableColumn id="11027" xr3:uid="{A42E03A6-0F65-48DB-A01A-F79BE7B71148}" name="Column11013"/>
    <tableColumn id="11028" xr3:uid="{E5D147E9-EF73-4D46-BB8D-39D6D722D8B1}" name="Column11014"/>
    <tableColumn id="11029" xr3:uid="{B7E1938B-24B4-433B-A31A-713099E10A1F}" name="Column11015"/>
    <tableColumn id="11030" xr3:uid="{BDFC1770-B613-428A-B070-998AED42FCE2}" name="Column11016"/>
    <tableColumn id="11031" xr3:uid="{8B1851CE-05A4-46F3-88CF-E09CD94DEB10}" name="Column11017"/>
    <tableColumn id="11032" xr3:uid="{C5F67B0F-7593-4284-81A4-C6393F0DE04F}" name="Column11018"/>
    <tableColumn id="11033" xr3:uid="{F4082C5F-55C3-4734-B4EF-96D0FE420F2C}" name="Column11019"/>
    <tableColumn id="11034" xr3:uid="{7AC35101-5D2D-4F6D-802F-42FD88EC451F}" name="Column11020"/>
    <tableColumn id="11035" xr3:uid="{7399F668-6F63-4D0C-9E76-44065F366CE1}" name="Column11021"/>
    <tableColumn id="11036" xr3:uid="{2A6B83F8-FD59-4C6A-9FB3-AB4A355CF874}" name="Column11022"/>
    <tableColumn id="11037" xr3:uid="{7EDAB8F6-DE72-4AFF-BCB7-723815117AB8}" name="Column11023"/>
    <tableColumn id="11038" xr3:uid="{7F609636-11C2-4B71-B043-3BF3FD3B5B2C}" name="Column11024"/>
    <tableColumn id="11039" xr3:uid="{8B32A6E8-2A6B-45E6-BC04-D36AA2E61179}" name="Column11025"/>
    <tableColumn id="11040" xr3:uid="{8A7CDD5F-F62C-4FDA-B17F-AD4765BA0B7C}" name="Column11026"/>
    <tableColumn id="11041" xr3:uid="{29E280A3-389D-41A9-B1C9-878BFB9C4EC0}" name="Column11027"/>
    <tableColumn id="11042" xr3:uid="{A8E68D9B-88F2-4D74-B459-CE0A77EA430C}" name="Column11028"/>
    <tableColumn id="11043" xr3:uid="{BC70C1B1-06EE-46C1-8DE4-4CAF0ECFFDF9}" name="Column11029"/>
    <tableColumn id="11044" xr3:uid="{A769D929-DB8D-4FDA-9DAD-FF6912B96E76}" name="Column11030"/>
    <tableColumn id="11045" xr3:uid="{3039B5AB-6BAE-4DE9-9F3E-FBA0A3806AEE}" name="Column11031"/>
    <tableColumn id="11046" xr3:uid="{D90B797D-2309-4532-A832-68ED6F3E0CE9}" name="Column11032"/>
    <tableColumn id="11047" xr3:uid="{6AD67EC9-682F-4295-AC8D-2A2E7D56496B}" name="Column11033"/>
    <tableColumn id="11048" xr3:uid="{BA6582D7-A92E-4877-B0AF-5F2DCE3D6BDB}" name="Column11034"/>
    <tableColumn id="11049" xr3:uid="{D27074AD-D665-4DE1-AB0F-FCC6693E5F10}" name="Column11035"/>
    <tableColumn id="11050" xr3:uid="{F082A909-3007-41B5-9963-289CAB3F60C6}" name="Column11036"/>
    <tableColumn id="11051" xr3:uid="{1AF34BF3-67DB-458F-AF1F-0F2F2F967DB7}" name="Column11037"/>
    <tableColumn id="11052" xr3:uid="{661B4F9C-93F6-43D1-8696-2C8101E82190}" name="Column11038"/>
    <tableColumn id="11053" xr3:uid="{141F58E7-0E70-4B10-A830-44870CA8F9BB}" name="Column11039"/>
    <tableColumn id="11054" xr3:uid="{659F8D36-BD58-4904-9C44-7603D5E543A0}" name="Column11040"/>
    <tableColumn id="11055" xr3:uid="{DE6F7B3F-07BA-4FAF-8A6E-57D748E0B0BD}" name="Column11041"/>
    <tableColumn id="11056" xr3:uid="{AB5C46B5-1B0E-4F91-85DD-9B35BB10A4EF}" name="Column11042"/>
    <tableColumn id="11057" xr3:uid="{843B2E4D-8365-4D9F-BE1F-A96741F928F1}" name="Column11043"/>
    <tableColumn id="11058" xr3:uid="{641155F3-25A6-4EBF-8758-72C5D8CB8F3A}" name="Column11044"/>
    <tableColumn id="11059" xr3:uid="{42F9C0D5-BD1D-425B-A45B-0D5D752791DD}" name="Column11045"/>
    <tableColumn id="11060" xr3:uid="{9913637F-88CC-4753-86C8-C7EB10BDB3DD}" name="Column11046"/>
    <tableColumn id="11061" xr3:uid="{E880CF0B-B743-48C0-AB51-2C2B333C9925}" name="Column11047"/>
    <tableColumn id="11062" xr3:uid="{A41E29AC-7B30-4618-9CB8-D251E8E7ED99}" name="Column11048"/>
    <tableColumn id="11063" xr3:uid="{B72E53DB-E70D-41AF-8135-8935BAC1F661}" name="Column11049"/>
    <tableColumn id="11064" xr3:uid="{A12F399F-70AC-4470-9BBA-95A40F28FD93}" name="Column11050"/>
    <tableColumn id="11065" xr3:uid="{9DD6F43D-8DB5-4A9B-8874-372FF8671ACE}" name="Column11051"/>
    <tableColumn id="11066" xr3:uid="{2ECF9BDB-6E55-4FBA-B43A-5F3CE1807765}" name="Column11052"/>
    <tableColumn id="11067" xr3:uid="{DFC15372-4D90-4185-BDB9-E3F0C2A91644}" name="Column11053"/>
    <tableColumn id="11068" xr3:uid="{1A50C211-74AE-4107-BE17-97CE9DE467AB}" name="Column11054"/>
    <tableColumn id="11069" xr3:uid="{0009DB3C-F058-4A75-BFD9-AC65B57D8B90}" name="Column11055"/>
    <tableColumn id="11070" xr3:uid="{D68B4EA4-926F-4AD1-991B-BDA19817A12D}" name="Column11056"/>
    <tableColumn id="11071" xr3:uid="{2D10E26F-E9AC-4213-9929-23274A4A74C7}" name="Column11057"/>
    <tableColumn id="11072" xr3:uid="{8056BE66-6E33-4CCE-96B6-F8B2C248185F}" name="Column11058"/>
    <tableColumn id="11073" xr3:uid="{31B30AF5-23F0-4BDD-B0A0-EB0C6F055547}" name="Column11059"/>
    <tableColumn id="11074" xr3:uid="{A2A8B9BB-BCA9-4770-9CB3-F8EC970F2146}" name="Column11060"/>
    <tableColumn id="11075" xr3:uid="{397557E3-D2EC-47AE-9E95-C1484527EF6E}" name="Column11061"/>
    <tableColumn id="11076" xr3:uid="{3A6A3D88-634C-44BC-9096-B4AB0274EE57}" name="Column11062"/>
    <tableColumn id="11077" xr3:uid="{D6A88BAA-6F5D-4617-94B4-C65766456C7C}" name="Column11063"/>
    <tableColumn id="11078" xr3:uid="{24D45581-2B32-48D7-B033-81D5C5A8BC99}" name="Column11064"/>
    <tableColumn id="11079" xr3:uid="{4D6D902C-E622-44AC-96F7-0AB2FE8A1C1F}" name="Column11065"/>
    <tableColumn id="11080" xr3:uid="{56302A1F-1E38-477A-8D8F-7463CD1F4757}" name="Column11066"/>
    <tableColumn id="11081" xr3:uid="{C8E4BFF7-BF84-47BA-8659-346DD008A095}" name="Column11067"/>
    <tableColumn id="11082" xr3:uid="{D58E6E24-37E1-46B9-88C3-6D0A942CBA42}" name="Column11068"/>
    <tableColumn id="11083" xr3:uid="{9D1C1EA7-5286-4C3C-B8E7-CCBCEF3930BC}" name="Column11069"/>
    <tableColumn id="11084" xr3:uid="{4A4B5056-2AB4-48AA-B8B8-37490DA0BFAB}" name="Column11070"/>
    <tableColumn id="11085" xr3:uid="{6E519CFF-60DB-4689-A1B5-323B711B9AB8}" name="Column11071"/>
    <tableColumn id="11086" xr3:uid="{B3BBEAC0-79CE-4F5A-B859-F53806BBA653}" name="Column11072"/>
    <tableColumn id="11087" xr3:uid="{6728A737-9ADB-498A-9B7D-7CD41182C923}" name="Column11073"/>
    <tableColumn id="11088" xr3:uid="{4EC7930B-E742-409D-9622-7CCF69FC46E5}" name="Column11074"/>
    <tableColumn id="11089" xr3:uid="{D8C64B73-2BF5-470C-9956-1466F8066252}" name="Column11075"/>
    <tableColumn id="11090" xr3:uid="{84D9E5E5-661D-4EC3-9C19-404CA437FC10}" name="Column11076"/>
    <tableColumn id="11091" xr3:uid="{C79188E3-D8D4-4F71-A758-E68587C86A7B}" name="Column11077"/>
    <tableColumn id="11092" xr3:uid="{00C1EAF8-2A32-453E-8FFF-A7E8D8DF0D3A}" name="Column11078"/>
    <tableColumn id="11093" xr3:uid="{6A99F2F7-A18C-4A23-9FC9-CB30365B09AA}" name="Column11079"/>
    <tableColumn id="11094" xr3:uid="{D39B34DE-A77A-474B-8A86-CA8FF99C6CB8}" name="Column11080"/>
    <tableColumn id="11095" xr3:uid="{8C8AEAB9-2CB8-4CFF-A48A-8582B08B8D42}" name="Column11081"/>
    <tableColumn id="11096" xr3:uid="{C4A2E3A4-0633-4EE2-9D80-95C022EE7A84}" name="Column11082"/>
    <tableColumn id="11097" xr3:uid="{E2ACFD3A-BD3F-44D2-954C-DD345B94BB9D}" name="Column11083"/>
    <tableColumn id="11098" xr3:uid="{876BDCE2-A08B-4A38-B192-5D166180A401}" name="Column11084"/>
    <tableColumn id="11099" xr3:uid="{E1026C92-534E-4871-AD76-AD2F857359B6}" name="Column11085"/>
    <tableColumn id="11100" xr3:uid="{5CC70ECF-21F7-4149-9E83-3861747BB096}" name="Column11086"/>
    <tableColumn id="11101" xr3:uid="{E0A2DD3C-78BE-4DCE-BC44-FE1ED2A00A6B}" name="Column11087"/>
    <tableColumn id="11102" xr3:uid="{A3598861-782F-44BE-88A1-53EF6D173BC9}" name="Column11088"/>
    <tableColumn id="11103" xr3:uid="{A805CD3E-5C38-431F-A3B8-E6E4384B9CB1}" name="Column11089"/>
    <tableColumn id="11104" xr3:uid="{B20402C9-7661-4AA9-B6ED-7DAD2A9EC920}" name="Column11090"/>
    <tableColumn id="11105" xr3:uid="{B19BFB71-811F-419C-B9AC-2D7C20FDD911}" name="Column11091"/>
    <tableColumn id="11106" xr3:uid="{0F4B6AD4-259D-42AE-8E03-3840B8DF467B}" name="Column11092"/>
    <tableColumn id="11107" xr3:uid="{71AD44D2-15D3-4449-9767-CE88F8284BBD}" name="Column11093"/>
    <tableColumn id="11108" xr3:uid="{2E43B5CA-A8EE-4851-AD67-B759BC149A08}" name="Column11094"/>
    <tableColumn id="11109" xr3:uid="{A289C773-EA65-4AEB-B52D-DC33E31AEC15}" name="Column11095"/>
    <tableColumn id="11110" xr3:uid="{3309022E-B0D2-4CBD-A712-AEB5B9C0A529}" name="Column11096"/>
    <tableColumn id="11111" xr3:uid="{DCBAFD8D-163E-4B69-A4C6-667AC1A9045D}" name="Column11097"/>
    <tableColumn id="11112" xr3:uid="{F5CB1DD9-C964-4AB1-9EF6-E534FA4DD7A8}" name="Column11098"/>
    <tableColumn id="11113" xr3:uid="{35A1387A-9F6D-4B5A-A153-CE14B35AC93A}" name="Column11099"/>
    <tableColumn id="11114" xr3:uid="{FA115E73-958E-42A6-A804-2D9FB58EB1A2}" name="Column11100"/>
    <tableColumn id="11115" xr3:uid="{AE296B4F-9D25-431A-8127-BC8C89EB7CFB}" name="Column11101"/>
    <tableColumn id="11116" xr3:uid="{48D89D5B-DEE0-4A72-97EC-9FE6C2B9A601}" name="Column11102"/>
    <tableColumn id="11117" xr3:uid="{A1DEBD55-05A6-4D36-91BF-677593FD270F}" name="Column11103"/>
    <tableColumn id="11118" xr3:uid="{4CEF86E8-9108-4402-BA87-234208F91D5E}" name="Column11104"/>
    <tableColumn id="11119" xr3:uid="{5BF64FCC-A310-4435-BBB3-4DBEBB628777}" name="Column11105"/>
    <tableColumn id="11120" xr3:uid="{768E3A73-716C-41B0-AD34-ABB58C0F416B}" name="Column11106"/>
    <tableColumn id="11121" xr3:uid="{425BBA20-D41D-4D08-A15D-63CF09B9EAAC}" name="Column11107"/>
    <tableColumn id="11122" xr3:uid="{1A9110B9-3212-46A3-A43D-CF88B1B09005}" name="Column11108"/>
    <tableColumn id="11123" xr3:uid="{2FB28425-ABE4-469A-A200-B4118E1ECB45}" name="Column11109"/>
    <tableColumn id="11124" xr3:uid="{E97C98CF-1C0A-4771-9C92-247ED3D95513}" name="Column11110"/>
    <tableColumn id="11125" xr3:uid="{898FB14D-CE1B-4763-87DD-C5E36A25AAF8}" name="Column11111"/>
    <tableColumn id="11126" xr3:uid="{5955C9B0-C7FA-4BDF-B443-6755BC993D1D}" name="Column11112"/>
    <tableColumn id="11127" xr3:uid="{FDAEC81B-8B37-4565-B971-2CE0CED48DCA}" name="Column11113"/>
    <tableColumn id="11128" xr3:uid="{2C1B16E9-F355-4285-8082-E29DC04AD850}" name="Column11114"/>
    <tableColumn id="11129" xr3:uid="{B214BDDD-E437-4CD4-9EFA-C5ADA1EA6FD1}" name="Column11115"/>
    <tableColumn id="11130" xr3:uid="{5B7EF1CD-A128-4823-9A27-DFCE4023D34D}" name="Column11116"/>
    <tableColumn id="11131" xr3:uid="{A1818A37-E915-4FC1-8E88-389E71BCD516}" name="Column11117"/>
    <tableColumn id="11132" xr3:uid="{AD8C4C25-8449-43C7-8E1E-A3C0C45CA04C}" name="Column11118"/>
    <tableColumn id="11133" xr3:uid="{BE057F6C-C7E0-4C6C-92A3-94D3B62870C3}" name="Column11119"/>
    <tableColumn id="11134" xr3:uid="{75670927-25F2-4D8B-B251-D96FA8B20575}" name="Column11120"/>
    <tableColumn id="11135" xr3:uid="{8D63AE28-3756-40BE-A7A0-BDBBE8358B99}" name="Column11121"/>
    <tableColumn id="11136" xr3:uid="{DBF6A663-66B0-4171-A012-A11D9DA53404}" name="Column11122"/>
    <tableColumn id="11137" xr3:uid="{D692425A-9FB2-44A4-A164-DF78845CA182}" name="Column11123"/>
    <tableColumn id="11138" xr3:uid="{BBC2106D-47B5-4D9E-B124-04E3AE8527BD}" name="Column11124"/>
    <tableColumn id="11139" xr3:uid="{90F64852-BCA7-4C37-883D-9BE55281444B}" name="Column11125"/>
    <tableColumn id="11140" xr3:uid="{C192429A-F683-4C96-BE05-FF7A4A94466E}" name="Column11126"/>
    <tableColumn id="11141" xr3:uid="{80A5D070-EFEB-4A5B-8D34-88CBFF131A4E}" name="Column11127"/>
    <tableColumn id="11142" xr3:uid="{0033E9BA-6A4B-46D5-AFC7-7CF257C42C09}" name="Column11128"/>
    <tableColumn id="11143" xr3:uid="{7E487C9A-66E8-4AA0-85A1-B060C686BF59}" name="Column11129"/>
    <tableColumn id="11144" xr3:uid="{25622ED6-5AD0-4E9C-9E0B-1383F3F6C92B}" name="Column11130"/>
    <tableColumn id="11145" xr3:uid="{9A45F8F7-B8CF-48FA-A509-619B2E72212E}" name="Column11131"/>
    <tableColumn id="11146" xr3:uid="{F9BB90E8-0CE3-4959-996E-ED173D94223A}" name="Column11132"/>
    <tableColumn id="11147" xr3:uid="{F311C479-D9A3-458F-985C-5586C211271B}" name="Column11133"/>
    <tableColumn id="11148" xr3:uid="{687109CC-77EF-4651-B525-767E40F5EE2C}" name="Column11134"/>
    <tableColumn id="11149" xr3:uid="{549B5F88-F2F4-44D8-ABAC-95C0E0C02508}" name="Column11135"/>
    <tableColumn id="11150" xr3:uid="{70DA5321-FE5E-4EF6-B996-BACE0AA88730}" name="Column11136"/>
    <tableColumn id="11151" xr3:uid="{346C7207-FAD6-4CFC-844C-8C314AF5EDA1}" name="Column11137"/>
    <tableColumn id="11152" xr3:uid="{3B0861F0-4C6E-45C6-845A-C544F740E485}" name="Column11138"/>
    <tableColumn id="11153" xr3:uid="{F0B0AB6A-148F-4947-A864-B3C2564A513E}" name="Column11139"/>
    <tableColumn id="11154" xr3:uid="{373F7F3E-6914-47A2-A4F8-E68FD94308F6}" name="Column11140"/>
    <tableColumn id="11155" xr3:uid="{5399F834-96C2-4E96-9798-C646BB252A50}" name="Column11141"/>
    <tableColumn id="11156" xr3:uid="{57952B94-CCED-4EFD-92FF-90099C2E1B73}" name="Column11142"/>
    <tableColumn id="11157" xr3:uid="{F4CEDEF8-3364-40ED-81C2-70E3603DE727}" name="Column11143"/>
    <tableColumn id="11158" xr3:uid="{2487B655-6EEC-4A18-A3FA-2A7EA7A74203}" name="Column11144"/>
    <tableColumn id="11159" xr3:uid="{181D057D-8082-48DD-9699-18DBE04C8981}" name="Column11145"/>
    <tableColumn id="11160" xr3:uid="{E42E023C-9746-492B-9BF7-B107EE311418}" name="Column11146"/>
    <tableColumn id="11161" xr3:uid="{B606A18E-278F-4939-8ADD-7EBC8661548C}" name="Column11147"/>
    <tableColumn id="11162" xr3:uid="{355B707A-F9AD-47D2-A17E-FFE1AD45AC23}" name="Column11148"/>
    <tableColumn id="11163" xr3:uid="{66E9CFC1-33D7-484E-94F4-A9B4C8ADD742}" name="Column11149"/>
    <tableColumn id="11164" xr3:uid="{62E9EE70-7678-438F-897A-2CFEFD119D1A}" name="Column11150"/>
    <tableColumn id="11165" xr3:uid="{A4B92D26-FFD6-4DAC-A0D3-0A75F8468DC6}" name="Column11151"/>
    <tableColumn id="11166" xr3:uid="{2B5E0ED4-4253-4F89-94ED-E28CC0BD3F2A}" name="Column11152"/>
    <tableColumn id="11167" xr3:uid="{2B7DE83B-1E16-48AF-ACEB-909A2C85ABDE}" name="Column11153"/>
    <tableColumn id="11168" xr3:uid="{A4DB0463-A22D-4C9C-9F4C-4FE380D46C52}" name="Column11154"/>
    <tableColumn id="11169" xr3:uid="{952DFF52-1144-4C83-9598-B372C174AF10}" name="Column11155"/>
    <tableColumn id="11170" xr3:uid="{7073400F-1C11-4B2B-9818-6DB17B5FDCF1}" name="Column11156"/>
    <tableColumn id="11171" xr3:uid="{C29E66EA-ED84-4AD2-8219-7A57ED25B4D9}" name="Column11157"/>
    <tableColumn id="11172" xr3:uid="{6296E976-E539-4467-A7FC-18D9AEAE07F1}" name="Column11158"/>
    <tableColumn id="11173" xr3:uid="{2D1A5257-0DDC-4B83-B443-07D318EA23D9}" name="Column11159"/>
    <tableColumn id="11174" xr3:uid="{718BA577-1ED1-44CB-87F0-9C4DC6789F44}" name="Column11160"/>
    <tableColumn id="11175" xr3:uid="{A7C9A538-D859-4888-AD48-F2FA14EAC954}" name="Column11161"/>
    <tableColumn id="11176" xr3:uid="{26F042A0-9F52-46F2-823D-8CDBD86C562A}" name="Column11162"/>
    <tableColumn id="11177" xr3:uid="{674050C9-9902-44F5-9869-1E513EBFC85D}" name="Column11163"/>
    <tableColumn id="11178" xr3:uid="{C05AEB82-D791-4A35-83C5-37F3064216C8}" name="Column11164"/>
    <tableColumn id="11179" xr3:uid="{550735D3-9A56-43D5-89C3-AF9F6B2060F0}" name="Column11165"/>
    <tableColumn id="11180" xr3:uid="{00951DF9-BA51-4A29-A7DF-4121F5CD9857}" name="Column11166"/>
    <tableColumn id="11181" xr3:uid="{6C7D094E-527C-4736-97EC-8E64908FC435}" name="Column11167"/>
    <tableColumn id="11182" xr3:uid="{EBC8B325-36B5-4C22-92EB-34FD86A939FD}" name="Column11168"/>
    <tableColumn id="11183" xr3:uid="{111CDD8C-25BA-434A-AD80-C0793BDC5E94}" name="Column11169"/>
    <tableColumn id="11184" xr3:uid="{4E89C1EA-1F9D-4FA0-B833-DC1B619EF648}" name="Column11170"/>
    <tableColumn id="11185" xr3:uid="{7B346BEF-B220-409F-BBEA-92AE73812295}" name="Column11171"/>
    <tableColumn id="11186" xr3:uid="{C09382D4-5E9F-40DE-9796-B8186FABCAF8}" name="Column11172"/>
    <tableColumn id="11187" xr3:uid="{6565ACB4-2384-45C7-9AC7-F2D4B92E2944}" name="Column11173"/>
    <tableColumn id="11188" xr3:uid="{9B902B8D-AC42-47C3-B6D2-1BE1A32A0B0D}" name="Column11174"/>
    <tableColumn id="11189" xr3:uid="{AA193D89-A8D8-4178-B63A-67C44FC502B3}" name="Column11175"/>
    <tableColumn id="11190" xr3:uid="{7C6F4C80-535A-4256-BD4E-FECB2FBBBC20}" name="Column11176"/>
    <tableColumn id="11191" xr3:uid="{25EE5342-39F3-44B6-8B75-E8DC2F6C2B27}" name="Column11177"/>
    <tableColumn id="11192" xr3:uid="{85FA417C-D000-4385-9B5C-2886D0A17CD1}" name="Column11178"/>
    <tableColumn id="11193" xr3:uid="{8BC61130-BE8D-4B30-9009-8D83AEBFC25E}" name="Column11179"/>
    <tableColumn id="11194" xr3:uid="{BE0B6455-820B-4C8B-88E8-6683D5EA7DBC}" name="Column11180"/>
    <tableColumn id="11195" xr3:uid="{42F73999-B64C-4024-84AF-CA93EF0787FC}" name="Column11181"/>
    <tableColumn id="11196" xr3:uid="{CA3584E7-7097-442A-9729-49A39CD83686}" name="Column11182"/>
    <tableColumn id="11197" xr3:uid="{37F3DFB2-DCC0-46C9-AB0B-09C9CECD23B2}" name="Column11183"/>
    <tableColumn id="11198" xr3:uid="{D42BF310-7ED8-49C9-9340-22C66C798BA1}" name="Column11184"/>
    <tableColumn id="11199" xr3:uid="{1466EA97-C501-47E8-974A-815EDF70F488}" name="Column11185"/>
    <tableColumn id="11200" xr3:uid="{BC68C417-0854-4091-A9E9-7FD7A118F09C}" name="Column11186"/>
    <tableColumn id="11201" xr3:uid="{E5164B0C-AB2E-4FE9-A2E8-FE7E8530F12A}" name="Column11187"/>
    <tableColumn id="11202" xr3:uid="{298043EC-8E51-42AF-A54D-71A6BA2561E2}" name="Column11188"/>
    <tableColumn id="11203" xr3:uid="{4A70CFFF-2E66-4C26-A88E-6351165F3FC2}" name="Column11189"/>
    <tableColumn id="11204" xr3:uid="{316CCF80-3EE0-458B-B623-36B0ACC54E40}" name="Column11190"/>
    <tableColumn id="11205" xr3:uid="{5E84F6F5-65B8-4CF4-A352-C4E232A249F1}" name="Column11191"/>
    <tableColumn id="11206" xr3:uid="{A3EDE2A6-3861-40C4-B7E4-A856638665AE}" name="Column11192"/>
    <tableColumn id="11207" xr3:uid="{48B1471C-99B4-4C69-9DD5-9F196C9F2BAD}" name="Column11193"/>
    <tableColumn id="11208" xr3:uid="{8D02BEF6-52EC-44B1-925A-5FA2A43A2547}" name="Column11194"/>
    <tableColumn id="11209" xr3:uid="{838B0848-4478-4EFF-9CF5-10A955E7E288}" name="Column11195"/>
    <tableColumn id="11210" xr3:uid="{3A09FCAD-D663-419B-82C1-A5A09536592D}" name="Column11196"/>
    <tableColumn id="11211" xr3:uid="{3E129106-8025-4552-A48C-5A2A750DFEA0}" name="Column11197"/>
    <tableColumn id="11212" xr3:uid="{38D1086D-1F5D-43AB-B97E-C23931239530}" name="Column11198"/>
    <tableColumn id="11213" xr3:uid="{AE714389-4291-4BEB-BBB0-3E9398A4D607}" name="Column11199"/>
    <tableColumn id="11214" xr3:uid="{48F54EC8-AF73-4790-9A7F-3C2BC45CF7F8}" name="Column11200"/>
    <tableColumn id="11215" xr3:uid="{5753244C-3CD5-4C52-9C0B-92F0C4230BBB}" name="Column11201"/>
    <tableColumn id="11216" xr3:uid="{68F6EBD1-B0A3-4722-902E-991794A2496E}" name="Column11202"/>
    <tableColumn id="11217" xr3:uid="{31B1A5E8-B6B8-4A7F-A3E1-300DE8CC3308}" name="Column11203"/>
    <tableColumn id="11218" xr3:uid="{3A3B797F-91E3-4FEA-84C0-99D2FF1F0858}" name="Column11204"/>
    <tableColumn id="11219" xr3:uid="{BD7AE1D8-164A-4070-B701-E37CEFCF65CA}" name="Column11205"/>
    <tableColumn id="11220" xr3:uid="{87810CE9-217B-4DE4-89AC-862E25909C24}" name="Column11206"/>
    <tableColumn id="11221" xr3:uid="{E4A08AED-E49A-4F5C-B6E5-C9A3EAB5FD15}" name="Column11207"/>
    <tableColumn id="11222" xr3:uid="{B0452A60-1393-4BCF-9517-5C6EC61A9790}" name="Column11208"/>
    <tableColumn id="11223" xr3:uid="{6E0651F6-80C5-45EC-8954-A5AF79E5D0DA}" name="Column11209"/>
    <tableColumn id="11224" xr3:uid="{7A285DAE-36DD-4F2B-B22B-C81B55436751}" name="Column11210"/>
    <tableColumn id="11225" xr3:uid="{D52FC016-7F83-45F2-BB52-B475DE1038DA}" name="Column11211"/>
    <tableColumn id="11226" xr3:uid="{E0F10088-048B-46B1-B550-37EA33186061}" name="Column11212"/>
    <tableColumn id="11227" xr3:uid="{D91F2896-8B2D-4CB0-B0D5-C0D9BEB21EFC}" name="Column11213"/>
    <tableColumn id="11228" xr3:uid="{F4BA5DF0-D738-45C3-9235-F63F4443C400}" name="Column11214"/>
    <tableColumn id="11229" xr3:uid="{646C6245-B7BC-4FCA-B935-772EC4BA1B9D}" name="Column11215"/>
    <tableColumn id="11230" xr3:uid="{12961B1D-2DC1-4920-B04D-E4B37D2DCFF3}" name="Column11216"/>
    <tableColumn id="11231" xr3:uid="{57454121-D09A-42C6-BB8E-87896D95FBCC}" name="Column11217"/>
    <tableColumn id="11232" xr3:uid="{C6838039-DAA1-4F1A-B63D-BC64E848F30A}" name="Column11218"/>
    <tableColumn id="11233" xr3:uid="{13C1DADE-061A-4053-AC2D-8750DA1896E6}" name="Column11219"/>
    <tableColumn id="11234" xr3:uid="{35DAA3FD-DDFA-4B05-9B35-A8CB5F3E3266}" name="Column11220"/>
    <tableColumn id="11235" xr3:uid="{C2FC6494-FBB2-4CB4-93F9-4A937B1566EC}" name="Column11221"/>
    <tableColumn id="11236" xr3:uid="{360012AD-847B-4282-8C3E-F64C8C0B79F8}" name="Column11222"/>
    <tableColumn id="11237" xr3:uid="{42E80AC2-1AD4-4CD9-9510-21CB9CA49C04}" name="Column11223"/>
    <tableColumn id="11238" xr3:uid="{7F5611E2-F3C9-4FA6-B827-6736042126AF}" name="Column11224"/>
    <tableColumn id="11239" xr3:uid="{ED911698-FC54-485E-9C58-415585D40893}" name="Column11225"/>
    <tableColumn id="11240" xr3:uid="{D52D1FD8-54A4-495C-B248-F418F428D6AC}" name="Column11226"/>
    <tableColumn id="11241" xr3:uid="{1F10DA24-22AA-4EC2-8EA7-378B5D0985A5}" name="Column11227"/>
    <tableColumn id="11242" xr3:uid="{049E3EA2-8E45-4D5B-9318-51C7AF78C38F}" name="Column11228"/>
    <tableColumn id="11243" xr3:uid="{C6D08F66-49C5-4E37-B09C-EE2BFE98050E}" name="Column11229"/>
    <tableColumn id="11244" xr3:uid="{C6AEBD46-1464-4111-BBC0-5EBED64BF679}" name="Column11230"/>
    <tableColumn id="11245" xr3:uid="{CBC075E9-0E04-4857-932A-69B05233745F}" name="Column11231"/>
    <tableColumn id="11246" xr3:uid="{48EA8947-B91C-4A13-8FC0-BC3A0EE844FB}" name="Column11232"/>
    <tableColumn id="11247" xr3:uid="{A018C905-98E3-4652-9D6C-E31A13F0EA86}" name="Column11233"/>
    <tableColumn id="11248" xr3:uid="{B51BA73D-7072-4B11-A692-0A1D72503092}" name="Column11234"/>
    <tableColumn id="11249" xr3:uid="{4C576AF5-70B2-41A4-8645-C650FAB0DB13}" name="Column11235"/>
    <tableColumn id="11250" xr3:uid="{30051DF5-BB62-4386-831E-8815E00321BA}" name="Column11236"/>
    <tableColumn id="11251" xr3:uid="{321CAB58-C6AE-4855-A512-35FC501658D1}" name="Column11237"/>
    <tableColumn id="11252" xr3:uid="{C6D6701C-C88A-425D-8F5C-EB28128B0C44}" name="Column11238"/>
    <tableColumn id="11253" xr3:uid="{36228311-91A0-48A6-BF5D-77840E95D2CE}" name="Column11239"/>
    <tableColumn id="11254" xr3:uid="{7C3928B4-A26F-4011-8336-F45C365B7507}" name="Column11240"/>
    <tableColumn id="11255" xr3:uid="{D6860037-3876-40B2-B138-05C7999F630E}" name="Column11241"/>
    <tableColumn id="11256" xr3:uid="{51F6BED2-22DC-4182-ABE3-50F4477A5D5A}" name="Column11242"/>
    <tableColumn id="11257" xr3:uid="{81C5DDA4-344E-486E-95B1-98A6174D4309}" name="Column11243"/>
    <tableColumn id="11258" xr3:uid="{62A5148D-D6F3-47A5-B41A-A555628E5B42}" name="Column11244"/>
    <tableColumn id="11259" xr3:uid="{E66AC31C-B316-44A4-AD5C-467E1F4E9B3E}" name="Column11245"/>
    <tableColumn id="11260" xr3:uid="{667F78B1-E32F-4A25-9194-2EF0CC24BEC2}" name="Column11246"/>
    <tableColumn id="11261" xr3:uid="{7132C949-D389-4CFF-AE1F-8B4BB7237941}" name="Column11247"/>
    <tableColumn id="11262" xr3:uid="{F5ED3E26-1CF7-4944-81A3-B1F546EF58A9}" name="Column11248"/>
    <tableColumn id="11263" xr3:uid="{E6AE2BF8-F326-46BC-8135-16C7E1DC6FFD}" name="Column11249"/>
    <tableColumn id="11264" xr3:uid="{72E7A073-0688-4C31-BE43-9890DC49BE32}" name="Column11250"/>
    <tableColumn id="11265" xr3:uid="{C8D33176-E4FC-4394-991A-9F10C8C15222}" name="Column11251"/>
    <tableColumn id="11266" xr3:uid="{55E8255E-6423-4E56-AF5B-4404495A63BD}" name="Column11252"/>
    <tableColumn id="11267" xr3:uid="{687EBF43-FD78-4F2F-9304-7813FB29290D}" name="Column11253"/>
    <tableColumn id="11268" xr3:uid="{4B6966CD-21EC-4528-ABBB-863F48675A90}" name="Column11254"/>
    <tableColumn id="11269" xr3:uid="{568CBB79-AB69-4233-AD8D-710CEB59DA9D}" name="Column11255"/>
    <tableColumn id="11270" xr3:uid="{D198AD57-AB6F-49A4-A594-40A5DAE22431}" name="Column11256"/>
    <tableColumn id="11271" xr3:uid="{5172D865-A662-4075-BC01-041AAF305613}" name="Column11257"/>
    <tableColumn id="11272" xr3:uid="{859F3280-FB26-4032-BBA1-8A59F0E01AE9}" name="Column11258"/>
    <tableColumn id="11273" xr3:uid="{F5F6773E-B44B-429E-82A1-6D8EA0BF9C19}" name="Column11259"/>
    <tableColumn id="11274" xr3:uid="{460D14DA-1227-49E2-A391-64AB99E7CE5E}" name="Column11260"/>
    <tableColumn id="11275" xr3:uid="{17CE5B5A-0AC4-49CB-A8AC-2C4CED0FEED7}" name="Column11261"/>
    <tableColumn id="11276" xr3:uid="{0D404A35-8B71-451E-BE57-2F84309DFE22}" name="Column11262"/>
    <tableColumn id="11277" xr3:uid="{D2614365-1FDF-4E04-8185-EA1DCCD4DDAA}" name="Column11263"/>
    <tableColumn id="11278" xr3:uid="{D9F38161-47D6-4962-A973-4E512846085D}" name="Column11264"/>
    <tableColumn id="11279" xr3:uid="{C30718DD-0D06-4E32-88A1-19389457A00F}" name="Column11265"/>
    <tableColumn id="11280" xr3:uid="{5BA22F80-0EB4-47B7-8458-F90DBBD94D07}" name="Column11266"/>
    <tableColumn id="11281" xr3:uid="{5973F499-119A-4029-B041-0542D0DE373A}" name="Column11267"/>
    <tableColumn id="11282" xr3:uid="{0E74DF63-D9F6-4D5C-80D2-88578CCFF7F2}" name="Column11268"/>
    <tableColumn id="11283" xr3:uid="{80069304-1947-40E7-97F9-72F6DF40D695}" name="Column11269"/>
    <tableColumn id="11284" xr3:uid="{D53E85E8-89C3-4D84-B153-F2E50CDB32F8}" name="Column11270"/>
    <tableColumn id="11285" xr3:uid="{E155F09C-CAA2-4B33-B61A-2ED53E171647}" name="Column11271"/>
    <tableColumn id="11286" xr3:uid="{A6A1FAEB-A48F-4E47-ADBE-597DEE73CE59}" name="Column11272"/>
    <tableColumn id="11287" xr3:uid="{33730E32-6197-4B6E-8303-27D6515672A2}" name="Column11273"/>
    <tableColumn id="11288" xr3:uid="{3CC86F3C-D830-40E0-BF5D-BB952C0C531E}" name="Column11274"/>
    <tableColumn id="11289" xr3:uid="{C8D6D4E0-1B4B-4950-AEBF-73CD1C1F31E0}" name="Column11275"/>
    <tableColumn id="11290" xr3:uid="{56500F9B-31FF-44DE-95F1-7E7F15A2218E}" name="Column11276"/>
    <tableColumn id="11291" xr3:uid="{4BFEECB7-E561-4411-8B0B-5C1082D60BB3}" name="Column11277"/>
    <tableColumn id="11292" xr3:uid="{857EFFE0-B7C6-4D7B-86A1-EA23C008CB70}" name="Column11278"/>
    <tableColumn id="11293" xr3:uid="{AAC47858-1C74-41CB-B1E4-45A990E57521}" name="Column11279"/>
    <tableColumn id="11294" xr3:uid="{065B5ADB-F447-48EE-A94B-2C67E8138ACF}" name="Column11280"/>
    <tableColumn id="11295" xr3:uid="{E156A802-B5D1-4293-86B0-3B59D3AE497F}" name="Column11281"/>
    <tableColumn id="11296" xr3:uid="{CDDAA1AB-8FB2-4396-A9CC-8C388AD27F15}" name="Column11282"/>
    <tableColumn id="11297" xr3:uid="{0468E816-2D90-4D3E-99CD-9F647B65B649}" name="Column11283"/>
    <tableColumn id="11298" xr3:uid="{A2BBB1CD-C1AD-49A4-A90F-41B0ADEADE99}" name="Column11284"/>
    <tableColumn id="11299" xr3:uid="{A38B1151-10FE-4F66-98EA-6316A9E17A8A}" name="Column11285"/>
    <tableColumn id="11300" xr3:uid="{76739114-9F5D-4D08-9092-F04DEC6391F1}" name="Column11286"/>
    <tableColumn id="11301" xr3:uid="{41C95E23-D145-471F-8CCF-5E6D9D37BAD6}" name="Column11287"/>
    <tableColumn id="11302" xr3:uid="{00FA50F7-0BD2-4A60-B4A3-1C59021704C6}" name="Column11288"/>
    <tableColumn id="11303" xr3:uid="{95341999-702A-4A2E-8F49-E6BDE91574D6}" name="Column11289"/>
    <tableColumn id="11304" xr3:uid="{8AB53850-7F04-4526-AD03-92D9999000A9}" name="Column11290"/>
    <tableColumn id="11305" xr3:uid="{0E6CBE55-5435-43A8-87A0-F026EBCBA182}" name="Column11291"/>
    <tableColumn id="11306" xr3:uid="{873E216D-7CE9-4CA2-BF24-E5A6505AD34D}" name="Column11292"/>
    <tableColumn id="11307" xr3:uid="{1E6CB0F3-AF4F-4CED-AA4F-8E757634AD10}" name="Column11293"/>
    <tableColumn id="11308" xr3:uid="{9F61E5B9-1983-4E47-BCED-C0634FAA6459}" name="Column11294"/>
    <tableColumn id="11309" xr3:uid="{92D0085F-CB31-42A6-9FEC-A0B2F1E41346}" name="Column11295"/>
    <tableColumn id="11310" xr3:uid="{931D11E5-5349-45C5-9A40-B21EEF61A795}" name="Column11296"/>
    <tableColumn id="11311" xr3:uid="{0458A4DD-CAAE-4738-957C-C1FA878EA9D0}" name="Column11297"/>
    <tableColumn id="11312" xr3:uid="{E62BF145-0226-4251-981C-DBF2A8E2A5A1}" name="Column11298"/>
    <tableColumn id="11313" xr3:uid="{2C81D9C7-8340-476A-B3F4-E115D0CC6D3B}" name="Column11299"/>
    <tableColumn id="11314" xr3:uid="{A6C5D64A-064E-4EC4-BD95-38B1ED30B6C0}" name="Column11300"/>
    <tableColumn id="11315" xr3:uid="{76D4398B-90B7-46C4-89D4-9CC9340EFEE9}" name="Column11301"/>
    <tableColumn id="11316" xr3:uid="{1E37EFAB-81D4-43F0-AB3B-060976C7BC0F}" name="Column11302"/>
    <tableColumn id="11317" xr3:uid="{44A7CC59-3E65-43A6-A0C9-AA1C77238F66}" name="Column11303"/>
    <tableColumn id="11318" xr3:uid="{EAA48B83-58EB-469A-B5CB-770BCE2B4BBB}" name="Column11304"/>
    <tableColumn id="11319" xr3:uid="{7D41DA01-37D2-41CD-8592-03C95D496E0E}" name="Column11305"/>
    <tableColumn id="11320" xr3:uid="{929D2AEF-DA2F-4F4F-8F83-AD65EC763050}" name="Column11306"/>
    <tableColumn id="11321" xr3:uid="{E07071B4-BF3E-4230-A6BC-96AE731363BE}" name="Column11307"/>
    <tableColumn id="11322" xr3:uid="{30437B05-D189-4E59-AF4B-1BF02CBEE43C}" name="Column11308"/>
    <tableColumn id="11323" xr3:uid="{E69FDC13-2517-4DFE-999B-9E18429694E0}" name="Column11309"/>
    <tableColumn id="11324" xr3:uid="{53F41D99-F73D-4722-9DEF-6A4E1BA45A38}" name="Column11310"/>
    <tableColumn id="11325" xr3:uid="{5690F8A1-BDEB-4CC4-98B7-1EECAFEFAEAD}" name="Column11311"/>
    <tableColumn id="11326" xr3:uid="{60E2888A-70A0-4366-8EE1-A8CB0F38D06F}" name="Column11312"/>
    <tableColumn id="11327" xr3:uid="{FFBA7379-8FB5-4F13-948B-89CA7E22011C}" name="Column11313"/>
    <tableColumn id="11328" xr3:uid="{E75FC5B7-45BC-4548-A6C3-D721915A4A22}" name="Column11314"/>
    <tableColumn id="11329" xr3:uid="{69BA93EF-00B9-42E7-90BE-90726AF6D5AF}" name="Column11315"/>
    <tableColumn id="11330" xr3:uid="{56BB2762-3921-4435-AE12-A1FA72D6F4E0}" name="Column11316"/>
    <tableColumn id="11331" xr3:uid="{092F4CDA-66A1-4021-8037-75205701C3C2}" name="Column11317"/>
    <tableColumn id="11332" xr3:uid="{A1800DF4-FF9E-45E7-BCBD-290126228753}" name="Column11318"/>
    <tableColumn id="11333" xr3:uid="{A54A6A6B-29BD-4A04-AD0C-5E4DDE19C1D7}" name="Column11319"/>
    <tableColumn id="11334" xr3:uid="{AB66D545-4066-42BD-AB2C-797647DCA7A6}" name="Column11320"/>
    <tableColumn id="11335" xr3:uid="{26F1AAAD-7193-44EB-AEEF-BEFCBFA511DB}" name="Column11321"/>
    <tableColumn id="11336" xr3:uid="{814BC575-8186-48DF-9A46-46415D3509A6}" name="Column11322"/>
    <tableColumn id="11337" xr3:uid="{6083BD69-8340-48B9-A72B-8429329EF9E3}" name="Column11323"/>
    <tableColumn id="11338" xr3:uid="{37616A1C-087A-4087-A89A-4B243C747F57}" name="Column11324"/>
    <tableColumn id="11339" xr3:uid="{39000F17-1B27-42CF-A2DC-B640C70767FF}" name="Column11325"/>
    <tableColumn id="11340" xr3:uid="{B56460C8-8561-410E-802E-79A9815BF210}" name="Column11326"/>
    <tableColumn id="11341" xr3:uid="{E54665EB-EF50-4FCD-9FF9-C266AB6EDBCD}" name="Column11327"/>
    <tableColumn id="11342" xr3:uid="{A59FD83B-A6D6-436C-A413-86676F1EE7FD}" name="Column11328"/>
    <tableColumn id="11343" xr3:uid="{353921AE-3E9F-4803-9DCF-B2D00C025C66}" name="Column11329"/>
    <tableColumn id="11344" xr3:uid="{237D4258-53DC-47F9-9661-F4AE5734DFBC}" name="Column11330"/>
    <tableColumn id="11345" xr3:uid="{041DFDD9-1948-4820-A79A-489E9A6F4E61}" name="Column11331"/>
    <tableColumn id="11346" xr3:uid="{1DD1DA8C-233D-4CA7-AF6D-E6066BCCD220}" name="Column11332"/>
    <tableColumn id="11347" xr3:uid="{4A0ADFD0-418B-4CDA-8A8D-DC3A748E7788}" name="Column11333"/>
    <tableColumn id="11348" xr3:uid="{100EF1A1-8975-48D1-A3D8-E5DCE9A10509}" name="Column11334"/>
    <tableColumn id="11349" xr3:uid="{195DA458-12CB-416B-8D43-9F514D5BF744}" name="Column11335"/>
    <tableColumn id="11350" xr3:uid="{8EE41045-826E-457C-9DCD-156AB7678F08}" name="Column11336"/>
    <tableColumn id="11351" xr3:uid="{4FBFE425-0B93-475E-8044-02D5C03DDE4F}" name="Column11337"/>
    <tableColumn id="11352" xr3:uid="{98994CB7-8890-4630-B254-C355D1623592}" name="Column11338"/>
    <tableColumn id="11353" xr3:uid="{A7246FD7-E7B3-4946-B816-E63C479223D8}" name="Column11339"/>
    <tableColumn id="11354" xr3:uid="{B858AB74-E113-4B05-94E9-6E5659CE7ED0}" name="Column11340"/>
    <tableColumn id="11355" xr3:uid="{1BA3F6F6-5243-40B8-B635-682D6B26C4BD}" name="Column11341"/>
    <tableColumn id="11356" xr3:uid="{400625E3-A7A6-4A4E-BA62-5FD79C5A5D8E}" name="Column11342"/>
    <tableColumn id="11357" xr3:uid="{F5730DB2-DEEB-409B-AECF-75BCF4E721C2}" name="Column11343"/>
    <tableColumn id="11358" xr3:uid="{714BA26D-4A92-4946-A98D-457BE3A8A4BD}" name="Column11344"/>
    <tableColumn id="11359" xr3:uid="{395B88DF-C04C-4060-B6AC-6674F3D3820B}" name="Column11345"/>
    <tableColumn id="11360" xr3:uid="{87438A74-B90D-424C-9C02-65313240F927}" name="Column11346"/>
    <tableColumn id="11361" xr3:uid="{4D30C87F-0B32-497D-9E5B-C4EAA35FEE25}" name="Column11347"/>
    <tableColumn id="11362" xr3:uid="{71312894-B42C-4183-843F-AE04D2EE191F}" name="Column11348"/>
    <tableColumn id="11363" xr3:uid="{F707D6D4-4AA3-4A83-B628-11AACCBBCF27}" name="Column11349"/>
    <tableColumn id="11364" xr3:uid="{6AA5DD6A-1A10-48B6-BB43-F500334C3ECC}" name="Column11350"/>
    <tableColumn id="11365" xr3:uid="{E8FAC38D-AA3B-492D-B4CF-6E8DD607CA00}" name="Column11351"/>
    <tableColumn id="11366" xr3:uid="{13EB3D66-4C06-4A45-BCB8-F7C2EA032706}" name="Column11352"/>
    <tableColumn id="11367" xr3:uid="{C02E1A95-126A-4AC0-AC79-2E19B84AE326}" name="Column11353"/>
    <tableColumn id="11368" xr3:uid="{1867C43D-567A-453F-AD18-844187DE68A5}" name="Column11354"/>
    <tableColumn id="11369" xr3:uid="{03DA9949-59E2-4A7E-BF4F-BFB83FD1642A}" name="Column11355"/>
    <tableColumn id="11370" xr3:uid="{0944557B-CB28-48E5-B5FC-B0B9753E2775}" name="Column11356"/>
    <tableColumn id="11371" xr3:uid="{3AB6919C-7DD7-47A3-9EB1-625F5EFB0236}" name="Column11357"/>
    <tableColumn id="11372" xr3:uid="{07BDEEEA-D430-47F1-953F-33A18CFF8C9B}" name="Column11358"/>
    <tableColumn id="11373" xr3:uid="{1AABCC2E-DCC0-4A7B-B28E-4F285C2697A6}" name="Column11359"/>
    <tableColumn id="11374" xr3:uid="{8434C5DA-6663-457C-B2D7-34D600783C8B}" name="Column11360"/>
    <tableColumn id="11375" xr3:uid="{F16339EB-8CA8-4260-8A7E-E9F07B596D46}" name="Column11361"/>
    <tableColumn id="11376" xr3:uid="{370A1122-9F8A-43EA-8033-A328B3370D01}" name="Column11362"/>
    <tableColumn id="11377" xr3:uid="{4980095F-7409-442E-89B1-AE456A5D6EBD}" name="Column11363"/>
    <tableColumn id="11378" xr3:uid="{ABE06A7F-929D-4633-B09B-0BDA7F9B209D}" name="Column11364"/>
    <tableColumn id="11379" xr3:uid="{DC414C4E-559B-4140-9134-6D6A7DADF9F4}" name="Column11365"/>
    <tableColumn id="11380" xr3:uid="{46978739-F10A-416E-B6D0-DBEBD3D00682}" name="Column11366"/>
    <tableColumn id="11381" xr3:uid="{F7E31259-5920-45B6-8E60-A8722411B862}" name="Column11367"/>
    <tableColumn id="11382" xr3:uid="{5F51C110-F0CD-4A7E-9426-55F17C4495BE}" name="Column11368"/>
    <tableColumn id="11383" xr3:uid="{D6C81B13-487A-4C17-BBA2-C8CD369D6D3D}" name="Column11369"/>
    <tableColumn id="11384" xr3:uid="{157BACB2-A0A5-466D-8D4E-5C4DFC8235BD}" name="Column11370"/>
    <tableColumn id="11385" xr3:uid="{DDFBA1D3-B24B-4FC8-8AB1-71F01A0BC6C4}" name="Column11371"/>
    <tableColumn id="11386" xr3:uid="{50FC15C7-1F90-49F8-982B-91D40380902A}" name="Column11372"/>
    <tableColumn id="11387" xr3:uid="{06B6CBDF-1BF2-498D-A836-F1D8D187EE75}" name="Column11373"/>
    <tableColumn id="11388" xr3:uid="{769594E2-2382-4FB9-A630-069E486254A0}" name="Column11374"/>
    <tableColumn id="11389" xr3:uid="{2ECB2668-ADA5-486E-8372-B32C7202989F}" name="Column11375"/>
    <tableColumn id="11390" xr3:uid="{5C3C5C3E-B086-456C-89E9-E030A6AAF638}" name="Column11376"/>
    <tableColumn id="11391" xr3:uid="{E7331046-A4F4-46A0-83D9-27A767429583}" name="Column11377"/>
    <tableColumn id="11392" xr3:uid="{1CE00FDE-6ABB-4AAE-A78B-76EC275FA359}" name="Column11378"/>
    <tableColumn id="11393" xr3:uid="{653B3050-CDFB-417B-B01A-C6EA9896D40F}" name="Column11379"/>
    <tableColumn id="11394" xr3:uid="{ABED0BEB-F0FA-4162-9357-D63B70546EBA}" name="Column11380"/>
    <tableColumn id="11395" xr3:uid="{3A4E0C8E-F19A-47EF-830E-01703A59A244}" name="Column11381"/>
    <tableColumn id="11396" xr3:uid="{DD8C19B7-8EB2-4FD3-AA7C-E517C3484D4F}" name="Column11382"/>
    <tableColumn id="11397" xr3:uid="{9611CB64-DDF5-4114-93B0-FAF1578D1843}" name="Column11383"/>
    <tableColumn id="11398" xr3:uid="{EEADB68B-8E83-42B3-AE8B-286B52231DCD}" name="Column11384"/>
    <tableColumn id="11399" xr3:uid="{ACBD15F9-D873-413A-BEEB-795E39C2D37E}" name="Column11385"/>
    <tableColumn id="11400" xr3:uid="{78C44337-0376-4303-B526-A8F5F9B05DF5}" name="Column11386"/>
    <tableColumn id="11401" xr3:uid="{592D4B3C-70E5-4119-AB24-1A9B547E0546}" name="Column11387"/>
    <tableColumn id="11402" xr3:uid="{21B676B8-896A-42FC-ACDC-84569256DE03}" name="Column11388"/>
    <tableColumn id="11403" xr3:uid="{58FD8637-1BA1-4961-B83B-47D10D273D7F}" name="Column11389"/>
    <tableColumn id="11404" xr3:uid="{ABC2BD91-D022-43F5-8146-8A1B8E16B41A}" name="Column11390"/>
    <tableColumn id="11405" xr3:uid="{14C20E27-4D8F-415B-8D00-D61535401E3A}" name="Column11391"/>
    <tableColumn id="11406" xr3:uid="{EC383AB2-5A82-437C-A8E4-8D98EA74F707}" name="Column11392"/>
    <tableColumn id="11407" xr3:uid="{5E7BC15E-0D05-4B00-8FF0-9562E51F8A42}" name="Column11393"/>
    <tableColumn id="11408" xr3:uid="{CB5B5335-AD31-4879-BAD4-9682B243D725}" name="Column11394"/>
    <tableColumn id="11409" xr3:uid="{EC2A8432-5A81-4488-8D49-099444A2F17D}" name="Column11395"/>
    <tableColumn id="11410" xr3:uid="{FE7794EB-B2DA-4587-9AD9-BF14455E2649}" name="Column11396"/>
    <tableColumn id="11411" xr3:uid="{DF37B7CE-FAE7-4ED1-863F-07072F53C38F}" name="Column11397"/>
    <tableColumn id="11412" xr3:uid="{0F923BD3-5DC8-426A-A3AE-5DD58B3FDAD9}" name="Column11398"/>
    <tableColumn id="11413" xr3:uid="{F46CB636-16C5-400B-A5B0-F8BC75F311B7}" name="Column11399"/>
    <tableColumn id="11414" xr3:uid="{3ADF9D29-EBD4-49BA-9AB2-455BA79EE4ED}" name="Column11400"/>
    <tableColumn id="11415" xr3:uid="{D30671D0-A191-48A7-B031-287922EA7717}" name="Column11401"/>
    <tableColumn id="11416" xr3:uid="{4BA9BF28-AE6E-4B5E-A4CF-9C4EBA2B26E9}" name="Column11402"/>
    <tableColumn id="11417" xr3:uid="{C6E78200-34CD-4E3B-89EB-D0B744F6C6A8}" name="Column11403"/>
    <tableColumn id="11418" xr3:uid="{DBCFC164-6566-48F3-A00D-3C8D354C9010}" name="Column11404"/>
    <tableColumn id="11419" xr3:uid="{7E3C4348-96C7-4CBE-BE54-E520E9CD2E48}" name="Column11405"/>
    <tableColumn id="11420" xr3:uid="{65D80B8A-A6EF-417B-89AC-6D2D76AEA752}" name="Column11406"/>
    <tableColumn id="11421" xr3:uid="{D1DAFAF7-EE1C-4BD3-9876-47CC63BCBD78}" name="Column11407"/>
    <tableColumn id="11422" xr3:uid="{DB58DDB7-2DED-4304-9054-55A9942FCBD3}" name="Column11408"/>
    <tableColumn id="11423" xr3:uid="{8DE5BDFB-0E80-4ACA-9334-66A753F12E29}" name="Column11409"/>
    <tableColumn id="11424" xr3:uid="{33B7B6E2-CE20-46EE-8A06-66A5605AB23C}" name="Column11410"/>
    <tableColumn id="11425" xr3:uid="{357AA54C-B536-4167-B285-31F6E6130266}" name="Column11411"/>
    <tableColumn id="11426" xr3:uid="{517A8BDB-518F-4D10-866C-AA43DCED7C3C}" name="Column11412"/>
    <tableColumn id="11427" xr3:uid="{E39B2989-36A3-4EA5-9BBF-FE51CA7FD27C}" name="Column11413"/>
    <tableColumn id="11428" xr3:uid="{1A2DCBCF-4C7C-40FA-950F-4D1EE0B3D16B}" name="Column11414"/>
    <tableColumn id="11429" xr3:uid="{146BFB49-1E4D-4478-8328-A6B7DA8651C8}" name="Column11415"/>
    <tableColumn id="11430" xr3:uid="{6EAF2C3E-FBEC-479A-9E85-D058606F2424}" name="Column11416"/>
    <tableColumn id="11431" xr3:uid="{3B229203-858B-43B3-9665-8AFDCF1DFC1B}" name="Column11417"/>
    <tableColumn id="11432" xr3:uid="{E064DA60-4E1B-440A-AB55-8BAA4A471577}" name="Column11418"/>
    <tableColumn id="11433" xr3:uid="{CF32DF18-982C-467D-A6AC-743382FEDFB9}" name="Column11419"/>
    <tableColumn id="11434" xr3:uid="{C5643A66-F4C3-417C-BE94-1DC0F4D95FF1}" name="Column11420"/>
    <tableColumn id="11435" xr3:uid="{CC48B985-FC4E-4510-BCD0-A2CD1210ED53}" name="Column11421"/>
    <tableColumn id="11436" xr3:uid="{32A9EFB8-335B-4158-927A-74231620F562}" name="Column11422"/>
    <tableColumn id="11437" xr3:uid="{B5B0F13F-5EF2-48C7-9461-FB54C57BDBD4}" name="Column11423"/>
    <tableColumn id="11438" xr3:uid="{3C130442-4552-484A-9A14-8BF8901D8C4A}" name="Column11424"/>
    <tableColumn id="11439" xr3:uid="{3E095B51-5885-4412-98C3-22FBCE6EAF4E}" name="Column11425"/>
    <tableColumn id="11440" xr3:uid="{0005CE2D-4E3E-4CB0-9ADD-A904EACD8065}" name="Column11426"/>
    <tableColumn id="11441" xr3:uid="{74CA4A43-22AC-4929-912F-B587BB012300}" name="Column11427"/>
    <tableColumn id="11442" xr3:uid="{786E1C73-F08E-4CA7-BC24-90D6531DE4EF}" name="Column11428"/>
    <tableColumn id="11443" xr3:uid="{737C2354-1255-45C6-8A4F-B96D6386BFF7}" name="Column11429"/>
    <tableColumn id="11444" xr3:uid="{4897320E-F6A5-444D-80D4-81908FB54C76}" name="Column11430"/>
    <tableColumn id="11445" xr3:uid="{6253EE2A-DE72-4406-99CA-BE185F471316}" name="Column11431"/>
    <tableColumn id="11446" xr3:uid="{B4DEF4F5-E313-49A6-B932-ED85ADFB67FC}" name="Column11432"/>
    <tableColumn id="11447" xr3:uid="{638A4A2D-8657-45AF-9C77-90CE61167EAA}" name="Column11433"/>
    <tableColumn id="11448" xr3:uid="{1EE66570-1A20-4856-B9C1-044705FE9E73}" name="Column11434"/>
    <tableColumn id="11449" xr3:uid="{D99F81E6-B25B-413F-B316-81F2E8DF4868}" name="Column11435"/>
    <tableColumn id="11450" xr3:uid="{37B02F68-D6A9-483F-A06C-77A6AA3F1D58}" name="Column11436"/>
    <tableColumn id="11451" xr3:uid="{4C64B7AC-3EC7-4635-BA32-6CAF6D7A8404}" name="Column11437"/>
    <tableColumn id="11452" xr3:uid="{9C378C0C-983B-477A-A6CE-BD75ACFA9D91}" name="Column11438"/>
    <tableColumn id="11453" xr3:uid="{F7225939-81F2-4120-ACA5-6B5C5B4002BD}" name="Column11439"/>
    <tableColumn id="11454" xr3:uid="{CF8A1155-CE1E-4387-AC2C-2C3DB6C2367C}" name="Column11440"/>
    <tableColumn id="11455" xr3:uid="{48239822-FB2C-44DA-9E59-83B976B28EDA}" name="Column11441"/>
    <tableColumn id="11456" xr3:uid="{A37F2D9F-8A8D-4753-8D07-26977B8D9315}" name="Column11442"/>
    <tableColumn id="11457" xr3:uid="{EE42E88D-2930-4226-A4ED-6065E0D0113E}" name="Column11443"/>
    <tableColumn id="11458" xr3:uid="{47D7EA55-6534-45D4-B5E7-FD83E0483062}" name="Column11444"/>
    <tableColumn id="11459" xr3:uid="{D70F9A00-A997-42AD-B93B-0022248C9D45}" name="Column11445"/>
    <tableColumn id="11460" xr3:uid="{8CCCE5DA-F37B-4F7B-BA19-FD29FBA5F6C0}" name="Column11446"/>
    <tableColumn id="11461" xr3:uid="{5CD9AE3E-9B98-44F5-AD52-ABCC8B8D92D3}" name="Column11447"/>
    <tableColumn id="11462" xr3:uid="{B690C762-9153-4A4F-BB76-1352B7D15DB2}" name="Column11448"/>
    <tableColumn id="11463" xr3:uid="{F0C0A3FF-AAAB-4928-A524-7AD1F994FF04}" name="Column11449"/>
    <tableColumn id="11464" xr3:uid="{7337BE81-85BB-4C20-B878-585503C5D33B}" name="Column11450"/>
    <tableColumn id="11465" xr3:uid="{78D63075-2C3E-4BCA-B208-B6E66843CC3B}" name="Column11451"/>
    <tableColumn id="11466" xr3:uid="{C7D1E3A6-CDAF-46EC-8138-D960165CC9CD}" name="Column11452"/>
    <tableColumn id="11467" xr3:uid="{6EF1F9E3-2B3B-4517-8069-585BF53E4168}" name="Column11453"/>
    <tableColumn id="11468" xr3:uid="{CCFFDC09-D755-4445-B897-667E28C6E3EC}" name="Column11454"/>
    <tableColumn id="11469" xr3:uid="{5F3C1635-9B78-4CB2-AF8B-58899A3CBB99}" name="Column11455"/>
    <tableColumn id="11470" xr3:uid="{21B327BB-1A9C-402D-8A7F-7F07A789D850}" name="Column11456"/>
    <tableColumn id="11471" xr3:uid="{EBC596E2-F191-4DAF-BF1C-799B0120E955}" name="Column11457"/>
    <tableColumn id="11472" xr3:uid="{BF0068F2-F446-4369-B5F1-E3B299A55119}" name="Column11458"/>
    <tableColumn id="11473" xr3:uid="{8CEE5ED1-25A1-4743-A456-2F3DEC1F94A1}" name="Column11459"/>
    <tableColumn id="11474" xr3:uid="{DFF8C44E-54A1-4510-98A7-F1D8A9C06289}" name="Column11460"/>
    <tableColumn id="11475" xr3:uid="{B722171F-6B3D-473B-A9E7-8BB37165437C}" name="Column11461"/>
    <tableColumn id="11476" xr3:uid="{2E5B750A-468A-4DA4-BF9C-0304D2CE769D}" name="Column11462"/>
    <tableColumn id="11477" xr3:uid="{EB79B872-AD88-4D85-8B51-30300643C7C2}" name="Column11463"/>
    <tableColumn id="11478" xr3:uid="{5AA5ED13-9E09-4078-B98A-C1E3CFD0641A}" name="Column11464"/>
    <tableColumn id="11479" xr3:uid="{D855D6DF-ADB1-47C8-83CC-3887541B9946}" name="Column11465"/>
    <tableColumn id="11480" xr3:uid="{07938BEC-98EF-492E-AF8F-9D15EB3F6277}" name="Column11466"/>
    <tableColumn id="11481" xr3:uid="{AC63EEAE-1CA9-4B12-A707-803B89505F04}" name="Column11467"/>
    <tableColumn id="11482" xr3:uid="{A2621F34-BC5C-4BCB-A375-2C4B7C883595}" name="Column11468"/>
    <tableColumn id="11483" xr3:uid="{82FC45ED-D7E6-4C7A-978E-A99F9E549761}" name="Column11469"/>
    <tableColumn id="11484" xr3:uid="{5AAF1765-79B9-4E04-8C87-0A1CB845EF81}" name="Column11470"/>
    <tableColumn id="11485" xr3:uid="{CDA05168-8E90-43E1-958C-E7DF6E5B956E}" name="Column11471"/>
    <tableColumn id="11486" xr3:uid="{277712EB-ECCF-4BB8-ACF8-02F0DF8E30DD}" name="Column11472"/>
    <tableColumn id="11487" xr3:uid="{AAE87ABE-E9D5-4065-BDDE-FD0A77A26B86}" name="Column11473"/>
    <tableColumn id="11488" xr3:uid="{2D6250DF-D76C-41F1-BE6C-509D7ABBD2C3}" name="Column11474"/>
    <tableColumn id="11489" xr3:uid="{9688DD4A-3D5E-4AC2-A272-E235511DFDAA}" name="Column11475"/>
    <tableColumn id="11490" xr3:uid="{CA19025E-3B4B-4134-B1D7-C73FE5431783}" name="Column11476"/>
    <tableColumn id="11491" xr3:uid="{BF0FFDF2-2327-403B-8435-2ECF2234E342}" name="Column11477"/>
    <tableColumn id="11492" xr3:uid="{F35C48E1-E842-4648-9210-17FFD13569E1}" name="Column11478"/>
    <tableColumn id="11493" xr3:uid="{08899070-E855-41FA-80F9-9AE8309BA696}" name="Column11479"/>
    <tableColumn id="11494" xr3:uid="{EEB796F4-37DC-43CF-A02B-EF8E7122A78E}" name="Column11480"/>
    <tableColumn id="11495" xr3:uid="{04712001-2D8A-492D-BEC7-96D3A41C4933}" name="Column11481"/>
    <tableColumn id="11496" xr3:uid="{429A10E1-2885-4F35-972B-59E69FDA18C6}" name="Column11482"/>
    <tableColumn id="11497" xr3:uid="{9DCDE198-760E-4326-8276-5EBFC76BC1E3}" name="Column11483"/>
    <tableColumn id="11498" xr3:uid="{7A473764-0188-4C28-8AA7-EAC0FEEAB291}" name="Column11484"/>
    <tableColumn id="11499" xr3:uid="{60849A74-1393-4D40-8CA2-ABF507A79EDE}" name="Column11485"/>
    <tableColumn id="11500" xr3:uid="{74A0D496-5E45-41BE-BDAE-1510EF539319}" name="Column11486"/>
    <tableColumn id="11501" xr3:uid="{61C06D0B-F805-4BC2-8714-43FA75B3CC80}" name="Column11487"/>
    <tableColumn id="11502" xr3:uid="{1007EC45-4705-4B1F-9FB6-D9574F27CE6B}" name="Column11488"/>
    <tableColumn id="11503" xr3:uid="{8AA07CAC-5D3E-4EDA-9998-E500493CF99D}" name="Column11489"/>
    <tableColumn id="11504" xr3:uid="{093BE372-0186-4380-B1C0-5A118E07F334}" name="Column11490"/>
    <tableColumn id="11505" xr3:uid="{8C5FA7D5-6999-446C-8844-BED6AB0F81B1}" name="Column11491"/>
    <tableColumn id="11506" xr3:uid="{79B3F89B-2A0B-4B47-8002-A443478E8DE8}" name="Column11492"/>
    <tableColumn id="11507" xr3:uid="{128C7275-EC46-45DA-B471-E0D056001107}" name="Column11493"/>
    <tableColumn id="11508" xr3:uid="{CE153B76-2ED6-459A-8EAF-088036F12984}" name="Column11494"/>
    <tableColumn id="11509" xr3:uid="{A25E0CE5-99E8-4F51-9A24-773D3F5B07E6}" name="Column11495"/>
    <tableColumn id="11510" xr3:uid="{A0AF1C0E-6144-4167-99AD-EE5F28817501}" name="Column11496"/>
    <tableColumn id="11511" xr3:uid="{E691A965-FB45-41ED-A255-386D72A753F6}" name="Column11497"/>
    <tableColumn id="11512" xr3:uid="{E2F9D4F3-F420-48D7-B51C-4822AAC922E3}" name="Column11498"/>
    <tableColumn id="11513" xr3:uid="{EDDB5331-8CB4-408C-9985-904E76419A23}" name="Column11499"/>
    <tableColumn id="11514" xr3:uid="{B87CAD2D-9B26-4789-B887-26371A97AEA5}" name="Column11500"/>
    <tableColumn id="11515" xr3:uid="{94F33BCA-792D-4FB2-8A8C-0832719859B4}" name="Column11501"/>
    <tableColumn id="11516" xr3:uid="{51FE61A1-BB16-400D-ABFF-1DE006DB8077}" name="Column11502"/>
    <tableColumn id="11517" xr3:uid="{54A85ED6-008F-4F21-A942-55EA7401143C}" name="Column11503"/>
    <tableColumn id="11518" xr3:uid="{7DB33C29-82B8-4976-AEC8-84DD6701A926}" name="Column11504"/>
    <tableColumn id="11519" xr3:uid="{21813B6A-F8FE-4372-A680-C24B1000678C}" name="Column11505"/>
    <tableColumn id="11520" xr3:uid="{F50C6E2B-AEEB-4251-97A0-32AA2BDB6978}" name="Column11506"/>
    <tableColumn id="11521" xr3:uid="{DFA704CD-02D7-4079-9ED7-FF5CC3D7E89C}" name="Column11507"/>
    <tableColumn id="11522" xr3:uid="{588EECDB-DA5C-42F0-8461-5EB65EB1739B}" name="Column11508"/>
    <tableColumn id="11523" xr3:uid="{330474DC-80FB-4EC6-B2D8-18037B574B5B}" name="Column11509"/>
    <tableColumn id="11524" xr3:uid="{C4D5C976-E859-4A6E-B208-5627AF537CBF}" name="Column11510"/>
    <tableColumn id="11525" xr3:uid="{87D6AF50-AD59-4E34-BF24-BBAC29BA3EAD}" name="Column11511"/>
    <tableColumn id="11526" xr3:uid="{E9A9C998-C282-41A7-A88B-338AEC6726E7}" name="Column11512"/>
    <tableColumn id="11527" xr3:uid="{2BF1E449-71AD-4A2B-8787-C8C8460F5B6D}" name="Column11513"/>
    <tableColumn id="11528" xr3:uid="{233EF3F8-F292-4A0D-BBE8-70479D5ADD2E}" name="Column11514"/>
    <tableColumn id="11529" xr3:uid="{245F8559-D09E-41AF-ADE4-148336457DAD}" name="Column11515"/>
    <tableColumn id="11530" xr3:uid="{B0B08A0E-A856-40D5-900F-DD44F2789743}" name="Column11516"/>
    <tableColumn id="11531" xr3:uid="{BB520915-29F9-46CB-8F54-BB0710D3B182}" name="Column11517"/>
    <tableColumn id="11532" xr3:uid="{7D1B88ED-9FD4-4DF2-8F63-2ABB2C4A3FA2}" name="Column11518"/>
    <tableColumn id="11533" xr3:uid="{4578FD89-D1D8-4BAF-8C34-249198BD592E}" name="Column11519"/>
    <tableColumn id="11534" xr3:uid="{D12B96A0-3EF0-4122-9414-0CBB4FCE09AD}" name="Column11520"/>
    <tableColumn id="11535" xr3:uid="{AE9D9DEF-10C8-4382-B7DC-FE0D18EE40BE}" name="Column11521"/>
    <tableColumn id="11536" xr3:uid="{AC55D13A-35B3-4C26-BD3C-B0518A76CE16}" name="Column11522"/>
    <tableColumn id="11537" xr3:uid="{008B879F-B222-42E2-B47E-0824B2BB3351}" name="Column11523"/>
    <tableColumn id="11538" xr3:uid="{1ADF417E-1349-445E-8554-247F5277E98C}" name="Column11524"/>
    <tableColumn id="11539" xr3:uid="{BF2E51FE-35D6-4CB3-82C4-ABACDA9A4722}" name="Column11525"/>
    <tableColumn id="11540" xr3:uid="{DD5BC76E-D0E6-4916-9556-2891760EA34A}" name="Column11526"/>
    <tableColumn id="11541" xr3:uid="{BF3E8189-4C3B-4894-9285-B536FD18C6C7}" name="Column11527"/>
    <tableColumn id="11542" xr3:uid="{BB36259A-7741-4E29-A665-38236E734EE0}" name="Column11528"/>
    <tableColumn id="11543" xr3:uid="{0EC01B5E-C1E3-46A7-86CD-09AA4C7D1C13}" name="Column11529"/>
    <tableColumn id="11544" xr3:uid="{07168542-92BE-4033-86CF-280F0C014A7E}" name="Column11530"/>
    <tableColumn id="11545" xr3:uid="{B7FD8250-C060-411B-BDA2-9FB7E4645276}" name="Column11531"/>
    <tableColumn id="11546" xr3:uid="{1F09B033-6EBD-493B-AE5D-1886A5EF06FE}" name="Column11532"/>
    <tableColumn id="11547" xr3:uid="{A0C3037A-9F33-4244-87A8-89F838F60911}" name="Column11533"/>
    <tableColumn id="11548" xr3:uid="{264E06D1-085F-4FAC-852A-5E217CA4AA3D}" name="Column11534"/>
    <tableColumn id="11549" xr3:uid="{41CF72B5-77BD-4798-9A89-0C064648DD23}" name="Column11535"/>
    <tableColumn id="11550" xr3:uid="{9A89EB12-64D6-4976-ABB7-3CDB897DC5B7}" name="Column11536"/>
    <tableColumn id="11551" xr3:uid="{9FF87EC4-9240-44C0-AA05-AD25D2927F6D}" name="Column11537"/>
    <tableColumn id="11552" xr3:uid="{33A66806-131F-436B-B75E-F11C8D7899C4}" name="Column11538"/>
    <tableColumn id="11553" xr3:uid="{552876B0-EAB1-4FE1-AF7B-9F4B868F161F}" name="Column11539"/>
    <tableColumn id="11554" xr3:uid="{EFC99D16-F04E-4A8A-948C-703517896637}" name="Column11540"/>
    <tableColumn id="11555" xr3:uid="{81B0B81F-4C6F-4A84-BA33-D34F829B5F56}" name="Column11541"/>
    <tableColumn id="11556" xr3:uid="{24BC839B-1708-4381-888C-645C523194FE}" name="Column11542"/>
    <tableColumn id="11557" xr3:uid="{99D47448-D71A-4E01-86E1-05EE125A56E2}" name="Column11543"/>
    <tableColumn id="11558" xr3:uid="{C2BF3DA7-4C73-46EF-9C25-AAE507E1CE28}" name="Column11544"/>
    <tableColumn id="11559" xr3:uid="{E5C3F747-C7A9-42EA-AEF6-9D31719184D9}" name="Column11545"/>
    <tableColumn id="11560" xr3:uid="{9D7BEFD9-F691-404B-8002-4ABBAE3F84EB}" name="Column11546"/>
    <tableColumn id="11561" xr3:uid="{83E7F447-751C-430B-B72F-9A5E62D4A500}" name="Column11547"/>
    <tableColumn id="11562" xr3:uid="{0724D6A0-DE3F-46CD-B46E-A2A8AAA76212}" name="Column11548"/>
    <tableColumn id="11563" xr3:uid="{9A7E569D-C36E-43F5-8CAC-42CED64C628A}" name="Column11549"/>
    <tableColumn id="11564" xr3:uid="{69DD1C1F-88D8-43B7-8B16-40FF0775044C}" name="Column11550"/>
    <tableColumn id="11565" xr3:uid="{96122EDE-E1AF-40B6-89D6-B096C4A1ADD9}" name="Column11551"/>
    <tableColumn id="11566" xr3:uid="{E7BB8102-1B39-479E-A5AD-B378D824619B}" name="Column11552"/>
    <tableColumn id="11567" xr3:uid="{80D8FECC-AD64-4C88-809D-E220788FAD6D}" name="Column11553"/>
    <tableColumn id="11568" xr3:uid="{07F049F8-FB99-417C-BCB5-3B74D9B736F9}" name="Column11554"/>
    <tableColumn id="11569" xr3:uid="{A0FA028D-6058-40AB-A961-600643C2B915}" name="Column11555"/>
    <tableColumn id="11570" xr3:uid="{FB590807-0D49-423B-9215-A08A8F52B13E}" name="Column11556"/>
    <tableColumn id="11571" xr3:uid="{6F8F3131-2B9E-4C7C-9C94-D035947A60CC}" name="Column11557"/>
    <tableColumn id="11572" xr3:uid="{16D58E5A-3CEA-48F2-A21F-11E5A74AA2F1}" name="Column11558"/>
    <tableColumn id="11573" xr3:uid="{628FA487-D9C0-4AA2-8D78-1D66A21688F3}" name="Column11559"/>
    <tableColumn id="11574" xr3:uid="{F6F8ECE9-C24F-4F41-857D-1BA2DCD7ACAE}" name="Column11560"/>
    <tableColumn id="11575" xr3:uid="{9713554E-5910-40D2-B556-D9AB9109F83D}" name="Column11561"/>
    <tableColumn id="11576" xr3:uid="{1E9E3DA4-765C-4F71-87B2-AC9DA659BF80}" name="Column11562"/>
    <tableColumn id="11577" xr3:uid="{0FE35244-0815-4816-A2F4-CFE107FF3F59}" name="Column11563"/>
    <tableColumn id="11578" xr3:uid="{878127D1-89D2-45B4-A7D9-1EEB689043B4}" name="Column11564"/>
    <tableColumn id="11579" xr3:uid="{38C0A752-E7E9-4BD3-9C8D-F1C6B9B87B91}" name="Column11565"/>
    <tableColumn id="11580" xr3:uid="{061CE022-AC4A-4375-A4E0-41251082A3B3}" name="Column11566"/>
    <tableColumn id="11581" xr3:uid="{5E09B779-1A7D-4223-A0BE-3403E28493C0}" name="Column11567"/>
    <tableColumn id="11582" xr3:uid="{62A57018-9A72-4719-8AAA-F83D5D16FDB5}" name="Column11568"/>
    <tableColumn id="11583" xr3:uid="{AD4CDB43-7A8A-45D4-B60F-35EC075C8686}" name="Column11569"/>
    <tableColumn id="11584" xr3:uid="{98A6C581-FCAA-4855-9188-552A6A7505C8}" name="Column11570"/>
    <tableColumn id="11585" xr3:uid="{F84F8F96-DA6B-49EC-B7C8-56600BACBAB7}" name="Column11571"/>
    <tableColumn id="11586" xr3:uid="{AB15D149-0C3C-4BB1-86CA-390A4CD47E45}" name="Column11572"/>
    <tableColumn id="11587" xr3:uid="{65782D75-859E-4F07-9A75-E443B1A10AA3}" name="Column11573"/>
    <tableColumn id="11588" xr3:uid="{A34F4053-BF70-4831-A794-28C4568B91E5}" name="Column11574"/>
    <tableColumn id="11589" xr3:uid="{8085A91C-69F6-419E-A8CA-249F6DEBAD4B}" name="Column11575"/>
    <tableColumn id="11590" xr3:uid="{0CEAE4B0-CBC7-493A-BFA6-0E34DE7CFA06}" name="Column11576"/>
    <tableColumn id="11591" xr3:uid="{51B8997C-37AA-4EC7-B2BA-2F5BC1E3CB48}" name="Column11577"/>
    <tableColumn id="11592" xr3:uid="{D8909F21-7A65-407F-A867-3F56850AC883}" name="Column11578"/>
    <tableColumn id="11593" xr3:uid="{00FF361E-538C-4E18-ADA3-8B914F5342FD}" name="Column11579"/>
    <tableColumn id="11594" xr3:uid="{3E6F1EF2-0C15-4A66-8CFB-CEDD42A23281}" name="Column11580"/>
    <tableColumn id="11595" xr3:uid="{65318B06-6786-4EF2-BABE-06BCD321D110}" name="Column11581"/>
    <tableColumn id="11596" xr3:uid="{19DABA54-BDD7-463F-95BF-4001901CEA94}" name="Column11582"/>
    <tableColumn id="11597" xr3:uid="{4F589A2D-6CFE-4606-8B86-1B5387D75460}" name="Column11583"/>
    <tableColumn id="11598" xr3:uid="{7460558E-F4CB-470D-8E2D-B404FA9ECD72}" name="Column11584"/>
    <tableColumn id="11599" xr3:uid="{9C87A40C-8F99-498F-822C-3F6EE21977C3}" name="Column11585"/>
    <tableColumn id="11600" xr3:uid="{FE7640D8-70F2-4ED7-8D68-9846EF9174AB}" name="Column11586"/>
    <tableColumn id="11601" xr3:uid="{BBCF7E11-269A-4CBF-A4B1-13E40C7FC0DE}" name="Column11587"/>
    <tableColumn id="11602" xr3:uid="{9F816359-4595-4A03-A8C9-EB527DD8A599}" name="Column11588"/>
    <tableColumn id="11603" xr3:uid="{D7BEA1FA-1711-47B8-A5B1-5C343DAA40F8}" name="Column11589"/>
    <tableColumn id="11604" xr3:uid="{150AA324-8C7A-45E1-A91B-E5EF37AAF94A}" name="Column11590"/>
    <tableColumn id="11605" xr3:uid="{066B2D02-481B-413C-A5CB-27FE0551F708}" name="Column11591"/>
    <tableColumn id="11606" xr3:uid="{FACBAF48-B1BA-4FED-A7CE-6774E02D2639}" name="Column11592"/>
    <tableColumn id="11607" xr3:uid="{016C6670-2BC3-48EE-9DBB-D4DA64FA84C9}" name="Column11593"/>
    <tableColumn id="11608" xr3:uid="{5D985A81-AB4B-4359-A19F-31A1AB933B74}" name="Column11594"/>
    <tableColumn id="11609" xr3:uid="{0E878FCC-7E25-4377-A452-700F84309E15}" name="Column11595"/>
    <tableColumn id="11610" xr3:uid="{0400BBE9-DF65-4ADD-B76C-166BDFCF7BEB}" name="Column11596"/>
    <tableColumn id="11611" xr3:uid="{4D0F232C-126D-44BB-B737-F48C0DEDE665}" name="Column11597"/>
    <tableColumn id="11612" xr3:uid="{0106C95D-2F7C-4121-B7B7-93FE11FF45AA}" name="Column11598"/>
    <tableColumn id="11613" xr3:uid="{A55BF3DD-58F8-41F1-AC61-81CCAF3C339D}" name="Column11599"/>
    <tableColumn id="11614" xr3:uid="{EE0FAB41-63DF-4C9D-AA7C-61BA3F3B2B3E}" name="Column11600"/>
    <tableColumn id="11615" xr3:uid="{55B7FF0B-4D9A-485A-8985-EB9B98B6E14F}" name="Column11601"/>
    <tableColumn id="11616" xr3:uid="{5E4BBEEC-1D71-4BB1-A812-B8CE640E27BD}" name="Column11602"/>
    <tableColumn id="11617" xr3:uid="{252A8384-AB52-4D74-9C87-AD91B4553939}" name="Column11603"/>
    <tableColumn id="11618" xr3:uid="{8CA22BD9-79C2-4A5D-9722-64A7E400D368}" name="Column11604"/>
    <tableColumn id="11619" xr3:uid="{AC0C8BF2-E9A5-4C69-95E4-1B58F5AF9B41}" name="Column11605"/>
    <tableColumn id="11620" xr3:uid="{9362DDCA-04DE-4707-8825-6B40F742AA49}" name="Column11606"/>
    <tableColumn id="11621" xr3:uid="{2F22586D-09FB-4BEC-9C32-44A04DCCFD4D}" name="Column11607"/>
    <tableColumn id="11622" xr3:uid="{0C356B5D-659C-45DE-BC28-4CAEDB26C572}" name="Column11608"/>
    <tableColumn id="11623" xr3:uid="{3E713034-F249-49DE-8F00-50C4154117E5}" name="Column11609"/>
    <tableColumn id="11624" xr3:uid="{9997C7E4-B42D-4930-A8D7-453E2DBBDA84}" name="Column11610"/>
    <tableColumn id="11625" xr3:uid="{760BAD66-C6BA-4B49-9CB2-EAC8D178CA82}" name="Column11611"/>
    <tableColumn id="11626" xr3:uid="{57F96B60-AA77-44F9-9FA1-D17222A46B04}" name="Column11612"/>
    <tableColumn id="11627" xr3:uid="{AA1E84F8-03BF-4AF3-A94B-C891C51DE457}" name="Column11613"/>
    <tableColumn id="11628" xr3:uid="{4F5E389F-161D-46F8-A622-B28C59103867}" name="Column11614"/>
    <tableColumn id="11629" xr3:uid="{BADA0CC5-C9BD-4014-AAD6-D05CAD717754}" name="Column11615"/>
    <tableColumn id="11630" xr3:uid="{FA6C897C-94A5-4B3F-9EA4-9B87E67C385F}" name="Column11616"/>
    <tableColumn id="11631" xr3:uid="{EEE18581-4E86-4ADF-A324-9CB7881065CA}" name="Column11617"/>
    <tableColumn id="11632" xr3:uid="{89DB0EC4-C3A3-487B-804F-DA5EACD43B4B}" name="Column11618"/>
    <tableColumn id="11633" xr3:uid="{2E963450-B078-4429-939C-32FC14744AE2}" name="Column11619"/>
    <tableColumn id="11634" xr3:uid="{0A219200-3F4E-4601-9519-F43572A98CFA}" name="Column11620"/>
    <tableColumn id="11635" xr3:uid="{7BD619D0-4E79-4106-9321-7A862683773A}" name="Column11621"/>
    <tableColumn id="11636" xr3:uid="{2F707DEB-D25E-476C-8E0F-3D2B0878F721}" name="Column11622"/>
    <tableColumn id="11637" xr3:uid="{2FB77E1F-2508-47BA-8929-00460E5B7FDE}" name="Column11623"/>
    <tableColumn id="11638" xr3:uid="{5CA2C67C-3CF3-4B9D-A7F9-3F175235F308}" name="Column11624"/>
    <tableColumn id="11639" xr3:uid="{3D7DD832-CA66-4DD4-AF8D-B4F81E63C81F}" name="Column11625"/>
    <tableColumn id="11640" xr3:uid="{7CC010F1-A226-4400-8E41-E1EACC5BECBD}" name="Column11626"/>
    <tableColumn id="11641" xr3:uid="{F9F0B20B-AD4D-48DC-8AE3-EAECB35E53AD}" name="Column11627"/>
    <tableColumn id="11642" xr3:uid="{3A734FA0-A06A-45B8-A336-2B2D7D2CD348}" name="Column11628"/>
    <tableColumn id="11643" xr3:uid="{A02C4F1C-E397-480B-B013-EF77247704EC}" name="Column11629"/>
    <tableColumn id="11644" xr3:uid="{7F4D281E-0AFC-4E4F-A209-43CD4E0CD099}" name="Column11630"/>
    <tableColumn id="11645" xr3:uid="{AEFCCD09-3CE0-4302-B6FE-8D258B7F3070}" name="Column11631"/>
    <tableColumn id="11646" xr3:uid="{EFEBFEDB-F0D3-403D-9206-985B66AE659C}" name="Column11632"/>
    <tableColumn id="11647" xr3:uid="{12E96361-7CE0-48ED-BDB8-FD926B28DF01}" name="Column11633"/>
    <tableColumn id="11648" xr3:uid="{A79BC0D7-3EAA-4AFF-8EAD-D2CCA2B64387}" name="Column11634"/>
    <tableColumn id="11649" xr3:uid="{D507C762-92C5-42BC-88CA-5F63BAE16045}" name="Column11635"/>
    <tableColumn id="11650" xr3:uid="{3224619E-C317-4863-920A-A440FA101DD3}" name="Column11636"/>
    <tableColumn id="11651" xr3:uid="{6B0ECB88-DEAE-4E79-9671-64FB1036B7E4}" name="Column11637"/>
    <tableColumn id="11652" xr3:uid="{A8B6D395-2B9C-4056-A433-8AFEADDA88CC}" name="Column11638"/>
    <tableColumn id="11653" xr3:uid="{F7824B04-84E3-4074-86EC-3753BE5A244C}" name="Column11639"/>
    <tableColumn id="11654" xr3:uid="{4A681B6C-D988-41E9-AD2D-0E42BB74036A}" name="Column11640"/>
    <tableColumn id="11655" xr3:uid="{4C06A904-00BC-4DF6-9F0D-0D49E33300B3}" name="Column11641"/>
    <tableColumn id="11656" xr3:uid="{0B608E4F-DC3E-48BB-A251-59C4A575C488}" name="Column11642"/>
    <tableColumn id="11657" xr3:uid="{C2DBBDE9-BC0A-466C-992D-519D68199FCD}" name="Column11643"/>
    <tableColumn id="11658" xr3:uid="{A472E0C9-06DD-47A6-86CD-7C263A72C17A}" name="Column11644"/>
    <tableColumn id="11659" xr3:uid="{0796AEBD-9E74-4C82-8681-FB3A38B83D5C}" name="Column11645"/>
    <tableColumn id="11660" xr3:uid="{56EA6B31-8223-4758-8526-2958EDD74C52}" name="Column11646"/>
    <tableColumn id="11661" xr3:uid="{24FF837D-9F35-43A3-8762-47C69982347F}" name="Column11647"/>
    <tableColumn id="11662" xr3:uid="{50FAEE96-CA18-46A3-8DC8-890D439E00E5}" name="Column11648"/>
    <tableColumn id="11663" xr3:uid="{87F489AA-3943-4CF0-A7AA-106E5DD1BDF0}" name="Column11649"/>
    <tableColumn id="11664" xr3:uid="{AE9AD04C-217A-4D90-B9F9-8E5E715A47D8}" name="Column11650"/>
    <tableColumn id="11665" xr3:uid="{0937AACC-6EBE-4124-A947-8FA140F838DD}" name="Column11651"/>
    <tableColumn id="11666" xr3:uid="{C4A3B390-8863-4007-9AA9-459273CA9F77}" name="Column11652"/>
    <tableColumn id="11667" xr3:uid="{69E73252-56BF-4985-B3BD-BCCF1027952E}" name="Column11653"/>
    <tableColumn id="11668" xr3:uid="{BDE09B91-E7D1-4AE1-821F-31C5B5BF2998}" name="Column11654"/>
    <tableColumn id="11669" xr3:uid="{F96E425E-AE8A-4ED0-AA62-6D59C087724C}" name="Column11655"/>
    <tableColumn id="11670" xr3:uid="{E95AEA16-734B-4A77-8FA1-690A171DBAB0}" name="Column11656"/>
    <tableColumn id="11671" xr3:uid="{50AB99FC-656B-4F42-B564-21EA0CAA6769}" name="Column11657"/>
    <tableColumn id="11672" xr3:uid="{F3B20600-0119-472F-81BF-2664EF62B986}" name="Column11658"/>
    <tableColumn id="11673" xr3:uid="{1A5398E5-E90D-4248-864C-BED673712A08}" name="Column11659"/>
    <tableColumn id="11674" xr3:uid="{93B177A2-CD22-431C-849D-F22F04EB3F9C}" name="Column11660"/>
    <tableColumn id="11675" xr3:uid="{14B531FD-728B-48C0-A402-AA00207D5719}" name="Column11661"/>
    <tableColumn id="11676" xr3:uid="{48F04A33-1B2E-4DCC-9A89-15C26331BE4F}" name="Column11662"/>
    <tableColumn id="11677" xr3:uid="{B0D22079-9977-4E5B-92E5-070AF6DD4D97}" name="Column11663"/>
    <tableColumn id="11678" xr3:uid="{2B474199-EFCB-4F8D-BEE2-4DE483A2763E}" name="Column11664"/>
    <tableColumn id="11679" xr3:uid="{5D48A510-8E6B-4235-9976-0B4CF6737AC3}" name="Column11665"/>
    <tableColumn id="11680" xr3:uid="{011B21FD-3183-42DD-8046-CC1D0E325D02}" name="Column11666"/>
    <tableColumn id="11681" xr3:uid="{6559CBB2-5B2D-4B78-9004-9ED02DD56149}" name="Column11667"/>
    <tableColumn id="11682" xr3:uid="{6080189A-4B67-40F4-91BB-9FA3B73183CB}" name="Column11668"/>
    <tableColumn id="11683" xr3:uid="{816FCA04-C6E9-4512-8E2B-AEC14192A839}" name="Column11669"/>
    <tableColumn id="11684" xr3:uid="{191C93C4-DC03-47D0-BAAB-8000ABEDC402}" name="Column11670"/>
    <tableColumn id="11685" xr3:uid="{4048E4A5-A0C4-438D-814E-7459528A2F75}" name="Column11671"/>
    <tableColumn id="11686" xr3:uid="{3A449DBD-897D-4471-85BA-E9D833AC35CD}" name="Column11672"/>
    <tableColumn id="11687" xr3:uid="{63E4A6DB-2F92-4DB5-9DAB-3E357AD27D09}" name="Column11673"/>
    <tableColumn id="11688" xr3:uid="{5CC102CF-B83D-4320-9AC0-BE4BF7C1FA5C}" name="Column11674"/>
    <tableColumn id="11689" xr3:uid="{D97E933D-FD33-430C-9452-CBFE20EDF293}" name="Column11675"/>
    <tableColumn id="11690" xr3:uid="{DD461AE2-29C0-409B-9692-1B414776C1F9}" name="Column11676"/>
    <tableColumn id="11691" xr3:uid="{47CB175C-355E-4FC9-A1D1-AE6C3E364204}" name="Column11677"/>
    <tableColumn id="11692" xr3:uid="{3D20BACF-240F-4F46-B7A4-0C7A03CC5DA0}" name="Column11678"/>
    <tableColumn id="11693" xr3:uid="{C8471B1B-B848-45C1-A848-0435369FA9C6}" name="Column11679"/>
    <tableColumn id="11694" xr3:uid="{E6D09E95-1A06-4E7E-BD9C-316AAB6DBBF8}" name="Column11680"/>
    <tableColumn id="11695" xr3:uid="{7A0AEFC1-37E0-4ED7-962D-DBD26899BC26}" name="Column11681"/>
    <tableColumn id="11696" xr3:uid="{88C66723-32B9-489E-9CF7-7812B60F8D10}" name="Column11682"/>
    <tableColumn id="11697" xr3:uid="{5E393A85-4020-4026-B2F5-7E9987D22B69}" name="Column11683"/>
    <tableColumn id="11698" xr3:uid="{E5D8E92B-4466-4115-8643-291712235606}" name="Column11684"/>
    <tableColumn id="11699" xr3:uid="{C962371C-81F9-4292-A064-0FBADE7B7A21}" name="Column11685"/>
    <tableColumn id="11700" xr3:uid="{ADA0109C-AE1D-4029-8A8C-D725A55DEAE0}" name="Column11686"/>
    <tableColumn id="11701" xr3:uid="{55CCEB23-77B4-4CEE-8C56-0E958410471B}" name="Column11687"/>
    <tableColumn id="11702" xr3:uid="{F82B7F56-1EF1-48C0-8764-D9DC13ED466E}" name="Column11688"/>
    <tableColumn id="11703" xr3:uid="{0DACDE04-1C74-4D8D-9935-54E4BC1CB997}" name="Column11689"/>
    <tableColumn id="11704" xr3:uid="{BF0F1B4D-D722-403C-B07A-987686B8DC04}" name="Column11690"/>
    <tableColumn id="11705" xr3:uid="{91A3D75E-E5AB-4265-A957-6C4F3342AA96}" name="Column11691"/>
    <tableColumn id="11706" xr3:uid="{1A5FDB50-FB3E-4CE9-B414-8C2E4C7FDDE2}" name="Column11692"/>
    <tableColumn id="11707" xr3:uid="{7EF6559D-5D43-45AE-8F28-3E35FF5293DE}" name="Column11693"/>
    <tableColumn id="11708" xr3:uid="{39866C89-B77B-419E-A02B-75BE00964A72}" name="Column11694"/>
    <tableColumn id="11709" xr3:uid="{BB1C9BC0-80CA-4E56-B99A-CCAA46285643}" name="Column11695"/>
    <tableColumn id="11710" xr3:uid="{4BE0B369-0D43-4BCE-981F-E8A177096B76}" name="Column11696"/>
    <tableColumn id="11711" xr3:uid="{55725E66-5563-4938-865D-C8B5140C76AA}" name="Column11697"/>
    <tableColumn id="11712" xr3:uid="{EFF72219-3732-4A48-8083-1338C8A4CE3E}" name="Column11698"/>
    <tableColumn id="11713" xr3:uid="{94B73572-197F-4906-8624-934A2EE72CF5}" name="Column11699"/>
    <tableColumn id="11714" xr3:uid="{16DE6EAB-033C-477E-927C-F781308AE26C}" name="Column11700"/>
    <tableColumn id="11715" xr3:uid="{BC79569F-ED84-43B3-90C4-EAD03F912A61}" name="Column11701"/>
    <tableColumn id="11716" xr3:uid="{C8753229-1112-4A12-B0B2-D7F42AB9B6BB}" name="Column11702"/>
    <tableColumn id="11717" xr3:uid="{B664DC85-67CB-4EBF-9985-8D4B8972B328}" name="Column11703"/>
    <tableColumn id="11718" xr3:uid="{F78AD857-EFC4-4198-B4CB-E7E77B63A7BF}" name="Column11704"/>
    <tableColumn id="11719" xr3:uid="{A5D15290-FB8E-4D9E-9D6E-520965AA8A8C}" name="Column11705"/>
    <tableColumn id="11720" xr3:uid="{E9D54DBB-0F75-415C-B40D-3F8A36E0F6AC}" name="Column11706"/>
    <tableColumn id="11721" xr3:uid="{C47B0FB1-414B-49ED-98A8-ADA5E02DDDF1}" name="Column11707"/>
    <tableColumn id="11722" xr3:uid="{090923E7-F093-4564-AA01-A20AAE98ACAD}" name="Column11708"/>
    <tableColumn id="11723" xr3:uid="{AC169972-C919-4808-90B6-A417575F526B}" name="Column11709"/>
    <tableColumn id="11724" xr3:uid="{93544EF2-4A93-47DC-BE57-B67CFCC43F30}" name="Column11710"/>
    <tableColumn id="11725" xr3:uid="{8B5F93EA-D078-47E7-8601-D07E147607D8}" name="Column11711"/>
    <tableColumn id="11726" xr3:uid="{F6B970F1-9363-43EC-BCA5-79593E0CF9D1}" name="Column11712"/>
    <tableColumn id="11727" xr3:uid="{742F0D80-1DE2-4B0E-BD91-D90B3C7CA854}" name="Column11713"/>
    <tableColumn id="11728" xr3:uid="{A8A47DF9-9D1D-4616-AD26-AF9F4A3B7A24}" name="Column11714"/>
    <tableColumn id="11729" xr3:uid="{E454608E-1D4F-4DEC-B361-656E8D6659B7}" name="Column11715"/>
    <tableColumn id="11730" xr3:uid="{36980462-09C7-4832-A9C9-9EA0E7C5C104}" name="Column11716"/>
    <tableColumn id="11731" xr3:uid="{5DE99E89-CDE1-4005-98AE-91BE18168E2F}" name="Column11717"/>
    <tableColumn id="11732" xr3:uid="{F25D2428-C4C0-42DF-B5B9-CA8A4DF916E5}" name="Column11718"/>
    <tableColumn id="11733" xr3:uid="{31F6D50B-1F5F-4AF3-8477-DB2F7B488BAC}" name="Column11719"/>
    <tableColumn id="11734" xr3:uid="{7134A045-5FF1-4C72-A785-6252F7B9D9E7}" name="Column11720"/>
    <tableColumn id="11735" xr3:uid="{7D521941-4D9E-483D-A9F1-6C93C7A4C3A7}" name="Column11721"/>
    <tableColumn id="11736" xr3:uid="{DFC98F3F-F9AE-4C16-BC87-CD4AEB6F2A0C}" name="Column11722"/>
    <tableColumn id="11737" xr3:uid="{6BEE04DB-E7B5-4EA7-9C2D-0A9081E9ABB8}" name="Column11723"/>
    <tableColumn id="11738" xr3:uid="{278B9A01-F2B7-46A8-AF6B-B7CA37A4BFDE}" name="Column11724"/>
    <tableColumn id="11739" xr3:uid="{2B5AA8D3-5280-4BC3-A09A-B8BF71D6E521}" name="Column11725"/>
    <tableColumn id="11740" xr3:uid="{1BF3ED87-429B-42B6-BD52-AA94816555BF}" name="Column11726"/>
    <tableColumn id="11741" xr3:uid="{7B2101C6-FF3C-45B5-8B65-0BC62E21754A}" name="Column11727"/>
    <tableColumn id="11742" xr3:uid="{09B14030-260D-4DF8-B55D-7C3DF372C11C}" name="Column11728"/>
    <tableColumn id="11743" xr3:uid="{3EE2C755-BD01-4322-A373-D2CC857CC160}" name="Column11729"/>
    <tableColumn id="11744" xr3:uid="{3CA0727A-9784-468A-B6D3-8091BC2EA594}" name="Column11730"/>
    <tableColumn id="11745" xr3:uid="{3A32A7CB-965F-4FCE-B80B-19F7FA3FB4CC}" name="Column11731"/>
    <tableColumn id="11746" xr3:uid="{CEF8083C-EF28-40CD-9A77-8970E45F3861}" name="Column11732"/>
    <tableColumn id="11747" xr3:uid="{7BEBA6D8-B549-494E-AFEF-437CE070A6A0}" name="Column11733"/>
    <tableColumn id="11748" xr3:uid="{C4E25CE3-6BD2-4FF2-909C-A691969A83CF}" name="Column11734"/>
    <tableColumn id="11749" xr3:uid="{034996A5-AFD8-4F53-8C3D-84D1CF8E9EB9}" name="Column11735"/>
    <tableColumn id="11750" xr3:uid="{20BCBAE4-9465-41B4-98EE-049183FED530}" name="Column11736"/>
    <tableColumn id="11751" xr3:uid="{3122AE5B-030D-478F-8626-3FC63A128923}" name="Column11737"/>
    <tableColumn id="11752" xr3:uid="{C4482E6C-6F77-4DFB-8370-79A8947250E1}" name="Column11738"/>
    <tableColumn id="11753" xr3:uid="{F4DD9858-0E00-4F08-9334-A58C02FC9547}" name="Column11739"/>
    <tableColumn id="11754" xr3:uid="{F0631638-80CA-463E-8C34-24C1D1B50707}" name="Column11740"/>
    <tableColumn id="11755" xr3:uid="{01F7D995-A9C0-4BD0-9DFA-9C818D603575}" name="Column11741"/>
    <tableColumn id="11756" xr3:uid="{14DB9A3D-6663-4030-B25E-626A1374C31D}" name="Column11742"/>
    <tableColumn id="11757" xr3:uid="{617B5D02-CE61-46BE-86C3-E07DAE993440}" name="Column11743"/>
    <tableColumn id="11758" xr3:uid="{1E6F939A-174C-4BE5-96D4-5DE5259799B1}" name="Column11744"/>
    <tableColumn id="11759" xr3:uid="{D50392C9-DE3C-4FF5-A22A-99AEC192228E}" name="Column11745"/>
    <tableColumn id="11760" xr3:uid="{B8C2DF89-2BDF-4C83-8BCE-DF4140EF7C6A}" name="Column11746"/>
    <tableColumn id="11761" xr3:uid="{6D6824DA-3164-4525-BFB5-FF9682D3C1F6}" name="Column11747"/>
    <tableColumn id="11762" xr3:uid="{0A63A449-7464-4237-A00B-4F05F9D3A22B}" name="Column11748"/>
    <tableColumn id="11763" xr3:uid="{741DFFBC-C527-4E0B-BBC7-FF5F1591BA8C}" name="Column11749"/>
    <tableColumn id="11764" xr3:uid="{4A88A9BE-A43F-488A-A4A4-3ACD17AD90A4}" name="Column11750"/>
    <tableColumn id="11765" xr3:uid="{346F39DB-02A4-4378-808B-6FAC95EA98CB}" name="Column11751"/>
    <tableColumn id="11766" xr3:uid="{2AC04AFF-52AB-40BE-A163-544C70BF4EAA}" name="Column11752"/>
    <tableColumn id="11767" xr3:uid="{A1EAA190-A423-4EF1-80CC-7A7B8D75688D}" name="Column11753"/>
    <tableColumn id="11768" xr3:uid="{11A412E5-5975-40C8-A099-6F5B57702297}" name="Column11754"/>
    <tableColumn id="11769" xr3:uid="{97BB2844-CF7A-4234-8C69-94E2EFD2467F}" name="Column11755"/>
    <tableColumn id="11770" xr3:uid="{B7167640-CECD-4B59-8EF7-DCBF2CE40AF2}" name="Column11756"/>
    <tableColumn id="11771" xr3:uid="{F4201D79-0A0B-47BB-87D1-36F9A2AF55AD}" name="Column11757"/>
    <tableColumn id="11772" xr3:uid="{ED16E120-9843-4AE9-9A87-58E3D03985BD}" name="Column11758"/>
    <tableColumn id="11773" xr3:uid="{87A0F218-22AC-4019-9455-5904D1620BC2}" name="Column11759"/>
    <tableColumn id="11774" xr3:uid="{79D2DC8E-DE07-48F0-9005-2025E3E2BF34}" name="Column11760"/>
    <tableColumn id="11775" xr3:uid="{4AD5F581-1E61-4BC1-A3C6-2E5CAFC3A29D}" name="Column11761"/>
    <tableColumn id="11776" xr3:uid="{BC59FE4E-FCDB-4641-936F-3F6582A098E2}" name="Column11762"/>
    <tableColumn id="11777" xr3:uid="{CFF44C97-FCE6-4A19-9F19-AD1D26F8AC25}" name="Column11763"/>
    <tableColumn id="11778" xr3:uid="{EB17CB42-E79D-499A-A719-B11A0BDDDDB2}" name="Column11764"/>
    <tableColumn id="11779" xr3:uid="{42938C9A-D079-4EB3-B133-AEED4047847B}" name="Column11765"/>
    <tableColumn id="11780" xr3:uid="{9C99B6B9-F643-4B2E-93F2-A08B574BF889}" name="Column11766"/>
    <tableColumn id="11781" xr3:uid="{2BF9F30C-7178-4D2D-AAC3-843279272249}" name="Column11767"/>
    <tableColumn id="11782" xr3:uid="{C1FB938F-4174-47D7-9A7A-1695CEB3A20B}" name="Column11768"/>
    <tableColumn id="11783" xr3:uid="{57D44166-EE86-4D2E-9CC7-6162D3BA3AFA}" name="Column11769"/>
    <tableColumn id="11784" xr3:uid="{89007D61-9A0B-447C-A1CB-D62990B35C73}" name="Column11770"/>
    <tableColumn id="11785" xr3:uid="{9E472DEB-4081-4046-B286-A9C1BB222B19}" name="Column11771"/>
    <tableColumn id="11786" xr3:uid="{F290CE94-2E5A-4404-B2EF-9A6971DD1521}" name="Column11772"/>
    <tableColumn id="11787" xr3:uid="{1B5ECD97-F2A7-4C5D-906A-F6238A6BFBAB}" name="Column11773"/>
    <tableColumn id="11788" xr3:uid="{0FE4F2B2-741D-4B61-897A-BD505B9B67E7}" name="Column11774"/>
    <tableColumn id="11789" xr3:uid="{6583873B-529D-4F52-B7B6-91D21FAA0B2C}" name="Column11775"/>
    <tableColumn id="11790" xr3:uid="{B85E3A2C-2940-4FF7-AEAB-B17F8A9A745E}" name="Column11776"/>
    <tableColumn id="11791" xr3:uid="{01DBE760-4898-4725-AB60-70CD1842E93B}" name="Column11777"/>
    <tableColumn id="11792" xr3:uid="{824C5C0B-617D-4874-8691-824B19930EB0}" name="Column11778"/>
    <tableColumn id="11793" xr3:uid="{5B5EE747-A15B-4D71-A32A-19008B831465}" name="Column11779"/>
    <tableColumn id="11794" xr3:uid="{8D62EB78-5D54-474F-8E69-7E3326AB21A3}" name="Column11780"/>
    <tableColumn id="11795" xr3:uid="{91B6D706-040F-4E46-B016-EFD9281C77C1}" name="Column11781"/>
    <tableColumn id="11796" xr3:uid="{8A880DA4-B4E1-495B-9B49-29911AE40C59}" name="Column11782"/>
    <tableColumn id="11797" xr3:uid="{811D4817-993D-4E91-837B-FE693E1C89E0}" name="Column11783"/>
    <tableColumn id="11798" xr3:uid="{CFF9AB75-18DA-4D86-8015-B6513B18B267}" name="Column11784"/>
    <tableColumn id="11799" xr3:uid="{265C6DFD-1F16-4D51-AB9F-1CBCA3F5B7CB}" name="Column11785"/>
    <tableColumn id="11800" xr3:uid="{B5E46A99-3191-4F60-A48D-42575AEFF024}" name="Column11786"/>
    <tableColumn id="11801" xr3:uid="{631B3F86-5E4C-4385-A777-0F5EE1608591}" name="Column11787"/>
    <tableColumn id="11802" xr3:uid="{4C3A2E65-014A-4961-8FC9-3C8844DF0055}" name="Column11788"/>
    <tableColumn id="11803" xr3:uid="{1514035F-EB8C-46DD-91FD-A0A22D28820D}" name="Column11789"/>
    <tableColumn id="11804" xr3:uid="{CD80D587-E3C7-4C13-984A-FBF33EC39B7F}" name="Column11790"/>
    <tableColumn id="11805" xr3:uid="{BA596842-1409-4C00-97C5-97E3BE8A1165}" name="Column11791"/>
    <tableColumn id="11806" xr3:uid="{915EC511-C733-4BC3-A514-B5CCA5F9C5FD}" name="Column11792"/>
    <tableColumn id="11807" xr3:uid="{A077B1E4-A598-4102-9C0E-11F404720B24}" name="Column11793"/>
    <tableColumn id="11808" xr3:uid="{B3EA6883-83E0-4EB1-BE77-61A8EA1923BC}" name="Column11794"/>
    <tableColumn id="11809" xr3:uid="{53E62563-8D73-40C6-B57E-A2725FC436DE}" name="Column11795"/>
    <tableColumn id="11810" xr3:uid="{2707C70B-0443-4A33-B241-8FFCBCC09851}" name="Column11796"/>
    <tableColumn id="11811" xr3:uid="{1A0B4B1A-A298-4DE2-B7C0-4843E7A944E0}" name="Column11797"/>
    <tableColumn id="11812" xr3:uid="{CE4A1AF7-3CD8-45BA-AE90-651882059D94}" name="Column11798"/>
    <tableColumn id="11813" xr3:uid="{951BF07A-966E-4A00-9CDE-4EB8A2E60533}" name="Column11799"/>
    <tableColumn id="11814" xr3:uid="{6DFB63C5-90C5-44D5-A07C-037CB53167C2}" name="Column11800"/>
    <tableColumn id="11815" xr3:uid="{1900F16D-DCC5-4D95-8EEC-9C10A25BF23E}" name="Column11801"/>
    <tableColumn id="11816" xr3:uid="{EB42F785-57C0-4ABB-92B5-D57542C7CB58}" name="Column11802"/>
    <tableColumn id="11817" xr3:uid="{4AD9CB23-F7CC-478E-83C9-A5215204617B}" name="Column11803"/>
    <tableColumn id="11818" xr3:uid="{639444DD-3981-4309-A7CA-8890398D0BA4}" name="Column11804"/>
    <tableColumn id="11819" xr3:uid="{683EDDBC-D8F2-4019-88AE-290A4362409B}" name="Column11805"/>
    <tableColumn id="11820" xr3:uid="{710D122B-1354-4BF7-8830-CA9258ED546A}" name="Column11806"/>
    <tableColumn id="11821" xr3:uid="{6550D5CA-FE94-42E1-8C84-DF8F6737680D}" name="Column11807"/>
    <tableColumn id="11822" xr3:uid="{EFEE36A0-B6DB-4E8A-A2DC-A8CAA3B5ECAB}" name="Column11808"/>
    <tableColumn id="11823" xr3:uid="{42E9809F-EC25-4F0A-A7E6-8384C9B2CA18}" name="Column11809"/>
    <tableColumn id="11824" xr3:uid="{07EF45DB-6A20-4F34-BAD1-22594A892E1D}" name="Column11810"/>
    <tableColumn id="11825" xr3:uid="{EB73F30E-03A3-4CF4-A8F1-0B240A07517E}" name="Column11811"/>
    <tableColumn id="11826" xr3:uid="{BDEC653E-42DA-4EA0-8FE9-7D701466DD44}" name="Column11812"/>
    <tableColumn id="11827" xr3:uid="{12E65D1A-A17D-4120-B572-87854E6FF52D}" name="Column11813"/>
    <tableColumn id="11828" xr3:uid="{4F505B7F-BE22-44D2-8209-06242CB34004}" name="Column11814"/>
    <tableColumn id="11829" xr3:uid="{BEA77415-B0C1-45ED-81BA-569C503E50A8}" name="Column11815"/>
    <tableColumn id="11830" xr3:uid="{C44BD737-3DA2-40DB-97A8-5FC3FBE70D32}" name="Column11816"/>
    <tableColumn id="11831" xr3:uid="{62897206-8F2C-491D-9D2A-0F6633585EA2}" name="Column11817"/>
    <tableColumn id="11832" xr3:uid="{EC799ACE-4EBA-4DED-A05B-67984592191E}" name="Column11818"/>
    <tableColumn id="11833" xr3:uid="{13DC081A-8F68-4E89-B018-57EC3B55FB84}" name="Column11819"/>
    <tableColumn id="11834" xr3:uid="{BF8B76C4-01A8-4A7B-984F-74F625292C0E}" name="Column11820"/>
    <tableColumn id="11835" xr3:uid="{E6DFEF70-2CBE-4BC2-9DFE-E920C48558C2}" name="Column11821"/>
    <tableColumn id="11836" xr3:uid="{FD5C2A88-F48F-42FB-8240-7B507F172114}" name="Column11822"/>
    <tableColumn id="11837" xr3:uid="{18903B83-E30D-4216-85EA-A9F530EE67AB}" name="Column11823"/>
    <tableColumn id="11838" xr3:uid="{3852A4F0-E3F7-4025-A571-D54E7AB7D5E2}" name="Column11824"/>
    <tableColumn id="11839" xr3:uid="{9BB8E82A-AA95-4D9F-9C9A-C0404E832A1E}" name="Column11825"/>
    <tableColumn id="11840" xr3:uid="{816D2E1C-C016-47C7-AF7B-31BEA8B72E96}" name="Column11826"/>
    <tableColumn id="11841" xr3:uid="{D10FA2CD-103D-4366-9F38-9D04B8763A49}" name="Column11827"/>
    <tableColumn id="11842" xr3:uid="{3C600ED8-53C3-47B1-AD7B-49BEA2391FE2}" name="Column11828"/>
    <tableColumn id="11843" xr3:uid="{A242107B-9986-46F6-A9D7-12A9B8201342}" name="Column11829"/>
    <tableColumn id="11844" xr3:uid="{9DE4504A-F8B0-4861-8836-54B22FCCB4B5}" name="Column11830"/>
    <tableColumn id="11845" xr3:uid="{11288288-8862-4812-BC41-DC1BBDBEE1F1}" name="Column11831"/>
    <tableColumn id="11846" xr3:uid="{0D53ED81-DD17-4DDC-87D8-C1EDD00FAFF5}" name="Column11832"/>
    <tableColumn id="11847" xr3:uid="{5E257AEA-2731-45D8-B4A8-862989FFBBF0}" name="Column11833"/>
    <tableColumn id="11848" xr3:uid="{55B235B1-E937-487D-9AC8-95C68660DF23}" name="Column11834"/>
    <tableColumn id="11849" xr3:uid="{F66115B4-7CE7-40AD-ACAE-E046C531F1C8}" name="Column11835"/>
    <tableColumn id="11850" xr3:uid="{914EB321-912B-496A-A66B-5242DA47DDA5}" name="Column11836"/>
    <tableColumn id="11851" xr3:uid="{5B06ED5A-BC8B-4881-8BD7-F6484DFEA1AB}" name="Column11837"/>
    <tableColumn id="11852" xr3:uid="{8472C8AA-B6F1-4836-9012-6B17601BB26E}" name="Column11838"/>
    <tableColumn id="11853" xr3:uid="{528AFB77-059F-42A4-948F-D283D3A14DBE}" name="Column11839"/>
    <tableColumn id="11854" xr3:uid="{07EE6E76-E93E-4512-9FEC-EEFFEE766AB8}" name="Column11840"/>
    <tableColumn id="11855" xr3:uid="{F1135E4C-4B31-4861-A383-01E348C7AB8A}" name="Column11841"/>
    <tableColumn id="11856" xr3:uid="{D82DD155-3F1F-45D9-A645-F4ED9FEBF4D7}" name="Column11842"/>
    <tableColumn id="11857" xr3:uid="{26318E2D-916D-44A3-9DBA-F5804E2A80A8}" name="Column11843"/>
    <tableColumn id="11858" xr3:uid="{60785272-BC3B-4CA5-BF1B-C0C5BB4FA022}" name="Column11844"/>
    <tableColumn id="11859" xr3:uid="{CC82873E-4B7B-4DF3-9F2F-A0BED618676B}" name="Column11845"/>
    <tableColumn id="11860" xr3:uid="{02D4E034-C18B-45AD-B99C-F5D5A885C0A1}" name="Column11846"/>
    <tableColumn id="11861" xr3:uid="{37D76339-FDA4-4EE3-8BA9-613B14BF88A5}" name="Column11847"/>
    <tableColumn id="11862" xr3:uid="{9016979C-3C27-4622-A6A2-0127D8160246}" name="Column11848"/>
    <tableColumn id="11863" xr3:uid="{1DEC017C-8BB5-4734-8A23-BA77F2914502}" name="Column11849"/>
    <tableColumn id="11864" xr3:uid="{0123BEFB-BFE3-4817-80C2-E6618DFD1412}" name="Column11850"/>
    <tableColumn id="11865" xr3:uid="{4F48FE08-2334-47A0-AC9B-2E3993CDA287}" name="Column11851"/>
    <tableColumn id="11866" xr3:uid="{8BC411D7-3318-40AD-B62C-2815002FB797}" name="Column11852"/>
    <tableColumn id="11867" xr3:uid="{2AD8C3E3-36B7-4CE8-B572-276F6A713A62}" name="Column11853"/>
    <tableColumn id="11868" xr3:uid="{A7FDAA8C-D9D3-4C77-8A0B-10DC69473C11}" name="Column11854"/>
    <tableColumn id="11869" xr3:uid="{4758389E-E54D-4730-8ED5-C4A01DF44DC0}" name="Column11855"/>
    <tableColumn id="11870" xr3:uid="{F4AFDA39-81C3-43E8-B47B-D5C13EDA9556}" name="Column11856"/>
    <tableColumn id="11871" xr3:uid="{249D6677-98D3-460F-9BC7-8A6C98497F0F}" name="Column11857"/>
    <tableColumn id="11872" xr3:uid="{E672D88C-4EC3-406A-B204-F89C53E0B249}" name="Column11858"/>
    <tableColumn id="11873" xr3:uid="{E91CCA72-DBF5-4ADE-ACCA-B62FB6E95FC9}" name="Column11859"/>
    <tableColumn id="11874" xr3:uid="{F61B6662-592A-48C4-8014-E8DC22760B6F}" name="Column11860"/>
    <tableColumn id="11875" xr3:uid="{6EF27FA2-D7CF-4688-A0F9-2717FFDECCE8}" name="Column11861"/>
    <tableColumn id="11876" xr3:uid="{8D910E65-DD71-4D46-9BF3-8310FD061069}" name="Column11862"/>
    <tableColumn id="11877" xr3:uid="{698C02EA-9714-4DB8-A478-C403E0813485}" name="Column11863"/>
    <tableColumn id="11878" xr3:uid="{18CC06A2-C131-4CBE-ABD2-5B295920FCB5}" name="Column11864"/>
    <tableColumn id="11879" xr3:uid="{2FC3F4E9-AB52-414A-913E-DBBDEA32FACB}" name="Column11865"/>
    <tableColumn id="11880" xr3:uid="{B5F183BB-DDCA-47A3-9FF7-A4CEAA97750F}" name="Column11866"/>
    <tableColumn id="11881" xr3:uid="{8AE2B186-E9F8-4D14-8FD1-E24A4E286894}" name="Column11867"/>
    <tableColumn id="11882" xr3:uid="{25DCDBCA-1622-4CD7-A07A-61D7AF839B1E}" name="Column11868"/>
    <tableColumn id="11883" xr3:uid="{15A416D6-5BF7-413E-9F0A-CE68466B85CA}" name="Column11869"/>
    <tableColumn id="11884" xr3:uid="{BC2CBA77-A8AF-47AE-8694-EF735A586DF1}" name="Column11870"/>
    <tableColumn id="11885" xr3:uid="{AC539FF3-FCED-467D-B8F2-2CBF58E05886}" name="Column11871"/>
    <tableColumn id="11886" xr3:uid="{2BCBA002-8E68-4533-9E5A-E36D00D72A76}" name="Column11872"/>
    <tableColumn id="11887" xr3:uid="{566EF2B7-4735-4195-AB36-4BF91C7ED160}" name="Column11873"/>
    <tableColumn id="11888" xr3:uid="{D085BE0B-2450-459E-B2F6-BFB5DADFDDAE}" name="Column11874"/>
    <tableColumn id="11889" xr3:uid="{55E1EF2B-D7FB-4192-875E-19334B1FEE24}" name="Column11875"/>
    <tableColumn id="11890" xr3:uid="{3835D872-ECFC-4624-8272-FC54A124590E}" name="Column11876"/>
    <tableColumn id="11891" xr3:uid="{B789A03D-0FF8-4248-8267-4176E7051167}" name="Column11877"/>
    <tableColumn id="11892" xr3:uid="{93DDC003-A5E8-4CE7-A1F2-9CC06F5B84DB}" name="Column11878"/>
    <tableColumn id="11893" xr3:uid="{2D4FEE20-DB4F-4A8E-8111-9BA55306C8C4}" name="Column11879"/>
    <tableColumn id="11894" xr3:uid="{B90F96AD-5556-4838-B26A-BDA853299DA0}" name="Column11880"/>
    <tableColumn id="11895" xr3:uid="{243A6CDF-32AE-4EB7-BA8E-88E76B64A42C}" name="Column11881"/>
    <tableColumn id="11896" xr3:uid="{A6DFA6AC-0930-4E38-8064-59BAA6CB4A74}" name="Column11882"/>
    <tableColumn id="11897" xr3:uid="{285414F0-DABE-4328-B9E4-409415B4E566}" name="Column11883"/>
    <tableColumn id="11898" xr3:uid="{8A313CEE-F989-4029-BB51-4A9E7A34D191}" name="Column11884"/>
    <tableColumn id="11899" xr3:uid="{00705A85-65AC-4594-BEAE-DE36AAD9BAB4}" name="Column11885"/>
    <tableColumn id="11900" xr3:uid="{198B421F-4C8C-4E38-9B37-0122AD01DDFC}" name="Column11886"/>
    <tableColumn id="11901" xr3:uid="{DFA88BF1-5D72-4CDD-88AA-C97F2C221319}" name="Column11887"/>
    <tableColumn id="11902" xr3:uid="{9C113F5E-E7FC-40AB-9C4C-67D1E01D5AE7}" name="Column11888"/>
    <tableColumn id="11903" xr3:uid="{FEB2F828-BD62-4109-919D-487472AABC7E}" name="Column11889"/>
    <tableColumn id="11904" xr3:uid="{266B5511-688F-41DA-9C1C-20F78D79098F}" name="Column11890"/>
    <tableColumn id="11905" xr3:uid="{EB3D0A52-5BE8-4107-B535-F1A1FAAE19AF}" name="Column11891"/>
    <tableColumn id="11906" xr3:uid="{934E9784-0462-472E-A229-282A3A92D320}" name="Column11892"/>
    <tableColumn id="11907" xr3:uid="{971119AE-0F0E-4F16-948C-63C2DEA4D295}" name="Column11893"/>
    <tableColumn id="11908" xr3:uid="{92C43A78-D1CE-488B-9EBB-93268241E88F}" name="Column11894"/>
    <tableColumn id="11909" xr3:uid="{F984B2BE-0254-43E9-A75B-469A9D0BF1AE}" name="Column11895"/>
    <tableColumn id="11910" xr3:uid="{0C73AF2E-EE3C-4DBB-B039-791ACAC4664D}" name="Column11896"/>
    <tableColumn id="11911" xr3:uid="{8D9073AB-CB34-4CFC-A01B-5A66B9C5ADD8}" name="Column11897"/>
    <tableColumn id="11912" xr3:uid="{A513299C-4F24-41F9-AEE7-70C17F424FC9}" name="Column11898"/>
    <tableColumn id="11913" xr3:uid="{F1A62C98-9AA1-4240-9F6F-9C13253045D7}" name="Column11899"/>
    <tableColumn id="11914" xr3:uid="{C4D3ABAA-5558-4D58-A904-C13FCE476A90}" name="Column11900"/>
    <tableColumn id="11915" xr3:uid="{078EC54F-4D55-4F60-B7CE-D10EC8C97681}" name="Column11901"/>
    <tableColumn id="11916" xr3:uid="{4E66C596-A34C-497E-8C1C-F693F83BDACD}" name="Column11902"/>
    <tableColumn id="11917" xr3:uid="{FC95989D-A145-4C53-8EE3-D4129D1A243C}" name="Column11903"/>
    <tableColumn id="11918" xr3:uid="{DE6353DE-2E42-467F-8B07-FC1D137FE9B4}" name="Column11904"/>
    <tableColumn id="11919" xr3:uid="{C2EAEC88-BDD5-4FAF-B1C0-F25B5DD55D1A}" name="Column11905"/>
    <tableColumn id="11920" xr3:uid="{EB5A6813-1625-4936-99B2-293E878F73A1}" name="Column11906"/>
    <tableColumn id="11921" xr3:uid="{D5B76714-D544-4EF1-9276-4D8CE75E598A}" name="Column11907"/>
    <tableColumn id="11922" xr3:uid="{1ADEFE8A-F510-41C8-9273-DE1C2A7A057C}" name="Column11908"/>
    <tableColumn id="11923" xr3:uid="{A3473602-BAD2-4D7B-90F5-315AA2A1EE8C}" name="Column11909"/>
    <tableColumn id="11924" xr3:uid="{E05EA790-8366-46C9-9103-064660A47E0C}" name="Column11910"/>
    <tableColumn id="11925" xr3:uid="{97CFCC4E-03FB-4D6D-84ED-9A7A4F47BE96}" name="Column11911"/>
    <tableColumn id="11926" xr3:uid="{D8BD67CB-B663-4927-A521-C139805723BA}" name="Column11912"/>
    <tableColumn id="11927" xr3:uid="{B5A4C0BF-6268-49C4-A7ED-8F78F36BEAA2}" name="Column11913"/>
    <tableColumn id="11928" xr3:uid="{12EC4D5C-8A6F-4DD1-9734-4C119670FCB2}" name="Column11914"/>
    <tableColumn id="11929" xr3:uid="{D4435EE8-3C30-4678-B7FB-F139790E8769}" name="Column11915"/>
    <tableColumn id="11930" xr3:uid="{17895879-3C1F-4F48-BA67-C3FBE62C5733}" name="Column11916"/>
    <tableColumn id="11931" xr3:uid="{66D88C70-0F2E-4CEA-BE73-581C7D5C5207}" name="Column11917"/>
    <tableColumn id="11932" xr3:uid="{36186514-B638-4970-9DE6-90FFAD99630D}" name="Column11918"/>
    <tableColumn id="11933" xr3:uid="{245D5421-4287-4376-B795-E242495B6471}" name="Column11919"/>
    <tableColumn id="11934" xr3:uid="{6F2606F7-94F8-4019-9DBC-DDC596CE5494}" name="Column11920"/>
    <tableColumn id="11935" xr3:uid="{9C4B9804-274A-4BD3-8F5C-2AA8F8C23722}" name="Column11921"/>
    <tableColumn id="11936" xr3:uid="{DA15837C-8FB8-4822-9733-4E176BF79EEB}" name="Column11922"/>
    <tableColumn id="11937" xr3:uid="{F6F40B39-DF80-4D3E-A4BA-BEE6CB6B6EA2}" name="Column11923"/>
    <tableColumn id="11938" xr3:uid="{362C127F-F37F-4708-B43F-0CCC33F41875}" name="Column11924"/>
    <tableColumn id="11939" xr3:uid="{0C9E63F6-D26F-47F1-91EB-D7D5098DF3ED}" name="Column11925"/>
    <tableColumn id="11940" xr3:uid="{40C4B29F-BBC0-418C-AA55-EA7D9F6697C4}" name="Column11926"/>
    <tableColumn id="11941" xr3:uid="{C1B997ED-EEA5-4499-9C10-783EF3DAE624}" name="Column11927"/>
    <tableColumn id="11942" xr3:uid="{293A6236-4E63-4E09-A25C-B2ACC7B0179E}" name="Column11928"/>
    <tableColumn id="11943" xr3:uid="{99530A4D-BA46-4045-8488-E77EB7076725}" name="Column11929"/>
    <tableColumn id="11944" xr3:uid="{B55D90A2-6BE5-4DF0-BC09-CFC2938A77D7}" name="Column11930"/>
    <tableColumn id="11945" xr3:uid="{F12A8C7A-335F-4F36-987D-C5A93E38C40F}" name="Column11931"/>
    <tableColumn id="11946" xr3:uid="{1D590B76-B1D7-45AF-97C3-EFB4A7E2DBD6}" name="Column11932"/>
    <tableColumn id="11947" xr3:uid="{C87BC33B-9232-4EF5-8646-14EF95C983BC}" name="Column11933"/>
    <tableColumn id="11948" xr3:uid="{F4F36D84-4FD5-4306-B077-81167CF3B5F9}" name="Column11934"/>
    <tableColumn id="11949" xr3:uid="{9C05C0EE-FD33-473C-AA67-22108203607C}" name="Column11935"/>
    <tableColumn id="11950" xr3:uid="{FC246517-3110-4449-8544-28558AC9C26D}" name="Column11936"/>
    <tableColumn id="11951" xr3:uid="{FC3AB019-EB8E-4CF6-9C96-BA7EDDCAA78F}" name="Column11937"/>
    <tableColumn id="11952" xr3:uid="{5FF32EDA-F9E3-496F-ABDD-601DCC602DC3}" name="Column11938"/>
    <tableColumn id="11953" xr3:uid="{5EEF1C0F-144C-4190-98C2-B556481CE9DC}" name="Column11939"/>
    <tableColumn id="11954" xr3:uid="{63CD310B-D3B3-45E6-9641-F7458525BE8B}" name="Column11940"/>
    <tableColumn id="11955" xr3:uid="{911D6D75-D3AE-4962-8750-1BD2CB0E5FA9}" name="Column11941"/>
    <tableColumn id="11956" xr3:uid="{5D875E1C-ECAE-49A8-B8F4-63811B10277C}" name="Column11942"/>
    <tableColumn id="11957" xr3:uid="{50D82E19-DCED-4033-B1C2-46B4FB1400C1}" name="Column11943"/>
    <tableColumn id="11958" xr3:uid="{A17F7197-440F-4ACB-AFEB-29D54881E73E}" name="Column11944"/>
    <tableColumn id="11959" xr3:uid="{8BD99E20-DD8E-43F4-8F54-DF7FFD0FEE19}" name="Column11945"/>
    <tableColumn id="11960" xr3:uid="{381C45C3-A4C2-464B-919F-BC3199EF0219}" name="Column11946"/>
    <tableColumn id="11961" xr3:uid="{ACBC07E8-AEE8-47C3-B9D8-9D70BACED854}" name="Column11947"/>
    <tableColumn id="11962" xr3:uid="{5414BE39-F3BE-4137-B65F-430EA1A57163}" name="Column11948"/>
    <tableColumn id="11963" xr3:uid="{220CBBE0-F9FB-40C0-B7D2-271AB336F6B3}" name="Column11949"/>
    <tableColumn id="11964" xr3:uid="{C98BE7EF-4085-454D-BB74-C09E15651C40}" name="Column11950"/>
    <tableColumn id="11965" xr3:uid="{C9AD7A32-C344-46BF-A8F4-0553B6B37F4F}" name="Column11951"/>
    <tableColumn id="11966" xr3:uid="{FC2A6D82-2B1B-4940-8DB1-11F46A2DFD6F}" name="Column11952"/>
    <tableColumn id="11967" xr3:uid="{A620A159-B88C-4B4F-B2EF-4AE2D80BD466}" name="Column11953"/>
    <tableColumn id="11968" xr3:uid="{61D97976-537B-4E76-9F5F-95FC35C4F0A5}" name="Column11954"/>
    <tableColumn id="11969" xr3:uid="{5D094896-A1DC-445E-B86B-DCA9AD558D14}" name="Column11955"/>
    <tableColumn id="11970" xr3:uid="{95769DE6-7052-4181-A50A-26416FCF0957}" name="Column11956"/>
    <tableColumn id="11971" xr3:uid="{9B29FA60-2C02-4B8C-9D7B-F8326632C45C}" name="Column11957"/>
    <tableColumn id="11972" xr3:uid="{F94B0387-33F4-4459-9E9F-7F239E60A4F4}" name="Column11958"/>
    <tableColumn id="11973" xr3:uid="{E19C0EA5-21FA-4EEA-A37F-9A2439234517}" name="Column11959"/>
    <tableColumn id="11974" xr3:uid="{CBDC3BA1-BF3F-4896-9030-9A98C9B1E06B}" name="Column11960"/>
    <tableColumn id="11975" xr3:uid="{3F5CF103-35C8-4658-AA7F-079F6455AF26}" name="Column11961"/>
    <tableColumn id="11976" xr3:uid="{D88CF449-9107-4808-9646-769592CB236C}" name="Column11962"/>
    <tableColumn id="11977" xr3:uid="{2C3481B7-7815-4E39-BF7D-A01836F03595}" name="Column11963"/>
    <tableColumn id="11978" xr3:uid="{F7EBDC5A-6610-410E-B2AE-AC752317B7E3}" name="Column11964"/>
    <tableColumn id="11979" xr3:uid="{CABF6329-F284-43B9-8E34-6A5DD4D0A0EB}" name="Column11965"/>
    <tableColumn id="11980" xr3:uid="{600291ED-459D-4397-9D85-A86A7AFE60A7}" name="Column11966"/>
    <tableColumn id="11981" xr3:uid="{AEDED0C2-1165-488F-9F4E-08823DB2D3CA}" name="Column11967"/>
    <tableColumn id="11982" xr3:uid="{2609A908-55FD-4E36-84CF-B68501CA145C}" name="Column11968"/>
    <tableColumn id="11983" xr3:uid="{7D71FCAB-F59B-4F12-9705-CAA0B18AD63E}" name="Column11969"/>
    <tableColumn id="11984" xr3:uid="{1ABBE767-29F2-4275-9420-DC2017A17C87}" name="Column11970"/>
    <tableColumn id="11985" xr3:uid="{838B0C61-1826-4003-863A-AD63D11B1B6A}" name="Column11971"/>
    <tableColumn id="11986" xr3:uid="{6BEB549E-C9D8-4414-8C91-D013BB1B8265}" name="Column11972"/>
    <tableColumn id="11987" xr3:uid="{0D63CAAD-F84A-491B-9E5B-D6CE08F067A3}" name="Column11973"/>
    <tableColumn id="11988" xr3:uid="{F4B20304-532F-4D2D-9BDE-5D5F05BE1965}" name="Column11974"/>
    <tableColumn id="11989" xr3:uid="{2C8236CB-3123-456F-89EB-0A1F2E25CDED}" name="Column11975"/>
    <tableColumn id="11990" xr3:uid="{A29D849C-3E60-49E9-A4A1-9CF515CCAF5B}" name="Column11976"/>
    <tableColumn id="11991" xr3:uid="{23E3AF39-42F1-46D3-ABB9-7CF96D51E9AD}" name="Column11977"/>
    <tableColumn id="11992" xr3:uid="{1F78F808-D9C2-4073-8010-620547F50329}" name="Column11978"/>
    <tableColumn id="11993" xr3:uid="{6FF1D1D3-D16E-4B18-A5BF-C94686D55D1A}" name="Column11979"/>
    <tableColumn id="11994" xr3:uid="{D949B4BD-FC85-43F6-837B-3D57CE3CC0C2}" name="Column11980"/>
    <tableColumn id="11995" xr3:uid="{74B6F968-0CE3-4306-8138-04243CD48931}" name="Column11981"/>
    <tableColumn id="11996" xr3:uid="{90B779CE-E547-4A46-BB50-63C4C3989AE9}" name="Column11982"/>
    <tableColumn id="11997" xr3:uid="{D0F3476B-FAA5-41C9-A847-A6E2DB775D76}" name="Column11983"/>
    <tableColumn id="11998" xr3:uid="{97041224-2037-4EBF-A0DA-FD65E040A324}" name="Column11984"/>
    <tableColumn id="11999" xr3:uid="{DB1F5C2E-412C-459A-885C-5EA4EF26BF68}" name="Column11985"/>
    <tableColumn id="12000" xr3:uid="{1AEE3EDA-BDBD-4C74-A824-B9ACBA48F9E9}" name="Column11986"/>
    <tableColumn id="12001" xr3:uid="{29F39053-4908-4EE7-B433-771C1ACD67C5}" name="Column11987"/>
    <tableColumn id="12002" xr3:uid="{8F8A1404-16C4-4DCC-86F0-13CC2F58E756}" name="Column11988"/>
    <tableColumn id="12003" xr3:uid="{B9C57CDF-9BCA-47DC-AA52-1810EFD1C460}" name="Column11989"/>
    <tableColumn id="12004" xr3:uid="{59A18E60-5B34-4D57-BBB1-12843A9140E8}" name="Column11990"/>
    <tableColumn id="12005" xr3:uid="{C996D43E-3F39-4B90-8AEE-1DCA1969403E}" name="Column11991"/>
    <tableColumn id="12006" xr3:uid="{9A6246A0-79D1-47B8-A531-BF6CEE2D6799}" name="Column11992"/>
    <tableColumn id="12007" xr3:uid="{40B1B393-63BA-44A3-A6C8-BD6B17E3ADAE}" name="Column11993"/>
    <tableColumn id="12008" xr3:uid="{5676D40F-459A-4998-892F-9FD4463417C3}" name="Column11994"/>
    <tableColumn id="12009" xr3:uid="{91EF6DDF-87AE-4C41-BF9C-318331E86DDE}" name="Column11995"/>
    <tableColumn id="12010" xr3:uid="{11EDD599-B894-47A9-B281-935637501BB3}" name="Column11996"/>
    <tableColumn id="12011" xr3:uid="{6281C253-3F54-4C10-94ED-2BABE1514291}" name="Column11997"/>
    <tableColumn id="12012" xr3:uid="{ED7FFFA3-45A7-4D0F-B176-008031F95B92}" name="Column11998"/>
    <tableColumn id="12013" xr3:uid="{43161135-8E34-4502-BC62-B481EAD5B33E}" name="Column11999"/>
    <tableColumn id="12014" xr3:uid="{6713EDCD-FF0D-478E-AF85-67274E8D8BB9}" name="Column12000"/>
    <tableColumn id="12015" xr3:uid="{1F9AB618-70E5-4E3E-B477-DFDFE4983A85}" name="Column12001"/>
    <tableColumn id="12016" xr3:uid="{3E5CAA42-5F48-46C5-A38E-D7D38F84CCAE}" name="Column12002"/>
    <tableColumn id="12017" xr3:uid="{5A505B4D-50B1-4154-8AD5-8529EA55F2FB}" name="Column12003"/>
    <tableColumn id="12018" xr3:uid="{33644DCE-00AE-46FA-A95D-D50753C3E25F}" name="Column12004"/>
    <tableColumn id="12019" xr3:uid="{77AC69CB-D142-446F-9EB7-E1F752C9D242}" name="Column12005"/>
    <tableColumn id="12020" xr3:uid="{4B897866-517C-4C89-BDD6-13E06650B39D}" name="Column12006"/>
    <tableColumn id="12021" xr3:uid="{5555CAF9-C029-4F81-AF86-A67F0E0A2514}" name="Column12007"/>
    <tableColumn id="12022" xr3:uid="{F8E0CD26-E91B-411E-9DF1-5A545B74257B}" name="Column12008"/>
    <tableColumn id="12023" xr3:uid="{B2B15EB7-E95F-4B32-AD07-E0B5F34ACBBF}" name="Column12009"/>
    <tableColumn id="12024" xr3:uid="{5CB1AB56-8246-4F45-B38E-AA8B64D835D3}" name="Column12010"/>
    <tableColumn id="12025" xr3:uid="{4D04D240-70B3-47A8-923F-56ECC33B1E53}" name="Column12011"/>
    <tableColumn id="12026" xr3:uid="{A55D87A4-0B70-49EE-87A0-872DF7C938EF}" name="Column12012"/>
    <tableColumn id="12027" xr3:uid="{8B421DB3-59FA-4D68-B866-C4F4C7A933EE}" name="Column12013"/>
    <tableColumn id="12028" xr3:uid="{680BBDD1-40FF-42A0-8E74-DA0D00C74FD0}" name="Column12014"/>
    <tableColumn id="12029" xr3:uid="{3A8BD5EB-6C63-4FAE-AAB1-51D7BD49DC72}" name="Column12015"/>
    <tableColumn id="12030" xr3:uid="{D047FF81-C769-4894-88FA-1CCFE796E825}" name="Column12016"/>
    <tableColumn id="12031" xr3:uid="{372CC2BA-5928-4370-85D6-8C3DEF3893CB}" name="Column12017"/>
    <tableColumn id="12032" xr3:uid="{DC4985EA-BE6E-4B54-AFF7-731AA24BA40F}" name="Column12018"/>
    <tableColumn id="12033" xr3:uid="{E3424176-C7EB-4A2E-9630-8C5FD54D7F5D}" name="Column12019"/>
    <tableColumn id="12034" xr3:uid="{9B2775B5-0D05-44AF-B817-2244D7963960}" name="Column12020"/>
    <tableColumn id="12035" xr3:uid="{1AE2B599-32EE-40C0-8C3F-20C61A720E39}" name="Column12021"/>
    <tableColumn id="12036" xr3:uid="{168B044E-4EDB-473A-9934-038116D7F783}" name="Column12022"/>
    <tableColumn id="12037" xr3:uid="{974F3181-4A4D-4D93-81E4-59A5AA98145E}" name="Column12023"/>
    <tableColumn id="12038" xr3:uid="{D26049C3-F675-4AB4-82DF-6565B774BCC3}" name="Column12024"/>
    <tableColumn id="12039" xr3:uid="{9675062C-4249-460A-8368-1CE93D9794E5}" name="Column12025"/>
    <tableColumn id="12040" xr3:uid="{D64232BC-6E6C-407F-BD5B-7128921C086D}" name="Column12026"/>
    <tableColumn id="12041" xr3:uid="{1F412DC4-116F-4085-B03D-0DF767F02346}" name="Column12027"/>
    <tableColumn id="12042" xr3:uid="{06B12804-F2EC-4AB7-86F4-40FE99F0C84B}" name="Column12028"/>
    <tableColumn id="12043" xr3:uid="{5AD41957-A004-40AE-94FF-F70611B4D53B}" name="Column12029"/>
    <tableColumn id="12044" xr3:uid="{43468661-46EE-4E15-A759-8B80D1AC7EAC}" name="Column12030"/>
    <tableColumn id="12045" xr3:uid="{8B7C207A-2F7A-459D-86C4-4AC94D94D946}" name="Column12031"/>
    <tableColumn id="12046" xr3:uid="{35D0CBB1-F8EC-4B54-91FA-D4EB06B6D3CC}" name="Column12032"/>
    <tableColumn id="12047" xr3:uid="{B032A75A-87B2-4DC1-B3A9-F8939ABB8280}" name="Column12033"/>
    <tableColumn id="12048" xr3:uid="{FA16AFC0-C17D-494E-A433-C7497B66642E}" name="Column12034"/>
    <tableColumn id="12049" xr3:uid="{5D2CBE9A-3D04-4DB3-A67E-3D0CC67F314E}" name="Column12035"/>
    <tableColumn id="12050" xr3:uid="{C4AB9BBD-E78E-4521-A495-08D928C5E9E5}" name="Column12036"/>
    <tableColumn id="12051" xr3:uid="{CD67DBAA-182A-4B37-97AD-88E1F2E0E50E}" name="Column12037"/>
    <tableColumn id="12052" xr3:uid="{8C0D18C7-CD18-4CFE-BC68-88B354014105}" name="Column12038"/>
    <tableColumn id="12053" xr3:uid="{89D44E05-40BE-4268-A60E-F187335FF408}" name="Column12039"/>
    <tableColumn id="12054" xr3:uid="{0F29F446-74E0-4431-90BC-8C35F99AB9AB}" name="Column12040"/>
    <tableColumn id="12055" xr3:uid="{1BF6B3F2-D3BB-4103-A979-BA7EE91CF605}" name="Column12041"/>
    <tableColumn id="12056" xr3:uid="{7367D505-EC90-46A1-8A6F-A4888C2E07A4}" name="Column12042"/>
    <tableColumn id="12057" xr3:uid="{44BBB994-0102-4EBB-B3A0-A430DCEFFDC8}" name="Column12043"/>
    <tableColumn id="12058" xr3:uid="{CBA76E5B-AD52-484F-9B8B-97B544BC1588}" name="Column12044"/>
    <tableColumn id="12059" xr3:uid="{A1B36A66-34C1-48EE-8EE6-507CF22B67FB}" name="Column12045"/>
    <tableColumn id="12060" xr3:uid="{99832F18-CE97-4AAF-90D8-233190ADBDAD}" name="Column12046"/>
    <tableColumn id="12061" xr3:uid="{EE1F4C9B-25C0-467E-BD0E-9837413655D2}" name="Column12047"/>
    <tableColumn id="12062" xr3:uid="{77830512-23BC-4B50-8723-70B479FF5851}" name="Column12048"/>
    <tableColumn id="12063" xr3:uid="{74027DCD-F899-40C4-8B8D-25AF88956415}" name="Column12049"/>
    <tableColumn id="12064" xr3:uid="{94973D8E-9C4A-43DC-AA86-6D04CCAD4769}" name="Column12050"/>
    <tableColumn id="12065" xr3:uid="{122D3069-0C1C-4258-817D-E892B9192047}" name="Column12051"/>
    <tableColumn id="12066" xr3:uid="{F44DE66D-19F9-4612-B6B0-3108D61585C7}" name="Column12052"/>
    <tableColumn id="12067" xr3:uid="{5EDE10FD-6FA3-4395-AE59-67653FBB1B1E}" name="Column12053"/>
    <tableColumn id="12068" xr3:uid="{215C6F09-3EB0-4B77-BD60-53375058B961}" name="Column12054"/>
    <tableColumn id="12069" xr3:uid="{6074DC4B-13A2-475D-9EA5-EF4B571C65AE}" name="Column12055"/>
    <tableColumn id="12070" xr3:uid="{4C6F1048-DC66-44C5-8359-4FCF4A2FD6D3}" name="Column12056"/>
    <tableColumn id="12071" xr3:uid="{BE9566B5-78F9-44C0-AC60-37062F9A8449}" name="Column12057"/>
    <tableColumn id="12072" xr3:uid="{07151608-1376-4018-B7D5-FC750E81BE7C}" name="Column12058"/>
    <tableColumn id="12073" xr3:uid="{EAFD6951-CE9D-4D2B-9F7A-A35310AAAD5B}" name="Column12059"/>
    <tableColumn id="12074" xr3:uid="{6E5E2711-C94F-44DF-BA48-EB5E62F4185C}" name="Column12060"/>
    <tableColumn id="12075" xr3:uid="{418E8183-34C3-4954-BB72-ED42A3D5C2B6}" name="Column12061"/>
    <tableColumn id="12076" xr3:uid="{4E62F9D1-06BA-4368-A675-60161AECC33D}" name="Column12062"/>
    <tableColumn id="12077" xr3:uid="{8862CDDF-BBDB-4F8F-806F-D649FFFB6D40}" name="Column12063"/>
    <tableColumn id="12078" xr3:uid="{C3936537-6198-4FAE-8392-8D05051FD9B6}" name="Column12064"/>
    <tableColumn id="12079" xr3:uid="{32A63804-E31A-4441-8A91-BFC1270CFA30}" name="Column12065"/>
    <tableColumn id="12080" xr3:uid="{54AD7ACA-3EC9-46D4-985B-72000BBC2AEA}" name="Column12066"/>
    <tableColumn id="12081" xr3:uid="{9BBF3E34-1D5D-4710-AA26-368E19F7DD61}" name="Column12067"/>
    <tableColumn id="12082" xr3:uid="{A1888E76-538E-41C2-BAE7-50E40F300C30}" name="Column12068"/>
    <tableColumn id="12083" xr3:uid="{F8BB3DA2-7D14-4702-A981-3E7B507C1ABA}" name="Column12069"/>
    <tableColumn id="12084" xr3:uid="{0E49F1D4-11E9-40F9-B513-12F0273FBA70}" name="Column12070"/>
    <tableColumn id="12085" xr3:uid="{E3B88804-A650-40D2-A473-CBBD29F6BC0E}" name="Column12071"/>
    <tableColumn id="12086" xr3:uid="{28D59C40-BE5B-4EF8-90CC-3A8C79421DEE}" name="Column12072"/>
    <tableColumn id="12087" xr3:uid="{8E82D63C-DD99-42C1-B50B-9ACA48449025}" name="Column12073"/>
    <tableColumn id="12088" xr3:uid="{5CB0126B-2C09-4485-86E3-A9D471AE663A}" name="Column12074"/>
    <tableColumn id="12089" xr3:uid="{A4FBCB80-9BFF-4CD6-9123-D07223D4540B}" name="Column12075"/>
    <tableColumn id="12090" xr3:uid="{4D86B853-59D0-479B-B813-E5D380795303}" name="Column12076"/>
    <tableColumn id="12091" xr3:uid="{0B0FCDB3-8B23-4CE2-A535-D41C2DBAE780}" name="Column12077"/>
    <tableColumn id="12092" xr3:uid="{137EED40-0AB0-4019-BB75-5D8D1BAD5151}" name="Column12078"/>
    <tableColumn id="12093" xr3:uid="{40F48DB7-ADAD-4A76-B916-F6E10263CC90}" name="Column12079"/>
    <tableColumn id="12094" xr3:uid="{713B40E9-03FD-42B7-BB21-E42FFE2DB4B1}" name="Column12080"/>
    <tableColumn id="12095" xr3:uid="{05A91857-D99D-4A69-9A45-B6DFB86B3C4F}" name="Column12081"/>
    <tableColumn id="12096" xr3:uid="{8FA2FA92-47C7-454D-8B3F-39B48EC50964}" name="Column12082"/>
    <tableColumn id="12097" xr3:uid="{8A4F9F0F-B8EA-4019-96E3-417A6F67D67C}" name="Column12083"/>
    <tableColumn id="12098" xr3:uid="{9623F456-5480-4F9E-BC61-9CA909B66EB6}" name="Column12084"/>
    <tableColumn id="12099" xr3:uid="{28397354-5D90-4ADE-A6CB-BC78F9C98BE8}" name="Column12085"/>
    <tableColumn id="12100" xr3:uid="{1A121FED-1291-46BF-9818-CF5CF4FF25AC}" name="Column12086"/>
    <tableColumn id="12101" xr3:uid="{BF762921-7B55-4FBD-90FC-CA69D55D8637}" name="Column12087"/>
    <tableColumn id="12102" xr3:uid="{0BB94783-428C-4F1C-A21E-295EB9CBE9AF}" name="Column12088"/>
    <tableColumn id="12103" xr3:uid="{F85AB0F7-231F-4754-8D21-883C01AB617F}" name="Column12089"/>
    <tableColumn id="12104" xr3:uid="{F1BF8E8A-2BBE-4EDA-A435-1216D23BC4D2}" name="Column12090"/>
    <tableColumn id="12105" xr3:uid="{509A3D87-F410-4CEB-8311-F40E6658A7FA}" name="Column12091"/>
    <tableColumn id="12106" xr3:uid="{F45A85A4-3989-45CC-A290-327A8F39F220}" name="Column12092"/>
    <tableColumn id="12107" xr3:uid="{6B99D314-520A-4466-866E-C39ED45D2745}" name="Column12093"/>
    <tableColumn id="12108" xr3:uid="{BB1A44D3-97B1-469E-A16E-C0E4B0ACA738}" name="Column12094"/>
    <tableColumn id="12109" xr3:uid="{0C9E247B-9137-4450-BEE5-C62E22297289}" name="Column12095"/>
    <tableColumn id="12110" xr3:uid="{D206AAAE-B3C0-438A-BBAE-FF83C0DA4D8D}" name="Column12096"/>
    <tableColumn id="12111" xr3:uid="{D287E3C4-FA71-4674-9CC0-A5059F992578}" name="Column12097"/>
    <tableColumn id="12112" xr3:uid="{6BADB685-6381-42CE-9D3E-72CDA88F7B37}" name="Column12098"/>
    <tableColumn id="12113" xr3:uid="{35B9E79E-9246-4E26-B1F2-0E2776A394C4}" name="Column12099"/>
    <tableColumn id="12114" xr3:uid="{9192644F-DB32-4A81-9841-434C99F5C166}" name="Column12100"/>
    <tableColumn id="12115" xr3:uid="{128C42D1-4ACD-4A06-B00E-7FF1F27D9E3F}" name="Column12101"/>
    <tableColumn id="12116" xr3:uid="{40FED1C1-4DD3-4A8B-8024-8CBC8D4B2A0B}" name="Column12102"/>
    <tableColumn id="12117" xr3:uid="{4DF311F7-FD22-41FD-A620-17A650C55225}" name="Column12103"/>
    <tableColumn id="12118" xr3:uid="{1B7927D4-3FD4-4F4D-A3FB-0D87EA92259D}" name="Column12104"/>
    <tableColumn id="12119" xr3:uid="{601FA1CC-7BBB-48DF-81C8-0F874401D939}" name="Column12105"/>
    <tableColumn id="12120" xr3:uid="{D3487FEA-DECF-4F10-AC5D-CA0C169409A8}" name="Column12106"/>
    <tableColumn id="12121" xr3:uid="{E90EF90E-8A62-4B40-ACAE-D84E44CC65F6}" name="Column12107"/>
    <tableColumn id="12122" xr3:uid="{D516FE6D-8E89-468B-A720-D1CB37FD231C}" name="Column12108"/>
    <tableColumn id="12123" xr3:uid="{A9A0067C-D424-4CD3-B871-C88B5B4E5DCC}" name="Column12109"/>
    <tableColumn id="12124" xr3:uid="{5E3C27B3-6E5A-4E7E-9C59-629110E77681}" name="Column12110"/>
    <tableColumn id="12125" xr3:uid="{A5A0ADC0-261A-4F20-BEDE-495A485CB2D4}" name="Column12111"/>
    <tableColumn id="12126" xr3:uid="{66C1AB73-4375-45A1-A607-ACD4FE228439}" name="Column12112"/>
    <tableColumn id="12127" xr3:uid="{0A0D5E1B-0A14-456F-8FFD-531A3D81D548}" name="Column12113"/>
    <tableColumn id="12128" xr3:uid="{08A04482-2C31-43A2-AA33-A9CE76497226}" name="Column12114"/>
    <tableColumn id="12129" xr3:uid="{532AC5CD-D35C-40CD-AFA0-F1EAD471E269}" name="Column12115"/>
    <tableColumn id="12130" xr3:uid="{619238E4-DF01-4D6B-BF73-80236978DE9F}" name="Column12116"/>
    <tableColumn id="12131" xr3:uid="{0427A193-0AC0-41D5-BF81-E58286B986A5}" name="Column12117"/>
    <tableColumn id="12132" xr3:uid="{4ED186A4-1F9F-415D-9FDF-6136CCB3C9A1}" name="Column12118"/>
    <tableColumn id="12133" xr3:uid="{B22D359B-45BA-40BB-963F-55A2CD5C23C8}" name="Column12119"/>
    <tableColumn id="12134" xr3:uid="{025FF7FD-B1D7-4C17-B781-44BB032A8C84}" name="Column12120"/>
    <tableColumn id="12135" xr3:uid="{21E1DDDF-A20C-43DC-A955-AC9D36E3C679}" name="Column12121"/>
    <tableColumn id="12136" xr3:uid="{E104AF2D-AF79-43F8-9BC8-45C6CE663D1A}" name="Column12122"/>
    <tableColumn id="12137" xr3:uid="{DB907B5A-5FAD-4396-82B5-F67551619396}" name="Column12123"/>
    <tableColumn id="12138" xr3:uid="{ECF357FB-CF07-4BA8-9CFA-551A9C714298}" name="Column12124"/>
    <tableColumn id="12139" xr3:uid="{F10B4103-5253-462E-BCC5-DE2D847BE825}" name="Column12125"/>
    <tableColumn id="12140" xr3:uid="{A7EC34CF-DF93-4FC2-AF49-7AAE78C18820}" name="Column12126"/>
    <tableColumn id="12141" xr3:uid="{7014CFF3-421B-4D69-9159-E413CF845D50}" name="Column12127"/>
    <tableColumn id="12142" xr3:uid="{582A6ACA-EBFF-41D7-9A87-5D5AA153671F}" name="Column12128"/>
    <tableColumn id="12143" xr3:uid="{7EDB0F9B-34FF-420A-BF47-4B3123342BED}" name="Column12129"/>
    <tableColumn id="12144" xr3:uid="{3ADE3080-EF57-48BA-B8F4-FEDF4CC17F82}" name="Column12130"/>
    <tableColumn id="12145" xr3:uid="{FA2227F9-0132-4857-B75D-73D8C1F63DE0}" name="Column12131"/>
    <tableColumn id="12146" xr3:uid="{416E8900-6625-4F7D-BCCA-8DCDA8E03AA3}" name="Column12132"/>
    <tableColumn id="12147" xr3:uid="{DCCAB5B5-5FDC-4754-92C3-E328049D16F9}" name="Column12133"/>
    <tableColumn id="12148" xr3:uid="{6B6F865A-9677-47FC-B777-ED905EC26C6B}" name="Column12134"/>
    <tableColumn id="12149" xr3:uid="{DB729320-B6DF-432D-B493-DB9841E26695}" name="Column12135"/>
    <tableColumn id="12150" xr3:uid="{E005AB86-B4BB-4ED5-93CC-B0502415E3B0}" name="Column12136"/>
    <tableColumn id="12151" xr3:uid="{AF342EE7-47B1-4BEF-8D05-50DBF3A381BC}" name="Column12137"/>
    <tableColumn id="12152" xr3:uid="{25512DB2-D0DB-4FDE-9CED-26BDBC0BAE74}" name="Column12138"/>
    <tableColumn id="12153" xr3:uid="{8D4E4411-CE88-4E43-9C76-A49446C53941}" name="Column12139"/>
    <tableColumn id="12154" xr3:uid="{82D4B852-22D8-4B33-8D10-047BDD2B55CF}" name="Column12140"/>
    <tableColumn id="12155" xr3:uid="{78F9B08B-8887-4320-A608-0BEA698FF401}" name="Column12141"/>
    <tableColumn id="12156" xr3:uid="{3043A6FA-49E6-4D26-8214-9BB2CC8B8C4A}" name="Column12142"/>
    <tableColumn id="12157" xr3:uid="{84556B0D-3967-4420-B81D-76B055F608AB}" name="Column12143"/>
    <tableColumn id="12158" xr3:uid="{D9CB5E5C-5946-4BC8-BE76-135395BFEF18}" name="Column12144"/>
    <tableColumn id="12159" xr3:uid="{C5F54191-B73A-49C0-8F1D-7681916AF4EB}" name="Column12145"/>
    <tableColumn id="12160" xr3:uid="{20B569BB-9D1D-4D05-8C0E-982E9AE1E3FB}" name="Column12146"/>
    <tableColumn id="12161" xr3:uid="{DBB424A4-5681-4B03-A50E-F00B6E846C45}" name="Column12147"/>
    <tableColumn id="12162" xr3:uid="{944FE3E5-82BE-4BDD-A7F1-2B9A3F1B9EF9}" name="Column12148"/>
    <tableColumn id="12163" xr3:uid="{688CECD8-5F2D-43A9-808F-0E01FB466178}" name="Column12149"/>
    <tableColumn id="12164" xr3:uid="{64FCFEF3-720E-4C99-870D-EFB9D2E7870B}" name="Column12150"/>
    <tableColumn id="12165" xr3:uid="{B4D6483F-174F-4334-BE42-71CB29A45CED}" name="Column12151"/>
    <tableColumn id="12166" xr3:uid="{076AE7E3-EF3C-49BD-AE9C-71F286C31105}" name="Column12152"/>
    <tableColumn id="12167" xr3:uid="{395F1B0E-4EAD-4965-962B-2AE5C9AAA8DD}" name="Column12153"/>
    <tableColumn id="12168" xr3:uid="{B0165363-0483-4A6F-A447-4701C80CF2CE}" name="Column12154"/>
    <tableColumn id="12169" xr3:uid="{37593978-DFF1-4E01-AC94-372B671A4ECE}" name="Column12155"/>
    <tableColumn id="12170" xr3:uid="{48C972B1-7206-4209-BD7A-CE5F3464F6E7}" name="Column12156"/>
    <tableColumn id="12171" xr3:uid="{31CD6561-8CF8-48AA-9575-5675F50F9B27}" name="Column12157"/>
    <tableColumn id="12172" xr3:uid="{50509D94-90ED-4311-A007-527E43FD6CF6}" name="Column12158"/>
    <tableColumn id="12173" xr3:uid="{94B77439-655B-4BC0-9AB8-E8DE4C5FBA67}" name="Column12159"/>
    <tableColumn id="12174" xr3:uid="{40D2E07B-4994-4A41-BEA0-2BC2961F37D2}" name="Column12160"/>
    <tableColumn id="12175" xr3:uid="{DCF6C8BB-2AD2-4182-A5A9-3C39431EC854}" name="Column12161"/>
    <tableColumn id="12176" xr3:uid="{86D8865A-7E9D-4476-91A2-6E8CE4DD412D}" name="Column12162"/>
    <tableColumn id="12177" xr3:uid="{8B3EFE8F-AF87-434A-83B7-AA0E3E7CACCA}" name="Column12163"/>
    <tableColumn id="12178" xr3:uid="{509EA516-8A75-42AA-9166-F4F2FB0CF9E6}" name="Column12164"/>
    <tableColumn id="12179" xr3:uid="{C5863AC2-FD9B-4C3C-AFF5-17851B5D7A60}" name="Column12165"/>
    <tableColumn id="12180" xr3:uid="{B8591650-A715-4324-ACD7-15F9B27D55B9}" name="Column12166"/>
    <tableColumn id="12181" xr3:uid="{A198FBC8-745C-456D-BC2A-9446FD6BC27F}" name="Column12167"/>
    <tableColumn id="12182" xr3:uid="{FDEA933E-2585-4096-87A5-ADE0232C6D18}" name="Column12168"/>
    <tableColumn id="12183" xr3:uid="{33A436A8-9628-49DC-B1A9-AA280EC96F69}" name="Column12169"/>
    <tableColumn id="12184" xr3:uid="{58789551-2D38-4350-97BB-2FE86677A34B}" name="Column12170"/>
    <tableColumn id="12185" xr3:uid="{B6241469-2CA2-4B2F-B069-47A8297ED25A}" name="Column12171"/>
    <tableColumn id="12186" xr3:uid="{C7B0A924-2278-46CB-82E0-2BBD33255945}" name="Column12172"/>
    <tableColumn id="12187" xr3:uid="{01F9016C-C5DF-4438-91D3-800C1DC99C93}" name="Column12173"/>
    <tableColumn id="12188" xr3:uid="{BE44F6CF-3022-41AE-B404-7D062D93E242}" name="Column12174"/>
    <tableColumn id="12189" xr3:uid="{C539BE26-4BDD-448A-BD6B-CE34EF56BE1C}" name="Column12175"/>
    <tableColumn id="12190" xr3:uid="{1357F45E-207D-4819-9EA1-F9C4ED686B9F}" name="Column12176"/>
    <tableColumn id="12191" xr3:uid="{DF13DD62-E252-4056-A0D7-7DB56044FA58}" name="Column12177"/>
    <tableColumn id="12192" xr3:uid="{BD04A854-CC43-4B10-B72B-BCA39A8909B1}" name="Column12178"/>
    <tableColumn id="12193" xr3:uid="{8707A4C7-7F1C-486F-BBC9-ACCF1D9B9D03}" name="Column12179"/>
    <tableColumn id="12194" xr3:uid="{A5AB9608-8B24-4B00-8DE0-2BDCC18AEE10}" name="Column12180"/>
    <tableColumn id="12195" xr3:uid="{95A5B1DA-CD67-4BFF-897D-BACC02F1D1FD}" name="Column12181"/>
    <tableColumn id="12196" xr3:uid="{3868C86B-AAD7-44A9-B5E7-9CA5F8916CA1}" name="Column12182"/>
    <tableColumn id="12197" xr3:uid="{75F8D39D-E8ED-46E8-B05F-08A0064FD164}" name="Column12183"/>
    <tableColumn id="12198" xr3:uid="{0550AEF9-22BF-43F2-8B65-864B7C62303D}" name="Column12184"/>
    <tableColumn id="12199" xr3:uid="{0B0817DD-FE06-405D-BD91-0D5AC02EFC27}" name="Column12185"/>
    <tableColumn id="12200" xr3:uid="{B8709526-8150-4BFB-8B78-C51C31092546}" name="Column12186"/>
    <tableColumn id="12201" xr3:uid="{2D0D4DFF-1083-44A7-B233-562C84CE678B}" name="Column12187"/>
    <tableColumn id="12202" xr3:uid="{8A4DC281-A5BE-49B8-B3FB-35C754B9CF8E}" name="Column12188"/>
    <tableColumn id="12203" xr3:uid="{F03898CE-ECBE-430A-95FF-066F2B5F493C}" name="Column12189"/>
    <tableColumn id="12204" xr3:uid="{754A84BF-8F19-49A5-BF78-DBA272C9A695}" name="Column12190"/>
    <tableColumn id="12205" xr3:uid="{DA0107BF-3A00-4752-9951-8DC65CD9DAF6}" name="Column12191"/>
    <tableColumn id="12206" xr3:uid="{D4D8EC1D-DA76-49C1-BD58-D4F25C9DF4D2}" name="Column12192"/>
    <tableColumn id="12207" xr3:uid="{A95F38EE-3F62-4EA7-8F62-34505909FA9D}" name="Column12193"/>
    <tableColumn id="12208" xr3:uid="{34BE3F25-2A11-4739-9BBC-56478EAF5E80}" name="Column12194"/>
    <tableColumn id="12209" xr3:uid="{811DEAF3-0DFB-4124-BEB4-B991FDBB4225}" name="Column12195"/>
    <tableColumn id="12210" xr3:uid="{5F29C704-2DE9-489C-9A23-067FC145F033}" name="Column12196"/>
    <tableColumn id="12211" xr3:uid="{EE6FF447-AE03-4C13-9E8F-F5D8495AA6A9}" name="Column12197"/>
    <tableColumn id="12212" xr3:uid="{04AAB569-AAD9-4C11-8AF3-898AFB675E5F}" name="Column12198"/>
    <tableColumn id="12213" xr3:uid="{9A0E7EBD-1AF0-4E14-96D3-BBE8BD840F89}" name="Column12199"/>
    <tableColumn id="12214" xr3:uid="{1FF2AF9D-141C-4845-92E0-4E26AFC2F096}" name="Column12200"/>
    <tableColumn id="12215" xr3:uid="{858FD9F5-ADF5-4C6A-9692-4FF379DC148B}" name="Column12201"/>
    <tableColumn id="12216" xr3:uid="{45CDCB92-2344-4FED-AB09-A5FE9088CB97}" name="Column12202"/>
    <tableColumn id="12217" xr3:uid="{DF5866AF-DB11-431F-8A72-C0C5EBE15237}" name="Column12203"/>
    <tableColumn id="12218" xr3:uid="{EC166F1B-DD8A-4DDA-AE4A-6F239D02C98C}" name="Column12204"/>
    <tableColumn id="12219" xr3:uid="{9C5A58E3-CBCF-47FF-901B-FECBC7DDCD4E}" name="Column12205"/>
    <tableColumn id="12220" xr3:uid="{CA26F1F9-5371-426D-83D7-3C5B60391F7B}" name="Column12206"/>
    <tableColumn id="12221" xr3:uid="{0F83E016-EB2C-41E7-A591-86E174CA051A}" name="Column12207"/>
    <tableColumn id="12222" xr3:uid="{7DD1C737-1FFA-4907-B6D1-763FA71BF27F}" name="Column12208"/>
    <tableColumn id="12223" xr3:uid="{D0407EC2-1A8C-442F-9F1D-620145FA1203}" name="Column12209"/>
    <tableColumn id="12224" xr3:uid="{3D58F6DA-1BDB-442A-86B1-6DC407ABE292}" name="Column12210"/>
    <tableColumn id="12225" xr3:uid="{A55C37D7-857F-41D5-90F0-C94D88C08D51}" name="Column12211"/>
    <tableColumn id="12226" xr3:uid="{9735FB26-8271-4A5E-A1D7-C30A8DB4C706}" name="Column12212"/>
    <tableColumn id="12227" xr3:uid="{5036F36B-D63F-4BD6-BB8C-934EB130A751}" name="Column12213"/>
    <tableColumn id="12228" xr3:uid="{FC91C0C2-99F8-41B8-ADB6-75513527365F}" name="Column12214"/>
    <tableColumn id="12229" xr3:uid="{307B5ABF-64F9-4537-8B52-E5F4369FFA63}" name="Column12215"/>
    <tableColumn id="12230" xr3:uid="{28096603-8B82-4062-BDB8-3785016D1F43}" name="Column12216"/>
    <tableColumn id="12231" xr3:uid="{13FB9ED1-982B-43EE-BD58-FCE278308C78}" name="Column12217"/>
    <tableColumn id="12232" xr3:uid="{FEC073EE-9D72-44C8-AF38-4945F8320C24}" name="Column12218"/>
    <tableColumn id="12233" xr3:uid="{1DC6B265-BB0B-47D5-8A6D-B5E5E302BD00}" name="Column12219"/>
    <tableColumn id="12234" xr3:uid="{11A50A0E-1758-4EE0-8C0B-D1474CB8F4C5}" name="Column12220"/>
    <tableColumn id="12235" xr3:uid="{2F161548-03EA-4F56-8559-70D32212FC44}" name="Column12221"/>
    <tableColumn id="12236" xr3:uid="{E2CDB337-EACD-4666-875F-BE1E7E7A2ACE}" name="Column12222"/>
    <tableColumn id="12237" xr3:uid="{3E58F0CD-262C-40FE-B810-D9605FD33833}" name="Column12223"/>
    <tableColumn id="12238" xr3:uid="{D7746B05-7934-460D-9DB3-12122AF33CA3}" name="Column12224"/>
    <tableColumn id="12239" xr3:uid="{0A24F197-0CCE-4684-9CFC-EFF2581940A5}" name="Column12225"/>
    <tableColumn id="12240" xr3:uid="{F3706441-0C7D-46E1-8673-73E3D8F4414E}" name="Column12226"/>
    <tableColumn id="12241" xr3:uid="{8F51832B-B78F-4F4F-B5AD-B6B2E7401590}" name="Column12227"/>
    <tableColumn id="12242" xr3:uid="{22E668ED-7782-4568-A8E0-6B8AA659CCB7}" name="Column12228"/>
    <tableColumn id="12243" xr3:uid="{C2BD6956-2550-43F5-AA3F-3D9DC922584F}" name="Column12229"/>
    <tableColumn id="12244" xr3:uid="{80C5C117-C267-4216-A10D-2854048DCB0C}" name="Column12230"/>
    <tableColumn id="12245" xr3:uid="{5ED93396-D10A-42C6-94C9-53A3420841C8}" name="Column12231"/>
    <tableColumn id="12246" xr3:uid="{CF49E1FB-2906-4354-A586-3CD6A888BFAA}" name="Column12232"/>
    <tableColumn id="12247" xr3:uid="{01D824AF-8114-4C4B-8F09-87E3373378AB}" name="Column12233"/>
    <tableColumn id="12248" xr3:uid="{9EC1614D-953D-4387-87FA-A4FAB4D5F65F}" name="Column12234"/>
    <tableColumn id="12249" xr3:uid="{EECEB23A-7622-4988-97C9-3B456DBF31BD}" name="Column12235"/>
    <tableColumn id="12250" xr3:uid="{DE7B01F0-AD9E-4229-A0D8-F00FED663065}" name="Column12236"/>
    <tableColumn id="12251" xr3:uid="{04F7321D-4FEB-4E42-B4B9-42E7B5BA12FC}" name="Column12237"/>
    <tableColumn id="12252" xr3:uid="{B045190A-695A-489A-8846-6971112AE535}" name="Column12238"/>
    <tableColumn id="12253" xr3:uid="{FF55233C-639C-4AE6-AC1E-A6236EA8A263}" name="Column12239"/>
    <tableColumn id="12254" xr3:uid="{A9AF7BBB-C826-450D-8CDF-0EEA6D19BBA6}" name="Column12240"/>
    <tableColumn id="12255" xr3:uid="{6AD8D4D4-BA30-4D41-ACEB-D7262882645C}" name="Column12241"/>
    <tableColumn id="12256" xr3:uid="{C26B5068-6417-4EAA-90B6-1BFA82FB2167}" name="Column12242"/>
    <tableColumn id="12257" xr3:uid="{5C70E8BD-84E5-443B-9D93-5D22271051C8}" name="Column12243"/>
    <tableColumn id="12258" xr3:uid="{DD2D0B92-E7D5-46BC-9FEC-D112B3012529}" name="Column12244"/>
    <tableColumn id="12259" xr3:uid="{F77A870C-923F-4849-BFFE-5EC1D16B7B58}" name="Column12245"/>
    <tableColumn id="12260" xr3:uid="{7474E385-4D5A-4F7B-9975-1541EC5C47E5}" name="Column12246"/>
    <tableColumn id="12261" xr3:uid="{903338C5-C2DF-45DB-ABFA-3C5E06540151}" name="Column12247"/>
    <tableColumn id="12262" xr3:uid="{7B2EB079-4EF5-4F57-91C9-D505F0282214}" name="Column12248"/>
    <tableColumn id="12263" xr3:uid="{0915E3BE-0A3B-438E-A97C-0A3E8457B227}" name="Column12249"/>
    <tableColumn id="12264" xr3:uid="{EA043E33-1AD7-4F41-AA7A-05EE8D3CB2FB}" name="Column12250"/>
    <tableColumn id="12265" xr3:uid="{BDCBDD5A-9D86-4EBB-B582-8BE55FE02F5B}" name="Column12251"/>
    <tableColumn id="12266" xr3:uid="{3B4CF209-A3C0-4E50-A2C0-B3C4AD4F50BE}" name="Column12252"/>
    <tableColumn id="12267" xr3:uid="{99862E8E-A6CF-479D-AC4B-489F9AE9CCB1}" name="Column12253"/>
    <tableColumn id="12268" xr3:uid="{E8CDF770-FE31-42C1-BF14-D7557A11A57C}" name="Column12254"/>
    <tableColumn id="12269" xr3:uid="{8AE8421F-2FA6-45C8-BF0E-773227D23503}" name="Column12255"/>
    <tableColumn id="12270" xr3:uid="{DBBB2BF2-8FB6-4AFF-862C-13DFC5D8C345}" name="Column12256"/>
    <tableColumn id="12271" xr3:uid="{BCC92EF2-ECEE-4D1E-8561-393E56D1DF12}" name="Column12257"/>
    <tableColumn id="12272" xr3:uid="{488494D0-76A9-443A-821F-9098394F92EA}" name="Column12258"/>
    <tableColumn id="12273" xr3:uid="{5538B5DC-7CD4-4CB7-857B-91B45D8609F2}" name="Column12259"/>
    <tableColumn id="12274" xr3:uid="{0095FD7D-895D-4F40-A8AC-1B7DEC001DA0}" name="Column12260"/>
    <tableColumn id="12275" xr3:uid="{A41A6F4F-28FF-43F7-960B-33B162941BD4}" name="Column12261"/>
    <tableColumn id="12276" xr3:uid="{739E7DD9-4E06-4543-AFD8-F7FD8C6D6005}" name="Column12262"/>
    <tableColumn id="12277" xr3:uid="{36B79A73-E55C-4D93-AC2E-C3EB0EE2A3AD}" name="Column12263"/>
    <tableColumn id="12278" xr3:uid="{6F6F90CC-F6CA-4ACE-86C0-D17890260728}" name="Column12264"/>
    <tableColumn id="12279" xr3:uid="{217199B0-63BB-4A4C-B6E5-70EA5436CFF4}" name="Column12265"/>
    <tableColumn id="12280" xr3:uid="{03F090C0-FEC9-4287-ADCA-B84D98B7A8F3}" name="Column12266"/>
    <tableColumn id="12281" xr3:uid="{F045232C-BCFA-4320-9DBA-9A4CE77EAFD2}" name="Column12267"/>
    <tableColumn id="12282" xr3:uid="{086303FF-5AB5-4CE9-A224-C1C9E884688E}" name="Column12268"/>
    <tableColumn id="12283" xr3:uid="{A98C206C-87A8-44E7-A544-B85EBB38128A}" name="Column12269"/>
    <tableColumn id="12284" xr3:uid="{30490372-4166-4D98-B7D5-A39073543977}" name="Column12270"/>
    <tableColumn id="12285" xr3:uid="{5D68F79B-97A6-483A-9322-7A4BC99665BD}" name="Column12271"/>
    <tableColumn id="12286" xr3:uid="{E6E7AC21-7B56-49CA-9AC3-A2F09AB3DBD7}" name="Column12272"/>
    <tableColumn id="12287" xr3:uid="{9C8CE8D9-D794-4A2B-B77B-1776A46B28C0}" name="Column12273"/>
    <tableColumn id="12288" xr3:uid="{40C2843A-215E-4167-B22C-99BE064F5E52}" name="Column12274"/>
    <tableColumn id="12289" xr3:uid="{D1F7FB3A-A838-4A19-B33C-80FB6D185908}" name="Column12275"/>
    <tableColumn id="12290" xr3:uid="{5C61F197-6312-443B-A243-3782E7BCE2E3}" name="Column12276"/>
    <tableColumn id="12291" xr3:uid="{8019E31F-C4F2-4E8C-86C7-916D68D42C06}" name="Column12277"/>
    <tableColumn id="12292" xr3:uid="{076F77AD-B630-4AE0-90C9-FEB2F3CA1B1D}" name="Column12278"/>
    <tableColumn id="12293" xr3:uid="{5E97C180-9A14-4AB7-BDD7-64370996DFA3}" name="Column12279"/>
    <tableColumn id="12294" xr3:uid="{12B5D7AF-254D-41FC-AE22-B73D0F3C34AB}" name="Column12280"/>
    <tableColumn id="12295" xr3:uid="{01242453-79EE-49C6-BCF0-E37415B348D4}" name="Column12281"/>
    <tableColumn id="12296" xr3:uid="{6B6056DB-3935-47BE-BB48-D682C8409EBD}" name="Column12282"/>
    <tableColumn id="12297" xr3:uid="{9B1723C4-7C70-46A3-971B-C6EB37E4C326}" name="Column12283"/>
    <tableColumn id="12298" xr3:uid="{E1F8A8D6-A947-44C7-9438-B33434F937B4}" name="Column12284"/>
    <tableColumn id="12299" xr3:uid="{7F2F569A-812F-4982-B53C-496BAEB141BF}" name="Column12285"/>
    <tableColumn id="12300" xr3:uid="{8812041C-5EAE-4C9D-98FC-1662BA6AEA39}" name="Column12286"/>
    <tableColumn id="12301" xr3:uid="{413BB004-A0AD-45B2-AE1A-4488FC99CB0B}" name="Column12287"/>
    <tableColumn id="12302" xr3:uid="{224DFC0D-58D0-44A3-813B-52AC639B0859}" name="Column12288"/>
    <tableColumn id="12303" xr3:uid="{12E8AD48-2A09-4A26-8017-325EFBC3ABF2}" name="Column12289"/>
    <tableColumn id="12304" xr3:uid="{674F8BE3-A9E0-4B78-B239-65602BD3682C}" name="Column12290"/>
    <tableColumn id="12305" xr3:uid="{C9F51647-AAAC-40FB-9534-0B9B50326883}" name="Column12291"/>
    <tableColumn id="12306" xr3:uid="{BC3DEEDC-5B32-4C64-BDCF-709B5A654313}" name="Column12292"/>
    <tableColumn id="12307" xr3:uid="{0EF1D7DB-6D8E-48D9-9DD6-F9189B138BAF}" name="Column12293"/>
    <tableColumn id="12308" xr3:uid="{87316062-2E9E-4570-BCF6-FE40BA6882C6}" name="Column12294"/>
    <tableColumn id="12309" xr3:uid="{06A23007-8F22-4F1E-9A45-C9528EAE06DA}" name="Column12295"/>
    <tableColumn id="12310" xr3:uid="{FFA1C0E3-23A8-4A01-83E3-07D790373FF9}" name="Column12296"/>
    <tableColumn id="12311" xr3:uid="{4E7171D1-7C96-4AAD-A592-DA70E20F0620}" name="Column12297"/>
    <tableColumn id="12312" xr3:uid="{8D3BF22A-FD89-45D6-9D0F-2F7380E418A7}" name="Column12298"/>
    <tableColumn id="12313" xr3:uid="{411123B1-C5C0-4D0F-BEBB-44F3D2F69CD3}" name="Column12299"/>
    <tableColumn id="12314" xr3:uid="{7378B08D-E7FE-4100-8CE4-CDA0BAAB035C}" name="Column12300"/>
    <tableColumn id="12315" xr3:uid="{285E7585-CBF5-4A0D-8EA2-E789D03622E7}" name="Column12301"/>
    <tableColumn id="12316" xr3:uid="{1CEF2CE4-E1A8-45B6-ABB8-86A4DBBD6689}" name="Column12302"/>
    <tableColumn id="12317" xr3:uid="{C17DA97F-F02E-406A-8F62-0ECCFF12FD5E}" name="Column12303"/>
    <tableColumn id="12318" xr3:uid="{9FC87ED5-6EA4-4C6A-8FBF-50E1F69C2EF7}" name="Column12304"/>
    <tableColumn id="12319" xr3:uid="{CD27927D-DA48-4D03-9A6B-217EE3BBFFF9}" name="Column12305"/>
    <tableColumn id="12320" xr3:uid="{6A7B73E7-B692-4A2B-AECA-B813F5E04805}" name="Column12306"/>
    <tableColumn id="12321" xr3:uid="{446DEEE2-4336-41BB-8ED6-45254DCB8358}" name="Column12307"/>
    <tableColumn id="12322" xr3:uid="{10012511-0141-4160-B3B7-59B7C9089DF5}" name="Column12308"/>
    <tableColumn id="12323" xr3:uid="{8372CD5B-4FC9-4804-948E-4F586D0039FC}" name="Column12309"/>
    <tableColumn id="12324" xr3:uid="{D8E627BC-1EF3-4ABF-BD0D-EA53DE242BCD}" name="Column12310"/>
    <tableColumn id="12325" xr3:uid="{4CD85EF2-9CDE-494D-B143-54B152E6A913}" name="Column12311"/>
    <tableColumn id="12326" xr3:uid="{ABF3865B-943A-4213-A018-73EAAF8151D6}" name="Column12312"/>
    <tableColumn id="12327" xr3:uid="{C4C4216D-3592-49C7-B710-65A7D49C25C4}" name="Column12313"/>
    <tableColumn id="12328" xr3:uid="{C3B6A517-B39F-4F98-956A-5393B77F4862}" name="Column12314"/>
    <tableColumn id="12329" xr3:uid="{513FE082-AC35-4580-8105-9621468A2D1A}" name="Column12315"/>
    <tableColumn id="12330" xr3:uid="{F85487E4-D4D3-40FC-8A27-43E22C86015E}" name="Column12316"/>
    <tableColumn id="12331" xr3:uid="{CD223394-FFE1-4857-A5D3-E80299E9AAB0}" name="Column12317"/>
    <tableColumn id="12332" xr3:uid="{B732896B-4674-49DE-ADB7-2069562DDFEA}" name="Column12318"/>
    <tableColumn id="12333" xr3:uid="{B3E8CC84-7F43-4A9E-8E20-505CB941FA9D}" name="Column12319"/>
    <tableColumn id="12334" xr3:uid="{D739EA02-34EF-4B14-AF19-874BD78A93CF}" name="Column12320"/>
    <tableColumn id="12335" xr3:uid="{8AFD4A29-F374-4BC0-9F08-E40887791566}" name="Column12321"/>
    <tableColumn id="12336" xr3:uid="{5E8C28BF-CCB2-4B4C-AEA7-2DE50CB85B76}" name="Column12322"/>
    <tableColumn id="12337" xr3:uid="{748E789F-EF6B-4CF7-828F-33F736546706}" name="Column12323"/>
    <tableColumn id="12338" xr3:uid="{952F4B74-4D2D-42E4-9757-816C7C741AB2}" name="Column12324"/>
    <tableColumn id="12339" xr3:uid="{6A23C5E0-456E-4418-9C4F-60A89C6E9E3E}" name="Column12325"/>
    <tableColumn id="12340" xr3:uid="{0C920329-B160-4673-A792-AC5B9D4CBC30}" name="Column12326"/>
    <tableColumn id="12341" xr3:uid="{4729932C-2112-47E5-8385-C7461FC627F7}" name="Column12327"/>
    <tableColumn id="12342" xr3:uid="{F1E0CE77-FE64-4765-BED0-EAD9C6AD8693}" name="Column12328"/>
    <tableColumn id="12343" xr3:uid="{8BA56299-4EC6-4D85-BA7E-3D6273907182}" name="Column12329"/>
    <tableColumn id="12344" xr3:uid="{79DC87E5-6F7D-42D5-A468-C351C13C5CA9}" name="Column12330"/>
    <tableColumn id="12345" xr3:uid="{BF2E181A-FA9E-4403-B230-C731E1A8FCC8}" name="Column12331"/>
    <tableColumn id="12346" xr3:uid="{B02DAE62-A9CB-4388-BEB6-446E1AEFBE5A}" name="Column12332"/>
    <tableColumn id="12347" xr3:uid="{DC14108A-8D10-451A-AF9F-0FD427F5E73E}" name="Column12333"/>
    <tableColumn id="12348" xr3:uid="{8C80E2F3-D32B-4467-B3D4-8288042B6CA5}" name="Column12334"/>
    <tableColumn id="12349" xr3:uid="{C2A39637-1A03-43DB-B634-A193301EB9D5}" name="Column12335"/>
    <tableColumn id="12350" xr3:uid="{6B9B0C9C-CB9E-4E8E-A341-E8A5B9B46E81}" name="Column12336"/>
    <tableColumn id="12351" xr3:uid="{08D9D960-F722-463A-A198-8007392530E9}" name="Column12337"/>
    <tableColumn id="12352" xr3:uid="{FB681D8A-3AC2-4731-B229-2907C98C1817}" name="Column12338"/>
    <tableColumn id="12353" xr3:uid="{0D8776C7-030F-4DFB-8F99-2556B91EE04F}" name="Column12339"/>
    <tableColumn id="12354" xr3:uid="{DB4E7B8A-745A-47A2-A19A-A672969FA5E4}" name="Column12340"/>
    <tableColumn id="12355" xr3:uid="{76114C98-2F25-47FC-A13C-0100D8F5FE5C}" name="Column12341"/>
    <tableColumn id="12356" xr3:uid="{F1D5AE1B-2EC2-4108-BD53-0A6CE9156632}" name="Column12342"/>
    <tableColumn id="12357" xr3:uid="{C462CAEA-6F1E-473B-85FD-87BFA5F1284A}" name="Column12343"/>
    <tableColumn id="12358" xr3:uid="{03BF1547-9AF5-4F57-AA42-9EB8EA9C18B8}" name="Column12344"/>
    <tableColumn id="12359" xr3:uid="{D74A056B-1E8D-4D5C-B187-316606D37C6B}" name="Column12345"/>
    <tableColumn id="12360" xr3:uid="{45C2B336-F5D0-4FCB-9DF8-6A0BC291BAB6}" name="Column12346"/>
    <tableColumn id="12361" xr3:uid="{3AC51A86-158F-4771-A5A6-67D86C34C93A}" name="Column12347"/>
    <tableColumn id="12362" xr3:uid="{957FDD4B-860A-4C48-9150-58D5A79E04CB}" name="Column12348"/>
    <tableColumn id="12363" xr3:uid="{36CA7FE1-B09B-476F-A086-7703059B3564}" name="Column12349"/>
    <tableColumn id="12364" xr3:uid="{EACEE063-8A1C-4335-ADFA-FE998A9E7A94}" name="Column12350"/>
    <tableColumn id="12365" xr3:uid="{FAEE7A9B-5A21-44D8-9B32-2B89501EE694}" name="Column12351"/>
    <tableColumn id="12366" xr3:uid="{CD660B73-B784-4CB4-8A4D-C975BF3A814C}" name="Column12352"/>
    <tableColumn id="12367" xr3:uid="{E0D5A519-A92D-4D09-B71A-4C4B11CC8712}" name="Column12353"/>
    <tableColumn id="12368" xr3:uid="{ACA7FE07-C800-4CDF-AF5B-AD7290AEA176}" name="Column12354"/>
    <tableColumn id="12369" xr3:uid="{7753F8EC-BA98-4511-A93E-D2419F5AD3D2}" name="Column12355"/>
    <tableColumn id="12370" xr3:uid="{D5D17C16-4D50-4B57-BA60-287873B03E91}" name="Column12356"/>
    <tableColumn id="12371" xr3:uid="{B005609C-39E8-407C-ADEE-E9DE09B475B9}" name="Column12357"/>
    <tableColumn id="12372" xr3:uid="{85DD67F3-4E8E-42B5-B02C-D2E973F7F03C}" name="Column12358"/>
    <tableColumn id="12373" xr3:uid="{883526EF-53FD-45E7-A3E4-E89AB216CCAB}" name="Column12359"/>
    <tableColumn id="12374" xr3:uid="{D3E79324-AB97-4915-A322-A826CF32ED6F}" name="Column12360"/>
    <tableColumn id="12375" xr3:uid="{7A4065F0-8A37-4F9A-A893-432392D462CC}" name="Column12361"/>
    <tableColumn id="12376" xr3:uid="{AC716C98-A6DD-42EF-95AD-C52145E052CD}" name="Column12362"/>
    <tableColumn id="12377" xr3:uid="{51AFF1D5-722A-4F0E-8517-B2E19D7C3379}" name="Column12363"/>
    <tableColumn id="12378" xr3:uid="{E6F1BD40-0A2A-4E6F-9331-DE1E0FE69978}" name="Column12364"/>
    <tableColumn id="12379" xr3:uid="{B1835396-4184-43F9-9203-F3D85A1460D9}" name="Column12365"/>
    <tableColumn id="12380" xr3:uid="{5B98B8FB-C27F-4AC4-BDF8-2E389CD48092}" name="Column12366"/>
    <tableColumn id="12381" xr3:uid="{0E5F4B0A-558A-4D19-AA69-1EDEB7F8B9FD}" name="Column12367"/>
    <tableColumn id="12382" xr3:uid="{7B7E7548-3652-46BC-9B85-DD9E3BD06288}" name="Column12368"/>
    <tableColumn id="12383" xr3:uid="{F9AF2697-7DBB-49DD-BCE8-A06F72C06A59}" name="Column12369"/>
    <tableColumn id="12384" xr3:uid="{59643A71-DA22-4267-A4F0-08C8899C7154}" name="Column12370"/>
    <tableColumn id="12385" xr3:uid="{A17CB0D5-8364-48D4-8C4A-6465281650A3}" name="Column12371"/>
    <tableColumn id="12386" xr3:uid="{4BEC7181-1CF5-4241-93C6-2BAAFDB4687F}" name="Column12372"/>
    <tableColumn id="12387" xr3:uid="{1B82C629-51CD-40FC-8D03-AB239265AE4A}" name="Column12373"/>
    <tableColumn id="12388" xr3:uid="{BF912102-E399-489A-BD2C-750534C9C133}" name="Column12374"/>
    <tableColumn id="12389" xr3:uid="{0BF2A170-8133-45EB-972D-123C3A71201D}" name="Column12375"/>
    <tableColumn id="12390" xr3:uid="{E401096F-F018-450E-B5E7-0EC681BECCA4}" name="Column12376"/>
    <tableColumn id="12391" xr3:uid="{FB66DB0E-C521-4592-A929-8EA48DA9D84A}" name="Column12377"/>
    <tableColumn id="12392" xr3:uid="{4956C702-828B-4E3C-85F6-5C462C7CF129}" name="Column12378"/>
    <tableColumn id="12393" xr3:uid="{9B792508-4579-46A1-9EFB-BD3E4CD9F477}" name="Column12379"/>
    <tableColumn id="12394" xr3:uid="{73568310-95B2-4A67-AEA9-CEB23DA92198}" name="Column12380"/>
    <tableColumn id="12395" xr3:uid="{A672E0D6-86FA-4469-9E8E-9787533AF31A}" name="Column12381"/>
    <tableColumn id="12396" xr3:uid="{6537FD41-25DF-4D58-8B1B-2B5961A1864D}" name="Column12382"/>
    <tableColumn id="12397" xr3:uid="{3CA5F5FA-A740-4711-AA5A-9F8A1ABB7E6D}" name="Column12383"/>
    <tableColumn id="12398" xr3:uid="{BF8428BE-DA1C-40B7-8112-618648B26554}" name="Column12384"/>
    <tableColumn id="12399" xr3:uid="{E6E73CD6-3B76-4CEC-A73A-D4E17DFE196A}" name="Column12385"/>
    <tableColumn id="12400" xr3:uid="{CB172FF3-75AD-4256-AEB9-800EAFA1A98D}" name="Column12386"/>
    <tableColumn id="12401" xr3:uid="{978570D2-208B-48FB-BE7B-CD3527AD0F86}" name="Column12387"/>
    <tableColumn id="12402" xr3:uid="{653B1FEC-D35B-4363-8470-6D4E1797EB12}" name="Column12388"/>
    <tableColumn id="12403" xr3:uid="{57DF298E-7942-42D8-9253-FC04D4EA6A94}" name="Column12389"/>
    <tableColumn id="12404" xr3:uid="{F1839477-3ED1-4A36-8A24-FE42A94BD755}" name="Column12390"/>
    <tableColumn id="12405" xr3:uid="{943584BB-E78B-4FCB-AEF8-56EC8A0B2E21}" name="Column12391"/>
    <tableColumn id="12406" xr3:uid="{C4C6DC13-AE93-4F2A-A084-8D607DC7EAA9}" name="Column12392"/>
    <tableColumn id="12407" xr3:uid="{B294FF3B-8FDE-40A3-AF84-5439D21E6FC0}" name="Column12393"/>
    <tableColumn id="12408" xr3:uid="{8A2A4ABE-E3EB-448E-B5B7-DF88923A8BF8}" name="Column12394"/>
    <tableColumn id="12409" xr3:uid="{732F6380-4C65-439A-ABFF-BD051C40FD9B}" name="Column12395"/>
    <tableColumn id="12410" xr3:uid="{C2CA8D8F-D697-455D-8247-2234DFC2ACFF}" name="Column12396"/>
    <tableColumn id="12411" xr3:uid="{F27A07EA-7AFA-4C13-BABE-D8FE1EBA222D}" name="Column12397"/>
    <tableColumn id="12412" xr3:uid="{5388536C-C0EB-4550-BFE9-EA8C12A4E454}" name="Column12398"/>
    <tableColumn id="12413" xr3:uid="{5D1C10A1-F92F-4DA6-92CD-83766DC36ED3}" name="Column12399"/>
    <tableColumn id="12414" xr3:uid="{48F83C02-8E50-4CFC-913F-C79C89FCBE56}" name="Column12400"/>
    <tableColumn id="12415" xr3:uid="{172BF1F8-620D-45A9-AB57-310F41BBB978}" name="Column12401"/>
    <tableColumn id="12416" xr3:uid="{6B3CCC5A-A2E7-4848-8C01-D9FCC91F662B}" name="Column12402"/>
    <tableColumn id="12417" xr3:uid="{25C23013-189B-4D49-805A-D56067A7A650}" name="Column12403"/>
    <tableColumn id="12418" xr3:uid="{4566C156-F422-45A0-BF69-30DD33067488}" name="Column12404"/>
    <tableColumn id="12419" xr3:uid="{1597A2C0-06A5-4AC2-8F1B-D482312EE1A6}" name="Column12405"/>
    <tableColumn id="12420" xr3:uid="{A2930FB0-BFB6-4E56-BA17-0504277AEEFA}" name="Column12406"/>
    <tableColumn id="12421" xr3:uid="{F92058C8-E8D2-43DA-81D0-F0EC90DB4B73}" name="Column12407"/>
    <tableColumn id="12422" xr3:uid="{B1FAD4DF-EBA5-4B06-99A3-22FC78FF2A9C}" name="Column12408"/>
    <tableColumn id="12423" xr3:uid="{CADA30A7-EFD2-4B57-AA8C-9496B850CA35}" name="Column12409"/>
    <tableColumn id="12424" xr3:uid="{E4F7F66E-2695-4C91-8534-B3E4516F9D7D}" name="Column12410"/>
    <tableColumn id="12425" xr3:uid="{4A99DB06-BE2C-460B-A7A8-313C4B32B5F3}" name="Column12411"/>
    <tableColumn id="12426" xr3:uid="{3A23A03B-DD87-453A-8563-C8D34FCBDCD6}" name="Column12412"/>
    <tableColumn id="12427" xr3:uid="{718B936A-CCD3-4EB1-AFAF-313E03D17A40}" name="Column12413"/>
    <tableColumn id="12428" xr3:uid="{E3F5307C-1B87-4D57-AC57-3FF32AD640CC}" name="Column12414"/>
    <tableColumn id="12429" xr3:uid="{CC4EA089-AF7A-4F0E-8FF8-222E8097FE8B}" name="Column12415"/>
    <tableColumn id="12430" xr3:uid="{BD5FF549-A10E-4659-9D5E-1B280E3DB26C}" name="Column12416"/>
    <tableColumn id="12431" xr3:uid="{8E2F021A-47FC-4E17-A085-59D780BDA65A}" name="Column12417"/>
    <tableColumn id="12432" xr3:uid="{BF923371-CE4A-47D1-B55D-36360416D20E}" name="Column12418"/>
    <tableColumn id="12433" xr3:uid="{7D49540F-578A-4B5E-B6A6-FF1593E0F88E}" name="Column12419"/>
    <tableColumn id="12434" xr3:uid="{9513BFB6-F1D1-471E-8307-27B8A6E8151D}" name="Column12420"/>
    <tableColumn id="12435" xr3:uid="{15BA415A-AAA8-4230-A9F9-18CDDE596F2E}" name="Column12421"/>
    <tableColumn id="12436" xr3:uid="{F4F345B4-D464-4405-96CA-D6899305CF8D}" name="Column12422"/>
    <tableColumn id="12437" xr3:uid="{E2484441-6EF7-4C1D-B194-E0A515F4C79A}" name="Column12423"/>
    <tableColumn id="12438" xr3:uid="{22E800C0-AC78-4EE8-BC7E-6DA2D9305C29}" name="Column12424"/>
    <tableColumn id="12439" xr3:uid="{3EA3C3CB-0DC4-45EC-8E6C-C1D97820A138}" name="Column12425"/>
    <tableColumn id="12440" xr3:uid="{90B8E401-797D-4C19-8BE4-2F8BF0DF3DDE}" name="Column12426"/>
    <tableColumn id="12441" xr3:uid="{686BE5E7-0A5F-4FAB-87E7-3F942337CBD1}" name="Column12427"/>
    <tableColumn id="12442" xr3:uid="{D328B3E5-6B92-494E-B0B2-AEDB9B02620D}" name="Column12428"/>
    <tableColumn id="12443" xr3:uid="{952CDA4C-B963-4B85-A98D-1D9B8FC02692}" name="Column12429"/>
    <tableColumn id="12444" xr3:uid="{B92C3E8C-81D7-49DF-82A3-6B19EF8ED660}" name="Column12430"/>
    <tableColumn id="12445" xr3:uid="{9ADF5772-9D4D-449F-AFD8-E292FB484B4A}" name="Column12431"/>
    <tableColumn id="12446" xr3:uid="{47912067-C6E3-40B9-87D5-1D62FC0DBD95}" name="Column12432"/>
    <tableColumn id="12447" xr3:uid="{D780C077-842A-4457-9C3F-61279F9602C7}" name="Column12433"/>
    <tableColumn id="12448" xr3:uid="{355FBF37-57DB-47EA-82E5-F7CD7BE5AB40}" name="Column12434"/>
    <tableColumn id="12449" xr3:uid="{6B702B1B-E518-4D08-ADFC-92155E4FCEE5}" name="Column12435"/>
    <tableColumn id="12450" xr3:uid="{F424255F-8B72-45B5-A331-0B1458D0C4B1}" name="Column12436"/>
    <tableColumn id="12451" xr3:uid="{E6C1A93E-5BBF-449F-8B7F-630ED97EEBA7}" name="Column12437"/>
    <tableColumn id="12452" xr3:uid="{79BD8B88-9E80-4772-8A76-65984BFCCC44}" name="Column12438"/>
    <tableColumn id="12453" xr3:uid="{063D5D06-B58D-4575-9873-2C550E3F2A7D}" name="Column12439"/>
    <tableColumn id="12454" xr3:uid="{08F5B64B-F744-466E-873F-861C423F82B5}" name="Column12440"/>
    <tableColumn id="12455" xr3:uid="{7AB940D2-4F2D-4291-A545-1BD7383950B2}" name="Column12441"/>
    <tableColumn id="12456" xr3:uid="{9CB68170-F9D3-4D2C-A1AB-59E392A0C7EB}" name="Column12442"/>
    <tableColumn id="12457" xr3:uid="{229BD433-282E-45C0-A8F4-92291664BB83}" name="Column12443"/>
    <tableColumn id="12458" xr3:uid="{E253822A-7185-46B5-8D7B-213C69878010}" name="Column12444"/>
    <tableColumn id="12459" xr3:uid="{D6C687FB-60FC-485E-8353-1E6C39DA5336}" name="Column12445"/>
    <tableColumn id="12460" xr3:uid="{30B0FBF4-BB5E-4B76-A325-0EE716AD774A}" name="Column12446"/>
    <tableColumn id="12461" xr3:uid="{9222FDEA-17D9-446E-B22D-49697F65C620}" name="Column12447"/>
    <tableColumn id="12462" xr3:uid="{7145A194-150C-4EA3-9029-DF1B7E41B079}" name="Column12448"/>
    <tableColumn id="12463" xr3:uid="{AF1B0728-725A-494F-9734-29A4E2174609}" name="Column12449"/>
    <tableColumn id="12464" xr3:uid="{38E697FF-DBA4-4B4A-8CF6-A0F82C57F464}" name="Column12450"/>
    <tableColumn id="12465" xr3:uid="{2E1A7069-9071-4EE5-A224-8EB9B3FC719F}" name="Column12451"/>
    <tableColumn id="12466" xr3:uid="{342EA9BE-97C1-49BA-A9ED-EC302F61A6D0}" name="Column12452"/>
    <tableColumn id="12467" xr3:uid="{4797E804-7C7C-42F0-BE44-CC02F335FC44}" name="Column12453"/>
    <tableColumn id="12468" xr3:uid="{3B4C4680-8F81-47FF-B019-41A54A499723}" name="Column12454"/>
    <tableColumn id="12469" xr3:uid="{6E46BC79-6B9C-4BB2-8351-BD2C85E4E585}" name="Column12455"/>
    <tableColumn id="12470" xr3:uid="{83C2F784-FF0F-41E5-B695-0D6A0F41F23B}" name="Column12456"/>
    <tableColumn id="12471" xr3:uid="{9B0F2725-B1B3-4385-8674-A3EDA30B4410}" name="Column12457"/>
    <tableColumn id="12472" xr3:uid="{E3291CDF-C234-4C86-B34A-859C94C27339}" name="Column12458"/>
    <tableColumn id="12473" xr3:uid="{255F7EDE-A450-464A-BB15-AED3B27D8049}" name="Column12459"/>
    <tableColumn id="12474" xr3:uid="{B2186A12-6D30-4A2B-98E4-BBA7061D7DD3}" name="Column12460"/>
    <tableColumn id="12475" xr3:uid="{102E674E-C454-4545-802B-8ADA6EDE12A2}" name="Column12461"/>
    <tableColumn id="12476" xr3:uid="{1FE99FE3-D5CD-4BA5-9526-8908F7EB63F5}" name="Column12462"/>
    <tableColumn id="12477" xr3:uid="{11A5B0C4-2CD2-4BF8-AE11-828D41A1ACD2}" name="Column12463"/>
    <tableColumn id="12478" xr3:uid="{7BB1C0AB-60A8-451C-B42D-F718C89DED6A}" name="Column12464"/>
    <tableColumn id="12479" xr3:uid="{2BDCC93B-98F6-4317-B0C8-3C83437F6A8F}" name="Column12465"/>
    <tableColumn id="12480" xr3:uid="{A91416F1-7D02-47C1-8AC7-B193033323ED}" name="Column12466"/>
    <tableColumn id="12481" xr3:uid="{60DE1300-42C5-4E2F-8A9E-6F656C36F806}" name="Column12467"/>
    <tableColumn id="12482" xr3:uid="{46689388-CBE9-4DAE-B54D-F80AF6436D36}" name="Column12468"/>
    <tableColumn id="12483" xr3:uid="{7B099254-52C9-464D-891E-FC8571BBD0DF}" name="Column12469"/>
    <tableColumn id="12484" xr3:uid="{5EE6B391-4E50-42AA-9131-2DAFFEBF7961}" name="Column12470"/>
    <tableColumn id="12485" xr3:uid="{76216EE2-7790-490D-BDE1-9DC0ECAC4539}" name="Column12471"/>
    <tableColumn id="12486" xr3:uid="{B1877614-90EE-43AA-AA5F-A2BB6154F369}" name="Column12472"/>
    <tableColumn id="12487" xr3:uid="{43D83CE5-F783-41A3-9728-8A685EBAEEC8}" name="Column12473"/>
    <tableColumn id="12488" xr3:uid="{FF36980F-35D7-4475-B8EA-20D0368E93D5}" name="Column12474"/>
    <tableColumn id="12489" xr3:uid="{C2EF827E-F617-4D0F-BD67-EAC9CED7296A}" name="Column12475"/>
    <tableColumn id="12490" xr3:uid="{D4BDF606-742C-4384-A9E9-FC85DF56F171}" name="Column12476"/>
    <tableColumn id="12491" xr3:uid="{6DC594E7-6B31-49AB-AFF7-9A926E1E42CE}" name="Column12477"/>
    <tableColumn id="12492" xr3:uid="{D22C83F1-0CAC-4E0F-A86C-9EEA7EB993DE}" name="Column12478"/>
    <tableColumn id="12493" xr3:uid="{096FF1B0-37A2-4891-B31F-891461367B52}" name="Column12479"/>
    <tableColumn id="12494" xr3:uid="{168481D5-3353-4BE0-BD1F-3364E893C7BA}" name="Column12480"/>
    <tableColumn id="12495" xr3:uid="{4C3885EF-0F08-42B9-A318-7CA03EFF7864}" name="Column12481"/>
    <tableColumn id="12496" xr3:uid="{F55FA6CE-578B-460D-A01B-9AE49FD7F73B}" name="Column12482"/>
    <tableColumn id="12497" xr3:uid="{E7E3201A-8221-4958-8AA9-F82C52B2EFF8}" name="Column12483"/>
    <tableColumn id="12498" xr3:uid="{9A15456D-469A-4ADB-8C24-6DB33BD4DD9D}" name="Column12484"/>
    <tableColumn id="12499" xr3:uid="{8E5125A1-EF8B-46EF-BC4E-1A5EF4C71471}" name="Column12485"/>
    <tableColumn id="12500" xr3:uid="{2ED289AA-CB91-451E-8034-F43ABEB81A73}" name="Column12486"/>
    <tableColumn id="12501" xr3:uid="{025A898D-F3EE-4CA8-9896-E308DFBCFBB3}" name="Column12487"/>
    <tableColumn id="12502" xr3:uid="{D20C566D-E865-46DE-A518-CA8E8CDED085}" name="Column12488"/>
    <tableColumn id="12503" xr3:uid="{5054EECA-28AE-471E-99A9-29D605CE811D}" name="Column12489"/>
    <tableColumn id="12504" xr3:uid="{1EAC94D7-5193-4182-928B-4EC9F92520AD}" name="Column12490"/>
    <tableColumn id="12505" xr3:uid="{BA4A145B-E19B-48F7-951B-8092B5EC16F8}" name="Column12491"/>
    <tableColumn id="12506" xr3:uid="{BD4F3D09-C960-4885-9135-7E1C9EA54265}" name="Column12492"/>
    <tableColumn id="12507" xr3:uid="{6BB4E4BD-F380-45F8-B653-0D23AA908112}" name="Column12493"/>
    <tableColumn id="12508" xr3:uid="{47A302CA-BB28-4BFA-AE2E-7E4CA7B49BAD}" name="Column12494"/>
    <tableColumn id="12509" xr3:uid="{11B020C1-A09D-4DE8-9A15-76F52431A12C}" name="Column12495"/>
    <tableColumn id="12510" xr3:uid="{7621F789-C087-4D32-8A37-56D92A68D4DB}" name="Column12496"/>
    <tableColumn id="12511" xr3:uid="{66B2E421-97F8-4367-AE9A-DFC339FE2C15}" name="Column12497"/>
    <tableColumn id="12512" xr3:uid="{625FEC29-C428-4C59-9B0E-71366800BD13}" name="Column12498"/>
    <tableColumn id="12513" xr3:uid="{F34017D6-D681-4D47-8272-F0753DACA64B}" name="Column12499"/>
    <tableColumn id="12514" xr3:uid="{D6CC4267-0966-4079-8919-EC33CDD64F35}" name="Column12500"/>
    <tableColumn id="12515" xr3:uid="{F1246458-6A30-40F7-8E63-17A74638B67D}" name="Column12501"/>
    <tableColumn id="12516" xr3:uid="{4B0561D8-7316-48CF-B18C-2059C55B5B36}" name="Column12502"/>
    <tableColumn id="12517" xr3:uid="{5BF221B6-BDA1-44D7-94B2-7A4AF4DC158A}" name="Column12503"/>
    <tableColumn id="12518" xr3:uid="{30F48A46-4A12-41C4-BB96-BB646CF9160C}" name="Column12504"/>
    <tableColumn id="12519" xr3:uid="{56555EF8-B6F2-4A39-BCE8-D59E5512926D}" name="Column12505"/>
    <tableColumn id="12520" xr3:uid="{DC93245F-CCAB-4A1A-95CD-12A4E9DBA580}" name="Column12506"/>
    <tableColumn id="12521" xr3:uid="{01AF17C3-8646-4919-8B47-F40B3FB5367B}" name="Column12507"/>
    <tableColumn id="12522" xr3:uid="{4BB97295-B6EC-4B92-A568-274340332BF0}" name="Column12508"/>
    <tableColumn id="12523" xr3:uid="{81B7C505-4DF5-4D05-B434-3B26C0E98490}" name="Column12509"/>
    <tableColumn id="12524" xr3:uid="{5CF524FD-2968-4A16-831E-2575F26464A8}" name="Column12510"/>
    <tableColumn id="12525" xr3:uid="{FC3D3CC6-EB6E-4507-BA7F-9309476994BB}" name="Column12511"/>
    <tableColumn id="12526" xr3:uid="{033651AD-1F01-4F10-A9FC-6A137A4E5CB4}" name="Column12512"/>
    <tableColumn id="12527" xr3:uid="{EF6695E3-E7FF-48C2-B0FF-1B9D835F03F4}" name="Column12513"/>
    <tableColumn id="12528" xr3:uid="{BB30FD83-5C99-456D-9725-09A2AD235AC6}" name="Column12514"/>
    <tableColumn id="12529" xr3:uid="{F0095B22-A30D-4F88-B51C-14B52FB3B10B}" name="Column12515"/>
    <tableColumn id="12530" xr3:uid="{2F9CB2F4-2004-4021-9B1A-6D9DB3452A70}" name="Column12516"/>
    <tableColumn id="12531" xr3:uid="{F408487A-FBA7-4A65-BBE9-8C184AE2F7AC}" name="Column12517"/>
    <tableColumn id="12532" xr3:uid="{A735D6F9-D4A0-42D7-97EE-AA61A1236BA4}" name="Column12518"/>
    <tableColumn id="12533" xr3:uid="{4277AE43-F134-4F1B-8246-C70AB3123E74}" name="Column12519"/>
    <tableColumn id="12534" xr3:uid="{DF27A4C3-4359-415B-8C53-E6B7859BECAD}" name="Column12520"/>
    <tableColumn id="12535" xr3:uid="{3C6F823F-61F2-42CA-A70F-63EBEB69528A}" name="Column12521"/>
    <tableColumn id="12536" xr3:uid="{C537EF98-533F-4AEF-9942-40FC8E45FD7A}" name="Column12522"/>
    <tableColumn id="12537" xr3:uid="{1781F8E8-DF05-4262-A93F-3E9ABC3AFC96}" name="Column12523"/>
    <tableColumn id="12538" xr3:uid="{9994E147-5A3F-4F26-BCBA-91EE633FC577}" name="Column12524"/>
    <tableColumn id="12539" xr3:uid="{A025EE62-432B-4C14-91B0-34684F8C91D7}" name="Column12525"/>
    <tableColumn id="12540" xr3:uid="{C7C4924A-0609-4094-8D40-D3C36AE9D124}" name="Column12526"/>
    <tableColumn id="12541" xr3:uid="{5FB280B6-6C97-4EA3-9705-55BA496B2801}" name="Column12527"/>
    <tableColumn id="12542" xr3:uid="{FA716634-EB09-4341-8DA2-429803A044F6}" name="Column12528"/>
    <tableColumn id="12543" xr3:uid="{A4D71398-53A3-4E5E-AE6D-92B0CF7AC5FC}" name="Column12529"/>
    <tableColumn id="12544" xr3:uid="{42AF419B-F340-478D-9148-24482F7A093A}" name="Column12530"/>
    <tableColumn id="12545" xr3:uid="{95C2D103-3774-4555-9FF9-F428809153C1}" name="Column12531"/>
    <tableColumn id="12546" xr3:uid="{40FA6569-C961-4416-B42D-C4D15ACDF5B2}" name="Column12532"/>
    <tableColumn id="12547" xr3:uid="{B6258A95-98BD-4CD7-AF85-8079BC01DFE5}" name="Column12533"/>
    <tableColumn id="12548" xr3:uid="{CF717BD1-8203-4FA0-AA25-25E90844AD8B}" name="Column12534"/>
    <tableColumn id="12549" xr3:uid="{849A079E-18EB-42D2-AC52-84689A27F176}" name="Column12535"/>
    <tableColumn id="12550" xr3:uid="{F8C9AEBC-D7B9-44B1-B1C3-E8CA20C7C54D}" name="Column12536"/>
    <tableColumn id="12551" xr3:uid="{F49196E2-95E6-49C2-AE6D-A8760C44F082}" name="Column12537"/>
    <tableColumn id="12552" xr3:uid="{5C72E831-C1C5-4E5F-8094-8FA68CBBA818}" name="Column12538"/>
    <tableColumn id="12553" xr3:uid="{D70F73BE-CAA7-4832-A5E8-822B5EA52CFC}" name="Column12539"/>
    <tableColumn id="12554" xr3:uid="{28E58129-FE5F-4B9B-BA2C-A7C5889A15AB}" name="Column12540"/>
    <tableColumn id="12555" xr3:uid="{504978F6-1ACA-495C-B3F5-8BB89BF2E546}" name="Column12541"/>
    <tableColumn id="12556" xr3:uid="{48964F5B-C959-4CDD-B128-A6D2B7AE77FC}" name="Column12542"/>
    <tableColumn id="12557" xr3:uid="{53A6C383-3D7A-4A4E-AA46-8BEDF0AC0A48}" name="Column12543"/>
    <tableColumn id="12558" xr3:uid="{2F8F70BC-479D-4942-9CF6-DAB9E2BA0E06}" name="Column12544"/>
    <tableColumn id="12559" xr3:uid="{E1A25D55-CDAA-4CCF-810B-7A9FA66270DC}" name="Column12545"/>
    <tableColumn id="12560" xr3:uid="{ECE401C9-D519-4ED0-8852-2626B7CC618C}" name="Column12546"/>
    <tableColumn id="12561" xr3:uid="{189C9EB3-305D-41A4-9FFD-89E5940027CF}" name="Column12547"/>
    <tableColumn id="12562" xr3:uid="{C3A40AF8-62B1-4985-8E4C-2260D58B7D7D}" name="Column12548"/>
    <tableColumn id="12563" xr3:uid="{3B12E4A7-415C-49CE-9FAC-B574A73FBEC3}" name="Column12549"/>
    <tableColumn id="12564" xr3:uid="{C57D4015-D2EF-4A82-B833-2DCDC939A188}" name="Column12550"/>
    <tableColumn id="12565" xr3:uid="{5952756D-BF72-4197-B459-26B275D597C0}" name="Column12551"/>
    <tableColumn id="12566" xr3:uid="{076A23D9-866E-4583-BF55-FA1AA0429FB2}" name="Column12552"/>
    <tableColumn id="12567" xr3:uid="{F777A348-6362-48EC-B2B7-6B4D008823E6}" name="Column12553"/>
    <tableColumn id="12568" xr3:uid="{C456591C-38FD-48E4-AC93-DEFBE9529232}" name="Column12554"/>
    <tableColumn id="12569" xr3:uid="{714A7939-D01D-4662-837B-CCB52992B774}" name="Column12555"/>
    <tableColumn id="12570" xr3:uid="{3F4C6246-C17E-4BF5-B45C-2852A51C4414}" name="Column12556"/>
    <tableColumn id="12571" xr3:uid="{02B79A63-D9FA-4411-B0E3-E4471A87035B}" name="Column12557"/>
    <tableColumn id="12572" xr3:uid="{3AA1DC44-1E50-489F-9C12-E2F3CC810985}" name="Column12558"/>
    <tableColumn id="12573" xr3:uid="{8E0085D4-22CE-40E9-A84D-8864BC5C6179}" name="Column12559"/>
    <tableColumn id="12574" xr3:uid="{353C5F75-1503-42BC-9F4B-EBB0A1AE97D7}" name="Column12560"/>
    <tableColumn id="12575" xr3:uid="{CE3E8253-2366-4B5E-A579-F67670EFE68C}" name="Column12561"/>
    <tableColumn id="12576" xr3:uid="{23430E33-59EE-4D27-BB74-C51AD658AD6F}" name="Column12562"/>
    <tableColumn id="12577" xr3:uid="{5DFAE755-985A-4037-B439-F0E5701EF51F}" name="Column12563"/>
    <tableColumn id="12578" xr3:uid="{C1675912-FD5C-441C-990E-39398E096085}" name="Column12564"/>
    <tableColumn id="12579" xr3:uid="{1EAAF7B1-E19E-4E28-A271-29EC19093965}" name="Column12565"/>
    <tableColumn id="12580" xr3:uid="{2334805C-70D5-431E-B352-68D9AC5EAC0F}" name="Column12566"/>
    <tableColumn id="12581" xr3:uid="{24BDA2D4-9C00-4187-8508-F3B46B505A9F}" name="Column12567"/>
    <tableColumn id="12582" xr3:uid="{CEAE6E5E-CBF4-4623-97C5-070FBA4C9386}" name="Column12568"/>
    <tableColumn id="12583" xr3:uid="{4AC1DF13-9CA2-4830-905C-86E246AA398C}" name="Column12569"/>
    <tableColumn id="12584" xr3:uid="{38D70ACC-985E-4D96-B259-0ACB297BA941}" name="Column12570"/>
    <tableColumn id="12585" xr3:uid="{C47764A3-D0C2-4DF1-BCB2-1E061E033935}" name="Column12571"/>
    <tableColumn id="12586" xr3:uid="{6C22472E-3A3B-420A-BF86-AD038B556C58}" name="Column12572"/>
    <tableColumn id="12587" xr3:uid="{5A8C4284-9D86-4450-8E13-9411FDF6BD85}" name="Column12573"/>
    <tableColumn id="12588" xr3:uid="{66676C20-FACD-4BA6-88FE-51E035D2D55A}" name="Column12574"/>
    <tableColumn id="12589" xr3:uid="{F82EFF3D-1C1E-4553-A42F-806EE9544851}" name="Column12575"/>
    <tableColumn id="12590" xr3:uid="{2B4F991F-F9E4-49CD-B0FC-21AD3293EB99}" name="Column12576"/>
    <tableColumn id="12591" xr3:uid="{3003ACA8-F278-4B2C-AB65-52C225974195}" name="Column12577"/>
    <tableColumn id="12592" xr3:uid="{DC4F5567-66B0-4ACD-93BC-DC1721D812CF}" name="Column12578"/>
    <tableColumn id="12593" xr3:uid="{D7FD6816-5A03-45E9-865E-A416FB5CE49C}" name="Column12579"/>
    <tableColumn id="12594" xr3:uid="{C2FCA789-42F8-43DE-AC00-B687A6E8E1DE}" name="Column12580"/>
    <tableColumn id="12595" xr3:uid="{3DC58742-EC17-47EB-882C-4F62105D82AA}" name="Column12581"/>
    <tableColumn id="12596" xr3:uid="{23993E6B-0F95-4CDA-A3BE-89A11578B8B3}" name="Column12582"/>
    <tableColumn id="12597" xr3:uid="{25B60450-7885-4A4A-93D2-6B29B473C6B6}" name="Column12583"/>
    <tableColumn id="12598" xr3:uid="{C71A2B2F-623B-4CA7-AA8D-0E37AF99553C}" name="Column12584"/>
    <tableColumn id="12599" xr3:uid="{F39D6B2C-BB1F-48CC-A5F3-C404EB4BF1D8}" name="Column12585"/>
    <tableColumn id="12600" xr3:uid="{64A74C08-4869-47E1-8AF4-1A86C7D33CA1}" name="Column12586"/>
    <tableColumn id="12601" xr3:uid="{20C9CEA1-CF7B-4B7D-930F-BCFBBBF2FAAB}" name="Column12587"/>
    <tableColumn id="12602" xr3:uid="{43A03818-8BE2-4515-B7B5-0096F4BA89AC}" name="Column12588"/>
    <tableColumn id="12603" xr3:uid="{2C4133FC-3454-4F7D-BE61-EAF0C0E757D2}" name="Column12589"/>
    <tableColumn id="12604" xr3:uid="{837824FF-016D-4042-9442-26523A37852D}" name="Column12590"/>
    <tableColumn id="12605" xr3:uid="{5DAF7FBD-0677-42F1-8D77-733EF3BCCBD1}" name="Column12591"/>
    <tableColumn id="12606" xr3:uid="{DBAA9C17-6110-4487-891E-B9015F8C847B}" name="Column12592"/>
    <tableColumn id="12607" xr3:uid="{E59CCD5D-A65B-478C-93DC-CFA6AB1EB8AE}" name="Column12593"/>
    <tableColumn id="12608" xr3:uid="{8AB089FA-F04E-474C-A92C-475DC914F138}" name="Column12594"/>
    <tableColumn id="12609" xr3:uid="{66846084-F0A8-49E3-89D1-150C2711CF02}" name="Column12595"/>
    <tableColumn id="12610" xr3:uid="{BA093B4A-7560-4580-812A-D0CA5B565F30}" name="Column12596"/>
    <tableColumn id="12611" xr3:uid="{DA2C2418-A05F-4891-AE6E-2C59530074CE}" name="Column12597"/>
    <tableColumn id="12612" xr3:uid="{0F69ECE8-924B-4C4F-904D-67D013BA232F}" name="Column12598"/>
    <tableColumn id="12613" xr3:uid="{3E72EA93-AB33-42AA-AA11-167AD4E00188}" name="Column12599"/>
    <tableColumn id="12614" xr3:uid="{50C72F15-7446-4E4D-AD62-63F0C2488F47}" name="Column12600"/>
    <tableColumn id="12615" xr3:uid="{AED0553A-F4C9-468C-AC68-3A6ECBA51AD1}" name="Column12601"/>
    <tableColumn id="12616" xr3:uid="{E6E65F80-5CDA-427C-97ED-7DAFA108642F}" name="Column12602"/>
    <tableColumn id="12617" xr3:uid="{1E45CEB2-2910-4F77-B00B-1323FA81ED03}" name="Column12603"/>
    <tableColumn id="12618" xr3:uid="{8CF38569-F987-4827-B8C2-58751EE17A2E}" name="Column12604"/>
    <tableColumn id="12619" xr3:uid="{61FE2F6D-05C3-4129-9C51-41AF3FB42234}" name="Column12605"/>
    <tableColumn id="12620" xr3:uid="{557A3BBB-5A8F-4D4F-A7A7-FB3511ADFCAB}" name="Column12606"/>
    <tableColumn id="12621" xr3:uid="{53D9DB11-0DCF-442D-972C-44D8826611F7}" name="Column12607"/>
    <tableColumn id="12622" xr3:uid="{76579F39-5CE5-4D0F-A9DA-D01BAF0BBB0A}" name="Column12608"/>
    <tableColumn id="12623" xr3:uid="{C5A9FD97-0D67-4DC4-A74C-DE76D1977BE5}" name="Column12609"/>
    <tableColumn id="12624" xr3:uid="{EE676EA1-9427-4FE0-AD0A-72731C36B593}" name="Column12610"/>
    <tableColumn id="12625" xr3:uid="{46AA8403-1130-4C77-B1BD-5195E7609CA2}" name="Column12611"/>
    <tableColumn id="12626" xr3:uid="{97D65C18-120A-4FCB-B73D-6CAE63ADB67A}" name="Column12612"/>
    <tableColumn id="12627" xr3:uid="{1716F37D-8DB1-4473-9013-E8B862AD5743}" name="Column12613"/>
    <tableColumn id="12628" xr3:uid="{678D9E9C-425C-4EA0-BF09-C0468D51CA00}" name="Column12614"/>
    <tableColumn id="12629" xr3:uid="{46EA8965-2F04-468E-BC67-4798C0BE29AE}" name="Column12615"/>
    <tableColumn id="12630" xr3:uid="{647A692B-2541-48CF-80A5-EEEC7AAC8816}" name="Column12616"/>
    <tableColumn id="12631" xr3:uid="{545A20BB-2522-45A8-9C6F-1BC8B60D818E}" name="Column12617"/>
    <tableColumn id="12632" xr3:uid="{B7DB92F1-A53E-4CB7-AA64-54B10C8BAD4B}" name="Column12618"/>
    <tableColumn id="12633" xr3:uid="{E306489C-28A1-4EC1-93AD-37DAA4A65955}" name="Column12619"/>
    <tableColumn id="12634" xr3:uid="{00E37CE0-0A1F-4DB4-ABE4-0BE30A6C554B}" name="Column12620"/>
    <tableColumn id="12635" xr3:uid="{A418A7EA-C82E-44CB-8BD4-3573BAAB18F2}" name="Column12621"/>
    <tableColumn id="12636" xr3:uid="{D07B6949-F20B-4F23-A2D0-0ECDEE5140B3}" name="Column12622"/>
    <tableColumn id="12637" xr3:uid="{113100F5-01E3-4EFE-9A3B-0C3D1EF99FE9}" name="Column12623"/>
    <tableColumn id="12638" xr3:uid="{0A58D15B-43CE-49C0-8DA9-36E4B6F54A46}" name="Column12624"/>
    <tableColumn id="12639" xr3:uid="{763CE8FE-6779-441A-A533-9FFFA619A4C7}" name="Column12625"/>
    <tableColumn id="12640" xr3:uid="{754DCAD4-F5C5-447A-BB45-86CEACC5600D}" name="Column12626"/>
    <tableColumn id="12641" xr3:uid="{C698AB4D-B11D-4CC1-8233-FFE41F13D1E1}" name="Column12627"/>
    <tableColumn id="12642" xr3:uid="{C259E6E2-A78F-47A1-8326-FC096D63B699}" name="Column12628"/>
    <tableColumn id="12643" xr3:uid="{2BC737C5-F0C4-4B5F-9874-316CFC64FE1D}" name="Column12629"/>
    <tableColumn id="12644" xr3:uid="{474D4C30-9B89-4E89-8AB5-B51647ABC9A6}" name="Column12630"/>
    <tableColumn id="12645" xr3:uid="{60DA9D5B-9C42-4F39-8D84-ABADB0719D5F}" name="Column12631"/>
    <tableColumn id="12646" xr3:uid="{196698AE-EE0D-4BCE-A976-FC421D9F52ED}" name="Column12632"/>
    <tableColumn id="12647" xr3:uid="{C2CCBD2B-D426-4398-AF86-35E0A715A7BB}" name="Column12633"/>
    <tableColumn id="12648" xr3:uid="{1DD41BDD-2B2F-46A4-A7FA-72C1185B9CA1}" name="Column12634"/>
    <tableColumn id="12649" xr3:uid="{A358FC04-7B47-436A-82A5-367A063F787C}" name="Column12635"/>
    <tableColumn id="12650" xr3:uid="{84CC9E8D-0619-46D5-85E0-F17A2615F7D4}" name="Column12636"/>
    <tableColumn id="12651" xr3:uid="{DB617575-C06D-4B1A-BDED-039EC5DF5272}" name="Column12637"/>
    <tableColumn id="12652" xr3:uid="{E8CBD193-7C8C-453A-8ADC-5CA6CBEE7A6B}" name="Column12638"/>
    <tableColumn id="12653" xr3:uid="{81E1091D-FA49-40B2-92F6-3454A65E1C63}" name="Column12639"/>
    <tableColumn id="12654" xr3:uid="{34CBFE71-E463-4E03-9030-A5114A2353F4}" name="Column12640"/>
    <tableColumn id="12655" xr3:uid="{1FF5493D-8A1C-4778-8E9C-41F7BDA015FF}" name="Column12641"/>
    <tableColumn id="12656" xr3:uid="{A826A7BB-53A5-486D-8F28-6BD251CF6C1B}" name="Column12642"/>
    <tableColumn id="12657" xr3:uid="{F902EB49-0E7A-4347-94CA-CA6A2F5DF98C}" name="Column12643"/>
    <tableColumn id="12658" xr3:uid="{B5BCE3F0-4581-41B9-9ED4-4A19079E9443}" name="Column12644"/>
    <tableColumn id="12659" xr3:uid="{5AF2C9D4-F1D0-46C0-810E-BD023227F3A0}" name="Column12645"/>
    <tableColumn id="12660" xr3:uid="{2CFE6385-AB22-4449-8930-423BEF650371}" name="Column12646"/>
    <tableColumn id="12661" xr3:uid="{24B5376E-2479-48B1-9885-43EA778F75B0}" name="Column12647"/>
    <tableColumn id="12662" xr3:uid="{CE14914C-1EE3-4413-A2B8-A55061141ABC}" name="Column12648"/>
    <tableColumn id="12663" xr3:uid="{A5613FFE-0D50-4A8E-AAFA-5F9FF1034A7D}" name="Column12649"/>
    <tableColumn id="12664" xr3:uid="{FB8F8FFC-B3AE-4186-886A-D87D0D0D430B}" name="Column12650"/>
    <tableColumn id="12665" xr3:uid="{5D412450-2471-4258-BCDD-9679F9681DD2}" name="Column12651"/>
    <tableColumn id="12666" xr3:uid="{CCBDABDC-16ED-4CA5-8814-64F87F7BC35E}" name="Column12652"/>
    <tableColumn id="12667" xr3:uid="{9C6F2C48-66BB-4F88-B3E7-EA1E7E0CFE17}" name="Column12653"/>
    <tableColumn id="12668" xr3:uid="{29BA94FE-0BCF-4646-8712-967BFEA9D89A}" name="Column12654"/>
    <tableColumn id="12669" xr3:uid="{28FC8B64-175E-47FF-80BE-C2CA7371FE4C}" name="Column12655"/>
    <tableColumn id="12670" xr3:uid="{36F4F3B5-3C5C-436F-86D0-747152FD5964}" name="Column12656"/>
    <tableColumn id="12671" xr3:uid="{266491FF-32D0-4126-92DA-1A4C5F95657B}" name="Column12657"/>
    <tableColumn id="12672" xr3:uid="{C9691C2C-D101-490B-84FF-FC2D7D0B89A2}" name="Column12658"/>
    <tableColumn id="12673" xr3:uid="{9493EE7B-3AB3-4885-A6B7-7A33A3BAC214}" name="Column12659"/>
    <tableColumn id="12674" xr3:uid="{2889D26F-5BF7-45A0-BE5A-F6A7186135A7}" name="Column12660"/>
    <tableColumn id="12675" xr3:uid="{8C8E6C18-6AF8-403A-99D2-FD9E5AEF1EF3}" name="Column12661"/>
    <tableColumn id="12676" xr3:uid="{D1EC1BFC-531E-4FC4-AF73-FA236DE1F684}" name="Column12662"/>
    <tableColumn id="12677" xr3:uid="{C9186EC6-D0F7-469C-B607-36E4F5EF3E8A}" name="Column12663"/>
    <tableColumn id="12678" xr3:uid="{96642EBF-DC32-4F2E-B43D-5A68C6F9D0CA}" name="Column12664"/>
    <tableColumn id="12679" xr3:uid="{8E1D25BA-87B6-4A82-97F0-2DE80740DC51}" name="Column12665"/>
    <tableColumn id="12680" xr3:uid="{7BBEBCE0-0574-4871-B93A-2B9E6BA2E569}" name="Column12666"/>
    <tableColumn id="12681" xr3:uid="{62CB4612-B9DF-414D-807F-8B800CD3F0B2}" name="Column12667"/>
    <tableColumn id="12682" xr3:uid="{342DA4C3-852B-408E-9548-7088FF1AF98E}" name="Column12668"/>
    <tableColumn id="12683" xr3:uid="{F39AEDC4-8341-4EF2-9E83-28735E938784}" name="Column12669"/>
    <tableColumn id="12684" xr3:uid="{DEB5B7DB-BC76-4207-91D6-80EE06DC8027}" name="Column12670"/>
    <tableColumn id="12685" xr3:uid="{575DF99B-5DDF-40BD-ABC9-5F0708EE649F}" name="Column12671"/>
    <tableColumn id="12686" xr3:uid="{2C133FCC-1B27-4FE2-991D-0E4BCB29AF56}" name="Column12672"/>
    <tableColumn id="12687" xr3:uid="{09AF7186-38CC-4E3B-A5D7-6D15EA420312}" name="Column12673"/>
    <tableColumn id="12688" xr3:uid="{19B66E0B-6492-42FF-B1D7-141288F219F1}" name="Column12674"/>
    <tableColumn id="12689" xr3:uid="{CFB5097B-F1E8-43C1-AF71-0D7EACC56BEC}" name="Column12675"/>
    <tableColumn id="12690" xr3:uid="{90D51D3D-C91D-4C12-88BB-88F92262BE73}" name="Column12676"/>
    <tableColumn id="12691" xr3:uid="{C56EB9FA-42D5-4800-9F10-E29095278902}" name="Column12677"/>
    <tableColumn id="12692" xr3:uid="{B202E4CF-FCEB-4F07-B59E-00949F1320D5}" name="Column12678"/>
    <tableColumn id="12693" xr3:uid="{60AF41E4-854C-4FBC-A282-73161F349AC3}" name="Column12679"/>
    <tableColumn id="12694" xr3:uid="{1FF8B9EA-6229-4460-961C-2825C731A3FB}" name="Column12680"/>
    <tableColumn id="12695" xr3:uid="{B79C498A-5585-4546-BF38-7064FCBBE2B5}" name="Column12681"/>
    <tableColumn id="12696" xr3:uid="{D1E078A5-3EB2-4BDC-9AAD-A44D5EA1CBB8}" name="Column12682"/>
    <tableColumn id="12697" xr3:uid="{ADCF793C-9F8D-4FFD-AE4C-6EA5D3003B55}" name="Column12683"/>
    <tableColumn id="12698" xr3:uid="{24CB6277-EC2E-491F-8302-D5AD491B92DE}" name="Column12684"/>
    <tableColumn id="12699" xr3:uid="{C1A6D69B-3B81-420E-A574-7B6875C4EC06}" name="Column12685"/>
    <tableColumn id="12700" xr3:uid="{7736CD6C-7EC5-465B-B13D-88BC2B5AE3A9}" name="Column12686"/>
    <tableColumn id="12701" xr3:uid="{19DB7D0B-3F00-4E0E-AEE2-9324C15B32AE}" name="Column12687"/>
    <tableColumn id="12702" xr3:uid="{CF4DC85B-55B7-43AF-9D9C-43EB2B79BA14}" name="Column12688"/>
    <tableColumn id="12703" xr3:uid="{5DFA7203-ACA1-4189-95FD-0465DA63B489}" name="Column12689"/>
    <tableColumn id="12704" xr3:uid="{53FA4723-C99D-4C75-A21D-43FF4E31E538}" name="Column12690"/>
    <tableColumn id="12705" xr3:uid="{CE1D4F89-A6E8-4703-A0BF-21B028B7AED5}" name="Column12691"/>
    <tableColumn id="12706" xr3:uid="{FD4BEDE7-D4F6-4C5D-956B-EEEA25904388}" name="Column12692"/>
    <tableColumn id="12707" xr3:uid="{2CE6AEA8-5BCB-40A3-A2FD-08CC3840A676}" name="Column12693"/>
    <tableColumn id="12708" xr3:uid="{8781CBDC-C4D0-4E45-BBA6-311F3D70CBB0}" name="Column12694"/>
    <tableColumn id="12709" xr3:uid="{35E9406A-E47E-4755-BDD8-C33F9E541675}" name="Column12695"/>
    <tableColumn id="12710" xr3:uid="{A521552E-7BFD-40CB-8E1B-4E2E62407147}" name="Column12696"/>
    <tableColumn id="12711" xr3:uid="{0BD7A561-ABF1-4081-90BE-17F93E13EFA9}" name="Column12697"/>
    <tableColumn id="12712" xr3:uid="{81C19D6B-8411-4A33-9CC5-CE42DF4FC93A}" name="Column12698"/>
    <tableColumn id="12713" xr3:uid="{67FDF058-F2EB-4EF8-8CD6-DA5D964E9F59}" name="Column12699"/>
    <tableColumn id="12714" xr3:uid="{8CF0FEC8-CCAF-4736-8860-E89FF4C350D7}" name="Column12700"/>
    <tableColumn id="12715" xr3:uid="{AD157C68-364B-4066-BBC4-2D26BCA2BC03}" name="Column12701"/>
    <tableColumn id="12716" xr3:uid="{4E8ACAA4-4783-440B-9D84-5F0CE180AA7A}" name="Column12702"/>
    <tableColumn id="12717" xr3:uid="{0291E375-4984-4C59-BF41-12879B374915}" name="Column12703"/>
    <tableColumn id="12718" xr3:uid="{7661E50B-72BC-4EAA-880B-3C192FADB984}" name="Column12704"/>
    <tableColumn id="12719" xr3:uid="{17D30A69-634C-4B88-B8A3-6B2E9FA5F444}" name="Column12705"/>
    <tableColumn id="12720" xr3:uid="{64771EEE-0922-4938-A77A-E1BAF307F4FB}" name="Column12706"/>
    <tableColumn id="12721" xr3:uid="{A0B6D9C3-4ED8-45A8-B998-1459A4F679B9}" name="Column12707"/>
    <tableColumn id="12722" xr3:uid="{FC025867-78A9-4439-A326-FFA1B3C852FF}" name="Column12708"/>
    <tableColumn id="12723" xr3:uid="{F03CA66A-FAC2-498B-A6A1-F60394753C7B}" name="Column12709"/>
    <tableColumn id="12724" xr3:uid="{AEC94AC0-4DA9-41A7-B83B-F588068FB2E7}" name="Column12710"/>
    <tableColumn id="12725" xr3:uid="{51427327-951D-41C3-8381-333BF57487B4}" name="Column12711"/>
    <tableColumn id="12726" xr3:uid="{72B99FBC-2F1E-4C77-AE86-EE9A623C4454}" name="Column12712"/>
    <tableColumn id="12727" xr3:uid="{D93145D8-136F-4C19-A12B-D1EFD42B3330}" name="Column12713"/>
    <tableColumn id="12728" xr3:uid="{98393844-13AD-4E7C-B75F-C72753695A46}" name="Column12714"/>
    <tableColumn id="12729" xr3:uid="{B91CA977-647D-4DFA-ABF9-E359F9616EDB}" name="Column12715"/>
    <tableColumn id="12730" xr3:uid="{F9EAC666-2F81-485B-9D37-7E2EEB2C97D3}" name="Column12716"/>
    <tableColumn id="12731" xr3:uid="{75060FEA-2833-40F5-85D0-FB43A87C5A03}" name="Column12717"/>
    <tableColumn id="12732" xr3:uid="{E549432B-1159-4152-BCD7-E1F8222EFB9C}" name="Column12718"/>
    <tableColumn id="12733" xr3:uid="{0153D32D-DDAC-4AD5-B103-5EC8F2ADCFBA}" name="Column12719"/>
    <tableColumn id="12734" xr3:uid="{92B08348-DF08-4F01-976B-80435FE70BB0}" name="Column12720"/>
    <tableColumn id="12735" xr3:uid="{CD228422-D2A3-46A1-9523-991BD88FD1E9}" name="Column12721"/>
    <tableColumn id="12736" xr3:uid="{2CACD58C-0F30-4E66-8AC7-51EDFB51E96E}" name="Column12722"/>
    <tableColumn id="12737" xr3:uid="{0FEDBC53-13EB-4DCB-919B-B2EE67092B89}" name="Column12723"/>
    <tableColumn id="12738" xr3:uid="{19CE1418-9731-4D5E-A88E-31343F6D64CA}" name="Column12724"/>
    <tableColumn id="12739" xr3:uid="{21E3AA16-F0BB-4A3C-8B9F-C85E861CC080}" name="Column12725"/>
    <tableColumn id="12740" xr3:uid="{A4D61C28-130F-4DED-BF24-93B08732CFD6}" name="Column12726"/>
    <tableColumn id="12741" xr3:uid="{E32B2253-4E2C-4A5B-902A-B538A62EF318}" name="Column12727"/>
    <tableColumn id="12742" xr3:uid="{7EBF13B8-0AB6-4249-A0DE-D481B7851975}" name="Column12728"/>
    <tableColumn id="12743" xr3:uid="{2CC371E4-3C31-4E46-B769-5B1297B9AAAC}" name="Column12729"/>
    <tableColumn id="12744" xr3:uid="{25359DB4-16A6-45AD-96F2-874FD0D7096F}" name="Column12730"/>
    <tableColumn id="12745" xr3:uid="{9C42AD81-F4D9-4BC4-863F-39D9C5762799}" name="Column12731"/>
    <tableColumn id="12746" xr3:uid="{E1519D9F-EDD9-4B15-9D24-5805DB58DEC4}" name="Column12732"/>
    <tableColumn id="12747" xr3:uid="{6538F887-D2F5-4685-B29E-072481C7FF6B}" name="Column12733"/>
    <tableColumn id="12748" xr3:uid="{BF968C6E-4553-4AE3-93DC-931548680BB5}" name="Column12734"/>
    <tableColumn id="12749" xr3:uid="{7E875E1D-EDE2-439C-93A5-37493C290A40}" name="Column12735"/>
    <tableColumn id="12750" xr3:uid="{1899539B-9303-41BB-A55C-52661FE2F2E6}" name="Column12736"/>
    <tableColumn id="12751" xr3:uid="{D3D8D689-830E-4E7B-960A-900F24E9B29F}" name="Column12737"/>
    <tableColumn id="12752" xr3:uid="{1E81C4C9-B2F7-4FE7-B963-65FF5CBCF973}" name="Column12738"/>
    <tableColumn id="12753" xr3:uid="{6CA19BE6-E337-450C-B8CC-68D8C93D6D1D}" name="Column12739"/>
    <tableColumn id="12754" xr3:uid="{D41F710B-EED2-4FF8-92E2-FCB14F5FA286}" name="Column12740"/>
    <tableColumn id="12755" xr3:uid="{9864E7FB-67C4-4F9F-BE52-F5CC05974D7C}" name="Column12741"/>
    <tableColumn id="12756" xr3:uid="{A55A34F8-6835-4477-BC5D-EF676B62F853}" name="Column12742"/>
    <tableColumn id="12757" xr3:uid="{C6E2B8EE-F04C-4BF2-B38C-78210024AB52}" name="Column12743"/>
    <tableColumn id="12758" xr3:uid="{D1232535-ACED-441D-A67B-D45F8E204F25}" name="Column12744"/>
    <tableColumn id="12759" xr3:uid="{FD7BFD23-133E-4835-9BA5-51E94E1C5E1C}" name="Column12745"/>
    <tableColumn id="12760" xr3:uid="{3A4E488E-0753-48E6-86C3-62995A30DEB5}" name="Column12746"/>
    <tableColumn id="12761" xr3:uid="{501F6AB9-CB63-4196-A1A8-282F3A06BC1B}" name="Column12747"/>
    <tableColumn id="12762" xr3:uid="{F75C940D-1012-4CB6-AE80-7FE9901989DC}" name="Column12748"/>
    <tableColumn id="12763" xr3:uid="{0220FF4A-C343-4F25-B11F-836F8DBF4266}" name="Column12749"/>
    <tableColumn id="12764" xr3:uid="{8D9E32C5-A123-4490-9B5D-345DEEB55E49}" name="Column12750"/>
    <tableColumn id="12765" xr3:uid="{02F5ED19-0593-4BAE-82EF-E449A7C1E5A4}" name="Column12751"/>
    <tableColumn id="12766" xr3:uid="{7CC91672-C1C3-4F6B-9118-DF9E401B02D0}" name="Column12752"/>
    <tableColumn id="12767" xr3:uid="{D4E4C7C6-D14D-40C1-A4DF-D255E291509C}" name="Column12753"/>
    <tableColumn id="12768" xr3:uid="{4F4B9006-D226-41D1-86D1-E97242C274E1}" name="Column12754"/>
    <tableColumn id="12769" xr3:uid="{71EA57E5-7599-4895-B14C-456D60094D36}" name="Column12755"/>
    <tableColumn id="12770" xr3:uid="{22E2ACC5-0899-4A96-87D6-E76DD973BCEF}" name="Column12756"/>
    <tableColumn id="12771" xr3:uid="{FBE8D0A4-6393-4134-9216-A9593635BD26}" name="Column12757"/>
    <tableColumn id="12772" xr3:uid="{1139BFF3-26E2-41EB-9A50-F67C003BE2BE}" name="Column12758"/>
    <tableColumn id="12773" xr3:uid="{37C17FD4-EDDF-46E4-B5A9-9F3BA503FD6D}" name="Column12759"/>
    <tableColumn id="12774" xr3:uid="{62B147A2-BCA2-4BFD-B2FC-4A8158B7807D}" name="Column12760"/>
    <tableColumn id="12775" xr3:uid="{83CA209D-86CE-4313-A4EF-F9BE5B120437}" name="Column12761"/>
    <tableColumn id="12776" xr3:uid="{09F4FA7C-EE8F-4D52-A8FE-77C40F546C3F}" name="Column12762"/>
    <tableColumn id="12777" xr3:uid="{0674BC02-2BF7-4417-BE3A-CA6723F0C7BA}" name="Column12763"/>
    <tableColumn id="12778" xr3:uid="{2B9CCF6D-91E5-4684-AA40-F647D19ADF1B}" name="Column12764"/>
    <tableColumn id="12779" xr3:uid="{D0888BC5-060E-4614-9673-782A7894AB38}" name="Column12765"/>
    <tableColumn id="12780" xr3:uid="{28C9147F-9A65-40C1-88C5-BA60898442AE}" name="Column12766"/>
    <tableColumn id="12781" xr3:uid="{5615F9A9-77A3-4B46-963C-5A1689F2E108}" name="Column12767"/>
    <tableColumn id="12782" xr3:uid="{666DDB46-600B-43DF-976A-6F1E576CB4C9}" name="Column12768"/>
    <tableColumn id="12783" xr3:uid="{47FAD7F0-7B1E-480E-87AC-11FF7C9029E1}" name="Column12769"/>
    <tableColumn id="12784" xr3:uid="{DDE41ECA-C5BF-40F0-B852-2D9769C49A01}" name="Column12770"/>
    <tableColumn id="12785" xr3:uid="{CEE8B0D6-8E98-45F1-AA7D-38569326F6DB}" name="Column12771"/>
    <tableColumn id="12786" xr3:uid="{8AAC0E47-03BD-4696-8155-FBC774EAE752}" name="Column12772"/>
    <tableColumn id="12787" xr3:uid="{C7C6FFD8-5E04-4DD2-9C73-5BC731C4F7FB}" name="Column12773"/>
    <tableColumn id="12788" xr3:uid="{F37FB2A5-CEA7-4F4E-9097-89BD438CFAD0}" name="Column12774"/>
    <tableColumn id="12789" xr3:uid="{3DC85E2C-CEF0-4992-BB74-92CD29E7FE52}" name="Column12775"/>
    <tableColumn id="12790" xr3:uid="{93C2ABE9-0CCD-408C-9278-A4083E21C228}" name="Column12776"/>
    <tableColumn id="12791" xr3:uid="{97C61FE4-EB10-42EE-B5E2-667D5579EBAB}" name="Column12777"/>
    <tableColumn id="12792" xr3:uid="{883725AA-A9C1-4AE7-8E0F-1E36C10A9FCA}" name="Column12778"/>
    <tableColumn id="12793" xr3:uid="{9E305C52-1E8D-49C0-8E0A-4B5536E84F06}" name="Column12779"/>
    <tableColumn id="12794" xr3:uid="{2A616E76-A5A8-411D-BE0F-AA3E71633F37}" name="Column12780"/>
    <tableColumn id="12795" xr3:uid="{339D4282-050F-4F33-8A92-10CF54AD3F25}" name="Column12781"/>
    <tableColumn id="12796" xr3:uid="{9B5BDE7A-B927-4DBD-8348-323AEFB87813}" name="Column12782"/>
    <tableColumn id="12797" xr3:uid="{C15BA418-15C4-4C4D-A6AC-A2C5796448E3}" name="Column12783"/>
    <tableColumn id="12798" xr3:uid="{EE62A757-6077-487D-A5CD-4C53A2E1164E}" name="Column12784"/>
    <tableColumn id="12799" xr3:uid="{A212A8B0-2FDC-47F2-8030-B45379DA215F}" name="Column12785"/>
    <tableColumn id="12800" xr3:uid="{B89175BD-1A5D-4B83-9055-31AAB4AC2AC7}" name="Column12786"/>
    <tableColumn id="12801" xr3:uid="{53DD9CAA-BC35-47E3-8ABD-8DB1F13579E1}" name="Column12787"/>
    <tableColumn id="12802" xr3:uid="{5074A5D3-9A98-48A7-A36F-4A4D4B0112E6}" name="Column12788"/>
    <tableColumn id="12803" xr3:uid="{7C142EF6-FDA1-4029-8B4F-9A464CA89C1F}" name="Column12789"/>
    <tableColumn id="12804" xr3:uid="{A479DF6B-AAD3-4170-B3E9-648F2822A094}" name="Column12790"/>
    <tableColumn id="12805" xr3:uid="{EB9AA7D1-F090-4568-A643-4C8FE4D48928}" name="Column12791"/>
    <tableColumn id="12806" xr3:uid="{A6FAECE0-9584-47B1-8CB6-5E0FE44E6B0E}" name="Column12792"/>
    <tableColumn id="12807" xr3:uid="{CE2D3D08-3D19-4EE5-BD40-39796BBF4A72}" name="Column12793"/>
    <tableColumn id="12808" xr3:uid="{2AD8C99F-B2E8-4AE6-BD66-BFF07144E062}" name="Column12794"/>
    <tableColumn id="12809" xr3:uid="{248A4AC7-A0FC-45F5-A626-8507D5D42E03}" name="Column12795"/>
    <tableColumn id="12810" xr3:uid="{27B6C5F3-39DF-40E2-9E37-9BF6EA362988}" name="Column12796"/>
    <tableColumn id="12811" xr3:uid="{23E6C85D-CDEF-46A0-8C4B-C7B7A18FD3FB}" name="Column12797"/>
    <tableColumn id="12812" xr3:uid="{BA4D3852-4DCC-4DA9-A935-72016A20C9C9}" name="Column12798"/>
    <tableColumn id="12813" xr3:uid="{DDB26C7B-05A4-4B96-91C1-9BAEF3327FA7}" name="Column12799"/>
    <tableColumn id="12814" xr3:uid="{8E16788E-9FD7-49CD-8281-52E9A3102268}" name="Column12800"/>
    <tableColumn id="12815" xr3:uid="{1E1CB3B8-F950-4A0F-8B25-1A35C0D6FC89}" name="Column12801"/>
    <tableColumn id="12816" xr3:uid="{376DE474-5173-493C-92BA-8673492D3B38}" name="Column12802"/>
    <tableColumn id="12817" xr3:uid="{E8335914-758D-4277-BBCC-D12074540FF5}" name="Column12803"/>
    <tableColumn id="12818" xr3:uid="{98521C17-B12A-4E99-BB31-B8674A8F846F}" name="Column12804"/>
    <tableColumn id="12819" xr3:uid="{2B52E5BA-4FC6-4B02-962D-18BF9DCFB5EB}" name="Column12805"/>
    <tableColumn id="12820" xr3:uid="{DBF28177-F971-4A80-98BC-91771517D9C5}" name="Column12806"/>
    <tableColumn id="12821" xr3:uid="{8CA3D465-2421-422C-8938-98B31E85A81A}" name="Column12807"/>
    <tableColumn id="12822" xr3:uid="{FF481E7E-4411-4C05-BEE2-405147121501}" name="Column12808"/>
    <tableColumn id="12823" xr3:uid="{D4F21B24-3CD5-44E4-832B-EF3BB6DE40DB}" name="Column12809"/>
    <tableColumn id="12824" xr3:uid="{2EB90BEA-2AE0-4E53-9AB5-B9B4C76E18DE}" name="Column12810"/>
    <tableColumn id="12825" xr3:uid="{62268490-4846-479A-A107-6D7E07DDD50F}" name="Column12811"/>
    <tableColumn id="12826" xr3:uid="{AD0C623A-05FF-4E56-87D0-3D4F00E98702}" name="Column12812"/>
    <tableColumn id="12827" xr3:uid="{07F5A636-AD69-4831-81E9-9ACC4579A190}" name="Column12813"/>
    <tableColumn id="12828" xr3:uid="{E6600672-E297-42CA-969E-255E0B3746A2}" name="Column12814"/>
    <tableColumn id="12829" xr3:uid="{14F4346A-F452-429E-B329-ACFA5F59745C}" name="Column12815"/>
    <tableColumn id="12830" xr3:uid="{DFF5F5B7-0C53-4717-9995-321DF56EE173}" name="Column12816"/>
    <tableColumn id="12831" xr3:uid="{B1BC7AD9-42F8-423E-B003-C21A44E7AFDD}" name="Column12817"/>
    <tableColumn id="12832" xr3:uid="{618363BE-E150-48E6-BF6D-1B6C74D156B3}" name="Column12818"/>
    <tableColumn id="12833" xr3:uid="{1E40CEA2-9AE6-4C09-90FC-DB844D20848B}" name="Column12819"/>
    <tableColumn id="12834" xr3:uid="{A2D786C1-6186-4D59-B26D-4521DF7B999A}" name="Column12820"/>
    <tableColumn id="12835" xr3:uid="{747F9D06-9DD9-4B25-AC6A-28D414F2C0F8}" name="Column12821"/>
    <tableColumn id="12836" xr3:uid="{79AF12EA-AEB4-4171-81BD-24A7A078FE0B}" name="Column12822"/>
    <tableColumn id="12837" xr3:uid="{A359F654-1AC1-456F-A7D8-48B7663A40D5}" name="Column12823"/>
    <tableColumn id="12838" xr3:uid="{15A34B05-B480-4F6F-86A0-EA9A98688E8A}" name="Column12824"/>
    <tableColumn id="12839" xr3:uid="{ED3B5DB3-19E3-4F68-885E-8F56CDF2E672}" name="Column12825"/>
    <tableColumn id="12840" xr3:uid="{B7A0A4ED-F058-4FC5-87DA-D3612B548407}" name="Column12826"/>
    <tableColumn id="12841" xr3:uid="{717F8BFC-E37A-4499-9DA1-01D563274A47}" name="Column12827"/>
    <tableColumn id="12842" xr3:uid="{3D6E8865-F19F-4D74-9033-CBEA5AD4F467}" name="Column12828"/>
    <tableColumn id="12843" xr3:uid="{656C121E-97F0-4CEC-B8FE-2C3AB184457D}" name="Column12829"/>
    <tableColumn id="12844" xr3:uid="{CCAA8EFD-BD00-4E95-9811-11380599F795}" name="Column12830"/>
    <tableColumn id="12845" xr3:uid="{CBA0B468-10BF-4B2A-923D-DCF7EBC4FDF4}" name="Column12831"/>
    <tableColumn id="12846" xr3:uid="{E8E768B8-1DB2-4E0D-9BAC-B83E27EB384E}" name="Column12832"/>
    <tableColumn id="12847" xr3:uid="{BB522450-8ADA-4E74-94E7-BAF8FA06488F}" name="Column12833"/>
    <tableColumn id="12848" xr3:uid="{261E2499-040F-4586-8461-C67A09C2828A}" name="Column12834"/>
    <tableColumn id="12849" xr3:uid="{E7BD4C50-8FAC-4841-AA27-44158E52F35D}" name="Column12835"/>
    <tableColumn id="12850" xr3:uid="{E05368FD-E2F3-4C23-8590-C2E8C1E5CB56}" name="Column12836"/>
    <tableColumn id="12851" xr3:uid="{E82006A6-EF59-49C3-91C5-EBDE33F030CA}" name="Column12837"/>
    <tableColumn id="12852" xr3:uid="{8132AD18-0526-4DB2-A444-DAA377A0328E}" name="Column12838"/>
    <tableColumn id="12853" xr3:uid="{2683B5C8-6077-467D-80FD-F23B98743345}" name="Column12839"/>
    <tableColumn id="12854" xr3:uid="{FBB28B8F-50A5-4F46-ABFD-90919BF1DB8A}" name="Column12840"/>
    <tableColumn id="12855" xr3:uid="{73F82FCA-9F8E-453B-9B91-632FD7C39914}" name="Column12841"/>
    <tableColumn id="12856" xr3:uid="{0BC2854E-4727-4C3A-89CF-9BB225A365D8}" name="Column12842"/>
    <tableColumn id="12857" xr3:uid="{6C813DCB-76BC-45F0-B19A-D04D5C8EF0AE}" name="Column12843"/>
    <tableColumn id="12858" xr3:uid="{54FFC445-4E79-4608-9272-FD8ACBB5B3D9}" name="Column12844"/>
    <tableColumn id="12859" xr3:uid="{C98BAE7D-9FF3-43EE-A0B5-76ED8876916D}" name="Column12845"/>
    <tableColumn id="12860" xr3:uid="{463F772F-7098-4E34-960A-E53A5760E96A}" name="Column12846"/>
    <tableColumn id="12861" xr3:uid="{37975BB7-6ACE-4326-BDE9-F033768E3B5D}" name="Column12847"/>
    <tableColumn id="12862" xr3:uid="{09E45712-0FFA-4DB9-A79C-C956E0A8CDEA}" name="Column12848"/>
    <tableColumn id="12863" xr3:uid="{4DBB096B-A81C-4B10-9130-A7681D8DE3EE}" name="Column12849"/>
    <tableColumn id="12864" xr3:uid="{FE02D591-3B57-411C-89A5-44A8D2916D0F}" name="Column12850"/>
    <tableColumn id="12865" xr3:uid="{E24B1337-FA48-4A6C-88C7-12AD6EDECEB7}" name="Column12851"/>
    <tableColumn id="12866" xr3:uid="{95E90ED7-B419-4A6F-894A-D42D63BF80A4}" name="Column12852"/>
    <tableColumn id="12867" xr3:uid="{557A1440-A0CE-4C4D-971C-7A6FAE099734}" name="Column12853"/>
    <tableColumn id="12868" xr3:uid="{CDB795D3-7BC7-4DAE-9C9E-C69F36B13BF7}" name="Column12854"/>
    <tableColumn id="12869" xr3:uid="{A1130B20-52AD-4DFA-B4A5-C3B65FDB2BE9}" name="Column12855"/>
    <tableColumn id="12870" xr3:uid="{00627ECA-4556-44A7-A131-5BE113CC1690}" name="Column12856"/>
    <tableColumn id="12871" xr3:uid="{4067260B-2EDE-4257-95FE-4111CB2F6EE3}" name="Column12857"/>
    <tableColumn id="12872" xr3:uid="{D0A8DF82-C3C2-4371-B512-6EBC8E2D67D2}" name="Column12858"/>
    <tableColumn id="12873" xr3:uid="{0F2C48EF-CBAE-4D3A-BDC6-BE34BB04DD67}" name="Column12859"/>
    <tableColumn id="12874" xr3:uid="{4D65D4BF-B0E2-43AC-BB2C-ACA6FB8F636A}" name="Column12860"/>
    <tableColumn id="12875" xr3:uid="{5DA7BB4E-E2A7-4117-A809-954ED82B180C}" name="Column12861"/>
    <tableColumn id="12876" xr3:uid="{E568CDAB-5AC9-48E3-8B98-325CA0DEFD92}" name="Column12862"/>
    <tableColumn id="12877" xr3:uid="{5799374B-8F71-44DA-B417-D55D1293171B}" name="Column12863"/>
    <tableColumn id="12878" xr3:uid="{5DEAA95C-A9C3-42F6-80D5-4F5E29BBA47B}" name="Column12864"/>
    <tableColumn id="12879" xr3:uid="{83539E6B-8B7E-42A2-8342-6A2FB50339ED}" name="Column12865"/>
    <tableColumn id="12880" xr3:uid="{C3BE9D1B-7DEB-4034-A5C4-474346967C16}" name="Column12866"/>
    <tableColumn id="12881" xr3:uid="{F159F64D-BC3F-4AB1-B24A-F5DE1009D3BE}" name="Column12867"/>
    <tableColumn id="12882" xr3:uid="{90F2EB92-2DB0-4C3F-952D-9091A8E1437E}" name="Column12868"/>
    <tableColumn id="12883" xr3:uid="{62F64534-1DB6-4895-824A-0C0B6A220149}" name="Column12869"/>
    <tableColumn id="12884" xr3:uid="{5F111F9A-443E-4A0B-A254-544F767681E5}" name="Column12870"/>
    <tableColumn id="12885" xr3:uid="{A11E76F0-B190-4D58-8AE2-BD692DC730B1}" name="Column12871"/>
    <tableColumn id="12886" xr3:uid="{6B60D965-9459-4A66-B91C-9FA7BB4E977D}" name="Column12872"/>
    <tableColumn id="12887" xr3:uid="{0A1024AC-547C-49BE-8FF8-232CA0D7B0F7}" name="Column12873"/>
    <tableColumn id="12888" xr3:uid="{D465D9B6-F64C-424A-B266-899437B543B5}" name="Column12874"/>
    <tableColumn id="12889" xr3:uid="{A280C27C-17FA-4E40-BB38-7C66A08E0CBF}" name="Column12875"/>
    <tableColumn id="12890" xr3:uid="{91EDBCFA-D8B8-450B-8288-03E248D84969}" name="Column12876"/>
    <tableColumn id="12891" xr3:uid="{E29C741E-7EF7-4172-9786-4E044BD3E4F2}" name="Column12877"/>
    <tableColumn id="12892" xr3:uid="{AA7D7103-213D-4B37-AB0F-5C288B8E25BD}" name="Column12878"/>
    <tableColumn id="12893" xr3:uid="{546625B7-57FB-4871-8EC0-1DF99388D6F3}" name="Column12879"/>
    <tableColumn id="12894" xr3:uid="{C188E791-EDFA-444F-AFA2-168527FCA455}" name="Column12880"/>
    <tableColumn id="12895" xr3:uid="{227A6E5F-B30A-462A-8A10-8A4D256AB6FE}" name="Column12881"/>
    <tableColumn id="12896" xr3:uid="{21D1FFC7-E33E-4BCA-B798-A87F89835EDD}" name="Column12882"/>
    <tableColumn id="12897" xr3:uid="{48EBD59F-2ADB-4819-9DE7-5611A7E91732}" name="Column12883"/>
    <tableColumn id="12898" xr3:uid="{9EDEB7CE-D693-4F65-95C2-D7E0BB57C299}" name="Column12884"/>
    <tableColumn id="12899" xr3:uid="{F5CD72FC-C9E3-4AB6-89CF-0A228D123444}" name="Column12885"/>
    <tableColumn id="12900" xr3:uid="{9293FB83-310C-49B9-B276-6F87B7B3EEC6}" name="Column12886"/>
    <tableColumn id="12901" xr3:uid="{F1ED6AA1-EA08-4497-AD83-F6BA02F80929}" name="Column12887"/>
    <tableColumn id="12902" xr3:uid="{71F5B48C-0434-4207-A3BD-EA73EC03041D}" name="Column12888"/>
    <tableColumn id="12903" xr3:uid="{5CEA8F24-185F-41EF-913C-5AFA68446121}" name="Column12889"/>
    <tableColumn id="12904" xr3:uid="{29B46FC5-15B3-4D3C-B8D7-824EAC6BD34D}" name="Column12890"/>
    <tableColumn id="12905" xr3:uid="{CBCBCC92-2B02-4AFD-9B4D-1B27E0ED8120}" name="Column12891"/>
    <tableColumn id="12906" xr3:uid="{F1075F75-C605-4FCE-8AE9-8E83B57DB349}" name="Column12892"/>
    <tableColumn id="12907" xr3:uid="{27F559BC-158F-44E9-9E7D-0DD2ACE534D2}" name="Column12893"/>
    <tableColumn id="12908" xr3:uid="{84DCA089-1EFD-41E0-9A3D-681956A3CB89}" name="Column12894"/>
    <tableColumn id="12909" xr3:uid="{5490091F-5779-491A-8AFF-BCB4D137C3A7}" name="Column12895"/>
    <tableColumn id="12910" xr3:uid="{989CEDE0-7F5A-40FA-BDC1-24E1B448E7CF}" name="Column12896"/>
    <tableColumn id="12911" xr3:uid="{DE0D4863-9083-4314-817D-FAD5407F2BC0}" name="Column12897"/>
    <tableColumn id="12912" xr3:uid="{258D730B-3953-45B0-833F-CF2C6FF1041D}" name="Column12898"/>
    <tableColumn id="12913" xr3:uid="{B5FC81DB-8D99-472D-8A00-70C3AFE8A430}" name="Column12899"/>
    <tableColumn id="12914" xr3:uid="{620B84F8-6964-439F-AFA5-3F243999145E}" name="Column12900"/>
    <tableColumn id="12915" xr3:uid="{40F08B9B-92F1-42FB-A5E3-7C039590AD75}" name="Column12901"/>
    <tableColumn id="12916" xr3:uid="{AE1337B7-995E-4D78-B895-99036DE2471E}" name="Column12902"/>
    <tableColumn id="12917" xr3:uid="{B04FC24E-34D5-4B78-9FC5-F0A4569E0134}" name="Column12903"/>
    <tableColumn id="12918" xr3:uid="{D3BC2C55-676B-47D2-B99B-11F4E7A97D9F}" name="Column12904"/>
    <tableColumn id="12919" xr3:uid="{F6937ABF-9461-41DC-9884-2B5DF8406FC3}" name="Column12905"/>
    <tableColumn id="12920" xr3:uid="{D7294099-9B52-43C0-AF28-F4D66DE2857D}" name="Column12906"/>
    <tableColumn id="12921" xr3:uid="{4B81BF36-3B26-4A93-95D2-0E236A61E8D3}" name="Column12907"/>
    <tableColumn id="12922" xr3:uid="{4A0A8ED6-45D1-4AD8-8A52-7F80A628F39A}" name="Column12908"/>
    <tableColumn id="12923" xr3:uid="{08180274-21FB-4158-AFEB-A5B545AB7649}" name="Column12909"/>
    <tableColumn id="12924" xr3:uid="{14985B16-3D4F-4BEC-A691-B7653D1764BE}" name="Column12910"/>
    <tableColumn id="12925" xr3:uid="{DB5004D5-6E5F-4CF9-9CC5-BD0ECC842B99}" name="Column12911"/>
    <tableColumn id="12926" xr3:uid="{206A1677-9FCA-4F7A-AC27-238FBC000335}" name="Column12912"/>
    <tableColumn id="12927" xr3:uid="{6F91CE08-D055-4D5E-8583-C1256EA46129}" name="Column12913"/>
    <tableColumn id="12928" xr3:uid="{BFFBC00A-C92E-499A-87CB-DD0D35FB5315}" name="Column12914"/>
    <tableColumn id="12929" xr3:uid="{02A8CB33-9BDD-471E-A4F9-4E252E01EFDC}" name="Column12915"/>
    <tableColumn id="12930" xr3:uid="{FAA1B2BD-DC7F-43FA-AD30-ED6D04D0665C}" name="Column12916"/>
    <tableColumn id="12931" xr3:uid="{74F80B6A-7AC2-42D1-8126-404D4B32FFF8}" name="Column12917"/>
    <tableColumn id="12932" xr3:uid="{AF056E69-0ABE-4144-8B58-9A1C2CC925DE}" name="Column12918"/>
    <tableColumn id="12933" xr3:uid="{75C13199-952A-4994-A7E2-11435318746D}" name="Column12919"/>
    <tableColumn id="12934" xr3:uid="{22339B89-EEED-4B4E-AC12-1C3455B29328}" name="Column12920"/>
    <tableColumn id="12935" xr3:uid="{3CA467F1-D065-44C9-8C65-0CB643CDDF30}" name="Column12921"/>
    <tableColumn id="12936" xr3:uid="{E8AC4B85-1E39-4D6D-A034-FE960346C739}" name="Column12922"/>
    <tableColumn id="12937" xr3:uid="{D9C16E2F-EEA3-4135-AAB0-F9B34F9AD345}" name="Column12923"/>
    <tableColumn id="12938" xr3:uid="{1CE21D64-39B6-4210-98EF-5A3886BF51D8}" name="Column12924"/>
    <tableColumn id="12939" xr3:uid="{A37C8448-6CCC-4CD3-968D-969DED3055F8}" name="Column12925"/>
    <tableColumn id="12940" xr3:uid="{16034CA2-2033-44F0-8471-2DF12675E3A9}" name="Column12926"/>
    <tableColumn id="12941" xr3:uid="{82F53178-9D91-4446-A99D-BEE30077C125}" name="Column12927"/>
    <tableColumn id="12942" xr3:uid="{E91C6C82-64EC-4B07-9A6F-D5576D281BB0}" name="Column12928"/>
    <tableColumn id="12943" xr3:uid="{5CAEF983-EF39-47B5-A36E-A0E047675DA5}" name="Column12929"/>
    <tableColumn id="12944" xr3:uid="{05F4277C-B04C-422C-9678-A0693A43AF7A}" name="Column12930"/>
    <tableColumn id="12945" xr3:uid="{C6CB8369-2CC6-4EAD-A315-8354B36C7B99}" name="Column12931"/>
    <tableColumn id="12946" xr3:uid="{C0D997B4-7DE7-4CCB-84AC-43CD1106DB99}" name="Column12932"/>
    <tableColumn id="12947" xr3:uid="{71B82B26-E828-46BF-881A-53097D0D453D}" name="Column12933"/>
    <tableColumn id="12948" xr3:uid="{39E1F619-4D43-4132-9097-B6112503B271}" name="Column12934"/>
    <tableColumn id="12949" xr3:uid="{EDCA6606-4E24-4873-B229-B6CF855702E8}" name="Column12935"/>
    <tableColumn id="12950" xr3:uid="{06CC8461-F382-48F0-BF3D-8D2CCAA0885B}" name="Column12936"/>
    <tableColumn id="12951" xr3:uid="{F587C258-F8C2-40F8-B060-9BA6B9A77707}" name="Column12937"/>
    <tableColumn id="12952" xr3:uid="{380792EA-8413-4435-AA1E-721D2E20EFF5}" name="Column12938"/>
    <tableColumn id="12953" xr3:uid="{1A965BC8-1FC8-4062-B32C-170E7157F42E}" name="Column12939"/>
    <tableColumn id="12954" xr3:uid="{DDF29956-181A-4DC3-96F8-CAF65B8C2DA6}" name="Column12940"/>
    <tableColumn id="12955" xr3:uid="{57ACFB0D-3C5B-485F-A2FE-E55CC70E3560}" name="Column12941"/>
    <tableColumn id="12956" xr3:uid="{C425CDA1-D01E-47EA-A4CE-FB44DB39155C}" name="Column12942"/>
    <tableColumn id="12957" xr3:uid="{1CF27789-B28F-4BAC-889B-6A699D2D6A92}" name="Column12943"/>
    <tableColumn id="12958" xr3:uid="{7752552B-86A6-47B9-A75D-8A16D2D3C3B2}" name="Column12944"/>
    <tableColumn id="12959" xr3:uid="{CD8293F9-C043-4568-AC59-704C2041846D}" name="Column12945"/>
    <tableColumn id="12960" xr3:uid="{139155B8-8C71-42F2-9DA3-8ADD3104789F}" name="Column12946"/>
    <tableColumn id="12961" xr3:uid="{E18A1F00-EFE6-423D-A160-2D986111A116}" name="Column12947"/>
    <tableColumn id="12962" xr3:uid="{0048DCAE-2FFF-4B17-B268-05FF03D41F8D}" name="Column12948"/>
    <tableColumn id="12963" xr3:uid="{36FAC275-D646-4F4D-8912-CC1BDC043FAA}" name="Column12949"/>
    <tableColumn id="12964" xr3:uid="{330B8145-D3DD-403B-8E2A-52C610CE7D1E}" name="Column12950"/>
    <tableColumn id="12965" xr3:uid="{9418497E-E0C9-41F4-A972-803F04C2229C}" name="Column12951"/>
    <tableColumn id="12966" xr3:uid="{E975DFCA-E50E-49F9-B621-F90ABEB1C031}" name="Column12952"/>
    <tableColumn id="12967" xr3:uid="{F12C7CA5-3E6B-4DC3-879A-CDA5C7E55D92}" name="Column12953"/>
    <tableColumn id="12968" xr3:uid="{152EEE0F-E321-49A6-A01A-21D436AEAB9D}" name="Column12954"/>
    <tableColumn id="12969" xr3:uid="{35D842F0-A24B-4CCF-AA5C-4F0AA966BC0D}" name="Column12955"/>
    <tableColumn id="12970" xr3:uid="{7D2B99A9-AE30-4A42-92F7-31B1A1AF7D3D}" name="Column12956"/>
    <tableColumn id="12971" xr3:uid="{B5FF7DB1-2137-4521-B9ED-220B5A0AAC4A}" name="Column12957"/>
    <tableColumn id="12972" xr3:uid="{215A7D54-1CFD-48AA-9F47-C94FF4756E51}" name="Column12958"/>
    <tableColumn id="12973" xr3:uid="{0169173A-205A-4F73-BEFB-1D2C1F9E632E}" name="Column12959"/>
    <tableColumn id="12974" xr3:uid="{20287BA5-8D54-4613-9FE7-5B3D39AEDAF1}" name="Column12960"/>
    <tableColumn id="12975" xr3:uid="{12513887-021E-4611-A10C-6F5A900FCE62}" name="Column12961"/>
    <tableColumn id="12976" xr3:uid="{43EB2EF3-91B9-41C1-93C7-A67346F5A8DB}" name="Column12962"/>
    <tableColumn id="12977" xr3:uid="{47D08EF9-21E7-477D-A467-03B33AD4F7AA}" name="Column12963"/>
    <tableColumn id="12978" xr3:uid="{F588B0FE-B454-434E-97CF-FC953436D2E2}" name="Column12964"/>
    <tableColumn id="12979" xr3:uid="{65975A7A-02BE-4DFF-9DBA-AA0C6992E2C0}" name="Column12965"/>
    <tableColumn id="12980" xr3:uid="{27A2E025-B07C-4B51-A4FC-6100CD5340BE}" name="Column12966"/>
    <tableColumn id="12981" xr3:uid="{84B0983A-09FC-4F07-B7A4-CF006E0A7187}" name="Column12967"/>
    <tableColumn id="12982" xr3:uid="{813797D3-C640-4181-96CA-CD6363285736}" name="Column12968"/>
    <tableColumn id="12983" xr3:uid="{7C49BB64-F761-4C4C-9E3F-2D7BDBB82A80}" name="Column12969"/>
    <tableColumn id="12984" xr3:uid="{6BFE05E1-1BA9-4A39-9EFD-331221C9AA15}" name="Column12970"/>
    <tableColumn id="12985" xr3:uid="{1EE07340-4EE3-497C-AE51-19793766CDE8}" name="Column12971"/>
    <tableColumn id="12986" xr3:uid="{4F9958B0-FBD4-4A33-B41D-FC51D4826FFA}" name="Column12972"/>
    <tableColumn id="12987" xr3:uid="{6812F519-7556-42F0-BD99-8C000D42DFE4}" name="Column12973"/>
    <tableColumn id="12988" xr3:uid="{4836823A-62B4-4E21-B56B-298A5E5ED2B0}" name="Column12974"/>
    <tableColumn id="12989" xr3:uid="{1054953D-A25D-4C3E-A862-356EEDE4B51D}" name="Column12975"/>
    <tableColumn id="12990" xr3:uid="{E4AB55DB-23AE-49A1-A528-4B80EC48A4C1}" name="Column12976"/>
    <tableColumn id="12991" xr3:uid="{C312C92B-0C30-43E2-B4C4-8192DD5ABB5E}" name="Column12977"/>
    <tableColumn id="12992" xr3:uid="{F22F2F90-5725-4C65-BA9F-0521D313F14D}" name="Column12978"/>
    <tableColumn id="12993" xr3:uid="{D9334E5D-F900-4E66-9333-E10457A199CA}" name="Column12979"/>
    <tableColumn id="12994" xr3:uid="{E02DA37E-0A6C-484E-ADC1-577FD917B50E}" name="Column12980"/>
    <tableColumn id="12995" xr3:uid="{01D8C48D-4AB6-4900-B83E-578D12B34F77}" name="Column12981"/>
    <tableColumn id="12996" xr3:uid="{61B9ADC8-5806-4617-B69A-6B4936ED9E36}" name="Column12982"/>
    <tableColumn id="12997" xr3:uid="{44D35269-743A-4991-A25A-4E02E2A1B278}" name="Column12983"/>
    <tableColumn id="12998" xr3:uid="{AF113822-F1C0-4A37-AA13-0EE8EEECD243}" name="Column12984"/>
    <tableColumn id="12999" xr3:uid="{67396913-A337-4CD8-B290-E4C62E8F48B1}" name="Column12985"/>
    <tableColumn id="13000" xr3:uid="{DA45FB35-CDC7-4272-A25F-67C569F52DE3}" name="Column12986"/>
    <tableColumn id="13001" xr3:uid="{20B4D739-B6F0-4F3B-B89D-A1EDD29C260E}" name="Column12987"/>
    <tableColumn id="13002" xr3:uid="{78A1C223-283D-44FF-9706-DF18A192FD15}" name="Column12988"/>
    <tableColumn id="13003" xr3:uid="{3CB15C57-9090-4BAE-B3B4-3316E96B6D10}" name="Column12989"/>
    <tableColumn id="13004" xr3:uid="{42B5BDA4-B9F4-4D42-9DA3-A10E1268EACE}" name="Column12990"/>
    <tableColumn id="13005" xr3:uid="{21CF2AE9-D395-467E-937B-ABCD616BEEAF}" name="Column12991"/>
    <tableColumn id="13006" xr3:uid="{BF58029F-101F-4020-A6D0-5C049BDC41C5}" name="Column12992"/>
    <tableColumn id="13007" xr3:uid="{8751144A-317E-4EC6-A5FE-7A632C6EDD4A}" name="Column12993"/>
    <tableColumn id="13008" xr3:uid="{7ABA32C2-96B6-4C49-91C5-8AA09F1E5945}" name="Column12994"/>
    <tableColumn id="13009" xr3:uid="{9BF176ED-7EB5-486D-95B1-D528C10F1EC1}" name="Column12995"/>
    <tableColumn id="13010" xr3:uid="{18ED4060-8191-4E9A-90F9-378F1688516C}" name="Column12996"/>
    <tableColumn id="13011" xr3:uid="{A027B02E-CF71-49D5-B737-C7AE9FC4E54C}" name="Column12997"/>
    <tableColumn id="13012" xr3:uid="{1C00601A-54B1-436E-BFFA-1209045D513D}" name="Column12998"/>
    <tableColumn id="13013" xr3:uid="{6C150E28-0C86-4D09-85DB-7FF6E86FCE0E}" name="Column12999"/>
    <tableColumn id="13014" xr3:uid="{59CB84AA-1D61-4613-9D9E-63CAF6F1FF57}" name="Column13000"/>
    <tableColumn id="13015" xr3:uid="{D14632E0-58F5-49D9-94DF-A0C071AFC554}" name="Column13001"/>
    <tableColumn id="13016" xr3:uid="{10A453CF-D67F-4F88-822A-E23726F1A007}" name="Column13002"/>
    <tableColumn id="13017" xr3:uid="{A24D2F04-643E-4381-BB2B-4A7AF57E61CB}" name="Column13003"/>
    <tableColumn id="13018" xr3:uid="{CA921B5C-03ED-46A1-A276-6732F4B0EF19}" name="Column13004"/>
    <tableColumn id="13019" xr3:uid="{70D50C37-E3EB-4B78-93B7-DC6E07E7F64C}" name="Column13005"/>
    <tableColumn id="13020" xr3:uid="{1FB43452-0721-4793-B1C0-9C7F68C0BA3E}" name="Column13006"/>
    <tableColumn id="13021" xr3:uid="{5F04B66B-1F1D-4F09-BF15-88046BA58A4B}" name="Column13007"/>
    <tableColumn id="13022" xr3:uid="{2E16CBE3-50C3-4368-BC3E-A2746484C261}" name="Column13008"/>
    <tableColumn id="13023" xr3:uid="{028CF08B-D8D3-4066-9273-D53227961D4D}" name="Column13009"/>
    <tableColumn id="13024" xr3:uid="{01AE1EE3-4D24-4409-B147-A475D87FC677}" name="Column13010"/>
    <tableColumn id="13025" xr3:uid="{E1A33CD7-9F5D-4FAA-9B6C-10A32F75B568}" name="Column13011"/>
    <tableColumn id="13026" xr3:uid="{FE1F1CBF-D824-4851-90B8-4C1BF53FBD2E}" name="Column13012"/>
    <tableColumn id="13027" xr3:uid="{365DF9D2-C003-4EB7-A4FC-B894DFFBEC49}" name="Column13013"/>
    <tableColumn id="13028" xr3:uid="{49F7536B-C0CB-4B40-B676-B9FC6C399C30}" name="Column13014"/>
    <tableColumn id="13029" xr3:uid="{DD124C8D-E3FF-446D-B9AE-4557F5AE5542}" name="Column13015"/>
    <tableColumn id="13030" xr3:uid="{D6B17EE7-070D-4FEC-9FA9-42699B80B8A7}" name="Column13016"/>
    <tableColumn id="13031" xr3:uid="{756E3A5C-E251-487E-8D5B-467C034C0250}" name="Column13017"/>
    <tableColumn id="13032" xr3:uid="{9B889363-7187-4106-A583-B10FC552E547}" name="Column13018"/>
    <tableColumn id="13033" xr3:uid="{B393B537-9043-47F5-B57A-F1843F841645}" name="Column13019"/>
    <tableColumn id="13034" xr3:uid="{CACA4434-67E9-4E82-A08D-657B5781E849}" name="Column13020"/>
    <tableColumn id="13035" xr3:uid="{3783557F-D27A-421B-A10A-DE4803CC481C}" name="Column13021"/>
    <tableColumn id="13036" xr3:uid="{8F38AD4F-CB58-4023-B10E-3CA21F57759C}" name="Column13022"/>
    <tableColumn id="13037" xr3:uid="{5DD2AC37-3E98-40F5-BC95-565FC4FC2B70}" name="Column13023"/>
    <tableColumn id="13038" xr3:uid="{B80C6C95-EC5A-4F3A-A5DD-FDA36EBBC460}" name="Column13024"/>
    <tableColumn id="13039" xr3:uid="{5C9CC756-8372-41C8-A430-D902FF2FC972}" name="Column13025"/>
    <tableColumn id="13040" xr3:uid="{694AA1A1-C96E-44D5-A660-3B14F649F893}" name="Column13026"/>
    <tableColumn id="13041" xr3:uid="{9FFD5BF4-D608-4F32-8AC4-A7DDE32B6B1E}" name="Column13027"/>
    <tableColumn id="13042" xr3:uid="{A218556C-FE63-4C76-B93C-F94C0493BDC2}" name="Column13028"/>
    <tableColumn id="13043" xr3:uid="{9AB52855-D96A-48D9-87E8-6D67B259533A}" name="Column13029"/>
    <tableColumn id="13044" xr3:uid="{679B7E7A-4430-4E3D-8CA9-9CD74E49D2A5}" name="Column13030"/>
    <tableColumn id="13045" xr3:uid="{BD33D85A-7396-4F61-8D96-A120857A2621}" name="Column13031"/>
    <tableColumn id="13046" xr3:uid="{4FE019E4-C3FE-47A4-82E5-5767157A33DB}" name="Column13032"/>
    <tableColumn id="13047" xr3:uid="{9D2F539C-B1C4-4D94-A655-EF9D748E019A}" name="Column13033"/>
    <tableColumn id="13048" xr3:uid="{5355E1AE-E27F-45CC-AB11-FFBC0E2BFB5E}" name="Column13034"/>
    <tableColumn id="13049" xr3:uid="{7E77F03F-9050-4FED-9E0C-F087A95D8DA6}" name="Column13035"/>
    <tableColumn id="13050" xr3:uid="{F6352A1E-2AAC-4214-815F-09DAF4637F65}" name="Column13036"/>
    <tableColumn id="13051" xr3:uid="{416E5F17-B64D-4FFE-827C-A7183D9CB9DA}" name="Column13037"/>
    <tableColumn id="13052" xr3:uid="{F2A5B9CF-8F14-4AC2-BA57-EB29A5F32C8F}" name="Column13038"/>
    <tableColumn id="13053" xr3:uid="{887B9450-B578-40BA-965D-C91E0A166CBD}" name="Column13039"/>
    <tableColumn id="13054" xr3:uid="{CE0A53C2-BAB4-4CB1-B074-EF962EB9AC17}" name="Column13040"/>
    <tableColumn id="13055" xr3:uid="{E704D5F0-1860-451E-B4CB-429706EB6F1D}" name="Column13041"/>
    <tableColumn id="13056" xr3:uid="{043766EA-3427-413F-B221-B175E9A47D9A}" name="Column13042"/>
    <tableColumn id="13057" xr3:uid="{2A1B79CB-8F34-4AE7-8CC5-A6DDA2BC2420}" name="Column13043"/>
    <tableColumn id="13058" xr3:uid="{A75FDDA0-9F3E-43F0-9FFF-045A5D02C02E}" name="Column13044"/>
    <tableColumn id="13059" xr3:uid="{5A5D35B3-FA7D-432B-B329-E78BADEF451B}" name="Column13045"/>
    <tableColumn id="13060" xr3:uid="{B395F99E-0F1F-4B63-AB45-A1DB22987443}" name="Column13046"/>
    <tableColumn id="13061" xr3:uid="{616A3A89-E0A9-419C-9DED-B36C7A6314F5}" name="Column13047"/>
    <tableColumn id="13062" xr3:uid="{77DFF216-03A6-4CF8-9160-C61AA4BDD545}" name="Column13048"/>
    <tableColumn id="13063" xr3:uid="{817E719A-25B0-4D9F-9667-50A091F0437D}" name="Column13049"/>
    <tableColumn id="13064" xr3:uid="{5D68B52A-CADD-49FF-9C46-F84A0A1F342D}" name="Column13050"/>
    <tableColumn id="13065" xr3:uid="{01C08783-E77C-4DE1-8686-2FC16F4D7EA2}" name="Column13051"/>
    <tableColumn id="13066" xr3:uid="{62CCCCB0-1562-4EB2-9F45-4D978DB8F718}" name="Column13052"/>
    <tableColumn id="13067" xr3:uid="{79BD0F8A-4A0A-4130-A85F-5975F6F84575}" name="Column13053"/>
    <tableColumn id="13068" xr3:uid="{BD79BB1D-3C55-4230-84E2-DCCD34B681B1}" name="Column13054"/>
    <tableColumn id="13069" xr3:uid="{C7265CD3-9906-431D-834B-5E68AAC4F8C0}" name="Column13055"/>
    <tableColumn id="13070" xr3:uid="{64F69789-11C3-480D-9002-3756949ECE28}" name="Column13056"/>
    <tableColumn id="13071" xr3:uid="{2F5A4207-9966-4E51-8E2D-FCFA867BDBA5}" name="Column13057"/>
    <tableColumn id="13072" xr3:uid="{D71C0041-7943-4C1E-8369-4CD11D4372CF}" name="Column13058"/>
    <tableColumn id="13073" xr3:uid="{E28AAC51-CB5E-42F1-932C-4829BAE23AB6}" name="Column13059"/>
    <tableColumn id="13074" xr3:uid="{D3268239-9151-4785-9037-5FE6484427F6}" name="Column13060"/>
    <tableColumn id="13075" xr3:uid="{4343BCF2-922A-468C-A343-7E09A394BD51}" name="Column13061"/>
    <tableColumn id="13076" xr3:uid="{2C248C16-BE23-49EB-87B8-2092B9A9FBF6}" name="Column13062"/>
    <tableColumn id="13077" xr3:uid="{D4DC4602-5D5F-4431-818E-8A642E26D2B7}" name="Column13063"/>
    <tableColumn id="13078" xr3:uid="{6971AB50-11F9-4A60-BC68-72919D7E30C6}" name="Column13064"/>
    <tableColumn id="13079" xr3:uid="{53821122-2433-43A6-B25B-51DA6AB912FB}" name="Column13065"/>
    <tableColumn id="13080" xr3:uid="{0544F605-9AF2-40F4-85C9-C8E44D59A6A7}" name="Column13066"/>
    <tableColumn id="13081" xr3:uid="{30337A46-CCBC-46DA-91C8-1AFB3A2399C2}" name="Column13067"/>
    <tableColumn id="13082" xr3:uid="{2D422DD2-878C-4FDB-BBA8-48E940A3D8B7}" name="Column13068"/>
    <tableColumn id="13083" xr3:uid="{3212D22A-56CF-4323-88F4-E669D84B3E8C}" name="Column13069"/>
    <tableColumn id="13084" xr3:uid="{7628766D-DF6D-4A2D-AEEA-07B27EEEE746}" name="Column13070"/>
    <tableColumn id="13085" xr3:uid="{8A02147D-9AD3-4EA5-83B1-CC9F4DF3C397}" name="Column13071"/>
    <tableColumn id="13086" xr3:uid="{CDBB5329-3D45-432E-8812-952C85E99420}" name="Column13072"/>
    <tableColumn id="13087" xr3:uid="{31E43315-D90B-47EA-9299-08CC681E4CAC}" name="Column13073"/>
    <tableColumn id="13088" xr3:uid="{5F15151C-7562-4E69-B90E-537FB8B9F480}" name="Column13074"/>
    <tableColumn id="13089" xr3:uid="{33EF8471-2411-44B0-B558-856D522E8155}" name="Column13075"/>
    <tableColumn id="13090" xr3:uid="{0629220A-A8FC-449B-8814-BF9B10833EDF}" name="Column13076"/>
    <tableColumn id="13091" xr3:uid="{48C77054-A8FA-4250-A39A-72F4E9380477}" name="Column13077"/>
    <tableColumn id="13092" xr3:uid="{863EFE68-09EE-4254-B4F6-4ED3C47C5957}" name="Column13078"/>
    <tableColumn id="13093" xr3:uid="{F50B2BD4-52AA-453B-8E10-163D9E8C1833}" name="Column13079"/>
    <tableColumn id="13094" xr3:uid="{EE7EDE6C-10AF-46E5-97D9-23038D0C261E}" name="Column13080"/>
    <tableColumn id="13095" xr3:uid="{34609748-748A-4FF5-A46F-2016FC6861D4}" name="Column13081"/>
    <tableColumn id="13096" xr3:uid="{75F09E3E-1FF9-4A1D-B1BE-AF7C683A1A99}" name="Column13082"/>
    <tableColumn id="13097" xr3:uid="{2494831E-C339-4687-8855-B4D08144F319}" name="Column13083"/>
    <tableColumn id="13098" xr3:uid="{3ADE6304-A17C-41EB-8BF8-A3BA9442E721}" name="Column13084"/>
    <tableColumn id="13099" xr3:uid="{EDD973C1-C960-453E-A270-36D31B99727D}" name="Column13085"/>
    <tableColumn id="13100" xr3:uid="{4386F51C-339B-479C-BFDE-9965471CB5BD}" name="Column13086"/>
    <tableColumn id="13101" xr3:uid="{ABCF15F9-49B7-4D0B-9C6E-4C244533E367}" name="Column13087"/>
    <tableColumn id="13102" xr3:uid="{1E625F04-FC16-4E78-9226-B362319896B3}" name="Column13088"/>
    <tableColumn id="13103" xr3:uid="{A488B7F6-F988-4EED-A031-3796245AD0D9}" name="Column13089"/>
    <tableColumn id="13104" xr3:uid="{DF9D1E65-EB85-49C7-A1D1-DB4A9D1E0E69}" name="Column13090"/>
    <tableColumn id="13105" xr3:uid="{9A60AB03-B094-4679-958D-E3B2883B107F}" name="Column13091"/>
    <tableColumn id="13106" xr3:uid="{090C0D1F-9A5C-4187-A1A1-BFD33E9800DF}" name="Column13092"/>
    <tableColumn id="13107" xr3:uid="{2529188B-6643-467B-96E2-7A73E6085410}" name="Column13093"/>
    <tableColumn id="13108" xr3:uid="{072C3963-8134-43DD-8393-CB076D1EF8E7}" name="Column13094"/>
    <tableColumn id="13109" xr3:uid="{04545CE9-7EB0-4A7D-A2FB-DE6C7B75E183}" name="Column13095"/>
    <tableColumn id="13110" xr3:uid="{E3FCFAFB-1BAE-4F61-86BC-8D425378F15B}" name="Column13096"/>
    <tableColumn id="13111" xr3:uid="{B02B610A-F54F-41BD-A892-2CE7AF95E6D8}" name="Column13097"/>
    <tableColumn id="13112" xr3:uid="{BE640D48-01C0-43C0-8A2A-268A65AFEF7D}" name="Column13098"/>
    <tableColumn id="13113" xr3:uid="{C1314D57-4134-4ABD-872C-8C773DB5EAE1}" name="Column13099"/>
    <tableColumn id="13114" xr3:uid="{3640D16D-A10A-4995-BC71-9F0820FBAA80}" name="Column13100"/>
    <tableColumn id="13115" xr3:uid="{6561D925-CB74-4310-9024-33D269C5E7E7}" name="Column13101"/>
    <tableColumn id="13116" xr3:uid="{F8ECA6E6-963C-4EE9-B157-7B4288649695}" name="Column13102"/>
    <tableColumn id="13117" xr3:uid="{68052935-60B6-4785-A416-45AD204D87E5}" name="Column13103"/>
    <tableColumn id="13118" xr3:uid="{E769F76C-E569-4784-A62E-9A895AED5C67}" name="Column13104"/>
    <tableColumn id="13119" xr3:uid="{121A1C73-13BB-41FE-88AC-E27460F5E9C4}" name="Column13105"/>
    <tableColumn id="13120" xr3:uid="{8FC0A7B0-B4A4-4103-B69F-567CA681EB9D}" name="Column13106"/>
    <tableColumn id="13121" xr3:uid="{ECA4989F-16F6-4049-A04B-3FD74F4B0AE2}" name="Column13107"/>
    <tableColumn id="13122" xr3:uid="{FDB818B7-C215-4116-8A4E-21F31E0A3A1B}" name="Column13108"/>
    <tableColumn id="13123" xr3:uid="{6C94BBB2-4087-4361-ACA3-6DADC7105359}" name="Column13109"/>
    <tableColumn id="13124" xr3:uid="{24123FE2-5088-479F-AF1F-3F7FCBD90C67}" name="Column13110"/>
    <tableColumn id="13125" xr3:uid="{31EB4577-FDDE-465B-B8B6-AF67256D871D}" name="Column13111"/>
    <tableColumn id="13126" xr3:uid="{B132690F-57ED-446B-9AFD-E8AF8933A483}" name="Column13112"/>
    <tableColumn id="13127" xr3:uid="{1CC7E9E1-0FAE-4BCC-B89D-144C0D490918}" name="Column13113"/>
    <tableColumn id="13128" xr3:uid="{A2F7D8D7-572A-42A8-80BD-14854B2388FC}" name="Column13114"/>
    <tableColumn id="13129" xr3:uid="{8613CBB2-D104-40F2-8416-A5636EC4775D}" name="Column13115"/>
    <tableColumn id="13130" xr3:uid="{DAEE590B-D602-4A9C-84F3-9000736B2236}" name="Column13116"/>
    <tableColumn id="13131" xr3:uid="{3F24AB4E-1325-472B-BCA6-75AE23831CEC}" name="Column13117"/>
    <tableColumn id="13132" xr3:uid="{089B0105-40E8-44EE-8396-C433EF2DA49C}" name="Column13118"/>
    <tableColumn id="13133" xr3:uid="{91D5E718-F594-4135-94EC-9A2B71AF4FF1}" name="Column13119"/>
    <tableColumn id="13134" xr3:uid="{C3298E25-CD11-45FB-BB86-FD22D2DE6786}" name="Column13120"/>
    <tableColumn id="13135" xr3:uid="{DA8EDE48-D93F-4BC1-BBAE-058481B76FAD}" name="Column13121"/>
    <tableColumn id="13136" xr3:uid="{DC10B1B4-4D77-49B2-824E-B9BF2072A4F6}" name="Column13122"/>
    <tableColumn id="13137" xr3:uid="{FB5D6A33-C6FE-4F94-9E9C-4E0B8BB21210}" name="Column13123"/>
    <tableColumn id="13138" xr3:uid="{A1BFFC94-881C-4A3F-8D85-62BB3186B6A9}" name="Column13124"/>
    <tableColumn id="13139" xr3:uid="{CBE5575E-6655-44A0-BC3F-5F2584BC06C4}" name="Column13125"/>
    <tableColumn id="13140" xr3:uid="{E4F6B416-40F7-4EDE-ADD9-37EFBEDAD7AA}" name="Column13126"/>
    <tableColumn id="13141" xr3:uid="{081D2AAF-B8F8-412C-BE29-73C4EC6A1AFB}" name="Column13127"/>
    <tableColumn id="13142" xr3:uid="{A38F19DE-11BA-4C64-AAEE-72F985F066C3}" name="Column13128"/>
    <tableColumn id="13143" xr3:uid="{BDF82B59-54A6-4908-85B6-1738652E8DF8}" name="Column13129"/>
    <tableColumn id="13144" xr3:uid="{55DD675F-BA6E-4BD2-8C6F-F752A6D4E3E6}" name="Column13130"/>
    <tableColumn id="13145" xr3:uid="{50CA5288-8C90-4369-948F-63A0FA25C939}" name="Column13131"/>
    <tableColumn id="13146" xr3:uid="{F834A421-CC66-4C39-B778-75FAE84E2E02}" name="Column13132"/>
    <tableColumn id="13147" xr3:uid="{0367DE2D-80EA-4E58-B1FD-71297359FA71}" name="Column13133"/>
    <tableColumn id="13148" xr3:uid="{FECB849F-B002-41AA-AA3C-ACE3B14CE704}" name="Column13134"/>
    <tableColumn id="13149" xr3:uid="{A7C4E5E7-8583-476B-A26D-4933A43B69C3}" name="Column13135"/>
    <tableColumn id="13150" xr3:uid="{526EBEB9-0E06-409E-9977-E8122A72BD73}" name="Column13136"/>
    <tableColumn id="13151" xr3:uid="{E5A406A9-384D-4E1E-8F5C-02426E24017F}" name="Column13137"/>
    <tableColumn id="13152" xr3:uid="{269023ED-7362-426E-99FF-83C069610EF9}" name="Column13138"/>
    <tableColumn id="13153" xr3:uid="{7613455E-C092-4713-86AF-5F450CE05E2A}" name="Column13139"/>
    <tableColumn id="13154" xr3:uid="{94F4A11B-BA0E-4014-B0F2-6CD7A89CD13B}" name="Column13140"/>
    <tableColumn id="13155" xr3:uid="{81C8DEA0-8873-475D-8761-D96B5C845CDB}" name="Column13141"/>
    <tableColumn id="13156" xr3:uid="{932C4C48-256B-4C04-976E-650A4291E343}" name="Column13142"/>
    <tableColumn id="13157" xr3:uid="{AA5C3546-744E-4348-85DE-237F865CF57B}" name="Column13143"/>
    <tableColumn id="13158" xr3:uid="{4035DFEE-4B44-4F91-A59A-8D6F73C1D5F8}" name="Column13144"/>
    <tableColumn id="13159" xr3:uid="{818CB860-8194-4326-A80C-8933AAD7DFCB}" name="Column13145"/>
    <tableColumn id="13160" xr3:uid="{003B7745-58B1-4657-BF1C-6156933657D1}" name="Column13146"/>
    <tableColumn id="13161" xr3:uid="{1B50267C-A9AF-44A8-B62F-49C4EE793C7D}" name="Column13147"/>
    <tableColumn id="13162" xr3:uid="{6B78E6ED-7E83-4011-9D02-C35F8C4A89D8}" name="Column13148"/>
    <tableColumn id="13163" xr3:uid="{2FD3D324-6210-4589-8F85-1604C8BCB403}" name="Column13149"/>
    <tableColumn id="13164" xr3:uid="{514CB69E-DA1E-465D-978E-98755D44CAB7}" name="Column13150"/>
    <tableColumn id="13165" xr3:uid="{54090FC0-1611-4E98-9591-8C94CDF66F82}" name="Column13151"/>
    <tableColumn id="13166" xr3:uid="{AB3B5A10-7465-46ED-BEC6-1137C7315A40}" name="Column13152"/>
    <tableColumn id="13167" xr3:uid="{C66B76A1-9C2A-476C-A0F5-AE65B8E54F39}" name="Column13153"/>
    <tableColumn id="13168" xr3:uid="{C1798E27-7BD8-4920-9D74-7B1631377A65}" name="Column13154"/>
    <tableColumn id="13169" xr3:uid="{721D62CC-FEE7-4D24-82A5-36BDE37C6ACD}" name="Column13155"/>
    <tableColumn id="13170" xr3:uid="{FF540300-8497-404C-8691-EF98998B4BC4}" name="Column13156"/>
    <tableColumn id="13171" xr3:uid="{FB41226C-D241-48CC-B1BF-215AE47E1198}" name="Column13157"/>
    <tableColumn id="13172" xr3:uid="{EE9EA93B-478F-4A9F-9F5B-F0FAFED29C0D}" name="Column13158"/>
    <tableColumn id="13173" xr3:uid="{5A614F87-9436-4F83-833D-0B0A3EFE42A0}" name="Column13159"/>
    <tableColumn id="13174" xr3:uid="{C63BB4E1-B2B4-483B-BBA7-7066AC8CD2E2}" name="Column13160"/>
    <tableColumn id="13175" xr3:uid="{BB6FAAF1-6A53-4B91-80A7-E7304E3257C1}" name="Column13161"/>
    <tableColumn id="13176" xr3:uid="{0BB1313F-63A8-4D2A-9210-C052FCA9CC3F}" name="Column13162"/>
    <tableColumn id="13177" xr3:uid="{C0BD2F54-441C-451B-B908-8E13CD27C4E4}" name="Column13163"/>
    <tableColumn id="13178" xr3:uid="{4A293207-04B6-4402-82EB-92645CEAF43F}" name="Column13164"/>
    <tableColumn id="13179" xr3:uid="{11BFF6E4-3817-415B-8D66-3BDB6DF9A4E1}" name="Column13165"/>
    <tableColumn id="13180" xr3:uid="{7889C99A-9BE1-473F-B39D-7F225596C5FC}" name="Column13166"/>
    <tableColumn id="13181" xr3:uid="{174849FB-DCA4-4AAC-8FCD-96CE45C2DDCB}" name="Column13167"/>
    <tableColumn id="13182" xr3:uid="{74572B98-AA09-4B2D-8FA5-CAC866B09501}" name="Column13168"/>
    <tableColumn id="13183" xr3:uid="{A612BE85-04C4-4003-A5BA-D9DFF167A828}" name="Column13169"/>
    <tableColumn id="13184" xr3:uid="{3BB29771-5A81-4FCF-95D7-36058632DA85}" name="Column13170"/>
    <tableColumn id="13185" xr3:uid="{C5546912-95EA-4D5B-896A-E618F86FDBD8}" name="Column13171"/>
    <tableColumn id="13186" xr3:uid="{956A2D90-3D8C-4CA1-AEB9-A1B4A0BB8A8D}" name="Column13172"/>
    <tableColumn id="13187" xr3:uid="{12F21013-8B9C-4EC7-A6D0-AE8D5DC8D7B5}" name="Column13173"/>
    <tableColumn id="13188" xr3:uid="{CAB00517-0B97-498E-8057-07796EACFA7E}" name="Column13174"/>
    <tableColumn id="13189" xr3:uid="{A1A2DA48-2203-4783-B838-72777B23B45A}" name="Column13175"/>
    <tableColumn id="13190" xr3:uid="{B1B42384-F893-4C35-A288-5D56FA64BB32}" name="Column13176"/>
    <tableColumn id="13191" xr3:uid="{E3331251-EE8B-485A-9F2F-1954DEA62346}" name="Column13177"/>
    <tableColumn id="13192" xr3:uid="{5D39BB7A-F054-4187-BBB2-1F8948E49613}" name="Column13178"/>
    <tableColumn id="13193" xr3:uid="{0E63A304-D09D-49C1-ADC9-6B4474E939D5}" name="Column13179"/>
    <tableColumn id="13194" xr3:uid="{27E4DE2C-43B0-4957-9751-3F9115DA788C}" name="Column13180"/>
    <tableColumn id="13195" xr3:uid="{17D1ADF7-7D6C-4A55-94E1-E080BD509BC6}" name="Column13181"/>
    <tableColumn id="13196" xr3:uid="{5A3B8DB6-69E5-480D-8239-B87F4686AECB}" name="Column13182"/>
    <tableColumn id="13197" xr3:uid="{67976F60-9E62-41CF-90AE-E7E9EDB31434}" name="Column13183"/>
    <tableColumn id="13198" xr3:uid="{D9ED1DCE-3E28-45D1-9BA0-ED3101499434}" name="Column13184"/>
    <tableColumn id="13199" xr3:uid="{23598762-0F14-4D01-BEBB-9A17F8352CE7}" name="Column13185"/>
    <tableColumn id="13200" xr3:uid="{2F82D0D4-28C8-4C9F-94D3-C8D83E48D831}" name="Column13186"/>
    <tableColumn id="13201" xr3:uid="{5C041F17-9925-4626-9223-01D7D386025A}" name="Column13187"/>
    <tableColumn id="13202" xr3:uid="{5B264584-F8A6-4648-94B6-8B605E453511}" name="Column13188"/>
    <tableColumn id="13203" xr3:uid="{CE09F152-F8F1-4D16-8700-764AB9EB1BAF}" name="Column13189"/>
    <tableColumn id="13204" xr3:uid="{C70BFD8E-A7C2-4DFF-9FFF-1D1D717B13B0}" name="Column13190"/>
    <tableColumn id="13205" xr3:uid="{07BB07C6-9A7C-4D8A-BCBB-EED00D42A755}" name="Column13191"/>
    <tableColumn id="13206" xr3:uid="{A5D31A3D-4A70-4686-A7D4-30A441C128D6}" name="Column13192"/>
    <tableColumn id="13207" xr3:uid="{1D6E1576-F31D-4371-9076-BD959C2CB7D5}" name="Column13193"/>
    <tableColumn id="13208" xr3:uid="{7C1FE968-4D32-4B8E-80F6-D4988A9AE8AF}" name="Column13194"/>
    <tableColumn id="13209" xr3:uid="{5206EB09-DC84-41CD-8859-271D417949B3}" name="Column13195"/>
    <tableColumn id="13210" xr3:uid="{502CC951-69EA-46AA-91D6-2315706074BB}" name="Column13196"/>
    <tableColumn id="13211" xr3:uid="{02572EAE-0240-45F1-B09C-EE033438D9DD}" name="Column13197"/>
    <tableColumn id="13212" xr3:uid="{70A998FD-1D63-413B-8CB1-6640319A0E62}" name="Column13198"/>
    <tableColumn id="13213" xr3:uid="{B00329D0-A424-4A6B-BA61-52E0F3F93B50}" name="Column13199"/>
    <tableColumn id="13214" xr3:uid="{A5732212-71CE-46F0-B1A0-3A11B1D94D99}" name="Column13200"/>
    <tableColumn id="13215" xr3:uid="{53C82C27-860B-48F1-A81B-2FBC6B379D7E}" name="Column13201"/>
    <tableColumn id="13216" xr3:uid="{7C9996F1-1DCA-48ED-9C9C-17E4C0F19F9C}" name="Column13202"/>
    <tableColumn id="13217" xr3:uid="{44792326-3CF6-4683-9BF3-0C727F8314D8}" name="Column13203"/>
    <tableColumn id="13218" xr3:uid="{67521B26-5087-435C-87C9-F1B142E7E2CE}" name="Column13204"/>
    <tableColumn id="13219" xr3:uid="{9B5A3F50-1ED6-4CB6-B9B9-5AB8F79D0B5C}" name="Column13205"/>
    <tableColumn id="13220" xr3:uid="{0138A3FD-7A41-475A-BA49-D41A1EC5D8D6}" name="Column13206"/>
    <tableColumn id="13221" xr3:uid="{5E8CDF6A-68C1-454F-B167-73AF10F01173}" name="Column13207"/>
    <tableColumn id="13222" xr3:uid="{6AFE6426-6986-4E22-B1B8-CFD8937E83C8}" name="Column13208"/>
    <tableColumn id="13223" xr3:uid="{394AD2CD-0586-44A8-B3BC-D189114C974A}" name="Column13209"/>
    <tableColumn id="13224" xr3:uid="{94FE28D7-058F-4BA2-A1D7-72E6D3793A2A}" name="Column13210"/>
    <tableColumn id="13225" xr3:uid="{7800F69C-48BB-4EAD-9B71-48CE2DD46B5B}" name="Column13211"/>
    <tableColumn id="13226" xr3:uid="{107BEDF3-0F61-41FB-879D-A97B92BDF0F9}" name="Column13212"/>
    <tableColumn id="13227" xr3:uid="{714ED491-3805-4016-A8EE-8B2B1F2B8C38}" name="Column13213"/>
    <tableColumn id="13228" xr3:uid="{76A6C7BC-A242-4A68-A5BC-C492325236BB}" name="Column13214"/>
    <tableColumn id="13229" xr3:uid="{CB4E8FA0-D5F8-47B6-97A2-8251ED0936DA}" name="Column13215"/>
    <tableColumn id="13230" xr3:uid="{5FA3C584-0C80-4ABE-A259-948EA241594F}" name="Column13216"/>
    <tableColumn id="13231" xr3:uid="{91772514-D71C-4FB3-9D98-736DC99FE396}" name="Column13217"/>
    <tableColumn id="13232" xr3:uid="{1E0CA65E-06E3-4A4F-8C92-2C65DB2196EF}" name="Column13218"/>
    <tableColumn id="13233" xr3:uid="{8F67C87C-A146-41CD-87AB-4E51AEC0C2D9}" name="Column13219"/>
    <tableColumn id="13234" xr3:uid="{591B308F-266A-4AF2-942D-BF92E6D36F80}" name="Column13220"/>
    <tableColumn id="13235" xr3:uid="{E540D7D3-9184-44B6-9CC4-79A0C2EA1A1B}" name="Column13221"/>
    <tableColumn id="13236" xr3:uid="{086A8471-AEB0-450B-8106-F22CF2EA89E5}" name="Column13222"/>
    <tableColumn id="13237" xr3:uid="{1A3611DA-EEF9-4312-95CF-34638A734EBD}" name="Column13223"/>
    <tableColumn id="13238" xr3:uid="{6597EBA0-C5ED-45F4-AC2F-12F56A70ACA1}" name="Column13224"/>
    <tableColumn id="13239" xr3:uid="{AAF771D8-D56E-4DD1-A48B-BB36E28B0E89}" name="Column13225"/>
    <tableColumn id="13240" xr3:uid="{628A7363-E663-4F8D-9E5F-C7C40ED3B404}" name="Column13226"/>
    <tableColumn id="13241" xr3:uid="{894DB265-47F4-4137-8559-C192B0544F5F}" name="Column13227"/>
    <tableColumn id="13242" xr3:uid="{E30D3AC2-BC18-4F7A-A8DF-59DA0CD37AF6}" name="Column13228"/>
    <tableColumn id="13243" xr3:uid="{39311AAF-40EA-4038-9D2F-9FEDA9C97C91}" name="Column13229"/>
    <tableColumn id="13244" xr3:uid="{A75C821F-EA48-4262-8E70-391AD08782C5}" name="Column13230"/>
    <tableColumn id="13245" xr3:uid="{5729182D-6981-4808-A5C8-E44C4A45314B}" name="Column13231"/>
    <tableColumn id="13246" xr3:uid="{A2CD8B56-7413-459D-859B-7FC796DBC9A3}" name="Column13232"/>
    <tableColumn id="13247" xr3:uid="{B1A8C518-4FD0-492E-B3B6-99709F71B5D9}" name="Column13233"/>
    <tableColumn id="13248" xr3:uid="{D10E49BF-B5A1-40C2-92D4-827951D0FC13}" name="Column13234"/>
    <tableColumn id="13249" xr3:uid="{67F0DF0C-1D64-41B0-94F0-98B75ACF11C2}" name="Column13235"/>
    <tableColumn id="13250" xr3:uid="{B1E299C7-383F-4C05-88E3-40627120F166}" name="Column13236"/>
    <tableColumn id="13251" xr3:uid="{27D7FF6F-5A4B-4417-8315-5A8A3C337A7B}" name="Column13237"/>
    <tableColumn id="13252" xr3:uid="{EBC9057D-18C1-4778-97D6-CDD24024729A}" name="Column13238"/>
    <tableColumn id="13253" xr3:uid="{C999A3AA-3FE6-4985-BB44-881B472F71C8}" name="Column13239"/>
    <tableColumn id="13254" xr3:uid="{80ECBBF7-1A95-4BAB-BD00-F11A17E0BE25}" name="Column13240"/>
    <tableColumn id="13255" xr3:uid="{9BC8CF60-962C-408E-8362-FE1A575B22A2}" name="Column13241"/>
    <tableColumn id="13256" xr3:uid="{5F45F9D6-6875-4160-9F7E-9FC115578D5D}" name="Column13242"/>
    <tableColumn id="13257" xr3:uid="{A6310B6E-45A1-4FE2-BE9A-62CC17999355}" name="Column13243"/>
    <tableColumn id="13258" xr3:uid="{4D4769C7-8528-4A7E-ADF3-0C58ACD24AB8}" name="Column13244"/>
    <tableColumn id="13259" xr3:uid="{3F83ABDC-F7F8-4EFC-A646-32D82365ABBE}" name="Column13245"/>
    <tableColumn id="13260" xr3:uid="{442268F7-8987-41E0-BD0B-EA5E27923FA9}" name="Column13246"/>
    <tableColumn id="13261" xr3:uid="{26B70546-7BD0-4215-A9D8-D5351A63098A}" name="Column13247"/>
    <tableColumn id="13262" xr3:uid="{90FBE445-CCC6-487A-88C6-BD88EDBB824B}" name="Column13248"/>
    <tableColumn id="13263" xr3:uid="{7DEE66F5-E9DD-46C3-9ADC-F3425CB91B7B}" name="Column13249"/>
    <tableColumn id="13264" xr3:uid="{6C8E0833-5A22-477C-8C3D-4D9DB97FF7DD}" name="Column13250"/>
    <tableColumn id="13265" xr3:uid="{A76310A9-7B3A-48AA-A63E-36C66C08F348}" name="Column13251"/>
    <tableColumn id="13266" xr3:uid="{A34B5598-7FCD-4226-9CAB-58DDCD3DF62B}" name="Column13252"/>
    <tableColumn id="13267" xr3:uid="{D770CAB5-63A9-4E00-9CA6-3D2D82F2F5F2}" name="Column13253"/>
    <tableColumn id="13268" xr3:uid="{FF660A02-9844-4996-9246-654549DE37E0}" name="Column13254"/>
    <tableColumn id="13269" xr3:uid="{25FC2D6E-4A1C-4C27-AB1C-753E050F37ED}" name="Column13255"/>
    <tableColumn id="13270" xr3:uid="{897839CC-088D-47E4-8F25-FA8CA73089BE}" name="Column13256"/>
    <tableColumn id="13271" xr3:uid="{211D9E27-8577-40F2-B3E1-B3A6F855E222}" name="Column13257"/>
    <tableColumn id="13272" xr3:uid="{07399A67-D85A-45A4-84F8-421694CC0993}" name="Column13258"/>
    <tableColumn id="13273" xr3:uid="{399F6D73-DA1D-40D1-BAEB-83A911020F91}" name="Column13259"/>
    <tableColumn id="13274" xr3:uid="{2B3C3D93-B838-449C-A846-9A266DEC5CA7}" name="Column13260"/>
    <tableColumn id="13275" xr3:uid="{FF9F0C8C-8C90-4D24-9FE6-4FABFCFC2D73}" name="Column13261"/>
    <tableColumn id="13276" xr3:uid="{DF27C7FA-C621-4E7B-A769-B80CE489EA9D}" name="Column13262"/>
    <tableColumn id="13277" xr3:uid="{7870CFCF-1834-450D-BC58-E7B5709666A7}" name="Column13263"/>
    <tableColumn id="13278" xr3:uid="{CBDC3752-A26C-4B3E-B6DE-1B7B16681481}" name="Column13264"/>
    <tableColumn id="13279" xr3:uid="{501DAD5F-BA59-4656-9108-D761B7267637}" name="Column13265"/>
    <tableColumn id="13280" xr3:uid="{D67C18FD-4AC2-4277-9FD8-1F30D634DF0E}" name="Column13266"/>
    <tableColumn id="13281" xr3:uid="{3E3B6423-85A4-4312-A682-902B9CA3C056}" name="Column13267"/>
    <tableColumn id="13282" xr3:uid="{5CF84DC5-DC13-4A45-8CB3-581E744E64F1}" name="Column13268"/>
    <tableColumn id="13283" xr3:uid="{65AD148B-2115-4A99-9B58-052E7CDED1F2}" name="Column13269"/>
    <tableColumn id="13284" xr3:uid="{89206989-ED99-4748-AE28-D331C69140B6}" name="Column13270"/>
    <tableColumn id="13285" xr3:uid="{4674ABD8-5C51-4221-BD68-488DD3AEAC57}" name="Column13271"/>
    <tableColumn id="13286" xr3:uid="{A3D6B824-EACF-451B-947A-907D6F26185A}" name="Column13272"/>
    <tableColumn id="13287" xr3:uid="{EE9D8779-A9AC-4D14-A8BB-7D2832058EA3}" name="Column13273"/>
    <tableColumn id="13288" xr3:uid="{0C09E68D-1E2B-4818-93C9-AE93EFE1F959}" name="Column13274"/>
    <tableColumn id="13289" xr3:uid="{A681B24B-CD29-471D-9063-773FDA6F15E4}" name="Column13275"/>
    <tableColumn id="13290" xr3:uid="{1868FE6C-5480-481A-868B-531D614CA8C6}" name="Column13276"/>
    <tableColumn id="13291" xr3:uid="{DB264AC2-3772-4976-AD94-FF4932FAF799}" name="Column13277"/>
    <tableColumn id="13292" xr3:uid="{54AAEC9B-6E42-4D38-B6A5-027CD118B4E6}" name="Column13278"/>
    <tableColumn id="13293" xr3:uid="{3785C56E-3D78-4E67-9DBE-BACFE11A3E9A}" name="Column13279"/>
    <tableColumn id="13294" xr3:uid="{FB57752C-50B0-49EF-8592-CE37053C1EFE}" name="Column13280"/>
    <tableColumn id="13295" xr3:uid="{F749E15F-6716-457A-A3EB-D33C47420525}" name="Column13281"/>
    <tableColumn id="13296" xr3:uid="{3E5FE1D6-1773-4572-9BA5-27A91A83B8F7}" name="Column13282"/>
    <tableColumn id="13297" xr3:uid="{A8504E78-3CF0-47B2-BBBF-C59674C240EF}" name="Column13283"/>
    <tableColumn id="13298" xr3:uid="{8ADEE978-CBA0-4902-AC21-B9F6910D2FF8}" name="Column13284"/>
    <tableColumn id="13299" xr3:uid="{F81DF2B8-A391-4C2E-9914-87445CC48A47}" name="Column13285"/>
    <tableColumn id="13300" xr3:uid="{09EED23F-958C-4EA4-9720-81847C28F366}" name="Column13286"/>
    <tableColumn id="13301" xr3:uid="{68C0B585-A980-4A56-BF82-87010F3AF0E7}" name="Column13287"/>
    <tableColumn id="13302" xr3:uid="{44ED61AA-53A7-4EE1-ACC1-5CAAB04F312D}" name="Column13288"/>
    <tableColumn id="13303" xr3:uid="{1DA30303-DA86-47C2-BC6A-E1C192E843C4}" name="Column13289"/>
    <tableColumn id="13304" xr3:uid="{0D38880D-48D7-4EFD-A59D-426523912F04}" name="Column13290"/>
    <tableColumn id="13305" xr3:uid="{A32884A4-244D-4D44-9B27-842F986F5D2D}" name="Column13291"/>
    <tableColumn id="13306" xr3:uid="{4384401C-ED37-4C34-917A-3B46F44D4AD7}" name="Column13292"/>
    <tableColumn id="13307" xr3:uid="{9CE89FB5-45FF-440D-930E-B7ACB6A9F532}" name="Column13293"/>
    <tableColumn id="13308" xr3:uid="{6F5C958C-FB8C-4E4F-B9F4-639195E57B48}" name="Column13294"/>
    <tableColumn id="13309" xr3:uid="{4288756C-94C5-422B-8488-3B1B22C772FD}" name="Column13295"/>
    <tableColumn id="13310" xr3:uid="{BC4A9FEF-FE7B-4289-A409-18DF4522DAD6}" name="Column13296"/>
    <tableColumn id="13311" xr3:uid="{C6946060-309E-4591-BE33-B6FBD3071205}" name="Column13297"/>
    <tableColumn id="13312" xr3:uid="{12D55FB3-127D-42E0-9095-6E6F7C75B255}" name="Column13298"/>
    <tableColumn id="13313" xr3:uid="{6B4851AB-73AC-4CCC-89B3-058674BFEE9C}" name="Column13299"/>
    <tableColumn id="13314" xr3:uid="{09E3737A-EBCC-4C3C-8905-A6C67D705DA4}" name="Column13300"/>
    <tableColumn id="13315" xr3:uid="{A83EBFD2-172B-4885-966D-333EE9148A05}" name="Column13301"/>
    <tableColumn id="13316" xr3:uid="{C6519D66-0398-4079-8456-B014B0B405F6}" name="Column13302"/>
    <tableColumn id="13317" xr3:uid="{116A4E59-8A59-41AC-8AA1-9BF769CD04C5}" name="Column13303"/>
    <tableColumn id="13318" xr3:uid="{1C60477D-BEA1-4E5C-B51E-D33587F08F80}" name="Column13304"/>
    <tableColumn id="13319" xr3:uid="{A485BF37-9EFA-47E4-97A3-D31F2E8D505E}" name="Column13305"/>
    <tableColumn id="13320" xr3:uid="{9796B9A0-58A2-4332-B08B-F557A4811577}" name="Column13306"/>
    <tableColumn id="13321" xr3:uid="{EE500203-941E-4691-A1A9-BB0661C11736}" name="Column13307"/>
    <tableColumn id="13322" xr3:uid="{F998D2D1-2103-4056-B4D6-E0F351D60A09}" name="Column13308"/>
    <tableColumn id="13323" xr3:uid="{80626854-3DD1-4662-B1DB-2F281A3A7C76}" name="Column13309"/>
    <tableColumn id="13324" xr3:uid="{8EDAD2E8-42C7-4C51-A272-9FA631CA20BB}" name="Column13310"/>
    <tableColumn id="13325" xr3:uid="{B40C8098-2706-40C5-ACA3-E320FF5D9F9C}" name="Column13311"/>
    <tableColumn id="13326" xr3:uid="{F37F3BAC-BCCE-4C90-8DE3-CCABDE182995}" name="Column13312"/>
    <tableColumn id="13327" xr3:uid="{0FF99FEE-F4E8-4F98-992F-8748D07E9721}" name="Column13313"/>
    <tableColumn id="13328" xr3:uid="{297B3A8C-3225-49D4-ACEF-E81168A560E4}" name="Column13314"/>
    <tableColumn id="13329" xr3:uid="{6BD834D7-E232-4AF7-845A-26833CB41825}" name="Column13315"/>
    <tableColumn id="13330" xr3:uid="{A8C3A801-CFB4-43A5-8C42-D2D1E2C77CCF}" name="Column13316"/>
    <tableColumn id="13331" xr3:uid="{6127D699-8E37-4D0B-B478-C8FC997DD124}" name="Column13317"/>
    <tableColumn id="13332" xr3:uid="{B492700D-2737-4964-9A35-0C4898782715}" name="Column13318"/>
    <tableColumn id="13333" xr3:uid="{DC577213-0EF7-4220-A911-0B5DA068B2F3}" name="Column13319"/>
    <tableColumn id="13334" xr3:uid="{E9F6B422-432E-47F4-B749-A91E0D8822DC}" name="Column13320"/>
    <tableColumn id="13335" xr3:uid="{9C33F83F-3608-400D-B9EF-E8975840A8B8}" name="Column13321"/>
    <tableColumn id="13336" xr3:uid="{74904DFF-9833-4CD5-B99F-6F552612960D}" name="Column13322"/>
    <tableColumn id="13337" xr3:uid="{535C328A-3ED6-435C-ABDB-A20262D65B88}" name="Column13323"/>
    <tableColumn id="13338" xr3:uid="{401FFD58-1116-4318-B08E-1252FCA1412E}" name="Column13324"/>
    <tableColumn id="13339" xr3:uid="{C95BAA43-F40C-4D4A-92FB-151C074310A7}" name="Column13325"/>
    <tableColumn id="13340" xr3:uid="{4B2FD6EF-AD72-4C95-992B-8151E5393B72}" name="Column13326"/>
    <tableColumn id="13341" xr3:uid="{B660FD8F-6282-477E-BC6D-EA0217B884A0}" name="Column13327"/>
    <tableColumn id="13342" xr3:uid="{DF8E609E-4780-416D-AED8-C5A266B2BB8E}" name="Column13328"/>
    <tableColumn id="13343" xr3:uid="{2C210F76-4964-409F-B24A-A423A446BB7E}" name="Column13329"/>
    <tableColumn id="13344" xr3:uid="{3B90BB91-DB86-4D5C-B4B2-1B7973063DBE}" name="Column13330"/>
    <tableColumn id="13345" xr3:uid="{A816A05A-5CFA-4F57-9969-52B1CEF87F4C}" name="Column13331"/>
    <tableColumn id="13346" xr3:uid="{379A8247-9C9A-4630-AC5F-87EABD745F20}" name="Column13332"/>
    <tableColumn id="13347" xr3:uid="{C6871290-CA30-4734-ABA6-7E38B09DBEE1}" name="Column13333"/>
    <tableColumn id="13348" xr3:uid="{E90D7654-6959-4AE3-B817-2F6AA8D59B0E}" name="Column13334"/>
    <tableColumn id="13349" xr3:uid="{AD2C0A3B-34D0-4A4C-9045-067100462F9A}" name="Column13335"/>
    <tableColumn id="13350" xr3:uid="{E9D602F3-E184-4D80-A3B0-C39A7CFFA950}" name="Column13336"/>
    <tableColumn id="13351" xr3:uid="{68FDC8B0-94A3-4B23-9E72-8055CB81FCBA}" name="Column13337"/>
    <tableColumn id="13352" xr3:uid="{3B1824F7-2439-40D3-AF2B-418AB5C6B737}" name="Column13338"/>
    <tableColumn id="13353" xr3:uid="{F4758232-E503-4B2C-B8CC-28C0BCB59EB3}" name="Column13339"/>
    <tableColumn id="13354" xr3:uid="{2DC8D3C6-C4C1-4370-9056-0CE0CB8F0D63}" name="Column13340"/>
    <tableColumn id="13355" xr3:uid="{33C50BFD-A81B-4FA2-BB42-C8D182BB7601}" name="Column13341"/>
    <tableColumn id="13356" xr3:uid="{56E264DD-A107-48B2-9CFC-95683A6E0C34}" name="Column13342"/>
    <tableColumn id="13357" xr3:uid="{0A5D8D74-32B4-4FD1-83A1-EE2D8D06F71A}" name="Column13343"/>
    <tableColumn id="13358" xr3:uid="{E66F9472-2672-4ADD-9E6E-383F712D8EAA}" name="Column13344"/>
    <tableColumn id="13359" xr3:uid="{624BDBA1-7BCA-491A-9B52-D806623EFAB4}" name="Column13345"/>
    <tableColumn id="13360" xr3:uid="{C417F159-1068-4AA8-B9C1-A653B1B0F2A2}" name="Column13346"/>
    <tableColumn id="13361" xr3:uid="{297AC363-23E4-4807-BE6E-6C670A7AE882}" name="Column13347"/>
    <tableColumn id="13362" xr3:uid="{B0C6D76A-BA3F-47C8-A726-7A2C4A1B5B58}" name="Column13348"/>
    <tableColumn id="13363" xr3:uid="{33A25EED-67CD-4374-BE31-0E16189D14C8}" name="Column13349"/>
    <tableColumn id="13364" xr3:uid="{598E63DA-89EE-4B06-B55A-295B8DAF98E0}" name="Column13350"/>
    <tableColumn id="13365" xr3:uid="{564593D0-5CF5-4176-9145-760726F1F7FB}" name="Column13351"/>
    <tableColumn id="13366" xr3:uid="{0807979F-63D0-4BEF-985E-F9B43DA483DE}" name="Column13352"/>
    <tableColumn id="13367" xr3:uid="{983DDB82-5F85-4E1C-A372-6F52EBD298FB}" name="Column13353"/>
    <tableColumn id="13368" xr3:uid="{1ED654D7-802E-4E17-AD47-CED0B177C0F3}" name="Column13354"/>
    <tableColumn id="13369" xr3:uid="{866E4EB9-A838-4783-80A4-098EF0CC6C2F}" name="Column13355"/>
    <tableColumn id="13370" xr3:uid="{27F48A39-3634-4E51-970D-3C2FD1CAC743}" name="Column13356"/>
    <tableColumn id="13371" xr3:uid="{4D2B5991-E8B9-4C0B-B536-FFCF166442C7}" name="Column13357"/>
    <tableColumn id="13372" xr3:uid="{3562DD12-96A6-448F-A70E-EEF092A5E9A3}" name="Column13358"/>
    <tableColumn id="13373" xr3:uid="{3A78B114-288B-439A-9665-8BEB2A6D5F3C}" name="Column13359"/>
    <tableColumn id="13374" xr3:uid="{4CEA51B7-FC2C-456F-B30A-6EA98CAAC04E}" name="Column13360"/>
    <tableColumn id="13375" xr3:uid="{7B43F9A7-68FF-42CF-B0D2-2F07233449BB}" name="Column13361"/>
    <tableColumn id="13376" xr3:uid="{479AE092-F0A1-4434-9B7D-86F69DB4529C}" name="Column13362"/>
    <tableColumn id="13377" xr3:uid="{4075E465-4E36-4E83-9CD6-58FA5E93263B}" name="Column13363"/>
    <tableColumn id="13378" xr3:uid="{11FBD14F-2DBE-4F9B-8F9A-B16613647AD5}" name="Column13364"/>
    <tableColumn id="13379" xr3:uid="{2364D4B3-8EEE-44F9-AA1E-D8CED9E0376A}" name="Column13365"/>
    <tableColumn id="13380" xr3:uid="{D0099D43-2BED-4137-AE3F-402D48F2C565}" name="Column13366"/>
    <tableColumn id="13381" xr3:uid="{B73D843E-B597-4D42-86CC-2299B19CE9BF}" name="Column13367"/>
    <tableColumn id="13382" xr3:uid="{E25CBDE3-5C07-4A28-82AA-2271971D7467}" name="Column13368"/>
    <tableColumn id="13383" xr3:uid="{8DE6F507-FB1F-46B2-9FAA-2989B80711CD}" name="Column13369"/>
    <tableColumn id="13384" xr3:uid="{830750A0-43E8-4F61-B514-7B6011AA1BF8}" name="Column13370"/>
    <tableColumn id="13385" xr3:uid="{6953F86B-2936-4F4E-9D1F-B185EFC436DB}" name="Column13371"/>
    <tableColumn id="13386" xr3:uid="{52750D1E-21A6-4AF0-A93C-67B80F463F58}" name="Column13372"/>
    <tableColumn id="13387" xr3:uid="{5E85A4BA-366F-4042-89AE-B5A6414F32E9}" name="Column13373"/>
    <tableColumn id="13388" xr3:uid="{B1E03601-EC37-43D4-A690-A700A8410A67}" name="Column13374"/>
    <tableColumn id="13389" xr3:uid="{6C5C14D0-1A43-4A35-9E13-F4338F4E36F4}" name="Column13375"/>
    <tableColumn id="13390" xr3:uid="{34B3C541-D60A-4B93-85F3-5D07E868EC5B}" name="Column13376"/>
    <tableColumn id="13391" xr3:uid="{034327A6-39C6-4917-9050-B35B4FB3FE5B}" name="Column13377"/>
    <tableColumn id="13392" xr3:uid="{0134B832-9778-4FE5-8C6F-6C54353C7C27}" name="Column13378"/>
    <tableColumn id="13393" xr3:uid="{090086F8-3424-4144-A3B2-59BF95077102}" name="Column13379"/>
    <tableColumn id="13394" xr3:uid="{023B33B0-6ADD-4BA4-92FA-69CA05DAF06E}" name="Column13380"/>
    <tableColumn id="13395" xr3:uid="{DAF551FD-122B-4818-90F8-C0B4D357A924}" name="Column13381"/>
    <tableColumn id="13396" xr3:uid="{3CD9DF42-03CD-496A-ABEC-AB93D3344D64}" name="Column13382"/>
    <tableColumn id="13397" xr3:uid="{41F895E6-6E39-45B7-A17C-82F894623225}" name="Column13383"/>
    <tableColumn id="13398" xr3:uid="{1058C416-A58F-431F-AD82-F0D4699554F5}" name="Column13384"/>
    <tableColumn id="13399" xr3:uid="{92BEFCE6-5BBF-475A-BF6E-C63E2596B77B}" name="Column13385"/>
    <tableColumn id="13400" xr3:uid="{E0C272C9-1A34-4625-8709-C4013B3601D7}" name="Column13386"/>
    <tableColumn id="13401" xr3:uid="{A327CB15-DECA-41C6-9798-8BFB44D3AD42}" name="Column13387"/>
    <tableColumn id="13402" xr3:uid="{C4CD5B92-4CE8-48FC-AA8D-8F964D71AF50}" name="Column13388"/>
    <tableColumn id="13403" xr3:uid="{7D9C6B86-FB7F-4CA4-AF2D-617D24806ED7}" name="Column13389"/>
    <tableColumn id="13404" xr3:uid="{0F259952-75C9-48D6-8358-36940EB47E0D}" name="Column13390"/>
    <tableColumn id="13405" xr3:uid="{6876D480-D6C2-45F9-A0CD-27E2A111B3E8}" name="Column13391"/>
    <tableColumn id="13406" xr3:uid="{B4CFA493-3B3A-4B12-B890-B3D979EBC6B8}" name="Column13392"/>
    <tableColumn id="13407" xr3:uid="{FDFC3CAC-2A9C-40DB-918C-07FA5CCD0806}" name="Column13393"/>
    <tableColumn id="13408" xr3:uid="{020163EF-EBE0-457A-A5B1-CBA2EB723DDB}" name="Column13394"/>
    <tableColumn id="13409" xr3:uid="{E0467FF3-EC31-4BB5-9BD4-1D0F946697A7}" name="Column13395"/>
    <tableColumn id="13410" xr3:uid="{00FE51D5-3CFC-4377-B676-91D937BB5A76}" name="Column13396"/>
    <tableColumn id="13411" xr3:uid="{E427C93F-36D9-4817-B6CE-0B3BB47EC222}" name="Column13397"/>
    <tableColumn id="13412" xr3:uid="{CEC087A6-C7D5-44F9-86BD-C8EDA07F8DBE}" name="Column13398"/>
    <tableColumn id="13413" xr3:uid="{27D2011D-5B06-4F61-B419-A257D76DB012}" name="Column13399"/>
    <tableColumn id="13414" xr3:uid="{4D3A427F-468B-45AA-9AB0-253E7E82977E}" name="Column13400"/>
    <tableColumn id="13415" xr3:uid="{6FBF883C-409A-43E6-A523-A7618F62F8E6}" name="Column13401"/>
    <tableColumn id="13416" xr3:uid="{4C88028C-6B43-45B4-876A-820A047E96DF}" name="Column13402"/>
    <tableColumn id="13417" xr3:uid="{88DB19CA-055C-4C7B-AF12-F33A21FD7E41}" name="Column13403"/>
    <tableColumn id="13418" xr3:uid="{113F021D-9B81-47A6-9A55-CEBB8836939A}" name="Column13404"/>
    <tableColumn id="13419" xr3:uid="{65161E77-30C7-4E07-8E1C-46071C25D982}" name="Column13405"/>
    <tableColumn id="13420" xr3:uid="{0DD9145E-B8E4-4126-B0D3-783336DB6752}" name="Column13406"/>
    <tableColumn id="13421" xr3:uid="{699A02B7-044B-4543-85A0-E320FC6FD6B5}" name="Column13407"/>
    <tableColumn id="13422" xr3:uid="{DC39E073-F7B3-408A-AC67-D91CF62D4853}" name="Column13408"/>
    <tableColumn id="13423" xr3:uid="{F1B50435-7025-462C-94BD-0D5CA0944EF3}" name="Column13409"/>
    <tableColumn id="13424" xr3:uid="{4666D4A6-27DB-4EF6-B67A-38F646B01C50}" name="Column13410"/>
    <tableColumn id="13425" xr3:uid="{B7A5F0DD-748E-4CD8-B6E8-31E1ABE7EE10}" name="Column13411"/>
    <tableColumn id="13426" xr3:uid="{F9072D82-A8E2-4581-A03C-1FE68B04047C}" name="Column13412"/>
    <tableColumn id="13427" xr3:uid="{8E1275AE-EFDA-4798-8777-E7E6165B4B9B}" name="Column13413"/>
    <tableColumn id="13428" xr3:uid="{A66010E9-7368-4E0E-B727-8EEFA7916C6F}" name="Column13414"/>
    <tableColumn id="13429" xr3:uid="{55B0C547-7D55-4626-A809-E84C26926008}" name="Column13415"/>
    <tableColumn id="13430" xr3:uid="{A9E7C681-A594-4E9A-834E-06ACF8A1A0A6}" name="Column13416"/>
    <tableColumn id="13431" xr3:uid="{4A51FAB8-4711-4D92-A685-0C6C21EBC155}" name="Column13417"/>
    <tableColumn id="13432" xr3:uid="{7B5E2A2A-22A6-44FF-89E3-E26160939429}" name="Column13418"/>
    <tableColumn id="13433" xr3:uid="{E4970673-2838-4A50-89F8-77D0BE5159AF}" name="Column13419"/>
    <tableColumn id="13434" xr3:uid="{37A17FB9-F950-45D1-B13D-3E0D8A3C7460}" name="Column13420"/>
    <tableColumn id="13435" xr3:uid="{A870FF8E-25BB-4655-9C82-162D69CE9B0A}" name="Column13421"/>
    <tableColumn id="13436" xr3:uid="{A917BC44-EF81-4B38-A427-A4EC6634A247}" name="Column13422"/>
    <tableColumn id="13437" xr3:uid="{CA0FA7B6-FA3F-4E39-BF28-3851BF24512F}" name="Column13423"/>
    <tableColumn id="13438" xr3:uid="{B0EC7A54-DC38-4F6D-9E2E-57C67C990551}" name="Column13424"/>
    <tableColumn id="13439" xr3:uid="{B73C87C2-6C9A-4DD1-AD2D-9D75AD12ED0A}" name="Column13425"/>
    <tableColumn id="13440" xr3:uid="{38488166-C572-4438-B042-EE39F9D773FE}" name="Column13426"/>
    <tableColumn id="13441" xr3:uid="{D5D0589B-BC2D-42CF-A055-BFF8160CB612}" name="Column13427"/>
    <tableColumn id="13442" xr3:uid="{A04C9D2C-193E-4654-8E06-4A2BE1DEBD7C}" name="Column13428"/>
    <tableColumn id="13443" xr3:uid="{82232F72-EE27-4CA9-A2A8-A6C9744E3884}" name="Column13429"/>
    <tableColumn id="13444" xr3:uid="{15696A88-30DD-42C2-8E9C-B52B4CB6E62C}" name="Column13430"/>
    <tableColumn id="13445" xr3:uid="{BB72EE68-F81A-45E4-AB69-C78A9F40B838}" name="Column13431"/>
    <tableColumn id="13446" xr3:uid="{01DAC395-902C-453E-8CCC-ACA67409984F}" name="Column13432"/>
    <tableColumn id="13447" xr3:uid="{BD7C9D74-C329-40F1-8F25-AEC0F0CACF26}" name="Column13433"/>
    <tableColumn id="13448" xr3:uid="{C69A9B57-DD21-445E-A219-80FB61E7705A}" name="Column13434"/>
    <tableColumn id="13449" xr3:uid="{EB592B72-28B8-4825-A612-155A150C5642}" name="Column13435"/>
    <tableColumn id="13450" xr3:uid="{405F4080-C8FB-4496-8B93-3CAD33C446BA}" name="Column13436"/>
    <tableColumn id="13451" xr3:uid="{35AFB0BC-55C3-4AC1-9E85-55A63E21F248}" name="Column13437"/>
    <tableColumn id="13452" xr3:uid="{511442CC-36BC-490E-9212-506E525F0C80}" name="Column13438"/>
    <tableColumn id="13453" xr3:uid="{377376BE-1144-4FE1-80F8-F8C626CFB80A}" name="Column13439"/>
    <tableColumn id="13454" xr3:uid="{AC6F52BD-770B-4403-883D-B576A1B2C427}" name="Column13440"/>
    <tableColumn id="13455" xr3:uid="{50C68023-555F-4AF0-83EF-FD9C600B6A16}" name="Column13441"/>
    <tableColumn id="13456" xr3:uid="{77A5A211-0BFD-4012-8481-5C58636FAC24}" name="Column13442"/>
    <tableColumn id="13457" xr3:uid="{E49C95E4-762C-4F41-9BE5-E66F4FC4EF39}" name="Column13443"/>
    <tableColumn id="13458" xr3:uid="{22676919-F033-42E2-93CB-30F3CE026258}" name="Column13444"/>
    <tableColumn id="13459" xr3:uid="{36538543-03FF-4BB7-B2E4-09E98D0BBED4}" name="Column13445"/>
    <tableColumn id="13460" xr3:uid="{A25675F4-F62F-4EEC-804C-711BF35AD841}" name="Column13446"/>
    <tableColumn id="13461" xr3:uid="{9E6B3ABF-2A9C-4CAA-88AF-76C6E5C3A23B}" name="Column13447"/>
    <tableColumn id="13462" xr3:uid="{2B106AD9-235B-4458-A19D-FF4EBEC7EDCD}" name="Column13448"/>
    <tableColumn id="13463" xr3:uid="{C0832287-A740-4171-B5A0-A6651D55DC2B}" name="Column13449"/>
    <tableColumn id="13464" xr3:uid="{0ABB4DEA-4245-4A2D-A216-401D6EAFA9A1}" name="Column13450"/>
    <tableColumn id="13465" xr3:uid="{3D169C44-6E88-4481-A0E4-CAEA30CD2B11}" name="Column13451"/>
    <tableColumn id="13466" xr3:uid="{B78725AA-A967-4C05-A4A2-109FE004713C}" name="Column13452"/>
    <tableColumn id="13467" xr3:uid="{5D1CDD77-72F1-40AE-B24C-D48EEF7F8089}" name="Column13453"/>
    <tableColumn id="13468" xr3:uid="{96FAA461-6E69-4F6E-887E-E2D4195B829B}" name="Column13454"/>
    <tableColumn id="13469" xr3:uid="{6555B93C-168C-4FFA-AC52-A76651F438A0}" name="Column13455"/>
    <tableColumn id="13470" xr3:uid="{C5DE9A39-7927-4AFB-8B3C-50E5B82076BB}" name="Column13456"/>
    <tableColumn id="13471" xr3:uid="{56C784C6-34DE-45E8-A4FB-03E513966FBE}" name="Column13457"/>
    <tableColumn id="13472" xr3:uid="{46B8BAEC-BFE4-47CA-A6D6-C3DF5D991FCF}" name="Column13458"/>
    <tableColumn id="13473" xr3:uid="{7BC5DF1B-F5E4-4DFB-BD6E-887E928BB784}" name="Column13459"/>
    <tableColumn id="13474" xr3:uid="{376C0784-4055-4C63-8ADE-006A07C0C495}" name="Column13460"/>
    <tableColumn id="13475" xr3:uid="{337D8355-7942-451A-952A-69D204610572}" name="Column13461"/>
    <tableColumn id="13476" xr3:uid="{B0C1CFA0-AA91-4A3F-B949-8ECF091869C1}" name="Column13462"/>
    <tableColumn id="13477" xr3:uid="{FDF8E67B-A77A-4056-A499-7CFC1151FE22}" name="Column13463"/>
    <tableColumn id="13478" xr3:uid="{A2045B0A-67CC-4C08-99F0-FB8500ECE463}" name="Column13464"/>
    <tableColumn id="13479" xr3:uid="{4E9702D2-4860-4724-BF03-35A57134D0EA}" name="Column13465"/>
    <tableColumn id="13480" xr3:uid="{20EBEED1-B3A7-415A-B13A-4F0012D7E49E}" name="Column13466"/>
    <tableColumn id="13481" xr3:uid="{BE118256-18AF-4CD0-8C58-CD25C55EFC5C}" name="Column13467"/>
    <tableColumn id="13482" xr3:uid="{17140233-D385-4859-80E1-92102B3E1E02}" name="Column13468"/>
    <tableColumn id="13483" xr3:uid="{D56FD991-ACD0-427E-A2AA-04CA7840C289}" name="Column13469"/>
    <tableColumn id="13484" xr3:uid="{F401A5CA-9012-4A66-8778-6343D0D78E75}" name="Column13470"/>
    <tableColumn id="13485" xr3:uid="{876B3A55-AF6C-41CB-9AD3-CA6FB2EA2A42}" name="Column13471"/>
    <tableColumn id="13486" xr3:uid="{20017A19-619D-4B4E-836A-574D80453EB0}" name="Column13472"/>
    <tableColumn id="13487" xr3:uid="{3F5A0911-861E-4A65-B8D1-454836A1EBC6}" name="Column13473"/>
    <tableColumn id="13488" xr3:uid="{A2C22A7A-94CE-4F0E-8799-732CBD47884F}" name="Column13474"/>
    <tableColumn id="13489" xr3:uid="{5635EF8F-324D-4A67-98ED-6071AE0481BF}" name="Column13475"/>
    <tableColumn id="13490" xr3:uid="{F9F2B9F1-5A3C-426C-ADD5-409E46E736F5}" name="Column13476"/>
    <tableColumn id="13491" xr3:uid="{22980141-A66D-4622-9A8E-BF79975348C7}" name="Column13477"/>
    <tableColumn id="13492" xr3:uid="{91757FF4-0477-44A7-B86F-E6BA25F2C23A}" name="Column13478"/>
    <tableColumn id="13493" xr3:uid="{D32D361E-0862-411E-971C-34E202FAFC5A}" name="Column13479"/>
    <tableColumn id="13494" xr3:uid="{F3E95ADA-572B-46E8-B930-699D8DF48575}" name="Column13480"/>
    <tableColumn id="13495" xr3:uid="{18067186-DE0E-4456-A5B8-957715FCDD16}" name="Column13481"/>
    <tableColumn id="13496" xr3:uid="{6956C457-6CC6-413B-A22F-69C0137CF0FF}" name="Column13482"/>
    <tableColumn id="13497" xr3:uid="{4A0AB298-11E5-4FCE-AC7C-D6A3578C3497}" name="Column13483"/>
    <tableColumn id="13498" xr3:uid="{2124853F-5CDB-4D39-88A0-8A814CC66535}" name="Column13484"/>
    <tableColumn id="13499" xr3:uid="{2074689E-427E-42E1-91AE-8659094FCD3B}" name="Column13485"/>
    <tableColumn id="13500" xr3:uid="{6086A64C-E8AF-4A13-8BF6-5BB997F317D6}" name="Column13486"/>
    <tableColumn id="13501" xr3:uid="{89D73F40-4630-4442-841A-17775B703357}" name="Column13487"/>
    <tableColumn id="13502" xr3:uid="{5E325D86-B033-4E55-82FC-B2DBD6B4637E}" name="Column13488"/>
    <tableColumn id="13503" xr3:uid="{1EE95CC8-362C-4907-9E3A-31882831EDFD}" name="Column13489"/>
    <tableColumn id="13504" xr3:uid="{B7C0C7D7-6C51-4F5D-903F-DF3711441FC8}" name="Column13490"/>
    <tableColumn id="13505" xr3:uid="{8ED92329-51E2-47C4-9926-4017B69F5B69}" name="Column13491"/>
    <tableColumn id="13506" xr3:uid="{6706C5A8-90E4-4E6B-873B-E90E04145FE0}" name="Column13492"/>
    <tableColumn id="13507" xr3:uid="{54A60059-435B-43E9-B3CB-5B8B9427B4CA}" name="Column13493"/>
    <tableColumn id="13508" xr3:uid="{1AE352AE-AE5A-4ED6-83AC-DEEA4CC8406D}" name="Column13494"/>
    <tableColumn id="13509" xr3:uid="{FCDE1491-1487-4304-9A40-F316FCD19AF0}" name="Column13495"/>
    <tableColumn id="13510" xr3:uid="{E1B60C9B-3057-4939-AABA-2DF771642935}" name="Column13496"/>
    <tableColumn id="13511" xr3:uid="{95C63121-6AF4-4368-82A0-F48319FE5663}" name="Column13497"/>
    <tableColumn id="13512" xr3:uid="{E00AD10E-FF10-4F81-83B3-7437CBD32B1E}" name="Column13498"/>
    <tableColumn id="13513" xr3:uid="{6B06B2B1-92F0-4B0A-933B-177E5F58023B}" name="Column13499"/>
    <tableColumn id="13514" xr3:uid="{5006C4F6-4CC3-4881-BECB-0F27D4D555CC}" name="Column13500"/>
    <tableColumn id="13515" xr3:uid="{F49643C0-7CB4-4D1F-B02B-A6B87F1458EA}" name="Column13501"/>
    <tableColumn id="13516" xr3:uid="{B24B8EE2-956C-4490-A18D-B181FA7C6C7E}" name="Column13502"/>
    <tableColumn id="13517" xr3:uid="{6480DC5B-655D-4C7B-A7D5-31BF4608A4D5}" name="Column13503"/>
    <tableColumn id="13518" xr3:uid="{ECA96C71-1409-42F7-A773-2B192ADE1747}" name="Column13504"/>
    <tableColumn id="13519" xr3:uid="{CF759D77-7448-4D69-A45A-4699D087BC6D}" name="Column13505"/>
    <tableColumn id="13520" xr3:uid="{95839C32-DCD3-4732-95CF-B1B239FE340E}" name="Column13506"/>
    <tableColumn id="13521" xr3:uid="{51F51CF0-1A3F-4A81-8F2F-0A37745989A7}" name="Column13507"/>
    <tableColumn id="13522" xr3:uid="{CF8E2C17-25A9-4BE6-AF8E-82787B21F456}" name="Column13508"/>
    <tableColumn id="13523" xr3:uid="{AA561A5A-B6D5-49DA-9109-3F37694BC4A3}" name="Column13509"/>
    <tableColumn id="13524" xr3:uid="{FCEBD73F-49EA-4F20-BE92-7EABB14A6F9A}" name="Column13510"/>
    <tableColumn id="13525" xr3:uid="{7423B722-A19F-4CCD-973E-EB408B657592}" name="Column13511"/>
    <tableColumn id="13526" xr3:uid="{CC9125B0-6127-4524-9BE3-12F92ED0C04E}" name="Column13512"/>
    <tableColumn id="13527" xr3:uid="{8299E05C-9328-4841-A461-C2685B1195BB}" name="Column13513"/>
    <tableColumn id="13528" xr3:uid="{B4A53A33-4E7A-4D35-A717-7F392970C473}" name="Column13514"/>
    <tableColumn id="13529" xr3:uid="{2B0BCA54-85BD-4FB5-BDB4-8112CF707039}" name="Column13515"/>
    <tableColumn id="13530" xr3:uid="{6943BB29-8E6B-478C-BE49-5231C57C8698}" name="Column13516"/>
    <tableColumn id="13531" xr3:uid="{BF6F71BF-E810-4ED1-9916-3A114A99FBE0}" name="Column13517"/>
    <tableColumn id="13532" xr3:uid="{AD66B35E-F3A4-484D-96E1-ED884B79F4A2}" name="Column13518"/>
    <tableColumn id="13533" xr3:uid="{DBA84393-2238-4576-9AD9-39B4BA86241D}" name="Column13519"/>
    <tableColumn id="13534" xr3:uid="{29EA4D9F-EE61-4641-9A01-9B36B8ECFBCB}" name="Column13520"/>
    <tableColumn id="13535" xr3:uid="{EAEA694C-4E83-4564-8BD7-2DA5F4F9D3CF}" name="Column13521"/>
    <tableColumn id="13536" xr3:uid="{FAB8105E-9FF4-46E7-B08C-D7CB3CB26B2B}" name="Column13522"/>
    <tableColumn id="13537" xr3:uid="{CEFB0B3C-41EA-4DFB-A07C-5BF50741F978}" name="Column13523"/>
    <tableColumn id="13538" xr3:uid="{CD17F67C-39D9-4073-86AC-54BB35B90AC4}" name="Column13524"/>
    <tableColumn id="13539" xr3:uid="{21CD6AEF-B589-4D21-8F9A-872401473938}" name="Column13525"/>
    <tableColumn id="13540" xr3:uid="{E9470FB2-9E38-4B62-A034-D38A13BA9F06}" name="Column13526"/>
    <tableColumn id="13541" xr3:uid="{3B559C1A-16AC-4F5C-8372-326CEC7C6EEC}" name="Column13527"/>
    <tableColumn id="13542" xr3:uid="{7A9B8FD0-DFD1-4FDF-8768-055F614FCE61}" name="Column13528"/>
    <tableColumn id="13543" xr3:uid="{AE7F2B34-105F-4B3C-B84C-129A2560A91C}" name="Column13529"/>
    <tableColumn id="13544" xr3:uid="{D4E8DADE-100F-433E-8415-A01A83488A11}" name="Column13530"/>
    <tableColumn id="13545" xr3:uid="{446413C8-0A67-4356-B7A1-CD136203299D}" name="Column13531"/>
    <tableColumn id="13546" xr3:uid="{4389CDBC-A7EF-4F17-A5A7-D1D012F70717}" name="Column13532"/>
    <tableColumn id="13547" xr3:uid="{A05F608E-CC16-42A5-8769-0B80529D228D}" name="Column13533"/>
    <tableColumn id="13548" xr3:uid="{4481E2BA-B4AA-4404-BB94-80367B280881}" name="Column13534"/>
    <tableColumn id="13549" xr3:uid="{41033F02-AA5D-4E33-8FC5-9E9D8D2CC96F}" name="Column13535"/>
    <tableColumn id="13550" xr3:uid="{4E6EDECC-5245-4503-94F4-DE1C0713E039}" name="Column13536"/>
    <tableColumn id="13551" xr3:uid="{0297F3F9-1AC5-4CD7-A8C4-E3ACF7F2151A}" name="Column13537"/>
    <tableColumn id="13552" xr3:uid="{F966877D-CCE4-45E5-8BC8-E7903B6066C6}" name="Column13538"/>
    <tableColumn id="13553" xr3:uid="{522155F9-1D5A-409C-A023-E794DC93F2EE}" name="Column13539"/>
    <tableColumn id="13554" xr3:uid="{5275A268-2ADD-40EB-8DC8-BF6C284484F3}" name="Column13540"/>
    <tableColumn id="13555" xr3:uid="{8F80A112-E2F4-4219-98E5-913DD6A7B7E3}" name="Column13541"/>
    <tableColumn id="13556" xr3:uid="{614647E0-9405-4058-82F0-7FBE78EF0AEC}" name="Column13542"/>
    <tableColumn id="13557" xr3:uid="{37535158-085C-43C5-A5D2-D24FAD41CA27}" name="Column13543"/>
    <tableColumn id="13558" xr3:uid="{180BE701-7FDB-438A-B3FB-580D5458711D}" name="Column13544"/>
    <tableColumn id="13559" xr3:uid="{5CB1958B-FD2E-458E-AD43-6E46540B45B9}" name="Column13545"/>
    <tableColumn id="13560" xr3:uid="{FDCCF274-9AC9-4697-A1D5-1EE97FF633AC}" name="Column13546"/>
    <tableColumn id="13561" xr3:uid="{75EA6EF9-EDFF-4DD7-8D3E-9A5EA30E0D34}" name="Column13547"/>
    <tableColumn id="13562" xr3:uid="{2CB36337-5B9F-4B41-8EA7-DD4A29BE7661}" name="Column13548"/>
    <tableColumn id="13563" xr3:uid="{89866053-8DE3-43C0-9A52-A695C43755B7}" name="Column13549"/>
    <tableColumn id="13564" xr3:uid="{D0F63BA9-E570-47CA-8869-C93F8AE38B4B}" name="Column13550"/>
    <tableColumn id="13565" xr3:uid="{8BBCBA11-0C0A-4581-963A-844876FCC888}" name="Column13551"/>
    <tableColumn id="13566" xr3:uid="{9748E437-838D-4864-836F-48BDC1453521}" name="Column13552"/>
    <tableColumn id="13567" xr3:uid="{F8DA66F0-15BA-4718-844C-83CD8B53086F}" name="Column13553"/>
    <tableColumn id="13568" xr3:uid="{34D27A69-B8A9-407A-B3DB-DD8B574812AF}" name="Column13554"/>
    <tableColumn id="13569" xr3:uid="{447CAED7-9D36-41EA-8454-D9699DDAB1F4}" name="Column13555"/>
    <tableColumn id="13570" xr3:uid="{E85F1E97-F428-438C-85DC-59D3F0EE922A}" name="Column13556"/>
    <tableColumn id="13571" xr3:uid="{973D9F5E-BCBA-4704-94C4-0509D1122321}" name="Column13557"/>
    <tableColumn id="13572" xr3:uid="{4AA4D440-2B7F-4E73-BAAC-F372408F7398}" name="Column13558"/>
    <tableColumn id="13573" xr3:uid="{AB3AEFFE-1168-4CB2-8E61-57D233189444}" name="Column13559"/>
    <tableColumn id="13574" xr3:uid="{85665E89-F0EF-4BD1-B0D3-394ECBFD36EA}" name="Column13560"/>
    <tableColumn id="13575" xr3:uid="{3EC40C35-A5B8-48E2-889F-9C4B14E7F9EA}" name="Column13561"/>
    <tableColumn id="13576" xr3:uid="{58B5F0BF-6660-40D7-B0ED-188E1427EF17}" name="Column13562"/>
    <tableColumn id="13577" xr3:uid="{16DD9B88-EED9-49FB-8AE3-CC30690C0DA1}" name="Column13563"/>
    <tableColumn id="13578" xr3:uid="{24C7160D-1D35-4016-9546-8DBAEF498025}" name="Column13564"/>
    <tableColumn id="13579" xr3:uid="{0CAAA453-66BF-4E8F-BD5A-E3EA6269256A}" name="Column13565"/>
    <tableColumn id="13580" xr3:uid="{B9671EFC-FF27-4273-9914-0851E8ED7412}" name="Column13566"/>
    <tableColumn id="13581" xr3:uid="{0B440468-9957-4967-9DBA-7BE8C7096174}" name="Column13567"/>
    <tableColumn id="13582" xr3:uid="{1F6652D2-7FAE-4B5C-84F1-AF0606B74ED3}" name="Column13568"/>
    <tableColumn id="13583" xr3:uid="{85FC8FF2-414F-4FB1-973D-79207D0C25EF}" name="Column13569"/>
    <tableColumn id="13584" xr3:uid="{197F8A6E-50DF-4F9A-BA47-F491A88390A3}" name="Column13570"/>
    <tableColumn id="13585" xr3:uid="{DF35EE71-5121-4E8F-B7A6-B25B512E5A0A}" name="Column13571"/>
    <tableColumn id="13586" xr3:uid="{9AF2D4CE-0925-4E3A-98E9-F3E5C27134D1}" name="Column13572"/>
    <tableColumn id="13587" xr3:uid="{1C6910B5-DD77-4156-9DC7-F03D215C578E}" name="Column13573"/>
    <tableColumn id="13588" xr3:uid="{3DAF3A37-570D-4D78-993F-22C8A5146054}" name="Column13574"/>
    <tableColumn id="13589" xr3:uid="{0F74DF97-077F-4A6B-B437-006D21545D04}" name="Column13575"/>
    <tableColumn id="13590" xr3:uid="{28C5F7D3-27B9-40E0-8D6A-5AA4F14C6C2C}" name="Column13576"/>
    <tableColumn id="13591" xr3:uid="{5AFAC054-C169-4870-8E5E-395C4DC49BC5}" name="Column13577"/>
    <tableColumn id="13592" xr3:uid="{A9F22FA7-CF76-42E9-A20D-C89CE8467A5C}" name="Column13578"/>
    <tableColumn id="13593" xr3:uid="{086B4AA4-AB63-4B32-A14F-A06922687633}" name="Column13579"/>
    <tableColumn id="13594" xr3:uid="{F0027D6C-63D2-4289-A7EF-9ACC72D184A7}" name="Column13580"/>
    <tableColumn id="13595" xr3:uid="{59C1BA30-F03D-4AA8-8078-0AB777909A3F}" name="Column13581"/>
    <tableColumn id="13596" xr3:uid="{90051152-1263-4022-A717-7DC9251983E8}" name="Column13582"/>
    <tableColumn id="13597" xr3:uid="{BE5508AB-8050-4104-A924-8C9D5254DE14}" name="Column13583"/>
    <tableColumn id="13598" xr3:uid="{4AEDAE8B-0235-463E-907B-96BB98673844}" name="Column13584"/>
    <tableColumn id="13599" xr3:uid="{F7E5EF68-1A23-49CF-9243-6BFC863DD2F9}" name="Column13585"/>
    <tableColumn id="13600" xr3:uid="{8E320772-8D3D-462E-99F2-C16344000C89}" name="Column13586"/>
    <tableColumn id="13601" xr3:uid="{A0EEEF43-B242-4AE2-87A1-33881CDC560F}" name="Column13587"/>
    <tableColumn id="13602" xr3:uid="{072EA4C3-10B6-4720-8047-C0709C41A3BE}" name="Column13588"/>
    <tableColumn id="13603" xr3:uid="{277C4D93-2565-45A1-9444-162831DCFE38}" name="Column13589"/>
    <tableColumn id="13604" xr3:uid="{6F74650F-3919-448E-8191-3BB201C0469D}" name="Column13590"/>
    <tableColumn id="13605" xr3:uid="{8FBB1546-76D2-4FB5-9F12-A6FD2DBAF7C8}" name="Column13591"/>
    <tableColumn id="13606" xr3:uid="{E296A952-8BF3-4FFB-AF7C-E6F5B466122F}" name="Column13592"/>
    <tableColumn id="13607" xr3:uid="{24F41841-CFA1-457E-AFA5-101536DA33C4}" name="Column13593"/>
    <tableColumn id="13608" xr3:uid="{D71ADCE8-CDE6-439B-B8FE-6CE0C0AB4270}" name="Column13594"/>
    <tableColumn id="13609" xr3:uid="{9D0BED1D-31AC-498C-B802-7640A4EACF73}" name="Column13595"/>
    <tableColumn id="13610" xr3:uid="{F4447617-03FA-40BA-BC5E-8E7C1C05CB70}" name="Column13596"/>
    <tableColumn id="13611" xr3:uid="{CBCD566D-DB46-4E6E-865C-88A68FC7F105}" name="Column13597"/>
    <tableColumn id="13612" xr3:uid="{EEC0FDBF-6EF8-457D-AB05-8E7FF6021B63}" name="Column13598"/>
    <tableColumn id="13613" xr3:uid="{6F9C7F6F-8DBB-4FCF-8F28-528A0E1BE014}" name="Column13599"/>
    <tableColumn id="13614" xr3:uid="{4831032C-F7AA-45C9-8B30-E697C771181A}" name="Column13600"/>
    <tableColumn id="13615" xr3:uid="{F7FA0885-DB2F-4B07-90EB-F7BBDE8027E4}" name="Column13601"/>
    <tableColumn id="13616" xr3:uid="{B6CD0DD5-8442-4CAF-B3BE-245496468D98}" name="Column13602"/>
    <tableColumn id="13617" xr3:uid="{77FF671A-4B38-43AB-81C7-E7F753F8C290}" name="Column13603"/>
    <tableColumn id="13618" xr3:uid="{BBA41AA1-33F9-4589-BB0E-D4659A282814}" name="Column13604"/>
    <tableColumn id="13619" xr3:uid="{B650D63D-730C-4CFB-B21A-AB8D3128B203}" name="Column13605"/>
    <tableColumn id="13620" xr3:uid="{311087AE-DC25-4F4F-9A6C-1337E763E774}" name="Column13606"/>
    <tableColumn id="13621" xr3:uid="{4611DD65-084D-40B8-99F0-A668FC86F2CF}" name="Column13607"/>
    <tableColumn id="13622" xr3:uid="{7B94717E-9F1D-4ABA-A904-196E88E1CD20}" name="Column13608"/>
    <tableColumn id="13623" xr3:uid="{C3CD37B1-3300-494C-BB4B-0216BEE3EF6C}" name="Column13609"/>
    <tableColumn id="13624" xr3:uid="{6492E65D-8D26-4CAB-B459-4B4386ECE01E}" name="Column13610"/>
    <tableColumn id="13625" xr3:uid="{F2878541-12DE-47C9-B91A-6224633EABF2}" name="Column13611"/>
    <tableColumn id="13626" xr3:uid="{E9BDB89D-1B38-4968-A24D-05A371E07ABD}" name="Column13612"/>
    <tableColumn id="13627" xr3:uid="{5C403975-AE9B-4092-9B3E-7A1DABE496B6}" name="Column13613"/>
    <tableColumn id="13628" xr3:uid="{3A231534-BF91-45E4-AD47-C08F7C7CDD93}" name="Column13614"/>
    <tableColumn id="13629" xr3:uid="{E110D6CD-A3C0-482D-9E37-CF0FC1118F85}" name="Column13615"/>
    <tableColumn id="13630" xr3:uid="{AA23A954-F048-429E-AC0C-714383F7576D}" name="Column13616"/>
    <tableColumn id="13631" xr3:uid="{DF7433EE-7222-4748-A490-9579A007BD7F}" name="Column13617"/>
    <tableColumn id="13632" xr3:uid="{1FF2F360-2FCD-4957-A94B-FFBF37D49BE0}" name="Column13618"/>
    <tableColumn id="13633" xr3:uid="{DABD3A82-C965-425F-90AF-5C6080B2CDFD}" name="Column13619"/>
    <tableColumn id="13634" xr3:uid="{3B933167-BA55-4FE8-980C-06580A210E24}" name="Column13620"/>
    <tableColumn id="13635" xr3:uid="{ECDCB4BF-591E-4BA3-B0A7-AEA57A486791}" name="Column13621"/>
    <tableColumn id="13636" xr3:uid="{D633E96C-5C67-4008-A7C1-5F7E35750FD3}" name="Column13622"/>
    <tableColumn id="13637" xr3:uid="{B169BCCA-8842-42E5-8899-5127EF87909D}" name="Column13623"/>
    <tableColumn id="13638" xr3:uid="{9D09E0B5-54A5-41B9-8667-F003F13CA5FC}" name="Column13624"/>
    <tableColumn id="13639" xr3:uid="{AFC7A6BB-C045-48A3-96E2-37CA4ADE11D6}" name="Column13625"/>
    <tableColumn id="13640" xr3:uid="{B7F19AC6-C731-401E-ACBA-CBCA23C83C34}" name="Column13626"/>
    <tableColumn id="13641" xr3:uid="{4C50D5D7-5866-40D2-A22C-E4289E61CB68}" name="Column13627"/>
    <tableColumn id="13642" xr3:uid="{E065DA54-E6FF-43E0-9CBF-0AB154AA5684}" name="Column13628"/>
    <tableColumn id="13643" xr3:uid="{355CF921-C2BA-45D1-A28B-2C645A8AC6D0}" name="Column13629"/>
    <tableColumn id="13644" xr3:uid="{28FC618F-7412-4AEC-93D7-BBFBDBEA2C87}" name="Column13630"/>
    <tableColumn id="13645" xr3:uid="{7FF7C567-E070-4D76-B2BA-C35CC9AA581A}" name="Column13631"/>
    <tableColumn id="13646" xr3:uid="{3E07C6FC-B258-4281-9071-E2216C50EA89}" name="Column13632"/>
    <tableColumn id="13647" xr3:uid="{94B3C0C7-ED80-4D9F-8789-A8E1196A8765}" name="Column13633"/>
    <tableColumn id="13648" xr3:uid="{1BDED3F7-6F5A-4CBC-9537-9E3F3C292321}" name="Column13634"/>
    <tableColumn id="13649" xr3:uid="{8887E804-4B70-4F0E-A0D8-FA8276DC0405}" name="Column13635"/>
    <tableColumn id="13650" xr3:uid="{8A35B962-588E-4E85-80D0-545DECE0787A}" name="Column13636"/>
    <tableColumn id="13651" xr3:uid="{8CF89C29-A2BF-401E-8E0C-18FC359BDEA2}" name="Column13637"/>
    <tableColumn id="13652" xr3:uid="{AF8DCC3B-4223-4A21-87A7-C5F8E94D384C}" name="Column13638"/>
    <tableColumn id="13653" xr3:uid="{09F55E9B-61F9-4F04-BAA0-6804DA9277A4}" name="Column13639"/>
    <tableColumn id="13654" xr3:uid="{5C7E8B3E-A904-4465-99C3-AC83AD816ECD}" name="Column13640"/>
    <tableColumn id="13655" xr3:uid="{E1D4AA91-2980-4329-8D00-9B06CEBBBFCB}" name="Column13641"/>
    <tableColumn id="13656" xr3:uid="{A4433101-33FA-470A-B012-1F3A325689A2}" name="Column13642"/>
    <tableColumn id="13657" xr3:uid="{3052FE30-31EC-4049-AF42-91D1B2878214}" name="Column13643"/>
    <tableColumn id="13658" xr3:uid="{73E9E6C9-01EE-47D9-BDB0-72481C3A4A96}" name="Column13644"/>
    <tableColumn id="13659" xr3:uid="{57B5F61E-4109-44B5-86A1-5892C0DCC399}" name="Column13645"/>
    <tableColumn id="13660" xr3:uid="{4F334CC5-2680-4036-B284-F6C09F553ABF}" name="Column13646"/>
    <tableColumn id="13661" xr3:uid="{207A3B79-4BC5-4546-A03D-EE7943B58392}" name="Column13647"/>
    <tableColumn id="13662" xr3:uid="{853EABEA-33D1-4296-922A-A39F6D96C4F5}" name="Column13648"/>
    <tableColumn id="13663" xr3:uid="{5AE288A2-C572-4D13-996F-62CB78A1EAD3}" name="Column13649"/>
    <tableColumn id="13664" xr3:uid="{E6EB6D3C-CDD8-45EC-9109-8B8C49499866}" name="Column13650"/>
    <tableColumn id="13665" xr3:uid="{BDB37A30-3350-43B2-A644-3E79192B3639}" name="Column13651"/>
    <tableColumn id="13666" xr3:uid="{18404173-88C0-45B1-B2EE-2AECD74BAAF7}" name="Column13652"/>
    <tableColumn id="13667" xr3:uid="{9255D83D-578A-46C5-A9E2-EAA324B66699}" name="Column13653"/>
    <tableColumn id="13668" xr3:uid="{B905193A-7D3A-4FCC-83A2-735D014AF738}" name="Column13654"/>
    <tableColumn id="13669" xr3:uid="{775F4171-2A84-44AD-95FE-116E8AF4BA96}" name="Column13655"/>
    <tableColumn id="13670" xr3:uid="{FF0A03B4-CD0D-44AD-BF28-F4D52C25EE4D}" name="Column13656"/>
    <tableColumn id="13671" xr3:uid="{06F785C2-D4A1-4DB0-8D52-C96FFFBDF550}" name="Column13657"/>
    <tableColumn id="13672" xr3:uid="{99B92703-2153-439D-831D-3B4EC6603366}" name="Column13658"/>
    <tableColumn id="13673" xr3:uid="{39D2C424-FD72-4386-873D-DED376D28271}" name="Column13659"/>
    <tableColumn id="13674" xr3:uid="{3619654A-F03E-456D-AAD6-8204842D0CA2}" name="Column13660"/>
    <tableColumn id="13675" xr3:uid="{AACFF6A5-D629-4B1D-83F5-89F8639107DB}" name="Column13661"/>
    <tableColumn id="13676" xr3:uid="{6F009FCC-7CD8-42B3-ACDA-9605A69DDEDA}" name="Column13662"/>
    <tableColumn id="13677" xr3:uid="{EC942DE6-6339-4F4C-8D43-131B025592E5}" name="Column13663"/>
    <tableColumn id="13678" xr3:uid="{C0FC11DB-FAFE-4DFD-B001-A5AC60093434}" name="Column13664"/>
    <tableColumn id="13679" xr3:uid="{B4A7FFDE-4BA3-46F2-8384-420329FDFF2A}" name="Column13665"/>
    <tableColumn id="13680" xr3:uid="{83A8256B-3638-4ED6-9455-C2EB2274577A}" name="Column13666"/>
    <tableColumn id="13681" xr3:uid="{6CE309B8-2B11-410B-9725-3A962646EBB1}" name="Column13667"/>
    <tableColumn id="13682" xr3:uid="{A0A9BA0A-896E-4509-8BBC-B411E131355A}" name="Column13668"/>
    <tableColumn id="13683" xr3:uid="{B0A18223-DFCF-45B6-8941-576C1BFD70B5}" name="Column13669"/>
    <tableColumn id="13684" xr3:uid="{5C7F6D9C-0E68-48F3-AE5A-63333D5EA6B5}" name="Column13670"/>
    <tableColumn id="13685" xr3:uid="{E96F586B-6031-4125-A931-3040CE765289}" name="Column13671"/>
    <tableColumn id="13686" xr3:uid="{3B71DAC7-9611-48D6-A955-C1B2561F1099}" name="Column13672"/>
    <tableColumn id="13687" xr3:uid="{8D8B134D-FB99-4630-A6AB-6514FA4F3B6A}" name="Column13673"/>
    <tableColumn id="13688" xr3:uid="{75C812A4-A89C-4396-A1C5-7CCACAB7A2FF}" name="Column13674"/>
    <tableColumn id="13689" xr3:uid="{53F9AFB4-81D6-4FA9-B55D-B3F81C3DB489}" name="Column13675"/>
    <tableColumn id="13690" xr3:uid="{E9695DFC-81EF-44DA-9144-D50508BA64C5}" name="Column13676"/>
    <tableColumn id="13691" xr3:uid="{C5F58BEA-86C9-436A-9DEA-6E2A72BED9BD}" name="Column13677"/>
    <tableColumn id="13692" xr3:uid="{0735BA1A-E6E4-41C7-8063-E47B17E3BF81}" name="Column13678"/>
    <tableColumn id="13693" xr3:uid="{28C4BF80-D0C2-4A58-B245-A0DBEBD417B9}" name="Column13679"/>
    <tableColumn id="13694" xr3:uid="{79CC9D2B-81C0-45F1-9F4B-F6CA39C73F77}" name="Column13680"/>
    <tableColumn id="13695" xr3:uid="{AC04C545-37E5-4DB3-A775-D6FF88A864EF}" name="Column13681"/>
    <tableColumn id="13696" xr3:uid="{77E07240-27F3-47C1-8510-5B2EACC7D65D}" name="Column13682"/>
    <tableColumn id="13697" xr3:uid="{C13B0F45-6AA9-4040-A73B-525608287C5D}" name="Column13683"/>
    <tableColumn id="13698" xr3:uid="{962DA7E3-2A2B-4A02-88B6-549EE4F94FD9}" name="Column13684"/>
    <tableColumn id="13699" xr3:uid="{C008A2B4-7F7D-4BAE-A7F5-9A36DCF0D445}" name="Column13685"/>
    <tableColumn id="13700" xr3:uid="{0659ECC5-41BF-4A3A-A346-2660E30B42C7}" name="Column13686"/>
    <tableColumn id="13701" xr3:uid="{33562B1A-8088-4066-9A70-762215DED72F}" name="Column13687"/>
    <tableColumn id="13702" xr3:uid="{2DC8D9D8-8B7D-481D-920A-9367ADF8E05E}" name="Column13688"/>
    <tableColumn id="13703" xr3:uid="{FAF23F57-4C86-45D0-9C87-85C26F195C1E}" name="Column13689"/>
    <tableColumn id="13704" xr3:uid="{3F8E906C-7C78-4C57-9A44-FC85F6CC295C}" name="Column13690"/>
    <tableColumn id="13705" xr3:uid="{EE230527-70A0-4A76-BF76-06BE6349D058}" name="Column13691"/>
    <tableColumn id="13706" xr3:uid="{0EFFE07A-E053-489E-83CF-9A7D96515857}" name="Column13692"/>
    <tableColumn id="13707" xr3:uid="{912C8672-3299-4C82-B641-5FB399994377}" name="Column13693"/>
    <tableColumn id="13708" xr3:uid="{0520B396-BAF3-44AD-B36A-53976D1FB164}" name="Column13694"/>
    <tableColumn id="13709" xr3:uid="{10216BA0-631E-4060-B310-283962B1C54A}" name="Column13695"/>
    <tableColumn id="13710" xr3:uid="{908DB1E3-4987-4A8A-8CB1-DE64839BDCC5}" name="Column13696"/>
    <tableColumn id="13711" xr3:uid="{54DC7695-4738-4CA4-987A-85970995A565}" name="Column13697"/>
    <tableColumn id="13712" xr3:uid="{CE0B7352-4B7B-4321-B6A2-4FC387B3668E}" name="Column13698"/>
    <tableColumn id="13713" xr3:uid="{ED557AE4-F701-4F8E-B88D-EC064E676BCA}" name="Column13699"/>
    <tableColumn id="13714" xr3:uid="{6C242E1A-1C86-4EC3-A996-7C2506DABF7D}" name="Column13700"/>
    <tableColumn id="13715" xr3:uid="{365F3C03-EB78-4D2C-94C4-D692852A368F}" name="Column13701"/>
    <tableColumn id="13716" xr3:uid="{5BDC8E6C-A836-47D6-8192-C90D3E66D806}" name="Column13702"/>
    <tableColumn id="13717" xr3:uid="{52BF267E-BC8E-4B3C-BCF9-A8433CB665AC}" name="Column13703"/>
    <tableColumn id="13718" xr3:uid="{B806DD0C-E8AA-4F0B-A3F4-82063BBB8257}" name="Column13704"/>
    <tableColumn id="13719" xr3:uid="{FF9EA121-1D5E-4984-9948-9832529C2906}" name="Column13705"/>
    <tableColumn id="13720" xr3:uid="{F6EF224B-71BD-49AD-B113-AAFFFA6B08AA}" name="Column13706"/>
    <tableColumn id="13721" xr3:uid="{E3F274C8-C6A3-4266-9960-8A4FB101707B}" name="Column13707"/>
    <tableColumn id="13722" xr3:uid="{A0E0DB92-8BCA-43AC-A0E4-DADBE51716D8}" name="Column13708"/>
    <tableColumn id="13723" xr3:uid="{749EEB84-7454-480A-9960-358FC5720096}" name="Column13709"/>
    <tableColumn id="13724" xr3:uid="{0575A42C-8054-45CC-B36A-EA32BB8ABAF7}" name="Column13710"/>
    <tableColumn id="13725" xr3:uid="{A0126A4E-1F84-4F85-A0A9-DFF1BC736EC3}" name="Column13711"/>
    <tableColumn id="13726" xr3:uid="{E6A8A000-A703-41AF-8D07-DB302AE7401D}" name="Column13712"/>
    <tableColumn id="13727" xr3:uid="{E29A112B-4A8B-4290-841F-D65E717591F7}" name="Column13713"/>
    <tableColumn id="13728" xr3:uid="{C34CE0DF-1BF4-4A9F-B1EE-F6B81417F4D3}" name="Column13714"/>
    <tableColumn id="13729" xr3:uid="{82B8847C-CA30-4F7D-9AEA-4F571CC734E7}" name="Column13715"/>
    <tableColumn id="13730" xr3:uid="{3690FB44-7C11-4747-98C2-6796B68E39CF}" name="Column13716"/>
    <tableColumn id="13731" xr3:uid="{428612E9-312B-494D-9995-CE1C0EFE4DDF}" name="Column13717"/>
    <tableColumn id="13732" xr3:uid="{2E416B7C-10BA-413A-B599-0A673EC89D98}" name="Column13718"/>
    <tableColumn id="13733" xr3:uid="{8620FF62-F390-4ABD-AE81-67D40E97735C}" name="Column13719"/>
    <tableColumn id="13734" xr3:uid="{E83E904F-B7FD-451B-910B-2989301DF775}" name="Column13720"/>
    <tableColumn id="13735" xr3:uid="{33765B36-733C-490D-BF6F-2F72709C8660}" name="Column13721"/>
    <tableColumn id="13736" xr3:uid="{5F7B9A9C-F348-48A3-AC39-A836EE911335}" name="Column13722"/>
    <tableColumn id="13737" xr3:uid="{C6DB0047-E40A-4215-882F-249F637F0554}" name="Column13723"/>
    <tableColumn id="13738" xr3:uid="{03D822F2-58FF-47D9-AF87-D6E42F4972BD}" name="Column13724"/>
    <tableColumn id="13739" xr3:uid="{EF466DC2-A875-4815-A0B9-F201B6A72246}" name="Column13725"/>
    <tableColumn id="13740" xr3:uid="{70B2E074-250E-4809-A26E-93249D017F99}" name="Column13726"/>
    <tableColumn id="13741" xr3:uid="{D9C81D1D-1C28-43FA-A3D3-86172CE803A5}" name="Column13727"/>
    <tableColumn id="13742" xr3:uid="{3FBC4672-8000-450A-A08B-C585DDB45761}" name="Column13728"/>
    <tableColumn id="13743" xr3:uid="{3475E766-6F46-428B-BD72-B94D011AA7C7}" name="Column13729"/>
    <tableColumn id="13744" xr3:uid="{F4F59F4E-C90A-4FC7-B52A-73478CBE5E52}" name="Column13730"/>
    <tableColumn id="13745" xr3:uid="{CEB693AD-B910-41BD-B3AF-BA0712C7CEF9}" name="Column13731"/>
    <tableColumn id="13746" xr3:uid="{DB86D2F7-01AF-4275-96FC-2A6E87481FF6}" name="Column13732"/>
    <tableColumn id="13747" xr3:uid="{41C32751-9E77-44DF-B171-2F5E74817D98}" name="Column13733"/>
    <tableColumn id="13748" xr3:uid="{C0D30A50-2151-47FE-9684-4D1A57BB3CC7}" name="Column13734"/>
    <tableColumn id="13749" xr3:uid="{A9F48B2D-1680-4EBD-B8F0-63964F737006}" name="Column13735"/>
    <tableColumn id="13750" xr3:uid="{0D52CD18-90B8-4B61-9AD4-CB56F357018A}" name="Column13736"/>
    <tableColumn id="13751" xr3:uid="{BA0536B5-D86B-4233-8203-B93E7265F46D}" name="Column13737"/>
    <tableColumn id="13752" xr3:uid="{6221C7B0-F275-42DB-ABD3-2CC00659836D}" name="Column13738"/>
    <tableColumn id="13753" xr3:uid="{0A9E9FD1-69DB-474A-908C-1B9C524FF9AB}" name="Column13739"/>
    <tableColumn id="13754" xr3:uid="{849A10B0-E01A-488F-A039-463D185ACC79}" name="Column13740"/>
    <tableColumn id="13755" xr3:uid="{FF863F3F-7C2E-4212-96C4-9C8F8E5A0CAA}" name="Column13741"/>
    <tableColumn id="13756" xr3:uid="{D9B69F77-675D-4FC5-B6E6-37EA268B802D}" name="Column13742"/>
    <tableColumn id="13757" xr3:uid="{A0C7AC3E-3B70-42B3-A0E5-D3253585F0A1}" name="Column13743"/>
    <tableColumn id="13758" xr3:uid="{E23A5D92-AAB8-4E40-A8FE-C05430BA8310}" name="Column13744"/>
    <tableColumn id="13759" xr3:uid="{800D5B4B-2EA1-4E42-BC53-E97E4381A662}" name="Column13745"/>
    <tableColumn id="13760" xr3:uid="{41AFE0DB-2E90-496D-995E-CB661F4EF3AA}" name="Column13746"/>
    <tableColumn id="13761" xr3:uid="{91B070AE-8B2B-47D2-A439-80596D5B70CA}" name="Column13747"/>
    <tableColumn id="13762" xr3:uid="{B33542C3-89AA-43C0-ACBA-1DFA2D5A4134}" name="Column13748"/>
    <tableColumn id="13763" xr3:uid="{90C27C26-53D7-4B15-A2A1-360C36C62C8B}" name="Column13749"/>
    <tableColumn id="13764" xr3:uid="{6E730FC3-A0FF-4634-A69E-B6B5A57067B9}" name="Column13750"/>
    <tableColumn id="13765" xr3:uid="{C71F2C03-36FB-4A89-ABEB-EB5972F6442A}" name="Column13751"/>
    <tableColumn id="13766" xr3:uid="{624995A4-861A-4C9A-B6DF-F0FBCABE03BC}" name="Column13752"/>
    <tableColumn id="13767" xr3:uid="{A0CB4D59-28A4-4B0D-9003-5FD243D1BEAA}" name="Column13753"/>
    <tableColumn id="13768" xr3:uid="{81FA5053-BAB6-4110-B11F-7B9090805CFB}" name="Column13754"/>
    <tableColumn id="13769" xr3:uid="{92539F32-5B99-4534-BE7A-C65DB8210386}" name="Column13755"/>
    <tableColumn id="13770" xr3:uid="{DF1EB050-FC54-43B5-824B-1192BB1964E4}" name="Column13756"/>
    <tableColumn id="13771" xr3:uid="{DA5542A8-F1E9-403D-B11D-771BF19D4C8A}" name="Column13757"/>
    <tableColumn id="13772" xr3:uid="{3D30D79A-93A9-4480-8901-4E6657559DEA}" name="Column13758"/>
    <tableColumn id="13773" xr3:uid="{D6A6E29B-B208-441B-8D70-C9FD284AE907}" name="Column13759"/>
    <tableColumn id="13774" xr3:uid="{75F1A8BD-DBB4-4492-A2CB-7C1445D86065}" name="Column13760"/>
    <tableColumn id="13775" xr3:uid="{0749DCC9-7C06-4EF4-8C12-AA5400703B68}" name="Column13761"/>
    <tableColumn id="13776" xr3:uid="{172C1E77-8317-49B2-8701-B013DCDD327D}" name="Column13762"/>
    <tableColumn id="13777" xr3:uid="{19F2C8DC-F937-4ED0-949B-8D8EC4F03BC3}" name="Column13763"/>
    <tableColumn id="13778" xr3:uid="{CC5BDBB9-D658-4E01-9608-0B4AB5B20152}" name="Column13764"/>
    <tableColumn id="13779" xr3:uid="{7B3AAA1B-0255-411D-A78C-85F6E22C2968}" name="Column13765"/>
    <tableColumn id="13780" xr3:uid="{A19808BE-C98F-4131-95C8-478A1ABE6ECF}" name="Column13766"/>
    <tableColumn id="13781" xr3:uid="{0EAE8A53-D26B-4060-85CC-BAAA77A770E0}" name="Column13767"/>
    <tableColumn id="13782" xr3:uid="{803A70E4-2852-4723-A05B-D0CAE5AAECE6}" name="Column13768"/>
    <tableColumn id="13783" xr3:uid="{25497CCF-5E7B-4879-AC98-3A169CC7200A}" name="Column13769"/>
    <tableColumn id="13784" xr3:uid="{CC0E34A8-1567-4C65-B367-12EEDECE171E}" name="Column13770"/>
    <tableColumn id="13785" xr3:uid="{6A89B4C7-3A68-4AE8-9D64-7E093418FF18}" name="Column13771"/>
    <tableColumn id="13786" xr3:uid="{38D8EEFF-200E-4B12-8B3F-A976786C9F63}" name="Column13772"/>
    <tableColumn id="13787" xr3:uid="{EF419EDE-1B37-4AC5-943B-644E117AFE30}" name="Column13773"/>
    <tableColumn id="13788" xr3:uid="{F1F3B92D-88F4-4CA4-AB2A-1EB916F6988B}" name="Column13774"/>
    <tableColumn id="13789" xr3:uid="{3265C87D-B396-448D-B052-8103EF1AE32F}" name="Column13775"/>
    <tableColumn id="13790" xr3:uid="{8F36D178-E980-4FF3-BD28-71CC3273354D}" name="Column13776"/>
    <tableColumn id="13791" xr3:uid="{B6943D9F-DCCF-4F64-BC89-11856A24EAF9}" name="Column13777"/>
    <tableColumn id="13792" xr3:uid="{C3B3E0D8-EB17-4F31-9851-95F963D828F6}" name="Column13778"/>
    <tableColumn id="13793" xr3:uid="{E6011D28-0D62-48BC-9E75-186949A150B8}" name="Column13779"/>
    <tableColumn id="13794" xr3:uid="{996D0138-42E8-43BA-B7D9-3A2805FC12E3}" name="Column13780"/>
    <tableColumn id="13795" xr3:uid="{F56CB4AB-E939-401E-94C8-AF8CA0B0E4CC}" name="Column13781"/>
    <tableColumn id="13796" xr3:uid="{C0989C65-18A4-4BBE-8BAA-8FB1DBC22356}" name="Column13782"/>
    <tableColumn id="13797" xr3:uid="{ECF5BA7F-8965-4EAA-BAEC-90F6A14F7721}" name="Column13783"/>
    <tableColumn id="13798" xr3:uid="{96A879B6-FF18-4F13-B898-EE4701EAA982}" name="Column13784"/>
    <tableColumn id="13799" xr3:uid="{81FE9092-6A57-4BEE-B856-62DA98244220}" name="Column13785"/>
    <tableColumn id="13800" xr3:uid="{E953D6A8-E769-4C45-992C-CBAC27C1A46F}" name="Column13786"/>
    <tableColumn id="13801" xr3:uid="{8AF67CAB-C2EB-4693-8813-AB6B9014338E}" name="Column13787"/>
    <tableColumn id="13802" xr3:uid="{131ADCE6-B460-4F47-8FEE-A1D5880359EC}" name="Column13788"/>
    <tableColumn id="13803" xr3:uid="{5176DCF9-60ED-4398-BD82-F30AD696DC9A}" name="Column13789"/>
    <tableColumn id="13804" xr3:uid="{E1468DD5-813A-4371-8FDC-54EC9368907D}" name="Column13790"/>
    <tableColumn id="13805" xr3:uid="{AE5641B4-9C78-4200-9AEB-22CCD5A71DA0}" name="Column13791"/>
    <tableColumn id="13806" xr3:uid="{481FEC23-3D25-49D3-B4A0-5ADB51BC436B}" name="Column13792"/>
    <tableColumn id="13807" xr3:uid="{954F3508-0ACE-4791-B9E3-C65B5B300AF6}" name="Column13793"/>
    <tableColumn id="13808" xr3:uid="{526FA3F4-D32E-48CB-B57D-D3562C6F1FE1}" name="Column13794"/>
    <tableColumn id="13809" xr3:uid="{F304C225-2BA1-4218-89DA-F7B9F65A5D1B}" name="Column13795"/>
    <tableColumn id="13810" xr3:uid="{DDF686B0-DF81-4EDE-8F3A-9997B1F78F0D}" name="Column13796"/>
    <tableColumn id="13811" xr3:uid="{62BBE1DF-2E09-40BF-AE64-BA0DC2BF5E87}" name="Column13797"/>
    <tableColumn id="13812" xr3:uid="{980B732A-11F1-44DC-8941-468ECC42BE48}" name="Column13798"/>
    <tableColumn id="13813" xr3:uid="{051AD413-7FA5-4EF0-9905-3A75E98717C2}" name="Column13799"/>
    <tableColumn id="13814" xr3:uid="{ECF8FE4A-0BF2-4FA2-A927-016D1543F713}" name="Column13800"/>
    <tableColumn id="13815" xr3:uid="{51E79858-89A4-44A1-A893-D8200DA40144}" name="Column13801"/>
    <tableColumn id="13816" xr3:uid="{6947BB95-C064-4702-923F-0206EE8FA1EC}" name="Column13802"/>
    <tableColumn id="13817" xr3:uid="{EE0B32C5-3D11-4ADB-9E5E-A1865A3A73BF}" name="Column13803"/>
    <tableColumn id="13818" xr3:uid="{62366384-6A61-47DF-AE44-E93C07005F7F}" name="Column13804"/>
    <tableColumn id="13819" xr3:uid="{A8E1FA4D-4756-4DF2-96B7-420E60380DA3}" name="Column13805"/>
    <tableColumn id="13820" xr3:uid="{D614BC88-C81A-4DC0-A5BD-356BD5B20819}" name="Column13806"/>
    <tableColumn id="13821" xr3:uid="{0F477AFE-B4D0-49E4-83CD-5C5BAB7F6BF6}" name="Column13807"/>
    <tableColumn id="13822" xr3:uid="{1D93C9E9-99B6-49C6-98EE-EADC0EEB2DC9}" name="Column13808"/>
    <tableColumn id="13823" xr3:uid="{932376FA-8A44-44B4-9AE8-A9C3E373D503}" name="Column13809"/>
    <tableColumn id="13824" xr3:uid="{92BD3C74-05BA-41ED-9F62-49385B3CD376}" name="Column13810"/>
    <tableColumn id="13825" xr3:uid="{82BDC48F-2B7C-400A-84AA-28900B8E3B8B}" name="Column13811"/>
    <tableColumn id="13826" xr3:uid="{6D248FDD-ABB6-449B-98CB-934ACD2F44E1}" name="Column13812"/>
    <tableColumn id="13827" xr3:uid="{0DA3C985-E923-474F-8AC6-568F5A8E9120}" name="Column13813"/>
    <tableColumn id="13828" xr3:uid="{76D70A2A-960A-4E6D-9EAA-EE2590A1C1F7}" name="Column13814"/>
    <tableColumn id="13829" xr3:uid="{2E19E8CE-10B7-463D-B6EA-49E1E1F7FA3E}" name="Column13815"/>
    <tableColumn id="13830" xr3:uid="{838BD1B6-7194-4D2C-BE83-E1D5D9DD77E3}" name="Column13816"/>
    <tableColumn id="13831" xr3:uid="{0F092DF8-A3C5-43DF-9A73-05AAF6FF6D4B}" name="Column13817"/>
    <tableColumn id="13832" xr3:uid="{953F2A36-0B3D-4A71-8DE1-40167EF4C0C1}" name="Column13818"/>
    <tableColumn id="13833" xr3:uid="{DCEDCA48-8549-4FEB-9543-2FF60BD233D3}" name="Column13819"/>
    <tableColumn id="13834" xr3:uid="{2B81AD07-B656-4119-861F-512664BC5BCA}" name="Column13820"/>
    <tableColumn id="13835" xr3:uid="{B02DE7DA-B3C6-46DE-81F2-4467455619B8}" name="Column13821"/>
    <tableColumn id="13836" xr3:uid="{7053B145-6CD5-415A-9FCE-FD6BA0E03541}" name="Column13822"/>
    <tableColumn id="13837" xr3:uid="{512DAC81-E120-4F2E-9D23-D4AF7BC77C1C}" name="Column13823"/>
    <tableColumn id="13838" xr3:uid="{E2FA9C55-DD41-4E6B-8780-D5CB8F4E8F63}" name="Column13824"/>
    <tableColumn id="13839" xr3:uid="{8197948E-6D2A-4FF8-9C48-2B3DB3DEE297}" name="Column13825"/>
    <tableColumn id="13840" xr3:uid="{499190F5-D71F-4499-AFFC-653C3F3B4025}" name="Column13826"/>
    <tableColumn id="13841" xr3:uid="{51134566-9744-4EBF-91C9-E345E02E1E37}" name="Column13827"/>
    <tableColumn id="13842" xr3:uid="{027D0A06-9DBA-41DF-B9ED-A2D70695A968}" name="Column13828"/>
    <tableColumn id="13843" xr3:uid="{A18132A1-7C61-4F16-8552-DD88427CFD84}" name="Column13829"/>
    <tableColumn id="13844" xr3:uid="{81833EC7-27DD-4139-8D46-3799B508232F}" name="Column13830"/>
    <tableColumn id="13845" xr3:uid="{188B086F-B0AE-4786-96B8-416D52041163}" name="Column13831"/>
    <tableColumn id="13846" xr3:uid="{A81238BA-08BB-49CC-9E3A-7DE13C12F6F7}" name="Column13832"/>
    <tableColumn id="13847" xr3:uid="{986AA219-FEAF-443A-94BD-7F63DFD4D5A5}" name="Column13833"/>
    <tableColumn id="13848" xr3:uid="{D8CA6FAD-770A-4235-A3DD-32B259F5E99B}" name="Column13834"/>
    <tableColumn id="13849" xr3:uid="{9ED67AD4-EC01-4147-9609-1D144E07B0DE}" name="Column13835"/>
    <tableColumn id="13850" xr3:uid="{B9411051-AE19-46EB-BA50-BFE0ABD9E065}" name="Column13836"/>
    <tableColumn id="13851" xr3:uid="{0B38C42F-527A-4033-B0D6-A095F5F1C775}" name="Column13837"/>
    <tableColumn id="13852" xr3:uid="{85C30F0C-31F0-4908-8452-CD0FD18AC2C0}" name="Column13838"/>
    <tableColumn id="13853" xr3:uid="{6293C9FC-DD80-4951-828C-1147F210FEF9}" name="Column13839"/>
    <tableColumn id="13854" xr3:uid="{AE74FFA3-FFB2-4C96-B3BF-6386C7E0F35F}" name="Column13840"/>
    <tableColumn id="13855" xr3:uid="{0D12A566-AC1E-4142-B1F7-556B34410C32}" name="Column13841"/>
    <tableColumn id="13856" xr3:uid="{00C6015C-5C32-4103-A4A2-D95F85769482}" name="Column13842"/>
    <tableColumn id="13857" xr3:uid="{9CB35BD9-C5B3-463E-9BE0-AC39251910CC}" name="Column13843"/>
    <tableColumn id="13858" xr3:uid="{02B2E41C-4720-41B3-8825-985D25571C2E}" name="Column13844"/>
    <tableColumn id="13859" xr3:uid="{2C369BE8-E847-44C2-A9C8-E287CC48646D}" name="Column13845"/>
    <tableColumn id="13860" xr3:uid="{30157BA8-9672-44FD-BBA9-E35AE75A3235}" name="Column13846"/>
    <tableColumn id="13861" xr3:uid="{6FEFB414-F6AB-4879-A8B5-47256DA3C267}" name="Column13847"/>
    <tableColumn id="13862" xr3:uid="{EA3BA73C-7DF7-4478-BE76-EEFD2E69B722}" name="Column13848"/>
    <tableColumn id="13863" xr3:uid="{B8030448-1576-4FF2-B78E-39C4C17280DA}" name="Column13849"/>
    <tableColumn id="13864" xr3:uid="{D8C261C4-D8F1-49E0-9C8D-8A0ED6158CB1}" name="Column13850"/>
    <tableColumn id="13865" xr3:uid="{2E32A9EB-EDB4-4602-BAFB-7FF25A1CDD7A}" name="Column13851"/>
    <tableColumn id="13866" xr3:uid="{3D4D3723-7837-498A-A88F-ADE618132E01}" name="Column13852"/>
    <tableColumn id="13867" xr3:uid="{FABE5152-02E6-4D5B-A06D-200D686FBB20}" name="Column13853"/>
    <tableColumn id="13868" xr3:uid="{CD4D7D7C-23F1-4948-B697-12EFF7A133D6}" name="Column13854"/>
    <tableColumn id="13869" xr3:uid="{E25E0AF2-402C-41C3-BF78-0B301C9D3B97}" name="Column13855"/>
    <tableColumn id="13870" xr3:uid="{D37A27BD-7B87-4B90-92F1-979B389D01CE}" name="Column13856"/>
    <tableColumn id="13871" xr3:uid="{3DE2E3EC-0F4E-4535-8262-8796559A7EC9}" name="Column13857"/>
    <tableColumn id="13872" xr3:uid="{160EAAE3-4913-4565-A975-A56974773DD5}" name="Column13858"/>
    <tableColumn id="13873" xr3:uid="{EADB3E7C-277D-4BBF-91AE-EA78C79C6493}" name="Column13859"/>
    <tableColumn id="13874" xr3:uid="{26659E92-5182-435D-A748-EAAC0DA81A23}" name="Column13860"/>
    <tableColumn id="13875" xr3:uid="{05FA9200-2CF7-4180-AA22-FF4D659FA516}" name="Column13861"/>
    <tableColumn id="13876" xr3:uid="{FC181FE9-11A4-4BB3-A9C8-10B36B26A38E}" name="Column13862"/>
    <tableColumn id="13877" xr3:uid="{5C8F965F-3380-4D25-9204-FF9294C168D0}" name="Column13863"/>
    <tableColumn id="13878" xr3:uid="{F915854C-FB47-4672-8218-C93DCFEA75C0}" name="Column13864"/>
    <tableColumn id="13879" xr3:uid="{8B6ABA56-1A20-4751-B62A-4AD0340309F3}" name="Column13865"/>
    <tableColumn id="13880" xr3:uid="{018EA3AA-BE65-473F-B2F9-05E8700B877F}" name="Column13866"/>
    <tableColumn id="13881" xr3:uid="{389BD72F-8D08-4077-AFAD-FE58B6C4F1C7}" name="Column13867"/>
    <tableColumn id="13882" xr3:uid="{6CAD7B28-752D-475F-A22C-9C3CC519FE43}" name="Column13868"/>
    <tableColumn id="13883" xr3:uid="{CCF1A54F-F5BE-4ACB-B5A7-FEACB770E288}" name="Column13869"/>
    <tableColumn id="13884" xr3:uid="{D5B7E0F7-B508-4AF8-9327-F1BC6CE13894}" name="Column13870"/>
    <tableColumn id="13885" xr3:uid="{AF067537-CAE5-4A99-A87D-E0C84F7B7996}" name="Column13871"/>
    <tableColumn id="13886" xr3:uid="{A19E98B5-C20B-4CF9-9E3A-A49C098F3836}" name="Column13872"/>
    <tableColumn id="13887" xr3:uid="{3E2EF934-3B44-4083-A297-6E00729885BA}" name="Column13873"/>
    <tableColumn id="13888" xr3:uid="{4F25CFDF-938A-4B7E-A59A-CB1232B2BFD3}" name="Column13874"/>
    <tableColumn id="13889" xr3:uid="{CBB69CE0-A71D-49E0-90FE-448C9FEBC3EB}" name="Column13875"/>
    <tableColumn id="13890" xr3:uid="{CB872DA3-A4E7-4E95-922B-B2D6467B39D4}" name="Column13876"/>
    <tableColumn id="13891" xr3:uid="{53D00F27-0654-4F7C-8A75-AC397DC9CADC}" name="Column13877"/>
    <tableColumn id="13892" xr3:uid="{2516DB64-FD80-4DE2-948D-23455ECA526D}" name="Column13878"/>
    <tableColumn id="13893" xr3:uid="{C8AAFBFC-3107-4186-A5C6-3CBCC564893E}" name="Column13879"/>
    <tableColumn id="13894" xr3:uid="{B1B94AE1-5E9D-4052-B29F-3C0116A56AA8}" name="Column13880"/>
    <tableColumn id="13895" xr3:uid="{51C84CB9-DFF1-4BA2-8EA7-1A449A5998B0}" name="Column13881"/>
    <tableColumn id="13896" xr3:uid="{E7E0FB77-04F2-486C-8D6F-C7C189BAD034}" name="Column13882"/>
    <tableColumn id="13897" xr3:uid="{70880CE5-C5FB-4F8C-91F1-FB183357C3F2}" name="Column13883"/>
    <tableColumn id="13898" xr3:uid="{364C9024-EE05-4549-B898-72EA12841EAA}" name="Column13884"/>
    <tableColumn id="13899" xr3:uid="{9A1A1408-E5BF-4F0D-862A-4296943E7E28}" name="Column13885"/>
    <tableColumn id="13900" xr3:uid="{0C438EF5-8636-4A3A-B7D6-DC37918FAF25}" name="Column13886"/>
    <tableColumn id="13901" xr3:uid="{EB3CC5E1-411C-4E50-98BA-17B664E8987A}" name="Column13887"/>
    <tableColumn id="13902" xr3:uid="{69444AAD-36F6-4CFF-9396-9C654BF78935}" name="Column13888"/>
    <tableColumn id="13903" xr3:uid="{1C4F3180-8D4F-454F-AC52-91C877ECEA4A}" name="Column13889"/>
    <tableColumn id="13904" xr3:uid="{1E72DAB0-CEA1-4195-9DBB-DAEFF76E56A4}" name="Column13890"/>
    <tableColumn id="13905" xr3:uid="{602F20E8-3E28-4D66-BEDC-63159FCD05C7}" name="Column13891"/>
    <tableColumn id="13906" xr3:uid="{0EB35A52-868A-4E70-B936-D2E0E18B73A3}" name="Column13892"/>
    <tableColumn id="13907" xr3:uid="{98A14094-BD27-40F4-8DAA-9A6A275153A6}" name="Column13893"/>
    <tableColumn id="13908" xr3:uid="{266E4601-0500-4718-A569-80A96FD17D25}" name="Column13894"/>
    <tableColumn id="13909" xr3:uid="{26F76EDD-E7F1-4615-BC42-EAC4DB306FCC}" name="Column13895"/>
    <tableColumn id="13910" xr3:uid="{1B64855A-81CD-4E08-A49E-1D0F9883F25B}" name="Column13896"/>
    <tableColumn id="13911" xr3:uid="{2CF98686-396A-4E35-8B75-26874BB0DC87}" name="Column13897"/>
    <tableColumn id="13912" xr3:uid="{37A65C99-B7DF-45E8-8674-1E19B83FEE2B}" name="Column13898"/>
    <tableColumn id="13913" xr3:uid="{29E39D45-AF60-4DB5-BB6F-01B5CE1397D3}" name="Column13899"/>
    <tableColumn id="13914" xr3:uid="{91103189-EC80-419B-AB7E-2C40710CF0CC}" name="Column13900"/>
    <tableColumn id="13915" xr3:uid="{C66AC436-1B1B-466A-B8E0-144DC4C2A0CC}" name="Column13901"/>
    <tableColumn id="13916" xr3:uid="{16B54AD5-CD33-4365-BBAC-480928539BB7}" name="Column13902"/>
    <tableColumn id="13917" xr3:uid="{DD563E29-7F66-4F0B-B0EC-BBC664623D41}" name="Column13903"/>
    <tableColumn id="13918" xr3:uid="{CC43D8D9-F259-4CBD-9694-383C002C5BF5}" name="Column13904"/>
    <tableColumn id="13919" xr3:uid="{89DEC519-9E02-49E9-B7E4-0953A7BBBF48}" name="Column13905"/>
    <tableColumn id="13920" xr3:uid="{61BE21E9-A371-4A24-8C9E-EFF97080EB94}" name="Column13906"/>
    <tableColumn id="13921" xr3:uid="{4C59E493-5D92-441F-AEBC-7C71F0AC07D2}" name="Column13907"/>
    <tableColumn id="13922" xr3:uid="{907287F2-CC46-46C6-BBAD-98612AD4C40C}" name="Column13908"/>
    <tableColumn id="13923" xr3:uid="{387CB940-19D0-47BF-9C88-BFE88ECBB096}" name="Column13909"/>
    <tableColumn id="13924" xr3:uid="{9E6A4FE2-AC7E-4B74-8E56-EE69A4CA75BF}" name="Column13910"/>
    <tableColumn id="13925" xr3:uid="{2B9CB517-C791-49D8-95B0-DE2346D99EF5}" name="Column13911"/>
    <tableColumn id="13926" xr3:uid="{8E3494A8-00EA-41A3-ADAF-D50303F2CBEE}" name="Column13912"/>
    <tableColumn id="13927" xr3:uid="{3FB1A770-3648-4879-8553-DA7B2EC45798}" name="Column13913"/>
    <tableColumn id="13928" xr3:uid="{B88E5FB6-C6D1-4703-A92D-C6334C850EBD}" name="Column13914"/>
    <tableColumn id="13929" xr3:uid="{1DF90DAC-BBBA-40E8-89EA-16A1E4113CB9}" name="Column13915"/>
    <tableColumn id="13930" xr3:uid="{1260C5D0-9C93-4840-9DDD-39893AC8A52C}" name="Column13916"/>
    <tableColumn id="13931" xr3:uid="{D83B328F-CE57-4176-B3C0-8FA46346D023}" name="Column13917"/>
    <tableColumn id="13932" xr3:uid="{1E92A4E7-3C14-4611-9B2E-FA3C8541E638}" name="Column13918"/>
    <tableColumn id="13933" xr3:uid="{385C3B99-B115-4011-934B-BD082846F0C3}" name="Column13919"/>
    <tableColumn id="13934" xr3:uid="{7C6C86CD-692C-4150-B5F6-274EAA691786}" name="Column13920"/>
    <tableColumn id="13935" xr3:uid="{AAD91F27-CDE0-4AD7-90E3-78685ED34066}" name="Column13921"/>
    <tableColumn id="13936" xr3:uid="{EB0AD7A2-069A-4A2A-85F5-F37D3EACF70C}" name="Column13922"/>
    <tableColumn id="13937" xr3:uid="{920B6D32-55A1-480F-B6F5-726CF1018E0C}" name="Column13923"/>
    <tableColumn id="13938" xr3:uid="{80E9F568-AF53-4954-AF97-60D9FA8E1CE5}" name="Column13924"/>
    <tableColumn id="13939" xr3:uid="{877205FB-F5AC-4C29-81AE-0A5558E5FA12}" name="Column13925"/>
    <tableColumn id="13940" xr3:uid="{87995FC4-83CA-40CF-8663-443F887081F4}" name="Column13926"/>
    <tableColumn id="13941" xr3:uid="{033C7728-B562-4044-B147-D0FCF408AB54}" name="Column13927"/>
    <tableColumn id="13942" xr3:uid="{4FA92B0E-863C-4597-BF46-C2BA3026F1B6}" name="Column13928"/>
    <tableColumn id="13943" xr3:uid="{75477A35-56F2-4682-8A72-6CE3A922CAC0}" name="Column13929"/>
    <tableColumn id="13944" xr3:uid="{688EBD06-93B6-452B-B188-DA06728C61D7}" name="Column13930"/>
    <tableColumn id="13945" xr3:uid="{FB1297E2-9B31-4DCD-9159-A9C8D2796A3E}" name="Column13931"/>
    <tableColumn id="13946" xr3:uid="{F980C8C1-92BB-45B2-8167-5889B9CDCB1A}" name="Column13932"/>
    <tableColumn id="13947" xr3:uid="{408054D8-0841-4279-8720-70DBFD6517A5}" name="Column13933"/>
    <tableColumn id="13948" xr3:uid="{D4A46C1F-CB51-4A9A-B711-9D0C145B88E1}" name="Column13934"/>
    <tableColumn id="13949" xr3:uid="{868761BC-086F-4494-B6E5-8430A250127F}" name="Column13935"/>
    <tableColumn id="13950" xr3:uid="{01EDB7E4-B54C-42D1-992E-668BDB6F719C}" name="Column13936"/>
    <tableColumn id="13951" xr3:uid="{64847106-2358-4FEA-8186-0A2E3DC5F5F7}" name="Column13937"/>
    <tableColumn id="13952" xr3:uid="{3FC357AA-69BE-42CB-995A-540516E70A29}" name="Column13938"/>
    <tableColumn id="13953" xr3:uid="{4DC5F9D4-7D7E-4EB5-8A69-922C4E99114A}" name="Column13939"/>
    <tableColumn id="13954" xr3:uid="{991DE82D-5DBB-4995-85C2-4E1EBB2D34FB}" name="Column13940"/>
    <tableColumn id="13955" xr3:uid="{74DC37E5-9FF9-43A1-84FA-BA72E1D48730}" name="Column13941"/>
    <tableColumn id="13956" xr3:uid="{09B22D42-8628-4C63-98C9-9B50CDCBD385}" name="Column13942"/>
    <tableColumn id="13957" xr3:uid="{23E6E89A-CCC2-4770-A34A-3DF7EE5795A5}" name="Column13943"/>
    <tableColumn id="13958" xr3:uid="{CE9C4C78-44A3-4310-87E8-1CA2BFC823AC}" name="Column13944"/>
    <tableColumn id="13959" xr3:uid="{18B1636C-A268-4486-9026-CB67DAE463A8}" name="Column13945"/>
    <tableColumn id="13960" xr3:uid="{6FB9A58D-83F9-43BA-9E0B-70A75727944B}" name="Column13946"/>
    <tableColumn id="13961" xr3:uid="{D56B19E1-3A8C-443F-B7E5-E793E4871DF7}" name="Column13947"/>
    <tableColumn id="13962" xr3:uid="{D1CD6658-37A4-4788-88A6-2F81F0E04C87}" name="Column13948"/>
    <tableColumn id="13963" xr3:uid="{A62FFA09-2D97-4E91-812C-54C6127EFCB5}" name="Column13949"/>
    <tableColumn id="13964" xr3:uid="{EB2DEA3C-D0F0-4BEE-B7FB-501971B1D330}" name="Column13950"/>
    <tableColumn id="13965" xr3:uid="{C345D4A6-123C-44DF-9BC0-3B648300BC00}" name="Column13951"/>
    <tableColumn id="13966" xr3:uid="{03F886EA-B70A-425C-93B5-7F5970FA14E0}" name="Column13952"/>
    <tableColumn id="13967" xr3:uid="{E2FAC675-342F-4946-9728-8FBF63B61E7F}" name="Column13953"/>
    <tableColumn id="13968" xr3:uid="{0F3595E0-67E7-4181-BA09-BB9C1F3F2215}" name="Column13954"/>
    <tableColumn id="13969" xr3:uid="{16AF521D-766E-4D91-AAD5-C4F58138E92C}" name="Column13955"/>
    <tableColumn id="13970" xr3:uid="{4C81A783-1687-4099-BD33-D05E158DDE62}" name="Column13956"/>
    <tableColumn id="13971" xr3:uid="{C0A7C79E-C963-4831-8FF5-1791808EA2C9}" name="Column13957"/>
    <tableColumn id="13972" xr3:uid="{F67F01D3-29F7-4A48-82AC-90957EBA2C16}" name="Column13958"/>
    <tableColumn id="13973" xr3:uid="{A0B828F7-4A26-4392-B1F9-941EC2EB53FC}" name="Column13959"/>
    <tableColumn id="13974" xr3:uid="{B92E2405-0A11-4901-80C1-CBBB64444BB6}" name="Column13960"/>
    <tableColumn id="13975" xr3:uid="{25F4FB55-DF02-46D0-BCBC-44F6841AE43D}" name="Column13961"/>
    <tableColumn id="13976" xr3:uid="{D1C36EBA-5094-4D40-86B3-E78D3E66D048}" name="Column13962"/>
    <tableColumn id="13977" xr3:uid="{FE0F195C-A643-4542-BB28-0DFB1EB94DDD}" name="Column13963"/>
    <tableColumn id="13978" xr3:uid="{624C87F1-024D-4000-9AD3-EE15FB71B250}" name="Column13964"/>
    <tableColumn id="13979" xr3:uid="{1FDC1A3D-2F2C-48C1-9AF7-B757043B3D30}" name="Column13965"/>
    <tableColumn id="13980" xr3:uid="{7FA11505-5FED-4C1D-8B49-7B6FCE97600A}" name="Column13966"/>
    <tableColumn id="13981" xr3:uid="{65998E04-159D-4E4C-A861-8FB51A455EC4}" name="Column13967"/>
    <tableColumn id="13982" xr3:uid="{420CEF74-9136-4279-A699-1E48AEDB3EEF}" name="Column13968"/>
    <tableColumn id="13983" xr3:uid="{27657409-0D63-4C42-8B30-CC2DA52C86E4}" name="Column13969"/>
    <tableColumn id="13984" xr3:uid="{A5FA3CB6-241E-4D42-A250-E68E5F621087}" name="Column13970"/>
    <tableColumn id="13985" xr3:uid="{4D102133-17EB-4F2D-8B26-8AC4ED954571}" name="Column13971"/>
    <tableColumn id="13986" xr3:uid="{227F28E2-FC78-48C4-A8D4-90F9A122A1CE}" name="Column13972"/>
    <tableColumn id="13987" xr3:uid="{89206D2A-E06A-41D4-9B09-4D99F8AFA580}" name="Column13973"/>
    <tableColumn id="13988" xr3:uid="{44E3F018-9B15-40E9-9B81-AC146CEC2979}" name="Column13974"/>
    <tableColumn id="13989" xr3:uid="{08E25F22-5265-4B1C-83D2-83637B63DD0C}" name="Column13975"/>
    <tableColumn id="13990" xr3:uid="{FE83C783-8800-4882-856C-649CE5219BD8}" name="Column13976"/>
    <tableColumn id="13991" xr3:uid="{A09676DB-C596-4B2F-9AB2-E4EC90B76E65}" name="Column13977"/>
    <tableColumn id="13992" xr3:uid="{EDD42B87-2562-46DF-B62C-BA503FB7C17A}" name="Column13978"/>
    <tableColumn id="13993" xr3:uid="{2E43EB3F-E584-4123-817A-48B9827577B4}" name="Column13979"/>
    <tableColumn id="13994" xr3:uid="{FA6B5E09-1C8E-47A6-A2E9-92740FE34DAE}" name="Column13980"/>
    <tableColumn id="13995" xr3:uid="{8B96B099-6D14-43A2-9C5E-A41A228DF594}" name="Column13981"/>
    <tableColumn id="13996" xr3:uid="{FC0DE749-8C58-4ECB-ABC7-FBF2BC8ECF4C}" name="Column13982"/>
    <tableColumn id="13997" xr3:uid="{49593EAF-94E8-4317-8896-CF3FD1BC37AA}" name="Column13983"/>
    <tableColumn id="13998" xr3:uid="{42BDC490-8472-47B4-BE88-214DDD7B074D}" name="Column13984"/>
    <tableColumn id="13999" xr3:uid="{998C8E4B-6514-4F66-841E-3144593EBCED}" name="Column13985"/>
    <tableColumn id="14000" xr3:uid="{671C7BB1-9447-46A0-83FC-624E776B1087}" name="Column13986"/>
    <tableColumn id="14001" xr3:uid="{CD68E167-D6EC-4A1A-9A62-BA7D1708107F}" name="Column13987"/>
    <tableColumn id="14002" xr3:uid="{ABEB3883-D107-4BDE-9208-874D5426E435}" name="Column13988"/>
    <tableColumn id="14003" xr3:uid="{E8CA814D-1F35-4A66-A210-B0918CC65704}" name="Column13989"/>
    <tableColumn id="14004" xr3:uid="{DE442B52-A9A4-434B-B6F9-D65D2724B2E8}" name="Column13990"/>
    <tableColumn id="14005" xr3:uid="{4013218C-5F41-4C5E-9BB9-0E7A498FD45E}" name="Column13991"/>
    <tableColumn id="14006" xr3:uid="{05E08D2F-AE08-4584-BD3D-A48E89BCB6E3}" name="Column13992"/>
    <tableColumn id="14007" xr3:uid="{3DD06109-647F-4DE3-99A5-3AC8AC963720}" name="Column13993"/>
    <tableColumn id="14008" xr3:uid="{A0857618-2BA4-4624-AB46-FB3680E1103A}" name="Column13994"/>
    <tableColumn id="14009" xr3:uid="{90A32D08-6D0C-4AD4-BBA8-C83507C9FFAD}" name="Column13995"/>
    <tableColumn id="14010" xr3:uid="{B8EAD547-1D4F-4C55-9765-CB78E1891C07}" name="Column13996"/>
    <tableColumn id="14011" xr3:uid="{94CE3BC1-D974-4870-B18F-C1D8EF874C4F}" name="Column13997"/>
    <tableColumn id="14012" xr3:uid="{CE308B8B-5E99-4161-81BE-137F673B4699}" name="Column13998"/>
    <tableColumn id="14013" xr3:uid="{8CA3501D-1FD3-4497-9B5C-630BD8A65209}" name="Column13999"/>
    <tableColumn id="14014" xr3:uid="{4D15B2C3-6BB4-461E-9118-30E562E29465}" name="Column14000"/>
    <tableColumn id="14015" xr3:uid="{52B5E50E-8FE3-4305-A407-71264DD0C87C}" name="Column14001"/>
    <tableColumn id="14016" xr3:uid="{CDDDCB75-CE76-4CCF-B99B-6201A9089978}" name="Column14002"/>
    <tableColumn id="14017" xr3:uid="{CB556D0B-FF65-470A-BD1D-B68BBF7919F9}" name="Column14003"/>
    <tableColumn id="14018" xr3:uid="{5674D8A5-D771-4263-BC20-74C5D35226CD}" name="Column14004"/>
    <tableColumn id="14019" xr3:uid="{E77BBB2D-1C54-4CBE-A916-021599863C1A}" name="Column14005"/>
    <tableColumn id="14020" xr3:uid="{77AD28B8-3A3E-414E-A496-1B3D23B7125F}" name="Column14006"/>
    <tableColumn id="14021" xr3:uid="{723B2597-F0C5-4A75-BAAA-BEA18755AE61}" name="Column14007"/>
    <tableColumn id="14022" xr3:uid="{70566CBB-1A21-45F2-B313-99D5F0EDE4F1}" name="Column14008"/>
    <tableColumn id="14023" xr3:uid="{EB9D2ED7-C3AA-4E0D-9423-A521B64D4B02}" name="Column14009"/>
    <tableColumn id="14024" xr3:uid="{44A71D77-AAB3-480E-8401-889553B762F6}" name="Column14010"/>
    <tableColumn id="14025" xr3:uid="{BC01D175-038A-451F-88C4-78067A987230}" name="Column14011"/>
    <tableColumn id="14026" xr3:uid="{546F8574-8BA7-4A74-8A4D-920979EB8DB7}" name="Column14012"/>
    <tableColumn id="14027" xr3:uid="{2B32F76F-D862-4D10-B733-8ACECF3671A6}" name="Column14013"/>
    <tableColumn id="14028" xr3:uid="{54E14AD3-C3C5-408D-9CFC-113477D29000}" name="Column14014"/>
    <tableColumn id="14029" xr3:uid="{97847672-A81D-449C-9560-CD5332EC5512}" name="Column14015"/>
    <tableColumn id="14030" xr3:uid="{1DABBE76-10E8-48D9-9AEC-8F1643890204}" name="Column14016"/>
    <tableColumn id="14031" xr3:uid="{16779E78-612C-4255-AEEA-D897D1DA7F2C}" name="Column14017"/>
    <tableColumn id="14032" xr3:uid="{3B2D70B9-1892-4141-96F5-F3101EB03D93}" name="Column14018"/>
    <tableColumn id="14033" xr3:uid="{D592DEED-3DD5-4D00-8A24-6FAFF89CD07F}" name="Column14019"/>
    <tableColumn id="14034" xr3:uid="{B5B1C59F-5E45-4D92-B8D7-DB028A69ACDB}" name="Column14020"/>
    <tableColumn id="14035" xr3:uid="{B2E55282-75D0-4197-9359-14C163B24B51}" name="Column14021"/>
    <tableColumn id="14036" xr3:uid="{411320F4-F500-4A9B-B9A2-D2469612B6A8}" name="Column14022"/>
    <tableColumn id="14037" xr3:uid="{B250133B-E8C7-4E35-B07E-F0EE0313F906}" name="Column14023"/>
    <tableColumn id="14038" xr3:uid="{B1CDB279-8389-4977-A8CF-2867A94A1D9A}" name="Column14024"/>
    <tableColumn id="14039" xr3:uid="{0988DC09-EA20-4408-83DC-F346154CB2F1}" name="Column14025"/>
    <tableColumn id="14040" xr3:uid="{DEE5D6C0-95A1-4C09-8030-EE336EDB39B0}" name="Column14026"/>
    <tableColumn id="14041" xr3:uid="{43EA022A-0A9A-4B33-8A59-430139042429}" name="Column14027"/>
    <tableColumn id="14042" xr3:uid="{0FF10514-7FB3-4348-A20A-09A5BE6F9166}" name="Column14028"/>
    <tableColumn id="14043" xr3:uid="{1C2C5D55-4A1C-4701-9C0D-8BCA1B2D4D0B}" name="Column14029"/>
    <tableColumn id="14044" xr3:uid="{4F849172-1A28-45DF-9143-FE32547E7A05}" name="Column14030"/>
    <tableColumn id="14045" xr3:uid="{56E50978-7B05-4FD7-A9E1-57CC9B63855F}" name="Column14031"/>
    <tableColumn id="14046" xr3:uid="{C58390CD-A83A-4F94-B5E1-4E9B29DB502D}" name="Column14032"/>
    <tableColumn id="14047" xr3:uid="{C41AB9BC-DF4C-443B-9C3C-0AFD07C5069A}" name="Column14033"/>
    <tableColumn id="14048" xr3:uid="{29ABA254-1BDF-4E4C-B1A0-EE31882F3526}" name="Column14034"/>
    <tableColumn id="14049" xr3:uid="{84538BC4-3333-485A-8B65-3F555BC44C5B}" name="Column14035"/>
    <tableColumn id="14050" xr3:uid="{CB7A759A-5749-4CA3-97C7-FD0644C28369}" name="Column14036"/>
    <tableColumn id="14051" xr3:uid="{9E048EBC-19A1-4820-A749-8C64308EDEC4}" name="Column14037"/>
    <tableColumn id="14052" xr3:uid="{452EE6BB-0DCD-478A-A55F-B4EBF0960F1A}" name="Column14038"/>
    <tableColumn id="14053" xr3:uid="{0DE65342-1997-435D-A626-0C8F0A0AA6D5}" name="Column14039"/>
    <tableColumn id="14054" xr3:uid="{EB413874-8C0C-470C-B551-0F47A337DADB}" name="Column14040"/>
    <tableColumn id="14055" xr3:uid="{92D6D1AC-D62A-47EB-AC71-36D4191484C3}" name="Column14041"/>
    <tableColumn id="14056" xr3:uid="{182F6BDC-0899-4B00-9945-5A096C5A6270}" name="Column14042"/>
    <tableColumn id="14057" xr3:uid="{E85CFD58-5513-4D93-B640-015B39451943}" name="Column14043"/>
    <tableColumn id="14058" xr3:uid="{2B68D7D8-536F-4F1D-8944-A24E52344DD3}" name="Column14044"/>
    <tableColumn id="14059" xr3:uid="{788E84C0-2D11-40CD-BD6E-322F7D906976}" name="Column14045"/>
    <tableColumn id="14060" xr3:uid="{771358E1-8026-4F0D-A3C7-99B51994AE40}" name="Column14046"/>
    <tableColumn id="14061" xr3:uid="{8CE2BFB6-C28D-46F8-8004-C7E340CBF28D}" name="Column14047"/>
    <tableColumn id="14062" xr3:uid="{6C605A31-571D-4F54-BF24-740755678795}" name="Column14048"/>
    <tableColumn id="14063" xr3:uid="{3A2880C1-6593-42D8-9927-32F3DCFA7463}" name="Column14049"/>
    <tableColumn id="14064" xr3:uid="{D138B14E-019F-4BD0-9FD0-304F789EF64C}" name="Column14050"/>
    <tableColumn id="14065" xr3:uid="{2F6333E8-56D1-4306-BC07-0AF0E01A4288}" name="Column14051"/>
    <tableColumn id="14066" xr3:uid="{2295970D-E8FA-422A-BECF-D0A31CC89EFE}" name="Column14052"/>
    <tableColumn id="14067" xr3:uid="{04395299-2720-4798-856E-F15CD54E79D7}" name="Column14053"/>
    <tableColumn id="14068" xr3:uid="{B8FE762B-4AD3-40DF-A177-92581F206334}" name="Column14054"/>
    <tableColumn id="14069" xr3:uid="{ED039EE2-47AF-41DE-B8F8-9AE9C7AC8554}" name="Column14055"/>
    <tableColumn id="14070" xr3:uid="{D46FF609-182D-402D-891E-C672F7E28692}" name="Column14056"/>
    <tableColumn id="14071" xr3:uid="{62AC3DC4-AFEE-458A-B15F-4E0859DA0BE1}" name="Column14057"/>
    <tableColumn id="14072" xr3:uid="{A61D6D41-A27C-4654-A15D-7409A478CC20}" name="Column14058"/>
    <tableColumn id="14073" xr3:uid="{D198248D-A453-48DF-BD7B-801416D5CD8F}" name="Column14059"/>
    <tableColumn id="14074" xr3:uid="{730CF8B4-E745-4718-82BB-0C0A563900FE}" name="Column14060"/>
    <tableColumn id="14075" xr3:uid="{6A721619-7635-4AA0-9F9A-45AD34A1EBA0}" name="Column14061"/>
    <tableColumn id="14076" xr3:uid="{1B9535DD-AC0A-4BB1-BBED-CF569AE45030}" name="Column14062"/>
    <tableColumn id="14077" xr3:uid="{3166E2CB-024A-4FDF-A539-733477E0E298}" name="Column14063"/>
    <tableColumn id="14078" xr3:uid="{0C282436-D5BF-4E53-839A-2525B14C8A5A}" name="Column14064"/>
    <tableColumn id="14079" xr3:uid="{D283DA18-7852-4385-B373-67C69AC2B299}" name="Column14065"/>
    <tableColumn id="14080" xr3:uid="{60D13177-A28F-4249-8051-0D363448FC8C}" name="Column14066"/>
    <tableColumn id="14081" xr3:uid="{2C0101C2-A7D6-43F3-A047-1F754614022D}" name="Column14067"/>
    <tableColumn id="14082" xr3:uid="{EE0FC31A-C1EE-4A4A-9E3E-2138F4EA7E4D}" name="Column14068"/>
    <tableColumn id="14083" xr3:uid="{C2C8653B-D575-45AB-B32A-69D73FFFA1FB}" name="Column14069"/>
    <tableColumn id="14084" xr3:uid="{857B298E-3FF7-4D71-B58C-E57EF9AE9B5D}" name="Column14070"/>
    <tableColumn id="14085" xr3:uid="{90AD1EDB-2E81-49CD-95F1-3C53D33C94EE}" name="Column14071"/>
    <tableColumn id="14086" xr3:uid="{5ECF5DE3-7631-4226-9DDF-3E4F054A4F0F}" name="Column14072"/>
    <tableColumn id="14087" xr3:uid="{3AC13BD4-F199-464B-B265-5F8D331CA1EE}" name="Column14073"/>
    <tableColumn id="14088" xr3:uid="{B6200CFA-218F-496F-A848-D8AB8BCA8154}" name="Column14074"/>
    <tableColumn id="14089" xr3:uid="{B29EEA78-FD79-4709-B0BE-582C9D7BDFD0}" name="Column14075"/>
    <tableColumn id="14090" xr3:uid="{3F73BA8B-5E5B-46F8-9482-D388C5B811DD}" name="Column14076"/>
    <tableColumn id="14091" xr3:uid="{82E75000-4EB9-48E9-A16C-05C9633AB29D}" name="Column14077"/>
    <tableColumn id="14092" xr3:uid="{7004EBE7-05D0-4123-B0B9-D7201DB16FE7}" name="Column14078"/>
    <tableColumn id="14093" xr3:uid="{A934D0F6-618F-4538-986D-5BF6CF7127E4}" name="Column14079"/>
    <tableColumn id="14094" xr3:uid="{C3D3BC9A-4C4C-4451-96C0-5C138C0221B2}" name="Column14080"/>
    <tableColumn id="14095" xr3:uid="{332D3EA1-6F15-4C89-97AE-652406824D78}" name="Column14081"/>
    <tableColumn id="14096" xr3:uid="{2748B58B-2B61-41CF-9969-A4491D7B01A7}" name="Column14082"/>
    <tableColumn id="14097" xr3:uid="{C3C55FA9-9E00-406B-B034-602F00BCA242}" name="Column14083"/>
    <tableColumn id="14098" xr3:uid="{BA4F159D-56FC-4B99-A398-1698699D2BFD}" name="Column14084"/>
    <tableColumn id="14099" xr3:uid="{8E1CCE24-B546-40A2-8950-A9D31223C5E1}" name="Column14085"/>
    <tableColumn id="14100" xr3:uid="{39FDE4A7-CC55-437A-A352-8381C3C0D7CB}" name="Column14086"/>
    <tableColumn id="14101" xr3:uid="{5294038C-FBB9-430A-AD91-EA02B4DC8D30}" name="Column14087"/>
    <tableColumn id="14102" xr3:uid="{DF832CF2-1A37-435E-A13F-985A8754FB2D}" name="Column14088"/>
    <tableColumn id="14103" xr3:uid="{AEAE4C65-4DF7-4E07-9C6B-6009B02A58D9}" name="Column14089"/>
    <tableColumn id="14104" xr3:uid="{8EF00620-A216-42A0-94F4-E06A3446B8C0}" name="Column14090"/>
    <tableColumn id="14105" xr3:uid="{C6CFFD2E-3135-44DB-B0DD-589267F4BD92}" name="Column14091"/>
    <tableColumn id="14106" xr3:uid="{68E53CD3-675B-4BC2-AFE3-774F6831702C}" name="Column14092"/>
    <tableColumn id="14107" xr3:uid="{D28E2911-B025-4219-9442-4C03194BC589}" name="Column14093"/>
    <tableColumn id="14108" xr3:uid="{84EE992E-2EFC-4D8E-AEEC-F2E9237A8A46}" name="Column14094"/>
    <tableColumn id="14109" xr3:uid="{3F38E42B-B5B2-4D9F-9C8C-E3EE3689115E}" name="Column14095"/>
    <tableColumn id="14110" xr3:uid="{C6D0F386-4545-4250-8EF3-8D740B6CFB11}" name="Column14096"/>
    <tableColumn id="14111" xr3:uid="{0823F687-78E9-4C44-8C23-EB4B36659A27}" name="Column14097"/>
    <tableColumn id="14112" xr3:uid="{7D586A24-9BDB-4783-BDFA-BF5D3DDED196}" name="Column14098"/>
    <tableColumn id="14113" xr3:uid="{C89A0C5A-2768-4659-9BBC-4E99FA10C191}" name="Column14099"/>
    <tableColumn id="14114" xr3:uid="{19F3EB2F-EAF4-44C2-A800-81A98E6281F7}" name="Column14100"/>
    <tableColumn id="14115" xr3:uid="{FAA1E485-F4DA-4FF5-8CE0-6EC6705FD56F}" name="Column14101"/>
    <tableColumn id="14116" xr3:uid="{708EC5F8-647D-4678-B35B-F8B27C540412}" name="Column14102"/>
    <tableColumn id="14117" xr3:uid="{4FF077F1-506C-4EEE-98D5-D3588789379D}" name="Column14103"/>
    <tableColumn id="14118" xr3:uid="{ED7D2E89-D66E-4596-9CAD-4C6DA609EBA8}" name="Column14104"/>
    <tableColumn id="14119" xr3:uid="{93492FFC-2161-4FD3-A537-298C8453C25F}" name="Column14105"/>
    <tableColumn id="14120" xr3:uid="{777D6289-DA40-42A1-A808-16E7CCD9969F}" name="Column14106"/>
    <tableColumn id="14121" xr3:uid="{3544838A-4088-4F4A-8B2E-3DB4D819AE3C}" name="Column14107"/>
    <tableColumn id="14122" xr3:uid="{3EAE6E88-F577-4B6F-A637-7D1508E87521}" name="Column14108"/>
    <tableColumn id="14123" xr3:uid="{3177E055-CB6F-4596-BAD1-105011BBD872}" name="Column14109"/>
    <tableColumn id="14124" xr3:uid="{B762CD63-9F92-4444-B0B4-0AFF2C75D71C}" name="Column14110"/>
    <tableColumn id="14125" xr3:uid="{E0589B23-C1EA-467E-9DEA-7A710A10B23D}" name="Column14111"/>
    <tableColumn id="14126" xr3:uid="{F9B00D3B-84B3-4C22-95E6-770BEF9E65A7}" name="Column14112"/>
    <tableColumn id="14127" xr3:uid="{C133F150-A70A-46DE-BFDC-238C86857926}" name="Column14113"/>
    <tableColumn id="14128" xr3:uid="{90EC140F-4511-4D84-80BA-16995225EE27}" name="Column14114"/>
    <tableColumn id="14129" xr3:uid="{683A2A7E-D017-4402-9058-2AF2AF826189}" name="Column14115"/>
    <tableColumn id="14130" xr3:uid="{DEE8F274-9B7C-4624-ABEA-C6D2B1EFE5DD}" name="Column14116"/>
    <tableColumn id="14131" xr3:uid="{87575296-F163-4491-A8A0-736E7076546E}" name="Column14117"/>
    <tableColumn id="14132" xr3:uid="{ABC46FDC-EEE4-444D-9A2F-DCDC6754D8EE}" name="Column14118"/>
    <tableColumn id="14133" xr3:uid="{A46F9ABE-B491-4CBE-B101-7D0C2719ABA8}" name="Column14119"/>
    <tableColumn id="14134" xr3:uid="{B3E53259-7F80-4249-BD36-05B6FEF8AD5C}" name="Column14120"/>
    <tableColumn id="14135" xr3:uid="{CF7ECF42-9A48-4BD5-9882-3C21C03FB508}" name="Column14121"/>
    <tableColumn id="14136" xr3:uid="{EF04DE93-1F0E-43F6-99F1-E76F3F5D9EEB}" name="Column14122"/>
    <tableColumn id="14137" xr3:uid="{99E864B1-6A91-4D22-8492-DDA7C0A8E904}" name="Column14123"/>
    <tableColumn id="14138" xr3:uid="{029EDEC6-08C0-4F1E-9ED6-0D74A6343165}" name="Column14124"/>
    <tableColumn id="14139" xr3:uid="{32A2AAA4-B6C6-43F7-A5C9-5355916964F8}" name="Column14125"/>
    <tableColumn id="14140" xr3:uid="{8E3BFBA5-1C38-4A4F-8740-ECD4C1F96CF2}" name="Column14126"/>
    <tableColumn id="14141" xr3:uid="{DF57A03F-07D5-482C-B674-6321A4560F1F}" name="Column14127"/>
    <tableColumn id="14142" xr3:uid="{2920BDB0-E592-4AAE-81F8-14BD1D475A20}" name="Column14128"/>
    <tableColumn id="14143" xr3:uid="{4E1A851E-0481-4A54-BEF7-0059F7C62574}" name="Column14129"/>
    <tableColumn id="14144" xr3:uid="{513EB23A-83A6-47CA-B0A0-547ACF829A61}" name="Column14130"/>
    <tableColumn id="14145" xr3:uid="{374D8E1F-4BF2-4479-9457-F7E3512B71DA}" name="Column14131"/>
    <tableColumn id="14146" xr3:uid="{1650BCFF-3E96-454F-84AB-79B54352E738}" name="Column14132"/>
    <tableColumn id="14147" xr3:uid="{B06D4FAA-5C78-4C31-BED9-3708FAE7B693}" name="Column14133"/>
    <tableColumn id="14148" xr3:uid="{E347467E-6CD3-4EB8-9E21-16B17B726F6B}" name="Column14134"/>
    <tableColumn id="14149" xr3:uid="{E06CD600-14D6-46A7-8B24-7CB14E30FDD7}" name="Column14135"/>
    <tableColumn id="14150" xr3:uid="{7F56F7DD-B23F-4EC3-8C4B-3E40D6F2DCAC}" name="Column14136"/>
    <tableColumn id="14151" xr3:uid="{95F8B8D8-262F-43B2-AC7B-B62800E1B6D6}" name="Column14137"/>
    <tableColumn id="14152" xr3:uid="{B30F45D1-B2A0-402C-85F7-294D53FDBA4A}" name="Column14138"/>
    <tableColumn id="14153" xr3:uid="{4E0E1826-D8A4-4A11-B10B-1B221AA22E36}" name="Column14139"/>
    <tableColumn id="14154" xr3:uid="{ED0813B1-682A-481B-8614-D3F6D374B72E}" name="Column14140"/>
    <tableColumn id="14155" xr3:uid="{E6117796-BFFC-4CD2-8DFE-A5538FBF419C}" name="Column14141"/>
    <tableColumn id="14156" xr3:uid="{0F57E61C-0D1D-4770-9E6C-44135328C8DD}" name="Column14142"/>
    <tableColumn id="14157" xr3:uid="{62863A7F-F204-4256-AA8E-80023E822771}" name="Column14143"/>
    <tableColumn id="14158" xr3:uid="{8BFE1DAD-DC8D-4E91-BFC2-B03A89548C08}" name="Column14144"/>
    <tableColumn id="14159" xr3:uid="{8CC83FFA-9F4D-40CF-BA08-312B82C05876}" name="Column14145"/>
    <tableColumn id="14160" xr3:uid="{9750D6E3-607B-4091-9467-3F39F5282D58}" name="Column14146"/>
    <tableColumn id="14161" xr3:uid="{BA6B08F5-884A-4AB3-A543-CBBDC51B051D}" name="Column14147"/>
    <tableColumn id="14162" xr3:uid="{E8944464-E38B-47F8-B889-77827B33B4F7}" name="Column14148"/>
    <tableColumn id="14163" xr3:uid="{F00E28C4-1385-42F0-91DD-0D0C65BA8BB8}" name="Column14149"/>
    <tableColumn id="14164" xr3:uid="{71F0FF62-36F5-4C8C-99A7-A427AAF8E03C}" name="Column14150"/>
    <tableColumn id="14165" xr3:uid="{71413823-991C-4ED8-81F8-A04729B7D1D9}" name="Column14151"/>
    <tableColumn id="14166" xr3:uid="{E02D909B-5BEC-4B78-9771-68510342FEEF}" name="Column14152"/>
    <tableColumn id="14167" xr3:uid="{DFFD0D1A-44F2-4C50-87E0-7FD4741F61C6}" name="Column14153"/>
    <tableColumn id="14168" xr3:uid="{1018E305-CBE2-4F9B-89D9-8F4DA09D67C9}" name="Column14154"/>
    <tableColumn id="14169" xr3:uid="{76578160-6294-4486-8BBA-942F34EEE7F1}" name="Column14155"/>
    <tableColumn id="14170" xr3:uid="{5FD33716-913F-48E4-8377-05F20E0CC02D}" name="Column14156"/>
    <tableColumn id="14171" xr3:uid="{58EE9F2B-5E54-494A-90E7-07BF66ECA98A}" name="Column14157"/>
    <tableColumn id="14172" xr3:uid="{C253C650-0D82-4096-BDCF-D712B93DFEBB}" name="Column14158"/>
    <tableColumn id="14173" xr3:uid="{74EFD52A-E791-489E-B61B-FABDA12634E1}" name="Column14159"/>
    <tableColumn id="14174" xr3:uid="{69908885-98D8-4569-9E92-28EF8744A274}" name="Column14160"/>
    <tableColumn id="14175" xr3:uid="{6BD8C3CB-98C8-4751-AA4E-7A3403ABE432}" name="Column14161"/>
    <tableColumn id="14176" xr3:uid="{518FF1A9-FEF3-4EFA-A4B1-4F09630BE8F7}" name="Column14162"/>
    <tableColumn id="14177" xr3:uid="{8338BAC4-80CE-44BD-916E-7E5B8EE601A4}" name="Column14163"/>
    <tableColumn id="14178" xr3:uid="{030808C6-F304-48CB-8BD4-9F8C59DE573F}" name="Column14164"/>
    <tableColumn id="14179" xr3:uid="{E1A20E6D-09E5-45D5-99C2-5F30C23442A1}" name="Column14165"/>
    <tableColumn id="14180" xr3:uid="{B8D93EE4-AFD7-4B0A-857E-66131B81E488}" name="Column14166"/>
    <tableColumn id="14181" xr3:uid="{E00948F1-5BE7-40CD-A335-A8E6022CD035}" name="Column14167"/>
    <tableColumn id="14182" xr3:uid="{A97C08AB-DFC3-4693-BBD0-6605EF614895}" name="Column14168"/>
    <tableColumn id="14183" xr3:uid="{18FB9707-FE6A-4EC1-8263-1C8AE877BE52}" name="Column14169"/>
    <tableColumn id="14184" xr3:uid="{C318EE2D-C9D0-4B05-A064-66C763F04B30}" name="Column14170"/>
    <tableColumn id="14185" xr3:uid="{87CA4158-0DCD-4A5A-8EBA-BC3D988D96C0}" name="Column14171"/>
    <tableColumn id="14186" xr3:uid="{68DE637F-F33C-425E-A412-7C6436C9D9EB}" name="Column14172"/>
    <tableColumn id="14187" xr3:uid="{39FDB723-790B-47FF-B41F-82D9E2B648F2}" name="Column14173"/>
    <tableColumn id="14188" xr3:uid="{3AACB18E-04C6-473A-A894-5FB5741BA417}" name="Column14174"/>
    <tableColumn id="14189" xr3:uid="{09E1F09F-1A3D-4EC5-AB80-694D373EC8A2}" name="Column14175"/>
    <tableColumn id="14190" xr3:uid="{55292892-AD9D-4E93-95E0-FD66280B0829}" name="Column14176"/>
    <tableColumn id="14191" xr3:uid="{E617327A-39A5-4158-A018-002E42B43456}" name="Column14177"/>
    <tableColumn id="14192" xr3:uid="{AF44B7FA-44E7-419D-A0B5-F25789B2C381}" name="Column14178"/>
    <tableColumn id="14193" xr3:uid="{F8B03D1C-BF0D-49BC-AC9E-ADCB2C7BE085}" name="Column14179"/>
    <tableColumn id="14194" xr3:uid="{8FFB1DFA-F1B8-4CAE-B401-028C2B485479}" name="Column14180"/>
    <tableColumn id="14195" xr3:uid="{5FF5E72D-A3B2-43B9-9702-AC0A9F4710C4}" name="Column14181"/>
    <tableColumn id="14196" xr3:uid="{52D4FCA2-BE82-4445-97C5-8DD3AE80B1C1}" name="Column14182"/>
    <tableColumn id="14197" xr3:uid="{AA4D1773-CA73-4CEF-997C-9C2493B83170}" name="Column14183"/>
    <tableColumn id="14198" xr3:uid="{268AAC22-0271-4669-AEA1-5FB47D8E458B}" name="Column14184"/>
    <tableColumn id="14199" xr3:uid="{68E99611-621F-4CDB-9B93-4039463C1217}" name="Column14185"/>
    <tableColumn id="14200" xr3:uid="{AFE18774-8705-4891-97C3-82AC7CC42B79}" name="Column14186"/>
    <tableColumn id="14201" xr3:uid="{08F2A975-9480-43DB-A93F-E924AA9EC785}" name="Column14187"/>
    <tableColumn id="14202" xr3:uid="{D4E13C43-2D46-45EB-A4D7-78DC23E630EB}" name="Column14188"/>
    <tableColumn id="14203" xr3:uid="{10950F9A-6A53-479A-B8F1-7CECD573C4D4}" name="Column14189"/>
    <tableColumn id="14204" xr3:uid="{6C647C26-4571-4682-8B1B-7A4EEC65F51E}" name="Column14190"/>
    <tableColumn id="14205" xr3:uid="{E287CAA1-ED56-47D0-90F9-CDBD31286A1D}" name="Column14191"/>
    <tableColumn id="14206" xr3:uid="{414F2939-E0F1-442D-A48E-272AD35B5990}" name="Column14192"/>
    <tableColumn id="14207" xr3:uid="{050CDD8B-7A94-45FA-B814-DD2FA770C692}" name="Column14193"/>
    <tableColumn id="14208" xr3:uid="{63A7D86B-CC19-42D4-AE4B-E1074B4C9AB5}" name="Column14194"/>
    <tableColumn id="14209" xr3:uid="{4A7076F1-21F1-4CEE-9F76-15B108DA1999}" name="Column14195"/>
    <tableColumn id="14210" xr3:uid="{DA74460C-B5B7-4E53-A7F3-E76F7FE05002}" name="Column14196"/>
    <tableColumn id="14211" xr3:uid="{5CF88807-C1AD-4D14-8179-26624FC10802}" name="Column14197"/>
    <tableColumn id="14212" xr3:uid="{C5D53502-AD11-40FD-A3D5-12A4C27BE5D0}" name="Column14198"/>
    <tableColumn id="14213" xr3:uid="{F2D4F059-C9CC-40E7-9972-DB43DA6AD39C}" name="Column14199"/>
    <tableColumn id="14214" xr3:uid="{22A7C7D9-D6D0-444A-A3F3-236814C03967}" name="Column14200"/>
    <tableColumn id="14215" xr3:uid="{B6EB6956-9AE9-412D-9B6A-D6EAD329790E}" name="Column14201"/>
    <tableColumn id="14216" xr3:uid="{AFD3081B-D03B-4B8F-8E61-36326FB37C9A}" name="Column14202"/>
    <tableColumn id="14217" xr3:uid="{C77AD14A-0F49-4BB5-B1B7-849D1797A9E6}" name="Column14203"/>
    <tableColumn id="14218" xr3:uid="{9E6DFBC4-ED78-4A46-8285-829D26E97A43}" name="Column14204"/>
    <tableColumn id="14219" xr3:uid="{69664DE5-9BE6-4947-8465-0E6C318102D2}" name="Column14205"/>
    <tableColumn id="14220" xr3:uid="{02943C1F-DCEC-4C4B-97E7-8ACB8FB40334}" name="Column14206"/>
    <tableColumn id="14221" xr3:uid="{89561B27-7484-45EC-B3B2-EE277C58F262}" name="Column14207"/>
    <tableColumn id="14222" xr3:uid="{03B1EDE5-0F5D-4F55-956F-2D08F7475D57}" name="Column14208"/>
    <tableColumn id="14223" xr3:uid="{A6384992-C7E0-40FC-BAF7-30D82F7DF71F}" name="Column14209"/>
    <tableColumn id="14224" xr3:uid="{C94E16D2-AA7F-4DE2-812D-D38593202096}" name="Column14210"/>
    <tableColumn id="14225" xr3:uid="{3BD86AF7-D8AF-4FEA-824B-E98891D9B65D}" name="Column14211"/>
    <tableColumn id="14226" xr3:uid="{8F09C943-D71C-4163-9A5C-34606285475D}" name="Column14212"/>
    <tableColumn id="14227" xr3:uid="{CEA944AA-17A8-4141-A917-349D05E53346}" name="Column14213"/>
    <tableColumn id="14228" xr3:uid="{E349E99C-ABC6-46FE-976E-D38558C82C3E}" name="Column14214"/>
    <tableColumn id="14229" xr3:uid="{F448C886-B7A0-4A9D-9BBB-02A0D8B01BAC}" name="Column14215"/>
    <tableColumn id="14230" xr3:uid="{3004248D-3EE5-4647-8B22-BBCD93E1B3EE}" name="Column14216"/>
    <tableColumn id="14231" xr3:uid="{61FC8251-ABDA-40E9-8EF2-B8AEC86F0B82}" name="Column14217"/>
    <tableColumn id="14232" xr3:uid="{0749C6B1-FCD6-4668-BE7A-F0EF1328AD01}" name="Column14218"/>
    <tableColumn id="14233" xr3:uid="{F0CB5BE6-B279-443C-A1E9-4F1784A6E659}" name="Column14219"/>
    <tableColumn id="14234" xr3:uid="{54C742F4-101C-4A9C-95DA-1F11DE718507}" name="Column14220"/>
    <tableColumn id="14235" xr3:uid="{0446FE71-DA57-475A-9AD5-BFB8B32942BE}" name="Column14221"/>
    <tableColumn id="14236" xr3:uid="{B47DA6A4-0705-400B-B56B-57716D2F3C75}" name="Column14222"/>
    <tableColumn id="14237" xr3:uid="{0209207C-F3B9-49E5-A304-3D3332123F0E}" name="Column14223"/>
    <tableColumn id="14238" xr3:uid="{43912830-C71F-4AA1-B1E0-B9A8F8A0800C}" name="Column14224"/>
    <tableColumn id="14239" xr3:uid="{38EB6ED3-5046-46F7-9BE9-1D5177201922}" name="Column14225"/>
    <tableColumn id="14240" xr3:uid="{058D2CA6-C327-4619-A90D-9540D41FF522}" name="Column14226"/>
    <tableColumn id="14241" xr3:uid="{25D06F89-AEE9-4A05-8D74-C06C93270218}" name="Column14227"/>
    <tableColumn id="14242" xr3:uid="{74D80185-8104-43BE-A668-B5C058BAB126}" name="Column14228"/>
    <tableColumn id="14243" xr3:uid="{5AF3CE75-8545-4213-A430-8EABCA69BC33}" name="Column14229"/>
    <tableColumn id="14244" xr3:uid="{941870A6-0EA8-4103-8C22-2E49E4D0D046}" name="Column14230"/>
    <tableColumn id="14245" xr3:uid="{7C3698D1-7249-4087-A0B9-9BC59DD2DC6B}" name="Column14231"/>
    <tableColumn id="14246" xr3:uid="{AD68981B-577B-4B79-9868-70514F84E10C}" name="Column14232"/>
    <tableColumn id="14247" xr3:uid="{C46AFDFF-A748-4F93-A3AF-080ED0747A32}" name="Column14233"/>
    <tableColumn id="14248" xr3:uid="{C6E87564-1218-4D66-9EBD-28968D8F8DA3}" name="Column14234"/>
    <tableColumn id="14249" xr3:uid="{BE09ECC4-7E77-4DB3-AE89-325E526AB296}" name="Column14235"/>
    <tableColumn id="14250" xr3:uid="{13757963-CA5A-44B3-8FE3-AE316B035713}" name="Column14236"/>
    <tableColumn id="14251" xr3:uid="{1B47F4A2-18C8-42E6-9216-7F2170B3506C}" name="Column14237"/>
    <tableColumn id="14252" xr3:uid="{A8534EF4-C7E7-4091-8BDC-36F7E56D21C5}" name="Column14238"/>
    <tableColumn id="14253" xr3:uid="{69275309-A524-4A5A-9078-C68EAF7BC5DD}" name="Column14239"/>
    <tableColumn id="14254" xr3:uid="{F51825C3-0745-4C1B-A750-059F5DA22553}" name="Column14240"/>
    <tableColumn id="14255" xr3:uid="{98BB9036-3D58-4592-B7DA-CE713A8A6299}" name="Column14241"/>
    <tableColumn id="14256" xr3:uid="{689FC0C6-1C8E-4A19-A955-522E1751E92E}" name="Column14242"/>
    <tableColumn id="14257" xr3:uid="{A26D1636-479C-4141-8C4E-FF30D59F8365}" name="Column14243"/>
    <tableColumn id="14258" xr3:uid="{76DE7E95-16FD-43C0-95E2-52483E09B598}" name="Column14244"/>
    <tableColumn id="14259" xr3:uid="{0C37E662-BFBE-4333-9880-50D17E03E166}" name="Column14245"/>
    <tableColumn id="14260" xr3:uid="{2F14E273-153B-4581-8E22-042D28C4D731}" name="Column14246"/>
    <tableColumn id="14261" xr3:uid="{4542AC9B-6C4F-4865-A23C-95BC7DF44150}" name="Column14247"/>
    <tableColumn id="14262" xr3:uid="{8E5BB616-4FFF-4BE3-A4A7-CFEEA435FB62}" name="Column14248"/>
    <tableColumn id="14263" xr3:uid="{D7D59EFD-1C90-4542-8428-3F99F5029B01}" name="Column14249"/>
    <tableColumn id="14264" xr3:uid="{19FA47C0-B223-466F-BDC1-35ED68D84332}" name="Column14250"/>
    <tableColumn id="14265" xr3:uid="{5435310A-2F23-4856-ABCC-BE448245B1F5}" name="Column14251"/>
    <tableColumn id="14266" xr3:uid="{37A9B1AD-68EE-4FFA-92FF-16A4834B4345}" name="Column14252"/>
    <tableColumn id="14267" xr3:uid="{B03E613E-0A65-43A5-B8CD-16EA705A03B1}" name="Column14253"/>
    <tableColumn id="14268" xr3:uid="{58231674-F976-414B-86AE-28A1E78613BF}" name="Column14254"/>
    <tableColumn id="14269" xr3:uid="{94772412-28D8-499F-BF18-0EA931F6A6FB}" name="Column14255"/>
    <tableColumn id="14270" xr3:uid="{391F3467-BE33-471F-883F-5D1A212D03E1}" name="Column14256"/>
    <tableColumn id="14271" xr3:uid="{522760F9-C12F-406A-A25F-72B86BE6BC7A}" name="Column14257"/>
    <tableColumn id="14272" xr3:uid="{B1DCFFD9-B7B2-462F-AF37-7006DFD70A48}" name="Column14258"/>
    <tableColumn id="14273" xr3:uid="{2A11223C-FDA1-460E-A6B0-11F26B60918D}" name="Column14259"/>
    <tableColumn id="14274" xr3:uid="{29245A9D-15F5-483C-9010-C0FE8695ADE4}" name="Column14260"/>
    <tableColumn id="14275" xr3:uid="{CF40C708-FC12-4A40-83DD-455775DFBEA0}" name="Column14261"/>
    <tableColumn id="14276" xr3:uid="{0BBE15DB-AAD8-4FE5-AA6B-E22F157B99CE}" name="Column14262"/>
    <tableColumn id="14277" xr3:uid="{9E53E9F9-CA8E-4356-B522-8EC28105D3F4}" name="Column14263"/>
    <tableColumn id="14278" xr3:uid="{A5178864-2C5D-46D3-B267-F615274A428F}" name="Column14264"/>
    <tableColumn id="14279" xr3:uid="{2CBDB145-CAF4-43A8-94DC-5A8D34323F0D}" name="Column14265"/>
    <tableColumn id="14280" xr3:uid="{49A2AE1F-BD10-420C-9C7D-B974E6718A69}" name="Column14266"/>
    <tableColumn id="14281" xr3:uid="{FDF04102-A883-4597-AD12-FF35A01FA980}" name="Column14267"/>
    <tableColumn id="14282" xr3:uid="{4B32E2BA-C6D1-4D2C-8110-8251D00AA950}" name="Column14268"/>
    <tableColumn id="14283" xr3:uid="{152F108D-0949-439F-8C5B-65ABFED2B583}" name="Column14269"/>
    <tableColumn id="14284" xr3:uid="{27E4F017-CE8D-4B72-AE51-DFF530B145A0}" name="Column14270"/>
    <tableColumn id="14285" xr3:uid="{1CB3DF2B-B152-47B5-9071-43CC898847F8}" name="Column14271"/>
    <tableColumn id="14286" xr3:uid="{EFFA3C6D-4664-48F4-A69E-383CC54C1E6C}" name="Column14272"/>
    <tableColumn id="14287" xr3:uid="{B456E193-57E8-4F86-A552-263F04288424}" name="Column14273"/>
    <tableColumn id="14288" xr3:uid="{68F7B466-1BE4-4A45-B0B8-0112BCD3AE1F}" name="Column14274"/>
    <tableColumn id="14289" xr3:uid="{415D9BBD-4A69-42A3-9108-74BAD2E9EE32}" name="Column14275"/>
    <tableColumn id="14290" xr3:uid="{74EB8850-80D3-40CC-932B-15EB9D96517C}" name="Column14276"/>
    <tableColumn id="14291" xr3:uid="{4CDB9E64-21A7-41D4-A3D4-4F946EBC17E6}" name="Column14277"/>
    <tableColumn id="14292" xr3:uid="{4A680931-6936-4CD7-BF2F-5E636C72213B}" name="Column14278"/>
    <tableColumn id="14293" xr3:uid="{3DCC3065-D8ED-46F3-97A0-CFA90EFECEB5}" name="Column14279"/>
    <tableColumn id="14294" xr3:uid="{1EBB6648-104F-439C-B146-54791C399DF5}" name="Column14280"/>
    <tableColumn id="14295" xr3:uid="{4C6BB7E7-BDF5-45A6-B285-F47E9CF1DC55}" name="Column14281"/>
    <tableColumn id="14296" xr3:uid="{997E06B1-EAFD-4D39-8A57-64BAA9FDCFC9}" name="Column14282"/>
    <tableColumn id="14297" xr3:uid="{83B6497C-9A64-4793-A466-89D4927B9D32}" name="Column14283"/>
    <tableColumn id="14298" xr3:uid="{435BA297-7A98-4B98-AF0F-555EB791BB74}" name="Column14284"/>
    <tableColumn id="14299" xr3:uid="{26090E89-3D9B-480F-BD7E-9E54717E7456}" name="Column14285"/>
    <tableColumn id="14300" xr3:uid="{77441F18-9366-47E9-93F9-303253C92459}" name="Column14286"/>
    <tableColumn id="14301" xr3:uid="{7A0B5778-F5BF-4C72-BF0B-CA2DE8E08A64}" name="Column14287"/>
    <tableColumn id="14302" xr3:uid="{61966DCE-3343-4666-8250-2E3D0AD388E8}" name="Column14288"/>
    <tableColumn id="14303" xr3:uid="{4A359252-2AC3-45D7-A095-61FC946FC6D2}" name="Column14289"/>
    <tableColumn id="14304" xr3:uid="{9ADB0883-E975-4769-9D92-3D67EBDA8108}" name="Column14290"/>
    <tableColumn id="14305" xr3:uid="{9A0B51E6-07BE-4CFB-8F01-E2E48E41F3AC}" name="Column14291"/>
    <tableColumn id="14306" xr3:uid="{405F5122-AFB3-4352-8605-F1A905082155}" name="Column14292"/>
    <tableColumn id="14307" xr3:uid="{D6961F41-4819-49AA-9B2C-4DF2CA7552CE}" name="Column14293"/>
    <tableColumn id="14308" xr3:uid="{B120C54E-2314-4BBD-98FA-9104A528F2AF}" name="Column14294"/>
    <tableColumn id="14309" xr3:uid="{71FD1DD4-F3D8-4C18-8298-F2A2C7057B84}" name="Column14295"/>
    <tableColumn id="14310" xr3:uid="{6650C472-5777-4A90-B2B7-6E3AFB83B8D3}" name="Column14296"/>
    <tableColumn id="14311" xr3:uid="{7AC2849E-674A-493C-8066-E354B8DCFAD8}" name="Column14297"/>
    <tableColumn id="14312" xr3:uid="{F015CB0D-B5FB-45B5-B05B-B6024AFDDF9D}" name="Column14298"/>
    <tableColumn id="14313" xr3:uid="{1BEB807E-4C80-4C38-9318-03F06B584D33}" name="Column14299"/>
    <tableColumn id="14314" xr3:uid="{F608D9BB-9A2F-48D0-8487-DE36B090ABC3}" name="Column14300"/>
    <tableColumn id="14315" xr3:uid="{B29DBD7F-F67F-40BD-A329-B5789D8294D8}" name="Column14301"/>
    <tableColumn id="14316" xr3:uid="{7A4E3A73-D4CD-4914-962E-911AF792F187}" name="Column14302"/>
    <tableColumn id="14317" xr3:uid="{28B5FA46-3E17-41E8-956B-12C7BAFF2EFB}" name="Column14303"/>
    <tableColumn id="14318" xr3:uid="{55CDDA61-E9CB-4E7D-A645-D848F57484A2}" name="Column14304"/>
    <tableColumn id="14319" xr3:uid="{80814ECF-B92D-47DB-83D6-5DF800BAB09A}" name="Column14305"/>
    <tableColumn id="14320" xr3:uid="{E71D858D-2349-47B5-ACED-45B586A421A1}" name="Column14306"/>
    <tableColumn id="14321" xr3:uid="{1CBFB712-BB6E-4A2F-BDC6-9C262C9A7479}" name="Column14307"/>
    <tableColumn id="14322" xr3:uid="{78F09FBE-B8AC-4A00-A2E0-16FBA8D82AD4}" name="Column14308"/>
    <tableColumn id="14323" xr3:uid="{01F71656-62E4-4B59-8120-9969D5D02DC9}" name="Column14309"/>
    <tableColumn id="14324" xr3:uid="{5ABDA5E2-39CE-47FF-B5A2-F89F3B5EBF54}" name="Column14310"/>
    <tableColumn id="14325" xr3:uid="{DA622EC8-5F80-4B53-A5E3-6CF2D36D08E3}" name="Column14311"/>
    <tableColumn id="14326" xr3:uid="{1EB0F758-8D9B-44BD-94BE-779244C15FB9}" name="Column14312"/>
    <tableColumn id="14327" xr3:uid="{E2F951AB-F5F2-48E4-9D7A-A30E3DE8ACAB}" name="Column14313"/>
    <tableColumn id="14328" xr3:uid="{49770820-0C13-4E83-BA27-D7EB7970A4B6}" name="Column14314"/>
    <tableColumn id="14329" xr3:uid="{B63AEC5F-9BE1-413D-8ECE-6AD198E52744}" name="Column14315"/>
    <tableColumn id="14330" xr3:uid="{212E70B5-AB00-4377-BD1C-C54E82124F91}" name="Column14316"/>
    <tableColumn id="14331" xr3:uid="{D87D388D-1E8B-467A-83A4-C364496525FA}" name="Column14317"/>
    <tableColumn id="14332" xr3:uid="{95F0E252-EDBD-4992-91ED-0A123C212A8A}" name="Column14318"/>
    <tableColumn id="14333" xr3:uid="{031BD358-655F-4089-93E4-6EAF5A522FF2}" name="Column14319"/>
    <tableColumn id="14334" xr3:uid="{378D98F9-3EA4-49F2-B022-FC743DA57266}" name="Column14320"/>
    <tableColumn id="14335" xr3:uid="{D81F407D-C815-4C87-AC7E-8F4F1AA3B6C7}" name="Column14321"/>
    <tableColumn id="14336" xr3:uid="{C982BE67-0B3D-439C-B0B7-50E340C92823}" name="Column14322"/>
    <tableColumn id="14337" xr3:uid="{C7A7439B-2CEF-4F29-B261-BC09E5864CC6}" name="Column14323"/>
    <tableColumn id="14338" xr3:uid="{7803595C-0036-46DC-9CB8-3220CF4D786E}" name="Column14324"/>
    <tableColumn id="14339" xr3:uid="{CBA310AC-0685-4C9A-AB2E-E5B92750981B}" name="Column14325"/>
    <tableColumn id="14340" xr3:uid="{037CC993-50FA-4F95-9847-5FB38B73F3C5}" name="Column14326"/>
    <tableColumn id="14341" xr3:uid="{F1427899-0824-4652-B251-2F01F596F33B}" name="Column14327"/>
    <tableColumn id="14342" xr3:uid="{16B18BF7-96AB-41DF-B805-676EFB7027EA}" name="Column14328"/>
    <tableColumn id="14343" xr3:uid="{4217F3A3-6D2A-49B1-A391-77071B6C1CB5}" name="Column14329"/>
    <tableColumn id="14344" xr3:uid="{3FE82F5E-D1A2-4420-9287-27D8670E71B5}" name="Column14330"/>
    <tableColumn id="14345" xr3:uid="{B98BACD1-EBB3-4C2B-B0BE-A6032CA987CF}" name="Column14331"/>
    <tableColumn id="14346" xr3:uid="{E7AD96D7-B5DB-40EB-8791-0A839F156D7D}" name="Column14332"/>
    <tableColumn id="14347" xr3:uid="{597ACC94-3D95-49CD-9161-F5A8355FE3AC}" name="Column14333"/>
    <tableColumn id="14348" xr3:uid="{B584F034-2937-4DC3-9518-6F674B3AA393}" name="Column14334"/>
    <tableColumn id="14349" xr3:uid="{1B270DA7-7775-4B89-AF80-DBD7CBB3619F}" name="Column14335"/>
    <tableColumn id="14350" xr3:uid="{D597FFE0-09FE-4B46-A1A4-94777EEAA7CE}" name="Column14336"/>
    <tableColumn id="14351" xr3:uid="{4A5360A3-94F7-478E-96DC-7A93CF6E8A37}" name="Column14337"/>
    <tableColumn id="14352" xr3:uid="{A3E6B4E9-8950-4A45-9636-37C7B4160270}" name="Column14338"/>
    <tableColumn id="14353" xr3:uid="{F3B41B0D-BF11-4654-846E-08D8E40239AA}" name="Column14339"/>
    <tableColumn id="14354" xr3:uid="{C45EB1B8-1606-4A0E-B103-3EDFA67523EC}" name="Column14340"/>
    <tableColumn id="14355" xr3:uid="{AF5EA138-3A6C-4CA6-BB97-BDF87F975C25}" name="Column14341"/>
    <tableColumn id="14356" xr3:uid="{7D4429D3-3EBD-41EB-B57F-B9E57A7E6CDC}" name="Column14342"/>
    <tableColumn id="14357" xr3:uid="{4EEABFAA-FFB6-4160-9B0D-CBBE6A2B954A}" name="Column14343"/>
    <tableColumn id="14358" xr3:uid="{20739C02-65CF-411C-8C20-B1DE47A4ABBB}" name="Column14344"/>
    <tableColumn id="14359" xr3:uid="{D9BED618-26B5-4006-A839-4D2F0CE6FAA6}" name="Column14345"/>
    <tableColumn id="14360" xr3:uid="{3CC8F4AA-B474-499B-B788-3C565587A0F9}" name="Column14346"/>
    <tableColumn id="14361" xr3:uid="{C725CBA3-B2E2-44A4-921C-A40AB941FD4A}" name="Column14347"/>
    <tableColumn id="14362" xr3:uid="{3AE4D441-6EA1-4A59-A137-4C582B3F8C6C}" name="Column14348"/>
    <tableColumn id="14363" xr3:uid="{D9F93E6C-321D-4EE2-96BD-FE6559C7947A}" name="Column14349"/>
    <tableColumn id="14364" xr3:uid="{21C500CF-0448-448E-BF39-100D413664A7}" name="Column14350"/>
    <tableColumn id="14365" xr3:uid="{924728FF-9407-4EAC-8D86-AEB9FDB9E0A4}" name="Column14351"/>
    <tableColumn id="14366" xr3:uid="{F9B45475-3DCF-4E8F-AFC9-775431FD9494}" name="Column14352"/>
    <tableColumn id="14367" xr3:uid="{0ACF0FC7-978C-4B25-BAB6-49E8C58CB32D}" name="Column14353"/>
    <tableColumn id="14368" xr3:uid="{F65B6FAA-7A05-40F7-9DD3-DD6649A605DE}" name="Column14354"/>
    <tableColumn id="14369" xr3:uid="{8D8B414D-953E-46DC-AABC-364AFA569826}" name="Column14355"/>
    <tableColumn id="14370" xr3:uid="{E3279046-BD13-4774-B78C-481F83E2ED5B}" name="Column14356"/>
    <tableColumn id="14371" xr3:uid="{79E00B31-4DC3-4DCB-A1CD-7D4771FAD420}" name="Column14357"/>
    <tableColumn id="14372" xr3:uid="{DAD5E09A-11D7-4D8D-B5A3-1D1E21CF2781}" name="Column14358"/>
    <tableColumn id="14373" xr3:uid="{564CFED3-4B4B-4D4A-8E2E-8AF582A97384}" name="Column14359"/>
    <tableColumn id="14374" xr3:uid="{20A7DDC8-F3E9-4C39-880A-482E778FB547}" name="Column14360"/>
    <tableColumn id="14375" xr3:uid="{72EAF5AB-19A8-42E0-BEFD-C45D10CF78A8}" name="Column14361"/>
    <tableColumn id="14376" xr3:uid="{7A9918EE-D400-4DD8-852B-A130BA4D61D6}" name="Column14362"/>
    <tableColumn id="14377" xr3:uid="{8411945E-472B-4F01-A1D3-537AFFB26EA0}" name="Column14363"/>
    <tableColumn id="14378" xr3:uid="{6709F936-ADA1-44A4-9C38-6297C8BE42F1}" name="Column14364"/>
    <tableColumn id="14379" xr3:uid="{25EB9AA5-7E8F-42B4-AEBD-8EF5BC2A3929}" name="Column14365"/>
    <tableColumn id="14380" xr3:uid="{291F3BA3-968A-4009-8BD7-8FB13359E433}" name="Column14366"/>
    <tableColumn id="14381" xr3:uid="{4D945286-362F-40BE-938E-3FDBE99395AD}" name="Column14367"/>
    <tableColumn id="14382" xr3:uid="{AB500DF4-8C7D-42C4-B883-0C64BDBD22E4}" name="Column14368"/>
    <tableColumn id="14383" xr3:uid="{57AA5BF2-FA93-49A3-9356-8A458395C353}" name="Column14369"/>
    <tableColumn id="14384" xr3:uid="{9D72159D-B454-4DC7-923E-FD1BF905BF61}" name="Column14370"/>
    <tableColumn id="14385" xr3:uid="{229795D3-D2F8-4D1F-ADD3-1A472C13FD26}" name="Column14371"/>
    <tableColumn id="14386" xr3:uid="{EAF0A45D-D050-4E8B-B6B5-8C91EED9EB19}" name="Column14372"/>
    <tableColumn id="14387" xr3:uid="{524AF6B0-8C06-4DE1-9C10-0F7B965E5872}" name="Column14373"/>
    <tableColumn id="14388" xr3:uid="{75CC5313-F3E9-47DE-93BC-497372FA5899}" name="Column14374"/>
    <tableColumn id="14389" xr3:uid="{13B31177-2E2A-4FD2-94AC-CB2B5FEC429F}" name="Column14375"/>
    <tableColumn id="14390" xr3:uid="{A20B86EA-3905-4C4D-84E3-97DA1CE72124}" name="Column14376"/>
    <tableColumn id="14391" xr3:uid="{9FCF68CE-0075-4AA6-96BC-5A3165F88307}" name="Column14377"/>
    <tableColumn id="14392" xr3:uid="{F393D887-5EAA-4741-A392-F776F1C423A6}" name="Column14378"/>
    <tableColumn id="14393" xr3:uid="{0D1809E4-61BD-4D44-A943-1A42ED20734C}" name="Column14379"/>
    <tableColumn id="14394" xr3:uid="{18707919-3F58-458A-A333-8242F595CDB1}" name="Column14380"/>
    <tableColumn id="14395" xr3:uid="{2D899E1C-470D-4348-821A-04ADFE85EE29}" name="Column14381"/>
    <tableColumn id="14396" xr3:uid="{2FFB1485-B095-4AC2-9765-92090C12D7C1}" name="Column14382"/>
    <tableColumn id="14397" xr3:uid="{62C8AB99-F1E3-4159-9B26-7344E9705325}" name="Column14383"/>
    <tableColumn id="14398" xr3:uid="{8E936C68-C8F2-4788-9F4D-D398CA9BA3A5}" name="Column14384"/>
    <tableColumn id="14399" xr3:uid="{E068539D-68BF-4639-B714-CB6AC53FF17B}" name="Column14385"/>
    <tableColumn id="14400" xr3:uid="{CA0A2584-4989-44D5-8DEF-D315619659AA}" name="Column14386"/>
    <tableColumn id="14401" xr3:uid="{708B26A1-BD4C-4390-8A68-31B00E05B544}" name="Column14387"/>
    <tableColumn id="14402" xr3:uid="{6F92DFB9-F144-489D-BA2F-4807DB56095A}" name="Column14388"/>
    <tableColumn id="14403" xr3:uid="{888B1404-911E-41C4-88BF-DFF18CF25BB4}" name="Column14389"/>
    <tableColumn id="14404" xr3:uid="{84E113CF-8895-44EF-870B-F6F77CCD9163}" name="Column14390"/>
    <tableColumn id="14405" xr3:uid="{5B492A3D-4474-4B62-A72B-187F57881D1A}" name="Column14391"/>
    <tableColumn id="14406" xr3:uid="{E18BA94B-A838-40A8-B9D1-C7CC1DCE3FFE}" name="Column14392"/>
    <tableColumn id="14407" xr3:uid="{1AB7E9F9-AEF5-425C-AEF5-111E234ABF5E}" name="Column14393"/>
    <tableColumn id="14408" xr3:uid="{9961B51B-9EBB-4FB6-B213-06FFFB2676A3}" name="Column14394"/>
    <tableColumn id="14409" xr3:uid="{2A8E153A-50F8-4A21-AD15-49F8591D1FE0}" name="Column14395"/>
    <tableColumn id="14410" xr3:uid="{04AD9331-9437-4343-9D74-1A17D0D25830}" name="Column14396"/>
    <tableColumn id="14411" xr3:uid="{616034BE-3BC0-43CD-8503-BE12654BA87B}" name="Column14397"/>
    <tableColumn id="14412" xr3:uid="{E6A74686-CADC-401D-8010-DD7173CFD2A5}" name="Column14398"/>
    <tableColumn id="14413" xr3:uid="{67D4FD20-F43B-4F8F-B59D-A37CAC2CE367}" name="Column14399"/>
    <tableColumn id="14414" xr3:uid="{CED3C720-2688-473E-A80C-20ADE43659C3}" name="Column14400"/>
    <tableColumn id="14415" xr3:uid="{803DA9D8-68B4-4ABB-A3B7-85BD1BD2890D}" name="Column14401"/>
    <tableColumn id="14416" xr3:uid="{90AD9C3A-AFB2-4D45-9EEB-5BEF75AAF430}" name="Column14402"/>
    <tableColumn id="14417" xr3:uid="{EF305559-A9BF-4129-ACF1-3B75C9C9925F}" name="Column14403"/>
    <tableColumn id="14418" xr3:uid="{032BF960-D846-45BD-BEE5-8CA1EB0551B5}" name="Column14404"/>
    <tableColumn id="14419" xr3:uid="{A3A900B9-391C-4C2F-A8DA-77DC87442CCE}" name="Column14405"/>
    <tableColumn id="14420" xr3:uid="{FB266C5F-D647-476D-AF47-6B557C490920}" name="Column14406"/>
    <tableColumn id="14421" xr3:uid="{677080E4-5A93-4B48-B775-4B53A2AC04B1}" name="Column14407"/>
    <tableColumn id="14422" xr3:uid="{61452704-5A73-48B1-A6C4-ED5894B7EC14}" name="Column14408"/>
    <tableColumn id="14423" xr3:uid="{65A53318-D71A-4ED6-8D8D-B0232CFA716F}" name="Column14409"/>
    <tableColumn id="14424" xr3:uid="{3291D6C9-4804-4BEC-AF80-5799EBA6D4DE}" name="Column14410"/>
    <tableColumn id="14425" xr3:uid="{3CF8A508-3906-4787-B56A-BE3F6C54D381}" name="Column14411"/>
    <tableColumn id="14426" xr3:uid="{2A73656B-D22A-4C92-847B-B78088B5A805}" name="Column14412"/>
    <tableColumn id="14427" xr3:uid="{7B241A24-701E-4195-9689-68E1E4502FC3}" name="Column14413"/>
    <tableColumn id="14428" xr3:uid="{1C759FEA-ED08-45BB-B114-964203556C47}" name="Column14414"/>
    <tableColumn id="14429" xr3:uid="{998648CE-D1C8-4C44-B6DA-32AFD0EFCD65}" name="Column14415"/>
    <tableColumn id="14430" xr3:uid="{DA6316C1-E9B6-4415-8AEA-BF0E139952BD}" name="Column14416"/>
    <tableColumn id="14431" xr3:uid="{B821D375-1D90-4797-A807-B34B8E765866}" name="Column14417"/>
    <tableColumn id="14432" xr3:uid="{A530EB2C-162B-436D-938D-A47BF98E47C3}" name="Column14418"/>
    <tableColumn id="14433" xr3:uid="{5296AA39-0120-4720-AA80-46D92BDACC39}" name="Column14419"/>
    <tableColumn id="14434" xr3:uid="{76C1961F-2588-48F2-8CAF-02B271708E29}" name="Column14420"/>
    <tableColumn id="14435" xr3:uid="{20633463-8FB8-4570-B844-CFD9A062ABB5}" name="Column14421"/>
    <tableColumn id="14436" xr3:uid="{0B55B924-E0F0-42ED-9664-086E8448A580}" name="Column14422"/>
    <tableColumn id="14437" xr3:uid="{EAC0D27A-7C58-4F71-A81A-F00F5265737B}" name="Column14423"/>
    <tableColumn id="14438" xr3:uid="{B6A751EE-5863-4162-9A49-E4AFA38E23B4}" name="Column14424"/>
    <tableColumn id="14439" xr3:uid="{1FE3C7F0-1EEB-4D31-AC78-B048815314A0}" name="Column14425"/>
    <tableColumn id="14440" xr3:uid="{0865262E-A9BC-408F-8F59-ED8CEE6F4072}" name="Column14426"/>
    <tableColumn id="14441" xr3:uid="{DBA3BD6B-B5A7-438C-91AE-59817946C318}" name="Column14427"/>
    <tableColumn id="14442" xr3:uid="{DB9FA962-6014-4461-8BFA-D7B692B82B26}" name="Column14428"/>
    <tableColumn id="14443" xr3:uid="{83BFF7D2-1E7D-494D-B7F8-71F3856DB9DD}" name="Column14429"/>
    <tableColumn id="14444" xr3:uid="{D94602F3-A418-42AC-91B7-8D293BF7E2DF}" name="Column14430"/>
    <tableColumn id="14445" xr3:uid="{E0D63B32-6BA7-4358-8BEE-6EFC2595B27D}" name="Column14431"/>
    <tableColumn id="14446" xr3:uid="{34ED215C-8C82-469C-A85C-2F73D7D11F42}" name="Column14432"/>
    <tableColumn id="14447" xr3:uid="{199AC85C-052D-4012-A142-B3984B9F79FC}" name="Column14433"/>
    <tableColumn id="14448" xr3:uid="{96CDFA1A-DE2F-44BA-9E68-113AE7E77BDA}" name="Column14434"/>
    <tableColumn id="14449" xr3:uid="{D605A0C9-8BDD-470C-8CAC-12092CDE8F84}" name="Column14435"/>
    <tableColumn id="14450" xr3:uid="{05A7BAC3-E0A1-4421-ABDA-B48F3C367FDD}" name="Column14436"/>
    <tableColumn id="14451" xr3:uid="{BA498FC8-A0AB-4319-A5A5-1BD2886CBC19}" name="Column14437"/>
    <tableColumn id="14452" xr3:uid="{2A79E60D-6E36-4B57-A6E5-AB1CBA45B8AD}" name="Column14438"/>
    <tableColumn id="14453" xr3:uid="{CF93DD27-FE45-4F47-B990-F301036CDB30}" name="Column14439"/>
    <tableColumn id="14454" xr3:uid="{6019C6CF-C339-46C2-8A1E-EDE916A29831}" name="Column14440"/>
    <tableColumn id="14455" xr3:uid="{205B4315-9273-49F6-AF0A-2E98EABDF995}" name="Column14441"/>
    <tableColumn id="14456" xr3:uid="{4D48324F-0A07-49C2-9055-3CF7D921E442}" name="Column14442"/>
    <tableColumn id="14457" xr3:uid="{FD75FE67-AA19-4E5E-B63A-742E069D55C5}" name="Column14443"/>
    <tableColumn id="14458" xr3:uid="{784F8D53-DE17-408A-8F2D-7D5B8526D793}" name="Column14444"/>
    <tableColumn id="14459" xr3:uid="{64E0837D-BCB8-42BA-93EA-AE6DD44FDA3C}" name="Column14445"/>
    <tableColumn id="14460" xr3:uid="{A9CD817D-7187-4979-B526-230F52AB5DA8}" name="Column14446"/>
    <tableColumn id="14461" xr3:uid="{A9898D21-5DB6-4045-8A8B-DD8D14319548}" name="Column14447"/>
    <tableColumn id="14462" xr3:uid="{3F9E3314-FBB7-4ABC-A9A4-07E9E0E68E33}" name="Column14448"/>
    <tableColumn id="14463" xr3:uid="{48B9A52E-0307-4284-9166-E17265A3EADC}" name="Column14449"/>
    <tableColumn id="14464" xr3:uid="{E9BF3143-7906-4F46-B735-F6FBF2B33323}" name="Column14450"/>
    <tableColumn id="14465" xr3:uid="{C0FE343E-0CEA-434F-8772-2F959636BB65}" name="Column14451"/>
    <tableColumn id="14466" xr3:uid="{F45E525D-89B8-4B26-A67A-B02F1BE191A7}" name="Column14452"/>
    <tableColumn id="14467" xr3:uid="{F644C7DE-B56E-4EF5-98EA-167EEA2B1D56}" name="Column14453"/>
    <tableColumn id="14468" xr3:uid="{10887C9B-8B71-4460-BDCF-E4E89F5DFFF0}" name="Column14454"/>
    <tableColumn id="14469" xr3:uid="{3270DCDC-3718-4E00-A8F5-7097DD20FC41}" name="Column14455"/>
    <tableColumn id="14470" xr3:uid="{62A900E1-D26B-4405-8B50-EA4A7CC64116}" name="Column14456"/>
    <tableColumn id="14471" xr3:uid="{A5AB331D-CEB9-4429-A8FE-1B290D04C8CA}" name="Column14457"/>
    <tableColumn id="14472" xr3:uid="{18F404D9-C170-4ECA-AB1C-E162EA1102F5}" name="Column14458"/>
    <tableColumn id="14473" xr3:uid="{5CE9C03C-9636-498C-A931-9FA569B45A09}" name="Column14459"/>
    <tableColumn id="14474" xr3:uid="{0B23ACD9-4E10-41A5-BBD5-A4FDE4CDCA18}" name="Column14460"/>
    <tableColumn id="14475" xr3:uid="{4DAECCDC-3B47-485E-B6C1-F5A20BBC3A97}" name="Column14461"/>
    <tableColumn id="14476" xr3:uid="{E186CD59-9FCE-46F0-9D27-68C0824D1AC8}" name="Column14462"/>
    <tableColumn id="14477" xr3:uid="{8A690CE5-E2E0-4CF5-84BA-73A6AF01159A}" name="Column14463"/>
    <tableColumn id="14478" xr3:uid="{3DA5844E-4342-4E4E-81F0-6CA8BB98A6B3}" name="Column14464"/>
    <tableColumn id="14479" xr3:uid="{3F9267CD-F479-415E-99CF-D271FF8894E2}" name="Column14465"/>
    <tableColumn id="14480" xr3:uid="{B0215816-B59C-4630-8368-049D3BF1BADE}" name="Column14466"/>
    <tableColumn id="14481" xr3:uid="{ACC13D06-A3B0-4CDF-81DB-593597E97440}" name="Column14467"/>
    <tableColumn id="14482" xr3:uid="{BAFBDF37-6AB3-4A55-9949-8B6F4C46BCF8}" name="Column14468"/>
    <tableColumn id="14483" xr3:uid="{00F3B4F2-6E02-4538-BF2A-1DED9DE5FF77}" name="Column14469"/>
    <tableColumn id="14484" xr3:uid="{26AF5807-D3EA-470B-BAB5-3711E8638F14}" name="Column14470"/>
    <tableColumn id="14485" xr3:uid="{8DE477D6-0DA7-4C28-A12D-B4630D862519}" name="Column14471"/>
    <tableColumn id="14486" xr3:uid="{1C92332B-5C82-4236-897B-1062C11B42F5}" name="Column14472"/>
    <tableColumn id="14487" xr3:uid="{C243A310-1DA1-4183-8019-EFA08E72E070}" name="Column14473"/>
    <tableColumn id="14488" xr3:uid="{9C26D814-1898-44D5-B52F-EE86AD609886}" name="Column14474"/>
    <tableColumn id="14489" xr3:uid="{42C5ACC4-66BA-473E-81F5-34A396DF8A8C}" name="Column14475"/>
    <tableColumn id="14490" xr3:uid="{E55378E4-8FCA-49D3-BF6B-22E8E9DC4093}" name="Column14476"/>
    <tableColumn id="14491" xr3:uid="{FBF02572-A7A1-40CA-A0A5-208A8739F353}" name="Column14477"/>
    <tableColumn id="14492" xr3:uid="{E5B9CDD3-D1BC-45B8-BA34-770696995635}" name="Column14478"/>
    <tableColumn id="14493" xr3:uid="{932587B9-063B-4A1C-B29E-0787E36A64EE}" name="Column14479"/>
    <tableColumn id="14494" xr3:uid="{6E1D6985-791E-425E-AB20-497B5AE45D96}" name="Column14480"/>
    <tableColumn id="14495" xr3:uid="{CB0B2E3F-37CD-42BD-B0C5-002C31D168CC}" name="Column14481"/>
    <tableColumn id="14496" xr3:uid="{2FB55C37-A129-477D-8444-FD78BD3E62AA}" name="Column14482"/>
    <tableColumn id="14497" xr3:uid="{E51DF8A6-0343-4927-9D77-B8C63D491DAC}" name="Column14483"/>
    <tableColumn id="14498" xr3:uid="{D8FD5AAC-EB4E-4E74-8627-6C6F833407E9}" name="Column14484"/>
    <tableColumn id="14499" xr3:uid="{5D03B933-D4C6-4569-84E6-5BE49227FEDB}" name="Column14485"/>
    <tableColumn id="14500" xr3:uid="{DEF78142-BAFD-45C2-AEE7-BE48BCD14907}" name="Column14486"/>
    <tableColumn id="14501" xr3:uid="{F22B7DA7-3149-4819-90D7-0214A5766C43}" name="Column14487"/>
    <tableColumn id="14502" xr3:uid="{27437842-E344-4DA8-A4A9-3321374ABBAE}" name="Column14488"/>
    <tableColumn id="14503" xr3:uid="{39863274-4608-497B-BC07-702F76D9ED74}" name="Column14489"/>
    <tableColumn id="14504" xr3:uid="{397D152F-58B8-40A8-AF8F-F5951B666154}" name="Column14490"/>
    <tableColumn id="14505" xr3:uid="{6A5C6693-AE83-46DF-8F09-E4CE1F7D5676}" name="Column14491"/>
    <tableColumn id="14506" xr3:uid="{A6029BD5-CB41-4299-9F64-DE7694B47870}" name="Column14492"/>
    <tableColumn id="14507" xr3:uid="{CFB48445-52D2-4C57-9958-8FF895A22468}" name="Column14493"/>
    <tableColumn id="14508" xr3:uid="{5DA20D80-3B7C-4CFD-8A80-A547241F2708}" name="Column14494"/>
    <tableColumn id="14509" xr3:uid="{95CFD6E2-4BFF-43B4-B281-58CDCC24E095}" name="Column14495"/>
    <tableColumn id="14510" xr3:uid="{D645AF63-BACB-4616-9BA0-772719C00E50}" name="Column14496"/>
    <tableColumn id="14511" xr3:uid="{405B3F8C-6ACD-459E-85D2-8F1E33347E22}" name="Column14497"/>
    <tableColumn id="14512" xr3:uid="{F073C5C7-622B-4B5C-8086-D5F8F20EB33D}" name="Column14498"/>
    <tableColumn id="14513" xr3:uid="{5537375C-2DAB-4825-B616-8466FED1CCC8}" name="Column14499"/>
    <tableColumn id="14514" xr3:uid="{F060AE66-F7C7-45B8-819C-F115AFE16EBF}" name="Column14500"/>
    <tableColumn id="14515" xr3:uid="{80BE122B-AB3C-4FC0-9D7F-D47DA66C9867}" name="Column14501"/>
    <tableColumn id="14516" xr3:uid="{93F6B55A-E942-42D9-9E05-D968E25F9877}" name="Column14502"/>
    <tableColumn id="14517" xr3:uid="{29F93245-5EEC-42FE-8FDB-9498D34E1F5C}" name="Column14503"/>
    <tableColumn id="14518" xr3:uid="{23D356D9-B89D-4419-A533-D4BA036014A3}" name="Column14504"/>
    <tableColumn id="14519" xr3:uid="{24524BE3-DAE2-477D-9BB1-B2D08A4E81D9}" name="Column14505"/>
    <tableColumn id="14520" xr3:uid="{25DB4EAC-E0F8-4972-A866-245F7D32E52B}" name="Column14506"/>
    <tableColumn id="14521" xr3:uid="{1957AB8A-BCC5-4769-947E-03CE5A901829}" name="Column14507"/>
    <tableColumn id="14522" xr3:uid="{214528F7-A078-471C-BC7D-8CECFC6BBE74}" name="Column14508"/>
    <tableColumn id="14523" xr3:uid="{9B86895F-9FCE-4CA1-AFD3-64C85321C17F}" name="Column14509"/>
    <tableColumn id="14524" xr3:uid="{7AAAEB00-27EE-4440-A4AE-76E677F6F730}" name="Column14510"/>
    <tableColumn id="14525" xr3:uid="{DF42E9AC-28C6-44AE-9F20-76A661E73916}" name="Column14511"/>
    <tableColumn id="14526" xr3:uid="{F6BD3449-10C7-494B-9C23-7CAFBD93D6AC}" name="Column14512"/>
    <tableColumn id="14527" xr3:uid="{574939B6-B5A2-4C8F-96DB-FC45487C79FB}" name="Column14513"/>
    <tableColumn id="14528" xr3:uid="{3A977228-B7FF-4A86-8C60-8DFDFB1EBE5E}" name="Column14514"/>
    <tableColumn id="14529" xr3:uid="{FA581647-0437-4267-96C9-D81211505FF5}" name="Column14515"/>
    <tableColumn id="14530" xr3:uid="{57A2D4FD-A324-4447-93BB-755831FC2101}" name="Column14516"/>
    <tableColumn id="14531" xr3:uid="{6DF879B3-D0DD-4168-90AB-D835DDF8B814}" name="Column14517"/>
    <tableColumn id="14532" xr3:uid="{9BE8DC61-ED93-46B3-95FD-56B8FEA65F6F}" name="Column14518"/>
    <tableColumn id="14533" xr3:uid="{3A2B740B-290F-400B-957A-59E7A1E1BF86}" name="Column14519"/>
    <tableColumn id="14534" xr3:uid="{81AFA9A3-718E-4880-944B-4897EAA8F397}" name="Column14520"/>
    <tableColumn id="14535" xr3:uid="{5D71E716-D2EB-4B6D-B37A-8BE89E909A53}" name="Column14521"/>
    <tableColumn id="14536" xr3:uid="{67046F66-19EA-462D-86AD-EADAFFBCC8FA}" name="Column14522"/>
    <tableColumn id="14537" xr3:uid="{E30A760D-64F2-45A5-9D28-B16D82CC29BF}" name="Column14523"/>
    <tableColumn id="14538" xr3:uid="{967E3D5B-B99A-4608-8634-C71B626328E9}" name="Column14524"/>
    <tableColumn id="14539" xr3:uid="{A2BFC85E-A02B-48EB-A840-E58B6EC8C09A}" name="Column14525"/>
    <tableColumn id="14540" xr3:uid="{9215C410-ACF4-48B4-8E37-6F27223E61FB}" name="Column14526"/>
    <tableColumn id="14541" xr3:uid="{7FBD08B3-4BF1-4D54-9E09-DCBB443FB679}" name="Column14527"/>
    <tableColumn id="14542" xr3:uid="{1F48F6A0-DA6B-4F67-AA4F-F2D3AFAD392B}" name="Column14528"/>
    <tableColumn id="14543" xr3:uid="{3938F5C6-AD2B-4CCC-B8B2-DED579A36621}" name="Column14529"/>
    <tableColumn id="14544" xr3:uid="{7CA79A9A-CBA4-4E77-B02A-8A88D3E369EC}" name="Column14530"/>
    <tableColumn id="14545" xr3:uid="{90CEDB75-32A0-4D01-AF2D-E6854D324310}" name="Column14531"/>
    <tableColumn id="14546" xr3:uid="{3A6F4BDD-E1A6-45B5-AFA9-D34B8AE69C6A}" name="Column14532"/>
    <tableColumn id="14547" xr3:uid="{45675727-EA3B-4C4F-AC96-5BD4B71FBCB0}" name="Column14533"/>
    <tableColumn id="14548" xr3:uid="{D090910D-DD4E-41C7-BB93-3953D7A0F434}" name="Column14534"/>
    <tableColumn id="14549" xr3:uid="{10F58CF7-E343-4C8A-BDA8-641CE73C4100}" name="Column14535"/>
    <tableColumn id="14550" xr3:uid="{365A0DB7-F452-42CD-9B47-972F506B8443}" name="Column14536"/>
    <tableColumn id="14551" xr3:uid="{1A5B7017-6F3F-4054-A45C-208A555E8B3C}" name="Column14537"/>
    <tableColumn id="14552" xr3:uid="{EEA1A4F3-919B-46BF-B3CA-EF5B1FF9EF1C}" name="Column14538"/>
    <tableColumn id="14553" xr3:uid="{23AF64D1-945A-4594-92A0-9992A0029623}" name="Column14539"/>
    <tableColumn id="14554" xr3:uid="{ED04F1B6-BD2C-40A2-98BE-81115B070B0D}" name="Column14540"/>
    <tableColumn id="14555" xr3:uid="{A6711652-8BEF-4097-A9BA-7BD6B52F9E4E}" name="Column14541"/>
    <tableColumn id="14556" xr3:uid="{5701D80A-7879-4682-9424-F3858149CC08}" name="Column14542"/>
    <tableColumn id="14557" xr3:uid="{08ADA401-9C62-432E-8B73-57B8DE079930}" name="Column14543"/>
    <tableColumn id="14558" xr3:uid="{DDFABD4D-EBBC-4B00-84F0-4B16ED53CB40}" name="Column14544"/>
    <tableColumn id="14559" xr3:uid="{A5206CDB-F9FC-4CF7-999D-9A1F0A193550}" name="Column14545"/>
    <tableColumn id="14560" xr3:uid="{0C03A279-93DC-4F34-B1BD-547BD8850FEE}" name="Column14546"/>
    <tableColumn id="14561" xr3:uid="{E54A9DB7-1053-436A-9F91-109ECFB99F62}" name="Column14547"/>
    <tableColumn id="14562" xr3:uid="{07B51CFC-A7EA-49B0-9255-815230D91737}" name="Column14548"/>
    <tableColumn id="14563" xr3:uid="{7B02D8E3-AD0C-4165-B9F4-44AF75255365}" name="Column14549"/>
    <tableColumn id="14564" xr3:uid="{0844E7D4-9CCD-4B04-AB81-C34C4B5C5358}" name="Column14550"/>
    <tableColumn id="14565" xr3:uid="{AFA2747B-8C89-4A27-A3FB-E1FB9627B83E}" name="Column14551"/>
    <tableColumn id="14566" xr3:uid="{4B1B2FB7-56AF-433A-964B-988E5751BD29}" name="Column14552"/>
    <tableColumn id="14567" xr3:uid="{2E51243C-A67A-4A08-B194-BFE0DBB7A58F}" name="Column14553"/>
    <tableColumn id="14568" xr3:uid="{E2D2EC1F-6A3A-4742-85B4-655E0C806FB3}" name="Column14554"/>
    <tableColumn id="14569" xr3:uid="{74AB987C-5C13-4A19-AD30-40106C9DD3DF}" name="Column14555"/>
    <tableColumn id="14570" xr3:uid="{65979FC4-E476-4D4F-954B-9B91DCEF7532}" name="Column14556"/>
    <tableColumn id="14571" xr3:uid="{2CC330DC-7694-4387-9278-8BBF28009B0C}" name="Column14557"/>
    <tableColumn id="14572" xr3:uid="{022337BC-4943-49A8-B1F0-91A838D4374B}" name="Column14558"/>
    <tableColumn id="14573" xr3:uid="{2BB87939-5B42-48A4-884C-224EA3B86EAC}" name="Column14559"/>
    <tableColumn id="14574" xr3:uid="{7E7A4654-EB58-481E-8E84-7AC7ADABFCA3}" name="Column14560"/>
    <tableColumn id="14575" xr3:uid="{4FC14BF3-4D67-4158-B842-17B44CB5E9CA}" name="Column14561"/>
    <tableColumn id="14576" xr3:uid="{BCBCAE15-BFA8-4AB2-9DDA-76151488CA5A}" name="Column14562"/>
    <tableColumn id="14577" xr3:uid="{E301F05B-22D6-4A42-BB65-073B9DBC9C7C}" name="Column14563"/>
    <tableColumn id="14578" xr3:uid="{18368BB5-CEBD-4056-8233-DE7BFBB17B47}" name="Column14564"/>
    <tableColumn id="14579" xr3:uid="{7DD2E233-0E89-4086-8086-D6305A951164}" name="Column14565"/>
    <tableColumn id="14580" xr3:uid="{04BBAB03-58FB-4102-A7A2-318CE7BCE562}" name="Column14566"/>
    <tableColumn id="14581" xr3:uid="{FF8351E5-E25A-465A-8A39-6E06B6927EB4}" name="Column14567"/>
    <tableColumn id="14582" xr3:uid="{FF408454-DE5F-4C5C-9A3A-8F25D056D13D}" name="Column14568"/>
    <tableColumn id="14583" xr3:uid="{857E0710-8B73-4A3C-B31B-7B3322096D6F}" name="Column14569"/>
    <tableColumn id="14584" xr3:uid="{4F1FCAFD-E50D-4B26-8666-D6B6D7207BD5}" name="Column14570"/>
    <tableColumn id="14585" xr3:uid="{FA14E423-8339-46E0-8F8C-6202E7C3853F}" name="Column14571"/>
    <tableColumn id="14586" xr3:uid="{42B2F144-6CE8-41D5-8482-CB13308B9FA8}" name="Column14572"/>
    <tableColumn id="14587" xr3:uid="{180C6D67-B84B-4225-9305-9C9ACA3D9AC2}" name="Column14573"/>
    <tableColumn id="14588" xr3:uid="{EDAAEF3B-EC09-47A6-B175-84C8E9BCC795}" name="Column14574"/>
    <tableColumn id="14589" xr3:uid="{B1D90C2F-2ADC-45CE-9374-3DF8D9D2F845}" name="Column14575"/>
    <tableColumn id="14590" xr3:uid="{553BFF57-0BB5-4579-8F1D-28F1C2215166}" name="Column14576"/>
    <tableColumn id="14591" xr3:uid="{5EAAE515-0FF2-4FFE-BC55-213ABFCC1D14}" name="Column14577"/>
    <tableColumn id="14592" xr3:uid="{CC699E16-38F5-43F2-8025-D9D8D159B962}" name="Column14578"/>
    <tableColumn id="14593" xr3:uid="{5EE57D63-7848-4F9F-9D06-4F30221C7B14}" name="Column14579"/>
    <tableColumn id="14594" xr3:uid="{883DA005-6550-4A5C-8925-9CA284731C57}" name="Column14580"/>
    <tableColumn id="14595" xr3:uid="{437D01ED-3E11-45B8-8DF5-125BEF941A41}" name="Column14581"/>
    <tableColumn id="14596" xr3:uid="{D3474B78-CFC2-4DAB-A178-7DCEE322FAE3}" name="Column14582"/>
    <tableColumn id="14597" xr3:uid="{3D336D37-38DD-4617-AA57-4B3E2C7D3C4E}" name="Column14583"/>
    <tableColumn id="14598" xr3:uid="{1CE3D780-EA73-4DB8-8262-FA4BABB17F26}" name="Column14584"/>
    <tableColumn id="14599" xr3:uid="{C7042D35-759F-4526-AD90-667983BAC581}" name="Column14585"/>
    <tableColumn id="14600" xr3:uid="{E86BB7FF-1F15-4C97-A674-315266451AF7}" name="Column14586"/>
    <tableColumn id="14601" xr3:uid="{CB7E99A7-8727-4047-8FF2-C42CFEFEEDE6}" name="Column14587"/>
    <tableColumn id="14602" xr3:uid="{C625959F-759C-4DA8-A361-7CBBD33FCB75}" name="Column14588"/>
    <tableColumn id="14603" xr3:uid="{BEE916B8-D5D0-4C6A-AB02-82D12639EF1E}" name="Column14589"/>
    <tableColumn id="14604" xr3:uid="{CC9F620C-D956-4C85-A82E-7E9B3993D151}" name="Column14590"/>
    <tableColumn id="14605" xr3:uid="{AFFDFDA1-0C4F-47E0-B64E-3ED81B7CB685}" name="Column14591"/>
    <tableColumn id="14606" xr3:uid="{7DBF09F6-5DB0-40FD-8EE6-361960ED8B47}" name="Column14592"/>
    <tableColumn id="14607" xr3:uid="{EAA0E70B-A4B8-44C2-9993-94DA5EEB5D27}" name="Column14593"/>
    <tableColumn id="14608" xr3:uid="{17647A0D-0D3F-4C68-9B60-7F1839D43B71}" name="Column14594"/>
    <tableColumn id="14609" xr3:uid="{35177B0B-57D1-44DA-AD5A-AF1851DC25C2}" name="Column14595"/>
    <tableColumn id="14610" xr3:uid="{320CB475-1CD5-49E1-8324-60715B5B65C9}" name="Column14596"/>
    <tableColumn id="14611" xr3:uid="{969DED16-259A-4755-90D2-910DD68A16B1}" name="Column14597"/>
    <tableColumn id="14612" xr3:uid="{175ACA70-B8B9-4DAA-B43D-EAD9416439AE}" name="Column14598"/>
    <tableColumn id="14613" xr3:uid="{1A25E4E9-7997-4702-ACCC-C9F43F55F54E}" name="Column14599"/>
    <tableColumn id="14614" xr3:uid="{8874163C-9183-4B5B-A6FF-20C7E04308A0}" name="Column14600"/>
    <tableColumn id="14615" xr3:uid="{2C9C98C8-4AB9-4CB2-987C-C726AC848D31}" name="Column14601"/>
    <tableColumn id="14616" xr3:uid="{8C6D4817-B99F-41EF-A3C2-AEDE59F703AA}" name="Column14602"/>
    <tableColumn id="14617" xr3:uid="{3C174E0A-A3B2-47AC-941B-5C5E642EF48B}" name="Column14603"/>
    <tableColumn id="14618" xr3:uid="{18AD6F70-4529-4B4A-827F-DBE712E2808B}" name="Column14604"/>
    <tableColumn id="14619" xr3:uid="{6ED0CF93-90E0-4012-B867-1EB80E08D906}" name="Column14605"/>
    <tableColumn id="14620" xr3:uid="{A4EC1AFF-0E70-496F-A05E-8A79D6D151E8}" name="Column14606"/>
    <tableColumn id="14621" xr3:uid="{F74D7EF7-556C-44BA-83E9-E326DF57FC5C}" name="Column14607"/>
    <tableColumn id="14622" xr3:uid="{94692334-AF26-485A-BD2A-068BA3F9CA1C}" name="Column14608"/>
    <tableColumn id="14623" xr3:uid="{5056ED4C-6B59-4D6B-BF9F-302BC040ADB8}" name="Column14609"/>
    <tableColumn id="14624" xr3:uid="{E141E1E5-C806-43B9-95A8-AC9A2ABE86FA}" name="Column14610"/>
    <tableColumn id="14625" xr3:uid="{02200AEB-8098-4E37-8D5F-90571D22EA1C}" name="Column14611"/>
    <tableColumn id="14626" xr3:uid="{0E6D88F9-2098-4DB0-B17E-033AA18E8D6C}" name="Column14612"/>
    <tableColumn id="14627" xr3:uid="{D1252D02-9792-4FC2-AB68-02CE0B094E45}" name="Column14613"/>
    <tableColumn id="14628" xr3:uid="{C48F2835-D33D-412B-97DF-E945118C038C}" name="Column14614"/>
    <tableColumn id="14629" xr3:uid="{21826319-B73D-4DE0-B099-CF99B3B061C8}" name="Column14615"/>
    <tableColumn id="14630" xr3:uid="{EABE0382-6BFC-4B54-A612-153499F9BE2B}" name="Column14616"/>
    <tableColumn id="14631" xr3:uid="{A41173A2-DA0C-409D-AAA7-82AF276B9EAA}" name="Column14617"/>
    <tableColumn id="14632" xr3:uid="{78B63C70-DB7F-44AF-BA07-B86A6515CD76}" name="Column14618"/>
    <tableColumn id="14633" xr3:uid="{9B319CE5-B9D9-45B3-A8F6-3E909FB1760F}" name="Column14619"/>
    <tableColumn id="14634" xr3:uid="{3BE420AF-6EE2-492C-8D39-9134F59A38CB}" name="Column14620"/>
    <tableColumn id="14635" xr3:uid="{A1CA8A5A-717C-47EB-8BCB-4AE184F5D3BE}" name="Column14621"/>
    <tableColumn id="14636" xr3:uid="{FE58EA3A-23B4-49A3-ACF8-BF0B3053660A}" name="Column14622"/>
    <tableColumn id="14637" xr3:uid="{C867C42E-D3CD-42AE-83FF-A9B67C54C8FA}" name="Column14623"/>
    <tableColumn id="14638" xr3:uid="{55F1B48E-7A47-405B-87BF-A4585B62C2D7}" name="Column14624"/>
    <tableColumn id="14639" xr3:uid="{7082E1B3-1280-41F3-AD72-5339399955E4}" name="Column14625"/>
    <tableColumn id="14640" xr3:uid="{AD4742E3-3496-4EAD-A69B-E407CCE6A907}" name="Column14626"/>
    <tableColumn id="14641" xr3:uid="{676AFF35-E7F8-42B5-8358-9B66AF13328E}" name="Column14627"/>
    <tableColumn id="14642" xr3:uid="{797B77DE-3B42-404D-BF83-3037FDD84A0B}" name="Column14628"/>
    <tableColumn id="14643" xr3:uid="{88A41803-9AFA-4853-AACE-53BB6B682175}" name="Column14629"/>
    <tableColumn id="14644" xr3:uid="{48FE17BF-3489-4DAD-A5CC-B12DBD7E3263}" name="Column14630"/>
    <tableColumn id="14645" xr3:uid="{59D3B6E4-5C1E-4119-A643-0D20D9CF91D6}" name="Column14631"/>
    <tableColumn id="14646" xr3:uid="{B9646D05-ADB4-4064-8F02-FE6BAEC482C9}" name="Column14632"/>
    <tableColumn id="14647" xr3:uid="{7418CFE6-623C-4AFE-8F11-C4ABFBE52AD2}" name="Column14633"/>
    <tableColumn id="14648" xr3:uid="{E67AA083-9257-4F60-8D2E-4FE5D63B4350}" name="Column14634"/>
    <tableColumn id="14649" xr3:uid="{FC3399EC-2F24-463B-8109-0D8DC8F9A89B}" name="Column14635"/>
    <tableColumn id="14650" xr3:uid="{4AB73D89-4974-4276-A81F-59847FF5282E}" name="Column14636"/>
    <tableColumn id="14651" xr3:uid="{3AE6323D-A6C0-4FF5-A424-F7DF027F520A}" name="Column14637"/>
    <tableColumn id="14652" xr3:uid="{4727A251-CE99-4101-B078-C7568F9A08DD}" name="Column14638"/>
    <tableColumn id="14653" xr3:uid="{73E6961F-9645-4E8D-8EC4-48455A2CBC06}" name="Column14639"/>
    <tableColumn id="14654" xr3:uid="{D885B544-1030-43FE-97CB-EB937595F076}" name="Column14640"/>
    <tableColumn id="14655" xr3:uid="{BD11B034-66F2-4CA3-A1EC-3BB96FBE31E4}" name="Column14641"/>
    <tableColumn id="14656" xr3:uid="{84393BE4-520B-4220-AB8B-067379AA0521}" name="Column14642"/>
    <tableColumn id="14657" xr3:uid="{0A48E9DB-27BC-4795-9251-64307E912AC7}" name="Column14643"/>
    <tableColumn id="14658" xr3:uid="{B16C2829-201B-4DD6-9472-2DBC76FF2E0B}" name="Column14644"/>
    <tableColumn id="14659" xr3:uid="{FC4AF49C-EB2F-4B1E-98A1-FD8399A9FB2B}" name="Column14645"/>
    <tableColumn id="14660" xr3:uid="{6E40DEBE-D095-47BF-9391-E03F9F85B39A}" name="Column14646"/>
    <tableColumn id="14661" xr3:uid="{9947F7AB-442D-4C1E-9CD7-661E27CB02DA}" name="Column14647"/>
    <tableColumn id="14662" xr3:uid="{27375AF1-5150-4DD7-851F-34D1DA0CD650}" name="Column14648"/>
    <tableColumn id="14663" xr3:uid="{DA7F4B8A-D98D-497B-819E-93F8CFE7C218}" name="Column14649"/>
    <tableColumn id="14664" xr3:uid="{3D419EAF-4977-44A6-8BD8-B911F5281856}" name="Column14650"/>
    <tableColumn id="14665" xr3:uid="{C1122753-73DB-4654-B79E-CFF3ECBA446D}" name="Column14651"/>
    <tableColumn id="14666" xr3:uid="{BB1F8F63-8C92-453E-91D8-3495F8670DFE}" name="Column14652"/>
    <tableColumn id="14667" xr3:uid="{2E434D51-CC16-4753-9FE4-5D009672E932}" name="Column14653"/>
    <tableColumn id="14668" xr3:uid="{272168DD-2F61-4EAB-865D-70A6EAF70E33}" name="Column14654"/>
    <tableColumn id="14669" xr3:uid="{CBCE1FB1-C45B-4154-8E9C-7798B593EABB}" name="Column14655"/>
    <tableColumn id="14670" xr3:uid="{D26FAA05-6C00-4868-B0FB-AA41EEB09DF7}" name="Column14656"/>
    <tableColumn id="14671" xr3:uid="{90C118A5-1D4D-44ED-831E-738196054E8F}" name="Column14657"/>
    <tableColumn id="14672" xr3:uid="{1F03C56C-4D42-4C3F-9A42-E02FD7B18440}" name="Column14658"/>
    <tableColumn id="14673" xr3:uid="{5484C9C9-5D27-429F-A4AE-ABC3F28D1224}" name="Column14659"/>
    <tableColumn id="14674" xr3:uid="{89D9B98A-EE78-4361-AEEC-CF9C93BB50A6}" name="Column14660"/>
    <tableColumn id="14675" xr3:uid="{208634E2-4C37-4F5D-AC22-CC1AE3E17057}" name="Column14661"/>
    <tableColumn id="14676" xr3:uid="{1C33E8E5-1BD3-4823-8839-58DB05542358}" name="Column14662"/>
    <tableColumn id="14677" xr3:uid="{302506E0-A507-40C0-9374-9AF752B7B45E}" name="Column14663"/>
    <tableColumn id="14678" xr3:uid="{473468AE-65AB-4BCC-BF5F-C301D53A4A73}" name="Column14664"/>
    <tableColumn id="14679" xr3:uid="{FC1E58AE-DDCE-4FC2-8327-3D6A4F32041D}" name="Column14665"/>
    <tableColumn id="14680" xr3:uid="{F3809C8D-FADF-40BF-B7BA-10AFF4B39782}" name="Column14666"/>
    <tableColumn id="14681" xr3:uid="{B1F24918-36A4-410F-97CC-2CD8E9178091}" name="Column14667"/>
    <tableColumn id="14682" xr3:uid="{4873F91F-541A-4513-9BBD-0A526F5217F4}" name="Column14668"/>
    <tableColumn id="14683" xr3:uid="{C1FFA351-12B5-403F-A4E8-3AD43E57BBA7}" name="Column14669"/>
    <tableColumn id="14684" xr3:uid="{967E08CE-0931-4091-9242-48892D9BFE04}" name="Column14670"/>
    <tableColumn id="14685" xr3:uid="{21DAC596-C90B-4701-AC0E-EE1FDABDBA0D}" name="Column14671"/>
    <tableColumn id="14686" xr3:uid="{EFD085FA-9A96-4407-84B4-6B0F56A46AFB}" name="Column14672"/>
    <tableColumn id="14687" xr3:uid="{40566348-E1A8-4108-AE4F-E530499E6204}" name="Column14673"/>
    <tableColumn id="14688" xr3:uid="{54FDB233-8B92-4E6B-B9B7-0C7E86473030}" name="Column14674"/>
    <tableColumn id="14689" xr3:uid="{09C18A9B-B5AD-4B35-B61D-B1464B564A05}" name="Column14675"/>
    <tableColumn id="14690" xr3:uid="{89C2EF50-3817-45A7-A534-D5E2D18BFEC9}" name="Column14676"/>
    <tableColumn id="14691" xr3:uid="{4164CCAE-871F-4E45-AA3C-180B2D31757B}" name="Column14677"/>
    <tableColumn id="14692" xr3:uid="{745A0613-8753-47D1-B768-F4F71AE67AB3}" name="Column14678"/>
    <tableColumn id="14693" xr3:uid="{AAB55AF7-941A-40FF-A59F-FBBBD5002869}" name="Column14679"/>
    <tableColumn id="14694" xr3:uid="{E768F974-FE2A-41CE-B127-2B016DEF2B51}" name="Column14680"/>
    <tableColumn id="14695" xr3:uid="{FAD0D8A5-D4C8-4FD9-821F-13A8A7F6250F}" name="Column14681"/>
    <tableColumn id="14696" xr3:uid="{988E959A-FA15-447B-8D35-425384255F0D}" name="Column14682"/>
    <tableColumn id="14697" xr3:uid="{90EB3FB6-CFE0-455B-BAA2-BCD27A8F291E}" name="Column14683"/>
    <tableColumn id="14698" xr3:uid="{9A3D63F6-6D48-4064-ACFB-E014DA247174}" name="Column14684"/>
    <tableColumn id="14699" xr3:uid="{F98A2438-A502-4E71-977C-6DB2B57A2295}" name="Column14685"/>
    <tableColumn id="14700" xr3:uid="{A8E657D1-D189-41E4-803A-7B54CA5FF174}" name="Column14686"/>
    <tableColumn id="14701" xr3:uid="{6EE9965C-5BCB-40AD-96EC-1F0E966FF3DC}" name="Column14687"/>
    <tableColumn id="14702" xr3:uid="{BF31FF31-2820-4B73-950A-2D87D443D8E5}" name="Column14688"/>
    <tableColumn id="14703" xr3:uid="{D292F5B3-D39F-400C-9CA0-824F988D513A}" name="Column14689"/>
    <tableColumn id="14704" xr3:uid="{F5C71A6C-1F92-46EA-8611-F35D3E5BC11A}" name="Column14690"/>
    <tableColumn id="14705" xr3:uid="{51FF3F6F-CF26-4F4F-8CB4-F1388935CB65}" name="Column14691"/>
    <tableColumn id="14706" xr3:uid="{15678580-9827-4BBA-A910-45D2995F7D58}" name="Column14692"/>
    <tableColumn id="14707" xr3:uid="{EFF45960-5F6F-4C33-9876-4F86477C9F57}" name="Column14693"/>
    <tableColumn id="14708" xr3:uid="{6294C5BC-5144-48C5-82BB-B8EB8EF9A21A}" name="Column14694"/>
    <tableColumn id="14709" xr3:uid="{3DECAD21-52C6-4452-ADA4-907026CD51BD}" name="Column14695"/>
    <tableColumn id="14710" xr3:uid="{AE555827-10B2-4282-9E8D-D3FF5B222C09}" name="Column14696"/>
    <tableColumn id="14711" xr3:uid="{0706D357-4B5E-41AC-868D-652A7D5E20E2}" name="Column14697"/>
    <tableColumn id="14712" xr3:uid="{495E759C-CE4E-484C-89AE-8E9C82471D07}" name="Column14698"/>
    <tableColumn id="14713" xr3:uid="{CF5691FD-A760-4D80-BDE3-7CE57C558BE4}" name="Column14699"/>
    <tableColumn id="14714" xr3:uid="{DC0DA119-2149-441C-8CC8-DB06CD1035E8}" name="Column14700"/>
    <tableColumn id="14715" xr3:uid="{388E582B-B3D4-4F25-9D42-7583B3DBD19A}" name="Column14701"/>
    <tableColumn id="14716" xr3:uid="{AF3ACE0F-65CD-42A7-B958-A760FF1A992D}" name="Column14702"/>
    <tableColumn id="14717" xr3:uid="{760C7E09-6660-4BA6-8B66-C52F1C65D01B}" name="Column14703"/>
    <tableColumn id="14718" xr3:uid="{9F663875-2184-4442-9147-74A25EA4C0E9}" name="Column14704"/>
    <tableColumn id="14719" xr3:uid="{92EB8B25-B6FC-4FF8-8358-92E0338733E8}" name="Column14705"/>
    <tableColumn id="14720" xr3:uid="{22216DB5-45D3-4D33-AFA4-10975F3671D6}" name="Column14706"/>
    <tableColumn id="14721" xr3:uid="{3D91E422-D94E-4743-B274-85B8F32AD460}" name="Column14707"/>
    <tableColumn id="14722" xr3:uid="{8229D922-3AAE-4189-97C9-C4C24AB43BDE}" name="Column14708"/>
    <tableColumn id="14723" xr3:uid="{63EBD4E6-35C3-4E38-88BA-B3A767525C5A}" name="Column14709"/>
    <tableColumn id="14724" xr3:uid="{8604FA60-3F43-4316-8CFC-FADC1BEDBA1D}" name="Column14710"/>
    <tableColumn id="14725" xr3:uid="{BEFE7DB0-5D2F-489A-BA5D-68A0915B22D8}" name="Column14711"/>
    <tableColumn id="14726" xr3:uid="{46E7B971-05E2-47AD-B796-E1ADF65DD8FD}" name="Column14712"/>
    <tableColumn id="14727" xr3:uid="{5B340FF4-407F-41D9-A399-01A79BEB4759}" name="Column14713"/>
    <tableColumn id="14728" xr3:uid="{2B763AEE-CF4B-47C8-840C-0EC0515AF8A9}" name="Column14714"/>
    <tableColumn id="14729" xr3:uid="{A0DE9BA7-5A67-43BF-BCC5-F48AD2735B58}" name="Column14715"/>
    <tableColumn id="14730" xr3:uid="{876DBF89-0B3F-4B53-AFF3-4AC00B8C9B63}" name="Column14716"/>
    <tableColumn id="14731" xr3:uid="{97A4F453-EE07-482A-8283-C0E5210D994E}" name="Column14717"/>
    <tableColumn id="14732" xr3:uid="{881E23A7-B70E-476C-B403-675C1E778C5C}" name="Column14718"/>
    <tableColumn id="14733" xr3:uid="{D560BA99-D124-4B75-9CC8-748AE6C853B4}" name="Column14719"/>
    <tableColumn id="14734" xr3:uid="{8E202BD3-191F-42A5-9B59-ED2452EE7C56}" name="Column14720"/>
    <tableColumn id="14735" xr3:uid="{5E106156-9E60-4FD1-982E-7AE91942D49E}" name="Column14721"/>
    <tableColumn id="14736" xr3:uid="{DBDEC697-8571-441B-A848-6A7BE5CC80CC}" name="Column14722"/>
    <tableColumn id="14737" xr3:uid="{B001E8D7-BD09-4625-92EE-DCC94FACEE0C}" name="Column14723"/>
    <tableColumn id="14738" xr3:uid="{AF0D2120-DF6D-4906-BD85-AB001EBEBBD7}" name="Column14724"/>
    <tableColumn id="14739" xr3:uid="{ED3521D5-FD3C-4B4B-AEB6-408F2B12C208}" name="Column14725"/>
    <tableColumn id="14740" xr3:uid="{5B0E1F2E-D430-464C-A7A0-90F0C0CAAEB7}" name="Column14726"/>
    <tableColumn id="14741" xr3:uid="{67843D8C-503D-4A57-98B3-B47948A10838}" name="Column14727"/>
    <tableColumn id="14742" xr3:uid="{12F376E9-914E-491A-8E77-99DAA1E733B0}" name="Column14728"/>
    <tableColumn id="14743" xr3:uid="{186420D4-CECE-4136-BA16-3FC166A570D1}" name="Column14729"/>
    <tableColumn id="14744" xr3:uid="{B0C96478-ED53-4152-A551-702F1F79CE86}" name="Column14730"/>
    <tableColumn id="14745" xr3:uid="{0FD4894B-5280-4573-A978-BADD92A69D13}" name="Column14731"/>
    <tableColumn id="14746" xr3:uid="{3ED7DE29-3AAF-49E7-B00E-DECC54F1857F}" name="Column14732"/>
    <tableColumn id="14747" xr3:uid="{803A9613-BDD1-4684-A444-9F0284F3D9B8}" name="Column14733"/>
    <tableColumn id="14748" xr3:uid="{ABB9D909-D766-4831-9453-C18C53DFADF9}" name="Column14734"/>
    <tableColumn id="14749" xr3:uid="{6A65171B-C0EF-4557-8054-5C763A7F6AF6}" name="Column14735"/>
    <tableColumn id="14750" xr3:uid="{7751D67D-8E16-4F86-BB2B-9E8728E2848E}" name="Column14736"/>
    <tableColumn id="14751" xr3:uid="{F952A13B-5F68-4816-8654-D82659EE466E}" name="Column14737"/>
    <tableColumn id="14752" xr3:uid="{59376E11-B867-485E-8974-5E0DFD37677E}" name="Column14738"/>
    <tableColumn id="14753" xr3:uid="{84086E2E-0DE9-4AEB-8CA9-36E11D3A83F4}" name="Column14739"/>
    <tableColumn id="14754" xr3:uid="{73237F3B-C4E1-4F7B-91DA-A9B0722EBC3A}" name="Column14740"/>
    <tableColumn id="14755" xr3:uid="{57FF17D9-E13E-4A35-9241-21ECF75D1997}" name="Column14741"/>
    <tableColumn id="14756" xr3:uid="{D78D8B33-4E86-442C-BE2F-334C9C18CCF8}" name="Column14742"/>
    <tableColumn id="14757" xr3:uid="{01C94CD5-9EB1-44F9-92B5-8CBB2323D5E2}" name="Column14743"/>
    <tableColumn id="14758" xr3:uid="{F373D257-A84F-4962-BA53-72E080902183}" name="Column14744"/>
    <tableColumn id="14759" xr3:uid="{86014E23-E94A-4288-A5DC-639B6B418E01}" name="Column14745"/>
    <tableColumn id="14760" xr3:uid="{AB6D46F5-711D-49ED-9739-01D80964B0C0}" name="Column14746"/>
    <tableColumn id="14761" xr3:uid="{2F360F6F-3FD1-4EC7-BFFF-49AC9A3EE7A3}" name="Column14747"/>
    <tableColumn id="14762" xr3:uid="{D63BAC53-4693-4DD1-BDA1-72E56A03FA08}" name="Column14748"/>
    <tableColumn id="14763" xr3:uid="{0CC9496E-A7BD-4910-B788-26B2AD0A5B79}" name="Column14749"/>
    <tableColumn id="14764" xr3:uid="{3094ED8E-354D-4AB1-BF3D-48DC868FE8C7}" name="Column14750"/>
    <tableColumn id="14765" xr3:uid="{81791676-4D79-484C-A69B-C37A07599F62}" name="Column14751"/>
    <tableColumn id="14766" xr3:uid="{050F7BA2-3613-43FF-B3AB-F77A96546DBF}" name="Column14752"/>
    <tableColumn id="14767" xr3:uid="{F245CC8E-750D-4F77-A3D8-8D1E29178662}" name="Column14753"/>
    <tableColumn id="14768" xr3:uid="{AE546FA3-F575-44B4-AB07-6789783CA3E8}" name="Column14754"/>
    <tableColumn id="14769" xr3:uid="{583FD1C4-C71E-46D6-BB1C-EC3312F408EF}" name="Column14755"/>
    <tableColumn id="14770" xr3:uid="{503C160E-57C5-4BFC-B55B-8857675C4157}" name="Column14756"/>
    <tableColumn id="14771" xr3:uid="{183A56A0-1F6D-4019-AFFE-C87C2809C558}" name="Column14757"/>
    <tableColumn id="14772" xr3:uid="{76BB7ECE-9D38-4829-A35B-84108D118C64}" name="Column14758"/>
    <tableColumn id="14773" xr3:uid="{E1E3AE36-30D1-42BA-ADDE-A1ED5E17F66B}" name="Column14759"/>
    <tableColumn id="14774" xr3:uid="{40544EFD-8D7B-4F19-8908-48DE1621B6BE}" name="Column14760"/>
    <tableColumn id="14775" xr3:uid="{132C3912-50D8-47D8-8D16-C46CA78BBF39}" name="Column14761"/>
    <tableColumn id="14776" xr3:uid="{A8805BB3-B997-4E6D-BF59-4B4EBF910BAF}" name="Column14762"/>
    <tableColumn id="14777" xr3:uid="{4E5305E1-DD54-4AC4-A7A2-F82698ECB25C}" name="Column14763"/>
    <tableColumn id="14778" xr3:uid="{397FDA92-4100-4B54-B6C9-E02E4FDAD7E5}" name="Column14764"/>
    <tableColumn id="14779" xr3:uid="{C126B51A-AF86-4405-90A7-A03B8D1954F8}" name="Column14765"/>
    <tableColumn id="14780" xr3:uid="{E98BDC81-9C12-4CBF-A536-FB27D0BB25C5}" name="Column14766"/>
    <tableColumn id="14781" xr3:uid="{BA0397C8-9A54-47B0-9D08-3A3F8F5896A8}" name="Column14767"/>
    <tableColumn id="14782" xr3:uid="{54400BF4-4216-40C5-BA70-B7845FCDAA81}" name="Column14768"/>
    <tableColumn id="14783" xr3:uid="{6769B74B-1576-4795-A636-ADD35E274713}" name="Column14769"/>
    <tableColumn id="14784" xr3:uid="{D24982C2-B71D-49FF-91DE-91E7BCA8537D}" name="Column14770"/>
    <tableColumn id="14785" xr3:uid="{5761031E-8431-466B-A9D6-37498CAEE477}" name="Column14771"/>
    <tableColumn id="14786" xr3:uid="{819E3AA7-5BE7-45F3-B321-6BBD0D71073E}" name="Column14772"/>
    <tableColumn id="14787" xr3:uid="{BC23DAA4-FCEB-4444-8BEC-47855DE72B38}" name="Column14773"/>
    <tableColumn id="14788" xr3:uid="{9A06B964-B15B-4E35-AC35-566045BC61B0}" name="Column14774"/>
    <tableColumn id="14789" xr3:uid="{9562E6E4-525F-4DC8-B97D-661A76133AD6}" name="Column14775"/>
    <tableColumn id="14790" xr3:uid="{3E4110F1-C87C-4F35-AE91-35163F207A4D}" name="Column14776"/>
    <tableColumn id="14791" xr3:uid="{32A0C173-C4CF-4C3B-B7EC-4BD148E38D70}" name="Column14777"/>
    <tableColumn id="14792" xr3:uid="{21B2A9E9-D4AC-4E72-A158-44A2FCB64DA8}" name="Column14778"/>
    <tableColumn id="14793" xr3:uid="{D54FB050-CE9D-4D24-A16E-3AB05A57A4C1}" name="Column14779"/>
    <tableColumn id="14794" xr3:uid="{68B85417-C7D8-47EA-BCEA-1A3D9242717F}" name="Column14780"/>
    <tableColumn id="14795" xr3:uid="{C930C0D8-9113-4787-9536-3C4DB87F8678}" name="Column14781"/>
    <tableColumn id="14796" xr3:uid="{569577FF-5350-428E-8D04-6AF1F0FC11C9}" name="Column14782"/>
    <tableColumn id="14797" xr3:uid="{A7D6B101-EDE8-4FB0-BC01-EB4915677FBA}" name="Column14783"/>
    <tableColumn id="14798" xr3:uid="{B3A53D6D-BF0B-406D-9E02-17C5AC07901F}" name="Column14784"/>
    <tableColumn id="14799" xr3:uid="{0510A9EF-79EF-4FF4-A334-81BF1599BE6C}" name="Column14785"/>
    <tableColumn id="14800" xr3:uid="{C13CA569-E300-4520-B056-1E1DFC9A780E}" name="Column14786"/>
    <tableColumn id="14801" xr3:uid="{9EAF1A8D-3CA5-4F96-BAE8-45E9C2A9CA1D}" name="Column14787"/>
    <tableColumn id="14802" xr3:uid="{0DE3F97B-68BC-433E-84B5-8608B7A072B6}" name="Column14788"/>
    <tableColumn id="14803" xr3:uid="{255F8A23-8345-414C-A4A6-9019E217CBBF}" name="Column14789"/>
    <tableColumn id="14804" xr3:uid="{A9C2CAA2-EC9E-4029-A3B1-42DE0F1EFC39}" name="Column14790"/>
    <tableColumn id="14805" xr3:uid="{60486333-99F4-48D4-84F3-FBEAA085BDB2}" name="Column14791"/>
    <tableColumn id="14806" xr3:uid="{EB96E5AE-EEEC-4A8A-B070-F8AA4B8C3A7C}" name="Column14792"/>
    <tableColumn id="14807" xr3:uid="{BE310F2C-2022-43E5-960D-35FE7E8C29B2}" name="Column14793"/>
    <tableColumn id="14808" xr3:uid="{F4A5682C-079B-4EB9-8D15-37CD88C82375}" name="Column14794"/>
    <tableColumn id="14809" xr3:uid="{432A6388-9C71-48BB-A665-01FEE25331F1}" name="Column14795"/>
    <tableColumn id="14810" xr3:uid="{1BC70B5B-E39C-485A-9B3B-3336EE574738}" name="Column14796"/>
    <tableColumn id="14811" xr3:uid="{BBB25A12-C8CA-4E60-BCE6-81D8051CED01}" name="Column14797"/>
    <tableColumn id="14812" xr3:uid="{7D49B729-6939-44D5-A1CE-DF85D59BA348}" name="Column14798"/>
    <tableColumn id="14813" xr3:uid="{4BD23D22-447B-4950-BF30-B1536ED3126B}" name="Column14799"/>
    <tableColumn id="14814" xr3:uid="{5BD6D207-289F-482C-965D-D9B10AD48711}" name="Column14800"/>
    <tableColumn id="14815" xr3:uid="{D5AAB68E-B64B-4AE8-BFF0-CB8450E04476}" name="Column14801"/>
    <tableColumn id="14816" xr3:uid="{0E618FDD-04DF-4DB1-8260-A74240EA9C61}" name="Column14802"/>
    <tableColumn id="14817" xr3:uid="{1D034A1F-B5A9-47F1-A067-F6A7951C80C2}" name="Column14803"/>
    <tableColumn id="14818" xr3:uid="{F1CD8841-48F0-4F99-8B6B-B72A997A2293}" name="Column14804"/>
    <tableColumn id="14819" xr3:uid="{28A3BD5F-E8A4-4D03-90AF-9523DBEA4889}" name="Column14805"/>
    <tableColumn id="14820" xr3:uid="{8B09D803-FA9A-4C30-91DA-673C54185DF0}" name="Column14806"/>
    <tableColumn id="14821" xr3:uid="{66B7A81F-D7DB-4EF9-BBF6-7F80BA4179F8}" name="Column14807"/>
    <tableColumn id="14822" xr3:uid="{1BB6CC09-C123-4B8D-9B70-DDAB7A54A517}" name="Column14808"/>
    <tableColumn id="14823" xr3:uid="{FF3DE8E4-A0F5-41C2-AC18-3927096FB8D0}" name="Column14809"/>
    <tableColumn id="14824" xr3:uid="{93D05CFA-AF25-4705-A5CE-964423607CC3}" name="Column14810"/>
    <tableColumn id="14825" xr3:uid="{4871284C-37A3-4C99-8E19-44EA771C650B}" name="Column14811"/>
    <tableColumn id="14826" xr3:uid="{8FAAA1F4-5457-4C9F-9442-8E7A260CF427}" name="Column14812"/>
    <tableColumn id="14827" xr3:uid="{BBA36186-C21F-43F4-B0D6-99E7AB6EF6DC}" name="Column14813"/>
    <tableColumn id="14828" xr3:uid="{CD72971E-FA97-424A-9024-DD5E9C8FD9FE}" name="Column14814"/>
    <tableColumn id="14829" xr3:uid="{ADB3A763-A053-42CD-BDB1-7EDC49B5191B}" name="Column14815"/>
    <tableColumn id="14830" xr3:uid="{AF689B2C-4B60-4415-AE69-624E0F1B77AD}" name="Column14816"/>
    <tableColumn id="14831" xr3:uid="{AE63F26B-FF8F-4299-90C7-1304B58B227D}" name="Column14817"/>
    <tableColumn id="14832" xr3:uid="{FEF91323-7196-4EE4-824C-14B4F9E9E73C}" name="Column14818"/>
    <tableColumn id="14833" xr3:uid="{7E8C5498-058D-4489-88C0-5D6831AE87D3}" name="Column14819"/>
    <tableColumn id="14834" xr3:uid="{9387ECD7-1F46-408F-A4D8-6398661EE437}" name="Column14820"/>
    <tableColumn id="14835" xr3:uid="{93CDDCC5-FBCE-4FD1-AAC0-F3026009AF85}" name="Column14821"/>
    <tableColumn id="14836" xr3:uid="{E88944B0-80E0-4B66-BEDF-A3D32697D952}" name="Column14822"/>
    <tableColumn id="14837" xr3:uid="{B222A947-B43F-45AF-B353-5C92E2D0EFA4}" name="Column14823"/>
    <tableColumn id="14838" xr3:uid="{FAD4F363-CE54-4366-9302-CD0B981C9F2A}" name="Column14824"/>
    <tableColumn id="14839" xr3:uid="{03A92A1C-906B-49DC-9121-F14C10F5F002}" name="Column14825"/>
    <tableColumn id="14840" xr3:uid="{7D678E7A-C2DE-455C-B021-C84202AEA226}" name="Column14826"/>
    <tableColumn id="14841" xr3:uid="{9F8E98CF-5E2D-43C3-8949-D5D4C4DC60DA}" name="Column14827"/>
    <tableColumn id="14842" xr3:uid="{ABC3627C-F12D-4EC4-A057-1210EABD100B}" name="Column14828"/>
    <tableColumn id="14843" xr3:uid="{C836445B-DE8A-4D4E-BAFF-98DB0AE742A3}" name="Column14829"/>
    <tableColumn id="14844" xr3:uid="{3AC6355B-9F33-4E43-B0F8-61BB008211C6}" name="Column14830"/>
    <tableColumn id="14845" xr3:uid="{0C9CE16F-2B43-4B0B-A207-EE77D5E5EEFA}" name="Column14831"/>
    <tableColumn id="14846" xr3:uid="{FF2CA821-B07D-4972-AF0C-7FF8BFD85A71}" name="Column14832"/>
    <tableColumn id="14847" xr3:uid="{5A5BAB13-AC31-419C-8B66-00F0BF54EE4E}" name="Column14833"/>
    <tableColumn id="14848" xr3:uid="{4788E0F7-86A5-4FA6-836A-426B1CBCF77D}" name="Column14834"/>
    <tableColumn id="14849" xr3:uid="{0A0C12DF-9288-4DA6-82FA-2FADCA373E5A}" name="Column14835"/>
    <tableColumn id="14850" xr3:uid="{5F75BFC0-3C98-4B5E-8B13-DD3B420852FE}" name="Column14836"/>
    <tableColumn id="14851" xr3:uid="{4D075C0F-59F5-457F-939E-14BAB2E55C14}" name="Column14837"/>
    <tableColumn id="14852" xr3:uid="{8B49827F-FFB3-433B-9E76-D5BE236EC095}" name="Column14838"/>
    <tableColumn id="14853" xr3:uid="{FFC17105-0C56-4516-AABF-9C2E7E183F86}" name="Column14839"/>
    <tableColumn id="14854" xr3:uid="{FF654D39-AC37-4A07-ACD4-0AE113E53559}" name="Column14840"/>
    <tableColumn id="14855" xr3:uid="{2C96F996-53D9-44CB-AA17-DB4F9BCFD61B}" name="Column14841"/>
    <tableColumn id="14856" xr3:uid="{7E681E53-036E-4795-8D0D-F2CE0F6F2A7D}" name="Column14842"/>
    <tableColumn id="14857" xr3:uid="{D3EE0612-899C-4B16-A527-8EC4E1AD6AB7}" name="Column14843"/>
    <tableColumn id="14858" xr3:uid="{2C03DC84-638F-46B7-AEDD-1F9C8F62CF2A}" name="Column14844"/>
    <tableColumn id="14859" xr3:uid="{4842AEC2-9BB1-4150-A5CC-3363A613480B}" name="Column14845"/>
    <tableColumn id="14860" xr3:uid="{3816E2FD-568A-4A7D-9561-295982CA9336}" name="Column14846"/>
    <tableColumn id="14861" xr3:uid="{A69475C8-A633-44D3-8D72-31BF2E105B5E}" name="Column14847"/>
    <tableColumn id="14862" xr3:uid="{C497EF8D-D678-4E76-8499-ABF99D40F485}" name="Column14848"/>
    <tableColumn id="14863" xr3:uid="{D69C4D38-7569-44E9-8093-1F34D45CA2B0}" name="Column14849"/>
    <tableColumn id="14864" xr3:uid="{4DF81B19-676E-4677-BD66-B28E0FA35CB5}" name="Column14850"/>
    <tableColumn id="14865" xr3:uid="{3B047383-FC57-4DA6-908C-E91BF2954DB9}" name="Column14851"/>
    <tableColumn id="14866" xr3:uid="{B07CEF52-A3C0-4F3E-8BA6-E64A361604E2}" name="Column14852"/>
    <tableColumn id="14867" xr3:uid="{CFB65B8F-2C86-43DA-90D2-757BD8790715}" name="Column14853"/>
    <tableColumn id="14868" xr3:uid="{1D5D1060-52E6-4B63-8B08-7A74A8AE6B89}" name="Column14854"/>
    <tableColumn id="14869" xr3:uid="{926AF09E-A7F7-43B6-836A-415601B9067E}" name="Column14855"/>
    <tableColumn id="14870" xr3:uid="{3E221F02-76A2-43F1-BACF-302A1DD5D09F}" name="Column14856"/>
    <tableColumn id="14871" xr3:uid="{486EFC53-E2F6-410F-89D5-6BCC32B7FB97}" name="Column14857"/>
    <tableColumn id="14872" xr3:uid="{1EFC2552-342E-4E6E-A675-22A2D5F05641}" name="Column14858"/>
    <tableColumn id="14873" xr3:uid="{76F45E63-DD08-457B-9316-833B073C2420}" name="Column14859"/>
    <tableColumn id="14874" xr3:uid="{C100040F-3E88-4F95-B4FD-BCE881981ECA}" name="Column14860"/>
    <tableColumn id="14875" xr3:uid="{6882499F-179C-414F-A198-569D08F52248}" name="Column14861"/>
    <tableColumn id="14876" xr3:uid="{012ECDED-EEE9-4713-9090-F11A8272B6F5}" name="Column14862"/>
    <tableColumn id="14877" xr3:uid="{13154EDA-8CDC-42CE-8E76-7A2F0CFFE580}" name="Column14863"/>
    <tableColumn id="14878" xr3:uid="{BFB54445-F112-4443-8342-69E070982560}" name="Column14864"/>
    <tableColumn id="14879" xr3:uid="{1D03C43E-DA1F-454E-AFE2-8A152B099BB0}" name="Column14865"/>
    <tableColumn id="14880" xr3:uid="{8A8EFBCE-6654-4258-A63C-35905DAAE4E0}" name="Column14866"/>
    <tableColumn id="14881" xr3:uid="{B77776E6-0973-401F-A14B-FE513A2A81D3}" name="Column14867"/>
    <tableColumn id="14882" xr3:uid="{F8BA64B6-BF80-4DFE-AE56-E826CBE523A9}" name="Column14868"/>
    <tableColumn id="14883" xr3:uid="{59FF0AEE-001A-46AD-9492-9E3C3E9DFA8B}" name="Column14869"/>
    <tableColumn id="14884" xr3:uid="{D6855EA8-A53C-440B-8932-BF844DEA063B}" name="Column14870"/>
    <tableColumn id="14885" xr3:uid="{99D30A29-F1FA-458B-ABBE-3CFCEE87E129}" name="Column14871"/>
    <tableColumn id="14886" xr3:uid="{CF5032C0-8E20-45FC-ACD7-4055EEE729EE}" name="Column14872"/>
    <tableColumn id="14887" xr3:uid="{092BE717-0EEE-4204-8849-C0E340DF623A}" name="Column14873"/>
    <tableColumn id="14888" xr3:uid="{A1D34689-9D1A-4460-B7CA-ED3B4F856121}" name="Column14874"/>
    <tableColumn id="14889" xr3:uid="{78308119-4F06-48AC-BECC-CB98435297A2}" name="Column14875"/>
    <tableColumn id="14890" xr3:uid="{BDC95230-BF97-41C4-9B61-F8E1180AC4E1}" name="Column14876"/>
    <tableColumn id="14891" xr3:uid="{0D1F0AFF-A33C-420A-B46C-E0D0D19BFFD8}" name="Column14877"/>
    <tableColumn id="14892" xr3:uid="{831FBCC2-E3DB-4129-ACAA-F456D5204626}" name="Column14878"/>
    <tableColumn id="14893" xr3:uid="{CB725B54-B831-4C6B-92E2-317D1871418E}" name="Column14879"/>
    <tableColumn id="14894" xr3:uid="{31EF81B8-D7F6-44B4-8D69-6AEC02963595}" name="Column14880"/>
    <tableColumn id="14895" xr3:uid="{D181A8FB-11B7-497C-AB68-31B016789F45}" name="Column14881"/>
    <tableColumn id="14896" xr3:uid="{E6EFBD2C-8FB8-475E-AF44-9243320B6869}" name="Column14882"/>
    <tableColumn id="14897" xr3:uid="{25C1203C-878F-4E1C-81B5-B15B47832C44}" name="Column14883"/>
    <tableColumn id="14898" xr3:uid="{78AFD311-1114-4836-87B9-1D7650342F24}" name="Column14884"/>
    <tableColumn id="14899" xr3:uid="{DD131C58-C115-4B7F-BB3F-EB39E87AEC34}" name="Column14885"/>
    <tableColumn id="14900" xr3:uid="{CEF62566-D3A1-4D73-9038-84C3F1E1E6BC}" name="Column14886"/>
    <tableColumn id="14901" xr3:uid="{6D1AD9FD-64B7-41D0-B65D-DF4CBCE91E40}" name="Column14887"/>
    <tableColumn id="14902" xr3:uid="{BC4681EF-7E8B-425B-9F73-186BCC5B2F22}" name="Column14888"/>
    <tableColumn id="14903" xr3:uid="{B4F27BAA-D720-4963-8F88-681DF3F4A85A}" name="Column14889"/>
    <tableColumn id="14904" xr3:uid="{7285548D-B82E-452C-B2ED-69D0FAC1CE76}" name="Column14890"/>
    <tableColumn id="14905" xr3:uid="{F2A24EC1-1300-4439-8AF5-3F8DC210A292}" name="Column14891"/>
    <tableColumn id="14906" xr3:uid="{F3661C88-53BE-4F59-A205-EFE603E1BA57}" name="Column14892"/>
    <tableColumn id="14907" xr3:uid="{9EE04212-2C04-4874-80DF-E93D8ECA99D5}" name="Column14893"/>
    <tableColumn id="14908" xr3:uid="{451FD1E3-DBB7-4DC1-A9FD-279D40A7A237}" name="Column14894"/>
    <tableColumn id="14909" xr3:uid="{A73AB53D-DB2A-4314-979C-AF8587092586}" name="Column14895"/>
    <tableColumn id="14910" xr3:uid="{D447D369-EA54-40B7-B315-74B1078D8448}" name="Column14896"/>
    <tableColumn id="14911" xr3:uid="{E9E7F810-4A3E-437B-8539-E54E71016C8C}" name="Column14897"/>
    <tableColumn id="14912" xr3:uid="{9E4E4B2E-1CEB-4A42-B598-27527C19C1B4}" name="Column14898"/>
    <tableColumn id="14913" xr3:uid="{7624FF19-4364-4417-AC82-524D0BE7F2C2}" name="Column14899"/>
    <tableColumn id="14914" xr3:uid="{D6A766FA-A344-411B-8B7B-CBE8E3B41E49}" name="Column14900"/>
    <tableColumn id="14915" xr3:uid="{1C397925-4D90-4200-9A10-0AF9E462A067}" name="Column14901"/>
    <tableColumn id="14916" xr3:uid="{D52CE833-327C-4FEE-A339-65BC188CE59E}" name="Column14902"/>
    <tableColumn id="14917" xr3:uid="{635E1126-631F-411A-A479-F072D4E95A7F}" name="Column14903"/>
    <tableColumn id="14918" xr3:uid="{6229F5A6-9AAC-4D2D-A01A-5FB7F7FDCCCC}" name="Column14904"/>
    <tableColumn id="14919" xr3:uid="{D13C89E1-7A58-4CD8-ADA1-C089870CDA68}" name="Column14905"/>
    <tableColumn id="14920" xr3:uid="{701807BD-4D1F-43C9-9BA2-836143932F99}" name="Column14906"/>
    <tableColumn id="14921" xr3:uid="{B4409933-BF5F-4F6D-BA6C-486F65688850}" name="Column14907"/>
    <tableColumn id="14922" xr3:uid="{FA902A63-54E3-4D55-A82A-FDC296749486}" name="Column14908"/>
    <tableColumn id="14923" xr3:uid="{BF097610-0496-4955-8910-1FFFCBBEC4E4}" name="Column14909"/>
    <tableColumn id="14924" xr3:uid="{975E82B1-8E82-4FE5-9F13-606BD0BAA349}" name="Column14910"/>
    <tableColumn id="14925" xr3:uid="{372B2308-7B92-454F-B677-98149FEE4C78}" name="Column14911"/>
    <tableColumn id="14926" xr3:uid="{FD8A452F-F4A5-4DE0-A2DF-74747FD29537}" name="Column14912"/>
    <tableColumn id="14927" xr3:uid="{0854297D-EC55-4C7A-BEC6-1862B19F504C}" name="Column14913"/>
    <tableColumn id="14928" xr3:uid="{EC523D93-12F6-4C06-A1B9-094A67947D60}" name="Column14914"/>
    <tableColumn id="14929" xr3:uid="{BDD97B11-C5EE-45D9-980A-E50B398DF34D}" name="Column14915"/>
    <tableColumn id="14930" xr3:uid="{D4FC2CC6-81E1-4DD3-9A76-4666C0148A91}" name="Column14916"/>
    <tableColumn id="14931" xr3:uid="{767A13D4-1200-49E5-B425-17AD294A9024}" name="Column14917"/>
    <tableColumn id="14932" xr3:uid="{E8A79ADB-4BB2-45EB-BFF9-C9DA5E34C8F4}" name="Column14918"/>
    <tableColumn id="14933" xr3:uid="{CFC00D96-29C1-4466-AFDD-953188DB2027}" name="Column14919"/>
    <tableColumn id="14934" xr3:uid="{25CDCD41-C608-41FA-B96F-05B1EF74B5C3}" name="Column14920"/>
    <tableColumn id="14935" xr3:uid="{9146F212-5E27-462F-BD01-989345A41EF0}" name="Column14921"/>
    <tableColumn id="14936" xr3:uid="{53FF4584-355F-4127-A320-05367E929D76}" name="Column14922"/>
    <tableColumn id="14937" xr3:uid="{C5FF7AB9-EA9D-44AA-8F76-C6E2AD8ADDB4}" name="Column14923"/>
    <tableColumn id="14938" xr3:uid="{997F5FC5-7330-4027-8861-54D2CD025B2A}" name="Column14924"/>
    <tableColumn id="14939" xr3:uid="{3C6CD657-74AD-4DF3-816B-8A83BDCB4B67}" name="Column14925"/>
    <tableColumn id="14940" xr3:uid="{3F33EF2E-5EF2-42D3-800C-1B8597A1DB18}" name="Column14926"/>
    <tableColumn id="14941" xr3:uid="{2C364D07-7420-400D-A789-35F1D292CBAC}" name="Column14927"/>
    <tableColumn id="14942" xr3:uid="{90BE942E-654D-43F3-8F3C-ECA2C0A77BDD}" name="Column14928"/>
    <tableColumn id="14943" xr3:uid="{260EE941-C2F3-4743-B3C7-07D9393C5AD2}" name="Column14929"/>
    <tableColumn id="14944" xr3:uid="{6E87876E-5B0B-439A-91D2-B2C374DDD6A2}" name="Column14930"/>
    <tableColumn id="14945" xr3:uid="{0ACF036C-F1D8-481A-A4C7-12EDC31B0F27}" name="Column14931"/>
    <tableColumn id="14946" xr3:uid="{12E6167C-F6BA-4AEA-8D4E-38981F36A022}" name="Column14932"/>
    <tableColumn id="14947" xr3:uid="{D6EE3C9F-4ECE-4CE0-BFD9-41E4E1634661}" name="Column14933"/>
    <tableColumn id="14948" xr3:uid="{51FD1A2D-2CBA-4EF8-9880-55046B721AF4}" name="Column14934"/>
    <tableColumn id="14949" xr3:uid="{AA184246-6198-42FB-A329-44A2F57CBEDA}" name="Column14935"/>
    <tableColumn id="14950" xr3:uid="{C156ADA6-A1E6-494F-8997-C2EBA3D18901}" name="Column14936"/>
    <tableColumn id="14951" xr3:uid="{EB9C8D7A-6ADB-487E-B48B-7B2EAF485664}" name="Column14937"/>
    <tableColumn id="14952" xr3:uid="{32704E7C-B48A-4AEA-8D1E-2E6B65C85EEA}" name="Column14938"/>
    <tableColumn id="14953" xr3:uid="{3E0E2B0E-85F1-45EA-B505-95EC4BF68F59}" name="Column14939"/>
    <tableColumn id="14954" xr3:uid="{339AFFCD-87D4-4D13-99D5-3385727CD2A5}" name="Column14940"/>
    <tableColumn id="14955" xr3:uid="{77770422-900E-4B9D-8BE9-5C2EEBBF80A6}" name="Column14941"/>
    <tableColumn id="14956" xr3:uid="{873EF7FA-B8BC-49ED-AB76-EA840FB8A984}" name="Column14942"/>
    <tableColumn id="14957" xr3:uid="{E5F91F40-74C3-4D4D-9FCB-934129F7E352}" name="Column14943"/>
    <tableColumn id="14958" xr3:uid="{9C63B3C3-D9DE-4B42-878B-79E02815A213}" name="Column14944"/>
    <tableColumn id="14959" xr3:uid="{6AA61421-7DF6-4E58-ADED-29E41F1343B4}" name="Column14945"/>
    <tableColumn id="14960" xr3:uid="{7E70A2CE-C698-4D50-9EFE-55EB0D50379B}" name="Column14946"/>
    <tableColumn id="14961" xr3:uid="{BB63791E-9A88-4275-A1AA-C1D8E706525E}" name="Column14947"/>
    <tableColumn id="14962" xr3:uid="{A6F86330-41DB-4A60-9BC0-A3F495D0A2D0}" name="Column14948"/>
    <tableColumn id="14963" xr3:uid="{EF8D24EA-777F-4EF6-90D5-19302FFA135C}" name="Column14949"/>
    <tableColumn id="14964" xr3:uid="{CEA72493-02A7-457C-9D7A-E66E8207824D}" name="Column14950"/>
    <tableColumn id="14965" xr3:uid="{8D9FFE9E-A0AB-435B-8BA4-C52C656FF20E}" name="Column14951"/>
    <tableColumn id="14966" xr3:uid="{FA3F2DDE-3B94-45EF-94C7-B4FEADD903F8}" name="Column14952"/>
    <tableColumn id="14967" xr3:uid="{0534F12E-FEC7-43F5-9817-384CEE76AEA6}" name="Column14953"/>
    <tableColumn id="14968" xr3:uid="{192DCCCA-E961-4971-B452-B83AE062FE6A}" name="Column14954"/>
    <tableColumn id="14969" xr3:uid="{D090A689-170F-40F2-B5F1-14DDF5372AFB}" name="Column14955"/>
    <tableColumn id="14970" xr3:uid="{BD23BCDE-46D5-4BF0-A305-7345370176DF}" name="Column14956"/>
    <tableColumn id="14971" xr3:uid="{10CC774D-F30E-4DCD-93D8-AD40E02873C4}" name="Column14957"/>
    <tableColumn id="14972" xr3:uid="{0D487D43-89DA-4B1A-B7BD-B910B49E2ACD}" name="Column14958"/>
    <tableColumn id="14973" xr3:uid="{CFCA83A8-C670-414B-B105-C36922B4B3C2}" name="Column14959"/>
    <tableColumn id="14974" xr3:uid="{D7176025-835A-4DF1-BB16-AF4685E6AB80}" name="Column14960"/>
    <tableColumn id="14975" xr3:uid="{4241D637-B119-41F3-90CB-9410BB31570D}" name="Column14961"/>
    <tableColumn id="14976" xr3:uid="{C7E67D05-FC00-4A36-B8A0-BFDBA6551077}" name="Column14962"/>
    <tableColumn id="14977" xr3:uid="{418DEC0C-E07A-4AF1-B5B9-B5233BC988B0}" name="Column14963"/>
    <tableColumn id="14978" xr3:uid="{6BFF883C-CAFC-4280-B91F-CD866F9DB471}" name="Column14964"/>
    <tableColumn id="14979" xr3:uid="{9C071771-A22F-49C6-A983-AC27F0F63746}" name="Column14965"/>
    <tableColumn id="14980" xr3:uid="{6589F3F6-3F16-4367-9AC7-4E42A9B2D5DB}" name="Column14966"/>
    <tableColumn id="14981" xr3:uid="{0A92B8D3-CC07-45F7-BCA5-DC014D0653F9}" name="Column14967"/>
    <tableColumn id="14982" xr3:uid="{1BB9A08D-1AC9-4D8E-BFDB-0B1F31FCBE0E}" name="Column14968"/>
    <tableColumn id="14983" xr3:uid="{7E249E89-B8D7-4906-8100-9021D6E43DDF}" name="Column14969"/>
    <tableColumn id="14984" xr3:uid="{08B7B972-9522-4E4D-911E-2FE0331463BD}" name="Column14970"/>
    <tableColumn id="14985" xr3:uid="{56F11A4B-C679-43B8-8109-9B1F12B8CC96}" name="Column14971"/>
    <tableColumn id="14986" xr3:uid="{7BE2C899-6E4B-47ED-AA1F-D1CEFC9871A5}" name="Column14972"/>
    <tableColumn id="14987" xr3:uid="{E262A3A8-0475-4868-BADC-44E26A0EBBFF}" name="Column14973"/>
    <tableColumn id="14988" xr3:uid="{97229C6F-9DFC-450A-833D-C8CE2A26CF1F}" name="Column14974"/>
    <tableColumn id="14989" xr3:uid="{CA0BB678-1AB7-437B-8EB3-FFDD9984E8A1}" name="Column14975"/>
    <tableColumn id="14990" xr3:uid="{5DF67381-4798-4895-8A78-540A7465EEE0}" name="Column14976"/>
    <tableColumn id="14991" xr3:uid="{F5A0DF37-B40D-4530-B8E4-75A38CB8B381}" name="Column14977"/>
    <tableColumn id="14992" xr3:uid="{F093B38D-506D-48B3-9D5A-A5A680A6BC1A}" name="Column14978"/>
    <tableColumn id="14993" xr3:uid="{59868ABC-C00C-4A81-844B-37AB629CF7CB}" name="Column14979"/>
    <tableColumn id="14994" xr3:uid="{AF5955BD-F9F8-4224-BE1D-FF852DC59D1F}" name="Column14980"/>
    <tableColumn id="14995" xr3:uid="{16CBA7D0-7EDD-47A7-B856-BB2E31D0649B}" name="Column14981"/>
    <tableColumn id="14996" xr3:uid="{B0213018-D20B-407E-879E-755768DEF6C9}" name="Column14982"/>
    <tableColumn id="14997" xr3:uid="{9F8F1A8A-D924-47AD-A856-C324B4691B00}" name="Column14983"/>
    <tableColumn id="14998" xr3:uid="{CD89222C-EE20-4E2E-9AB1-2D191C2EABC1}" name="Column14984"/>
    <tableColumn id="14999" xr3:uid="{C7E930E8-1369-4765-A2D2-8F2559A88985}" name="Column14985"/>
    <tableColumn id="15000" xr3:uid="{CC07C0D4-08CC-4050-8B26-A4282C6A27FB}" name="Column14986"/>
    <tableColumn id="15001" xr3:uid="{EBB7F8FB-67D5-440D-BB77-3ACB40996684}" name="Column14987"/>
    <tableColumn id="15002" xr3:uid="{CC3BE565-300B-4D24-9550-52D8C923E000}" name="Column14988"/>
    <tableColumn id="15003" xr3:uid="{EC654F54-FE0C-4F4A-948C-A40F8AF9832E}" name="Column14989"/>
    <tableColumn id="15004" xr3:uid="{6D372DD5-A662-4DD7-BF92-0561D76BFB1B}" name="Column14990"/>
    <tableColumn id="15005" xr3:uid="{5E03C372-F2F9-4511-AE4F-37EACFF7C8CE}" name="Column14991"/>
    <tableColumn id="15006" xr3:uid="{B2E48355-E396-40BD-9C45-CAB512492E2D}" name="Column14992"/>
    <tableColumn id="15007" xr3:uid="{6C750594-14B9-40EE-87B0-1FA564BB9D08}" name="Column14993"/>
    <tableColumn id="15008" xr3:uid="{693F9A1F-DB73-4CED-B9FA-48EDB53D0D3F}" name="Column14994"/>
    <tableColumn id="15009" xr3:uid="{47E8B79E-34C9-42ED-8314-7D9CAA714E82}" name="Column14995"/>
    <tableColumn id="15010" xr3:uid="{022B60ED-FA09-4B3C-B9BF-800FC739F7BB}" name="Column14996"/>
    <tableColumn id="15011" xr3:uid="{77094FD0-A336-4A36-A9B4-DB388AE364F2}" name="Column14997"/>
    <tableColumn id="15012" xr3:uid="{6A184A5A-4CC5-436A-B60E-F7D1EEC9D34D}" name="Column14998"/>
    <tableColumn id="15013" xr3:uid="{2793818D-4FF8-4E86-8112-1A0C898C34ED}" name="Column14999"/>
    <tableColumn id="15014" xr3:uid="{47C817CA-0643-4ABF-8208-84A356B7FA4D}" name="Column15000"/>
    <tableColumn id="15015" xr3:uid="{3492B6A8-6A75-4515-863A-7C8CEE6171E6}" name="Column15001"/>
    <tableColumn id="15016" xr3:uid="{44B80D03-DBA0-46EC-9D20-ED77470F00F8}" name="Column15002"/>
    <tableColumn id="15017" xr3:uid="{4DAE1A42-F077-435C-ABB8-948BA820C305}" name="Column15003"/>
    <tableColumn id="15018" xr3:uid="{F0B77C84-2A93-489D-8B78-A6CAECB76F1F}" name="Column15004"/>
    <tableColumn id="15019" xr3:uid="{5BD39031-C4EE-49A0-83EA-6F9EE1E563F1}" name="Column15005"/>
    <tableColumn id="15020" xr3:uid="{F5DDB077-574D-4DE1-9216-0C194400792F}" name="Column15006"/>
    <tableColumn id="15021" xr3:uid="{CCA4DE3D-38AE-4AEA-9BD1-1E7EFC0EA237}" name="Column15007"/>
    <tableColumn id="15022" xr3:uid="{76693E73-ABF7-4C5F-B0B3-F9124CB1471B}" name="Column15008"/>
    <tableColumn id="15023" xr3:uid="{28257912-34B7-47DB-8AF7-2755CC46EA07}" name="Column15009"/>
    <tableColumn id="15024" xr3:uid="{A4D2D698-B364-47DB-8A83-242466977E37}" name="Column15010"/>
    <tableColumn id="15025" xr3:uid="{AD056EF8-1679-456E-8E1F-A5EEDD0CD2B8}" name="Column15011"/>
    <tableColumn id="15026" xr3:uid="{7164D44B-6E5A-41FF-9EF1-36FF7144B38F}" name="Column15012"/>
    <tableColumn id="15027" xr3:uid="{4CE2CAD9-3672-4C2D-91F6-588E947B377B}" name="Column15013"/>
    <tableColumn id="15028" xr3:uid="{E51A6F66-3F8B-4B1B-9A68-DE7F31308226}" name="Column15014"/>
    <tableColumn id="15029" xr3:uid="{832421B1-800D-4C30-BEDF-CAF6AF5C4482}" name="Column15015"/>
    <tableColumn id="15030" xr3:uid="{9EED06EE-8639-4AE4-8E7B-45627EF1132A}" name="Column15016"/>
    <tableColumn id="15031" xr3:uid="{A452689B-59D6-4BA6-AA8B-8F576DDC94A9}" name="Column15017"/>
    <tableColumn id="15032" xr3:uid="{32AD1A62-56E5-4D10-9567-5D7928BB94D4}" name="Column15018"/>
    <tableColumn id="15033" xr3:uid="{639CC240-CE0D-41CF-AE91-2A9A9A38853D}" name="Column15019"/>
    <tableColumn id="15034" xr3:uid="{EAA9B077-64AB-4626-8341-1EA0410ABE42}" name="Column15020"/>
    <tableColumn id="15035" xr3:uid="{8893552C-1912-4D18-B50F-6E712EA2B49A}" name="Column15021"/>
    <tableColumn id="15036" xr3:uid="{D3934DC6-260B-45F8-8F3E-8254CF7F9833}" name="Column15022"/>
    <tableColumn id="15037" xr3:uid="{5814DEBB-1E96-478E-969A-FB2ECFECCAD0}" name="Column15023"/>
    <tableColumn id="15038" xr3:uid="{061D2962-BA0E-4AB9-B903-1588EFB67BD3}" name="Column15024"/>
    <tableColumn id="15039" xr3:uid="{E9111F44-3DEB-441A-9EB8-3E90953058DB}" name="Column15025"/>
    <tableColumn id="15040" xr3:uid="{B1561398-A340-461D-BC8B-AB25EC6439EF}" name="Column15026"/>
    <tableColumn id="15041" xr3:uid="{10E31ACE-A5B4-4F32-8F0B-D1BFE10D692F}" name="Column15027"/>
    <tableColumn id="15042" xr3:uid="{D83A3444-9986-45DF-8217-92265D5AF208}" name="Column15028"/>
    <tableColumn id="15043" xr3:uid="{0045572D-A97B-4FCE-9F9D-DEBE4F5FD44E}" name="Column15029"/>
    <tableColumn id="15044" xr3:uid="{C32C69A2-8BAB-4C50-9DF8-6C1EA09DF7DB}" name="Column15030"/>
    <tableColumn id="15045" xr3:uid="{84586C0F-E398-479E-A3C3-9AE7A853A715}" name="Column15031"/>
    <tableColumn id="15046" xr3:uid="{CFAB86EB-D40B-4408-9C06-C9433F58801A}" name="Column15032"/>
    <tableColumn id="15047" xr3:uid="{C2B43791-81CD-4A75-8A61-C2895AA27FFA}" name="Column15033"/>
    <tableColumn id="15048" xr3:uid="{11A5CC72-5042-4F9F-981F-48BA56EB6243}" name="Column15034"/>
    <tableColumn id="15049" xr3:uid="{EC1E422C-D5D8-4D9A-8B2A-0BDDF31D1201}" name="Column15035"/>
    <tableColumn id="15050" xr3:uid="{AC0C3428-6360-4939-A61F-BE25A7264176}" name="Column15036"/>
    <tableColumn id="15051" xr3:uid="{34E449EB-065C-4073-83F8-1F09539485A4}" name="Column15037"/>
    <tableColumn id="15052" xr3:uid="{AB7843F8-561A-4C9D-81AB-074EC3883FAE}" name="Column15038"/>
    <tableColumn id="15053" xr3:uid="{0B384352-8C6C-431F-8DC5-C2B3CB6ECC08}" name="Column15039"/>
    <tableColumn id="15054" xr3:uid="{D1BF490A-B64B-4837-B0BA-EF5D8901B880}" name="Column15040"/>
    <tableColumn id="15055" xr3:uid="{9D37C39F-7CE5-4956-85A3-6798ACD420B0}" name="Column15041"/>
    <tableColumn id="15056" xr3:uid="{5D7E724C-5CB4-4A57-8A52-64FD5F696E59}" name="Column15042"/>
    <tableColumn id="15057" xr3:uid="{5AC03002-96F6-4B88-AC84-47BBABAD1769}" name="Column15043"/>
    <tableColumn id="15058" xr3:uid="{818C33C2-4F6C-485A-BB8F-A70B571D55BF}" name="Column15044"/>
    <tableColumn id="15059" xr3:uid="{CFA3663B-F90D-49D6-A6F0-D7AC075162C8}" name="Column15045"/>
    <tableColumn id="15060" xr3:uid="{752CD033-EC5C-476E-93CB-D693248C0350}" name="Column15046"/>
    <tableColumn id="15061" xr3:uid="{2A74E564-99C7-420C-A0C6-B8999168C162}" name="Column15047"/>
    <tableColumn id="15062" xr3:uid="{7EEB13DA-7D04-4553-ADED-151F575C60C9}" name="Column15048"/>
    <tableColumn id="15063" xr3:uid="{978EDA75-79C4-4E4A-9162-48236EFA98F4}" name="Column15049"/>
    <tableColumn id="15064" xr3:uid="{8C8C5275-6A8B-42B0-83E6-F903146A7CDA}" name="Column15050"/>
    <tableColumn id="15065" xr3:uid="{CBB53D85-F98E-49DC-B529-57B32DA4AA20}" name="Column15051"/>
    <tableColumn id="15066" xr3:uid="{9533B5AF-E26C-4B82-977D-F20B3ABFC058}" name="Column15052"/>
    <tableColumn id="15067" xr3:uid="{3D73FED7-D8A9-447E-8B4A-3BD96739A0BE}" name="Column15053"/>
    <tableColumn id="15068" xr3:uid="{BEF2EE94-A38D-49F7-853C-EAC3321AB19A}" name="Column15054"/>
    <tableColumn id="15069" xr3:uid="{AC365402-2773-4DE0-AECE-388F9AACDCC0}" name="Column15055"/>
    <tableColumn id="15070" xr3:uid="{398FA8E3-0CC9-4E36-8F36-DE55380E893E}" name="Column15056"/>
    <tableColumn id="15071" xr3:uid="{A192395A-18B0-4F7A-9E7B-070FFB4869F0}" name="Column15057"/>
    <tableColumn id="15072" xr3:uid="{FDCFC089-7C35-4DED-B938-E5E35C56762A}" name="Column15058"/>
    <tableColumn id="15073" xr3:uid="{F68ABB24-AF76-4C2B-8287-C2A8B5A6690B}" name="Column15059"/>
    <tableColumn id="15074" xr3:uid="{739B5E52-325A-46F6-8E55-AA2985DB03FA}" name="Column15060"/>
    <tableColumn id="15075" xr3:uid="{00DC0281-BB51-43E2-A6C2-5A55BB5B6D52}" name="Column15061"/>
    <tableColumn id="15076" xr3:uid="{C594AA35-971C-4965-94FA-FB515929F0AC}" name="Column15062"/>
    <tableColumn id="15077" xr3:uid="{BE296382-3E03-40A5-8664-F49A6A7DE4E6}" name="Column15063"/>
    <tableColumn id="15078" xr3:uid="{9A9CB489-A04F-4B28-97B2-81BF1AFEC503}" name="Column15064"/>
    <tableColumn id="15079" xr3:uid="{D3D84863-1708-461B-942E-476E535674F8}" name="Column15065"/>
    <tableColumn id="15080" xr3:uid="{E1757881-AE40-4227-8833-8AD9AB16858E}" name="Column15066"/>
    <tableColumn id="15081" xr3:uid="{3D682471-BB40-4C37-A3D5-DA1313AE3A41}" name="Column15067"/>
    <tableColumn id="15082" xr3:uid="{144471FE-5857-4E83-90A4-6606338598F2}" name="Column15068"/>
    <tableColumn id="15083" xr3:uid="{1FB2FD9F-7E62-40BC-A564-4E1826F7D9DF}" name="Column15069"/>
    <tableColumn id="15084" xr3:uid="{DB54F32E-18DA-4FC5-A72D-B5A906FFAB9C}" name="Column15070"/>
    <tableColumn id="15085" xr3:uid="{1E4E505A-A8FB-4E65-860C-B91204FB3F8A}" name="Column15071"/>
    <tableColumn id="15086" xr3:uid="{B197A8F9-B2F2-457F-88C2-1E8AD8CA1C04}" name="Column15072"/>
    <tableColumn id="15087" xr3:uid="{9370B222-6D67-4761-ADCA-1EAB0AF70B31}" name="Column15073"/>
    <tableColumn id="15088" xr3:uid="{A2FE2DA0-6DA4-45F6-A463-64B24F7D4346}" name="Column15074"/>
    <tableColumn id="15089" xr3:uid="{E069846D-BC1A-416B-A6B5-6D4E6D5896B8}" name="Column15075"/>
    <tableColumn id="15090" xr3:uid="{98CBACCF-9947-49E2-B73B-8633F4722617}" name="Column15076"/>
    <tableColumn id="15091" xr3:uid="{E81FE141-A399-4893-92E0-CB72C25684BC}" name="Column15077"/>
    <tableColumn id="15092" xr3:uid="{10E15D37-C4BE-4A12-B577-56268B3D89F9}" name="Column15078"/>
    <tableColumn id="15093" xr3:uid="{A869D82F-F712-449E-A182-25FFA3104BF0}" name="Column15079"/>
    <tableColumn id="15094" xr3:uid="{EC73688B-44A9-4EAF-B30B-E881B7F0BDC0}" name="Column15080"/>
    <tableColumn id="15095" xr3:uid="{B93560FE-F238-4CD4-BF17-0C91E961724B}" name="Column15081"/>
    <tableColumn id="15096" xr3:uid="{B2DA9D44-0997-488D-8FC7-C4F696D79764}" name="Column15082"/>
    <tableColumn id="15097" xr3:uid="{0B99067C-1B20-4E3E-BDBC-472736C6B445}" name="Column15083"/>
    <tableColumn id="15098" xr3:uid="{955A2694-2441-4826-93E2-47413409F288}" name="Column15084"/>
    <tableColumn id="15099" xr3:uid="{0E3BB951-058C-4D54-A746-E38367D1D39E}" name="Column15085"/>
    <tableColumn id="15100" xr3:uid="{CBC455B7-82B3-4420-9FFD-D04B59B9647F}" name="Column15086"/>
    <tableColumn id="15101" xr3:uid="{A39FDEF6-9837-4077-871C-CB78A6C1362B}" name="Column15087"/>
    <tableColumn id="15102" xr3:uid="{BB2863D5-B067-4576-85DA-4DB0EB77F65E}" name="Column15088"/>
    <tableColumn id="15103" xr3:uid="{7BC31475-49B7-4429-9110-73C25DE5C6D0}" name="Column15089"/>
    <tableColumn id="15104" xr3:uid="{54553DF1-BBB3-43AD-922F-B27BBA65C74D}" name="Column15090"/>
    <tableColumn id="15105" xr3:uid="{C302D29D-BBE1-43F1-BD79-74304CE435DE}" name="Column15091"/>
    <tableColumn id="15106" xr3:uid="{BBEC2494-E1CE-4045-BE8E-C349E4ABD0B0}" name="Column15092"/>
    <tableColumn id="15107" xr3:uid="{11314075-7E54-453D-9A36-C8575674086A}" name="Column15093"/>
    <tableColumn id="15108" xr3:uid="{BBC753CD-B5B9-49B0-A8E1-93B005B2C69A}" name="Column15094"/>
    <tableColumn id="15109" xr3:uid="{FC5340BB-BB44-4CEF-BF55-5AFF8207E02D}" name="Column15095"/>
    <tableColumn id="15110" xr3:uid="{86E84F24-30CD-4C19-A783-BB6A2248ACD0}" name="Column15096"/>
    <tableColumn id="15111" xr3:uid="{A7959354-EB2A-42FA-935B-8EF6BB011024}" name="Column15097"/>
    <tableColumn id="15112" xr3:uid="{6810AD93-96B5-4069-B93D-E6D830CF7B83}" name="Column15098"/>
    <tableColumn id="15113" xr3:uid="{ED3E52AA-6290-40FC-AA8F-E9DE27D84477}" name="Column15099"/>
    <tableColumn id="15114" xr3:uid="{D0075856-785E-44C6-8396-E6F142A47556}" name="Column15100"/>
    <tableColumn id="15115" xr3:uid="{31B16CE1-D8C6-48B0-84B0-87CC0B140B43}" name="Column15101"/>
    <tableColumn id="15116" xr3:uid="{C9720CB6-F5F3-404B-83CC-3306DDA0621D}" name="Column15102"/>
    <tableColumn id="15117" xr3:uid="{67866264-481E-4D8C-9508-87EEADAA6B09}" name="Column15103"/>
    <tableColumn id="15118" xr3:uid="{A25A4142-6A8B-4903-8596-7710124949C3}" name="Column15104"/>
    <tableColumn id="15119" xr3:uid="{3E23590A-8B58-4022-936B-08027E624D2C}" name="Column15105"/>
    <tableColumn id="15120" xr3:uid="{F164B0C7-3109-4438-B748-4159620A2691}" name="Column15106"/>
    <tableColumn id="15121" xr3:uid="{F3ED24C8-537A-4D87-A1C3-AFCA343C1BAC}" name="Column15107"/>
    <tableColumn id="15122" xr3:uid="{460C39B1-0751-4231-A4C7-3C5B1DF72278}" name="Column15108"/>
    <tableColumn id="15123" xr3:uid="{A9785947-1B1A-4774-8F6E-32BA1A3C4508}" name="Column15109"/>
    <tableColumn id="15124" xr3:uid="{24FC970C-381B-4BC8-A9C9-5283912EE51C}" name="Column15110"/>
    <tableColumn id="15125" xr3:uid="{4D612E12-0B5F-48D0-981E-8693904F9580}" name="Column15111"/>
    <tableColumn id="15126" xr3:uid="{89D3F32A-0344-4355-BB23-E35B868D0CCA}" name="Column15112"/>
    <tableColumn id="15127" xr3:uid="{7EFB328E-71B0-4465-83D0-579BC19FAF63}" name="Column15113"/>
    <tableColumn id="15128" xr3:uid="{89CA92CE-598E-493A-872E-1FE83B1209D8}" name="Column15114"/>
    <tableColumn id="15129" xr3:uid="{96CA2076-8AF4-46F7-99BA-CE578BDE269B}" name="Column15115"/>
    <tableColumn id="15130" xr3:uid="{FED6888A-1936-4DBE-8049-8B5561EA417F}" name="Column15116"/>
    <tableColumn id="15131" xr3:uid="{3F47A4AE-0931-4D91-8443-A4D30F5D9AA9}" name="Column15117"/>
    <tableColumn id="15132" xr3:uid="{6021B39F-EFAB-451F-A325-624EB9EB9F4A}" name="Column15118"/>
    <tableColumn id="15133" xr3:uid="{538C6BE7-8AA8-4762-AE62-BB19BFB8C41A}" name="Column15119"/>
    <tableColumn id="15134" xr3:uid="{9E3C9E9E-633C-40E9-ADBF-2E23AD059317}" name="Column15120"/>
    <tableColumn id="15135" xr3:uid="{7463198B-247C-4F29-B77F-DC594887F651}" name="Column15121"/>
    <tableColumn id="15136" xr3:uid="{9C8A3A60-4CDC-4CDE-8F4C-6D97450E9877}" name="Column15122"/>
    <tableColumn id="15137" xr3:uid="{CAF98BCF-8FB5-4EDF-B11E-23E6E287F16F}" name="Column15123"/>
    <tableColumn id="15138" xr3:uid="{2598524D-A795-42A0-8499-4EB6F6AB10D9}" name="Column15124"/>
    <tableColumn id="15139" xr3:uid="{74F198EA-8C60-4435-BE9B-BA58D14F91A1}" name="Column15125"/>
    <tableColumn id="15140" xr3:uid="{E95A7B4A-5BA3-41A4-880D-3AF2B80EFB80}" name="Column15126"/>
    <tableColumn id="15141" xr3:uid="{139456E9-BFC9-47EA-94F7-494A433CCE37}" name="Column15127"/>
    <tableColumn id="15142" xr3:uid="{2D334AAF-AE7F-4524-AF40-E4404AF72DA7}" name="Column15128"/>
    <tableColumn id="15143" xr3:uid="{44345BF3-FEA7-42C0-B8C2-751B3FCC9B9C}" name="Column15129"/>
    <tableColumn id="15144" xr3:uid="{34017F28-890F-4BAD-9AE3-EF8D64F3C39F}" name="Column15130"/>
    <tableColumn id="15145" xr3:uid="{AA910333-E477-4400-B53A-135CBBEA04B3}" name="Column15131"/>
    <tableColumn id="15146" xr3:uid="{208DDF76-02FF-48EE-8A7B-1499EF8DC210}" name="Column15132"/>
    <tableColumn id="15147" xr3:uid="{094E1C66-7574-40CF-BFF2-C2841B8BFB70}" name="Column15133"/>
    <tableColumn id="15148" xr3:uid="{FC0B9524-A92D-418C-B08D-98CDB03F1AEE}" name="Column15134"/>
    <tableColumn id="15149" xr3:uid="{51F19F4A-E42A-4168-B1F1-C7D481389B5A}" name="Column15135"/>
    <tableColumn id="15150" xr3:uid="{F2B35C04-B521-4B06-A82B-D35BD7723568}" name="Column15136"/>
    <tableColumn id="15151" xr3:uid="{568D39EB-3FC0-4CE7-A006-EEE423ED5409}" name="Column15137"/>
    <tableColumn id="15152" xr3:uid="{D07CF88A-2A23-45B1-83E3-ABA3A34B6FD3}" name="Column15138"/>
    <tableColumn id="15153" xr3:uid="{65DD6224-3DEE-4695-82FE-614FE339DFE5}" name="Column15139"/>
    <tableColumn id="15154" xr3:uid="{4CAA23F0-34A9-4DB5-8BB4-15BB3D3D9469}" name="Column15140"/>
    <tableColumn id="15155" xr3:uid="{9B0C7C15-4A33-403A-9D73-25A4249C14F1}" name="Column15141"/>
    <tableColumn id="15156" xr3:uid="{DCB3F2F0-5164-4A68-9832-534C77F11123}" name="Column15142"/>
    <tableColumn id="15157" xr3:uid="{FC5ED347-BB88-4787-B529-B2C5D3671008}" name="Column15143"/>
    <tableColumn id="15158" xr3:uid="{DCF139AA-EF65-4E00-9EF4-4AAF324577B3}" name="Column15144"/>
    <tableColumn id="15159" xr3:uid="{CEF9C8E7-4C8B-4CBC-9597-DFEDABCD7FCC}" name="Column15145"/>
    <tableColumn id="15160" xr3:uid="{CD2F9C11-EE68-4078-9783-EE1DB498940D}" name="Column15146"/>
    <tableColumn id="15161" xr3:uid="{216D3047-185E-47A7-ADF0-A48F983DD093}" name="Column15147"/>
    <tableColumn id="15162" xr3:uid="{829D585D-4826-4FB9-B95E-8EBA0F96200D}" name="Column15148"/>
    <tableColumn id="15163" xr3:uid="{9A949F10-E01D-4223-A7E7-64BE75144000}" name="Column15149"/>
    <tableColumn id="15164" xr3:uid="{ADDFDB04-EB19-436F-BF61-05DCEEFFD0BC}" name="Column15150"/>
    <tableColumn id="15165" xr3:uid="{3FD6B9EC-9675-4BB3-B573-04AAE6033E25}" name="Column15151"/>
    <tableColumn id="15166" xr3:uid="{C940AA43-801C-4ECC-B976-6A013DD95970}" name="Column15152"/>
    <tableColumn id="15167" xr3:uid="{FBAC3255-94D7-423A-B110-4714BDF728B0}" name="Column15153"/>
    <tableColumn id="15168" xr3:uid="{F6786B23-4E25-4387-A6D7-FD269810DAEA}" name="Column15154"/>
    <tableColumn id="15169" xr3:uid="{F2C92ACD-8E39-48AA-A260-7226A0AF408C}" name="Column15155"/>
    <tableColumn id="15170" xr3:uid="{31D14B12-3E0B-4179-A485-796D022359DE}" name="Column15156"/>
    <tableColumn id="15171" xr3:uid="{15FF9EDF-AE14-4C87-AB19-047F50F24656}" name="Column15157"/>
    <tableColumn id="15172" xr3:uid="{5E13C5AE-5A7E-4ECF-9793-24951C36E912}" name="Column15158"/>
    <tableColumn id="15173" xr3:uid="{EE831E1F-8312-4C25-8431-1D56A6290875}" name="Column15159"/>
    <tableColumn id="15174" xr3:uid="{5051EAD5-D66C-48BE-8A51-E9378E842413}" name="Column15160"/>
    <tableColumn id="15175" xr3:uid="{C887039C-08CF-48D8-8883-5B3EDFD9EC49}" name="Column15161"/>
    <tableColumn id="15176" xr3:uid="{0A3D9E26-1A3C-4055-B8BD-2F6C9ECB7011}" name="Column15162"/>
    <tableColumn id="15177" xr3:uid="{8AA724C7-FDD5-4849-8C51-E044F57D50F3}" name="Column15163"/>
    <tableColumn id="15178" xr3:uid="{B0D79D5B-405A-45F0-8A75-0D2FCEBA16AC}" name="Column15164"/>
    <tableColumn id="15179" xr3:uid="{22B53468-8AC7-4A00-83FD-33FF01245237}" name="Column15165"/>
    <tableColumn id="15180" xr3:uid="{4A6FB847-1085-45D4-A792-76B3E8F290F1}" name="Column15166"/>
    <tableColumn id="15181" xr3:uid="{86A9F8E5-FC94-46D2-8FE2-4FBAD6B02359}" name="Column15167"/>
    <tableColumn id="15182" xr3:uid="{5D513B21-73DD-4C7B-8408-10BB4C8ABCBF}" name="Column15168"/>
    <tableColumn id="15183" xr3:uid="{CE929342-E0EA-4FDB-9B6B-629B48BDE862}" name="Column15169"/>
    <tableColumn id="15184" xr3:uid="{9623DC09-68E6-4B77-95ED-E9EA0305E11E}" name="Column15170"/>
    <tableColumn id="15185" xr3:uid="{49F784A0-7D6C-4587-A33F-1268EA8CA316}" name="Column15171"/>
    <tableColumn id="15186" xr3:uid="{E5FEE975-C828-4930-84E3-71CBEB3AF707}" name="Column15172"/>
    <tableColumn id="15187" xr3:uid="{4AADBB39-5720-4FA0-941F-10DC8070B505}" name="Column15173"/>
    <tableColumn id="15188" xr3:uid="{1F73A69A-4500-4B13-AACD-12AF7C545976}" name="Column15174"/>
    <tableColumn id="15189" xr3:uid="{78ABE2EE-7A61-4B38-B6D6-852AD1272FEB}" name="Column15175"/>
    <tableColumn id="15190" xr3:uid="{736266ED-5869-469C-AC77-5F319C22EBBE}" name="Column15176"/>
    <tableColumn id="15191" xr3:uid="{A2A1EDF7-F484-4682-9AEC-F67315CBF237}" name="Column15177"/>
    <tableColumn id="15192" xr3:uid="{025869FB-C4BB-4EEC-9B5D-1B45EA457A0F}" name="Column15178"/>
    <tableColumn id="15193" xr3:uid="{2E8D1C60-2E26-456B-9ED2-A5A23C4D860F}" name="Column15179"/>
    <tableColumn id="15194" xr3:uid="{42983ED0-2D93-4932-81D7-BD03F8FDBBB5}" name="Column15180"/>
    <tableColumn id="15195" xr3:uid="{B69CDBA9-AA43-40A8-9AFB-6BB773E2E273}" name="Column15181"/>
    <tableColumn id="15196" xr3:uid="{13D317CD-D0BC-4B98-9863-7D04B7836CB0}" name="Column15182"/>
    <tableColumn id="15197" xr3:uid="{613F9CDF-02E1-47AD-9A48-C316034B5ED5}" name="Column15183"/>
    <tableColumn id="15198" xr3:uid="{6E3F10F1-D3A5-4CC4-B511-F5F4C3DD964F}" name="Column15184"/>
    <tableColumn id="15199" xr3:uid="{39820404-B579-49C4-9328-58169C241103}" name="Column15185"/>
    <tableColumn id="15200" xr3:uid="{AC5F8824-D9AD-4D59-9115-E5DDFB72D00F}" name="Column15186"/>
    <tableColumn id="15201" xr3:uid="{B76E0305-4150-4A38-A762-5294E33E688D}" name="Column15187"/>
    <tableColumn id="15202" xr3:uid="{14871835-2E35-4294-9AC8-946184184F28}" name="Column15188"/>
    <tableColumn id="15203" xr3:uid="{5E5B9E62-D565-4D02-8EAC-9350BFCC7309}" name="Column15189"/>
    <tableColumn id="15204" xr3:uid="{6DC1914A-AC41-4F1C-ADBF-A1730F0D0A38}" name="Column15190"/>
    <tableColumn id="15205" xr3:uid="{E200F9C6-7F7D-4990-9C17-E9B5C46B3114}" name="Column15191"/>
    <tableColumn id="15206" xr3:uid="{2D3218F3-1B76-443C-A0F1-CD96A59AA6C5}" name="Column15192"/>
    <tableColumn id="15207" xr3:uid="{31C291F0-95B4-4BC3-9CE1-AF0E843048E8}" name="Column15193"/>
    <tableColumn id="15208" xr3:uid="{DB17106D-1CEA-4A77-A997-0C222FA9DC73}" name="Column15194"/>
    <tableColumn id="15209" xr3:uid="{1082677B-4BB6-45C9-A1FF-075394CD57BF}" name="Column15195"/>
    <tableColumn id="15210" xr3:uid="{DDAC906A-D367-410B-8324-85944F9FC7B8}" name="Column15196"/>
    <tableColumn id="15211" xr3:uid="{F30D790F-E1E2-4335-A64C-1A7E63AB6262}" name="Column15197"/>
    <tableColumn id="15212" xr3:uid="{785A9AF6-B58E-48F9-B858-2DB3AF676B5E}" name="Column15198"/>
    <tableColumn id="15213" xr3:uid="{D6597B96-660B-4A4A-84C3-D39754EC6913}" name="Column15199"/>
    <tableColumn id="15214" xr3:uid="{60D7B726-0020-45C8-A7CD-1D5051381CBC}" name="Column15200"/>
    <tableColumn id="15215" xr3:uid="{F0730B03-15F5-4F29-AB65-C5388F13FEC2}" name="Column15201"/>
    <tableColumn id="15216" xr3:uid="{CF533BCE-B000-4BF1-B69E-182AFB9935C7}" name="Column15202"/>
    <tableColumn id="15217" xr3:uid="{6F87124D-102F-4E40-863D-B12ED3B1FBCE}" name="Column15203"/>
    <tableColumn id="15218" xr3:uid="{35A90E35-7D32-4AE2-8164-43C8D2B558F9}" name="Column15204"/>
    <tableColumn id="15219" xr3:uid="{9E90AA12-A42A-464A-8D27-D363C6D28566}" name="Column15205"/>
    <tableColumn id="15220" xr3:uid="{090D4982-182D-461C-98B4-9C999A3A206C}" name="Column15206"/>
    <tableColumn id="15221" xr3:uid="{C2E92111-46CD-4B09-8EB9-18AF4872D0C7}" name="Column15207"/>
    <tableColumn id="15222" xr3:uid="{C0B0EE3E-39A3-4D67-BC43-5C70B5F02F3F}" name="Column15208"/>
    <tableColumn id="15223" xr3:uid="{2362F267-552A-4E62-BD1F-4F4C2B2B53AC}" name="Column15209"/>
    <tableColumn id="15224" xr3:uid="{8C59E6BC-516C-43FE-8869-08DBB381869D}" name="Column15210"/>
    <tableColumn id="15225" xr3:uid="{7C184E79-B3C4-4B7E-9626-A186CFF00884}" name="Column15211"/>
    <tableColumn id="15226" xr3:uid="{90587919-1859-4D65-8599-6F67557F223F}" name="Column15212"/>
    <tableColumn id="15227" xr3:uid="{F757D9D1-3EFC-4620-B628-DF328D536D83}" name="Column15213"/>
    <tableColumn id="15228" xr3:uid="{32F89D47-A28B-41B9-A7CF-7EF131EDC8B5}" name="Column15214"/>
    <tableColumn id="15229" xr3:uid="{589ADBE4-C052-486B-BFA6-AF25CF362C3A}" name="Column15215"/>
    <tableColumn id="15230" xr3:uid="{A912D711-592E-4938-A226-ED57D30ECD1D}" name="Column15216"/>
    <tableColumn id="15231" xr3:uid="{E42BAB24-5EF8-4604-ABFC-C81FB628CE60}" name="Column15217"/>
    <tableColumn id="15232" xr3:uid="{3D5DF765-C8FC-4E12-A936-80BC6BFAD276}" name="Column15218"/>
    <tableColumn id="15233" xr3:uid="{C770BE41-4F89-4B9C-98CD-BC3161F38F43}" name="Column15219"/>
    <tableColumn id="15234" xr3:uid="{7B4B2804-FD51-4835-A1E5-7983C0C9C4DC}" name="Column15220"/>
    <tableColumn id="15235" xr3:uid="{DC27F106-AD61-4208-B54C-6392A8190549}" name="Column15221"/>
    <tableColumn id="15236" xr3:uid="{4604201A-A019-455F-8263-298D1BF4E12B}" name="Column15222"/>
    <tableColumn id="15237" xr3:uid="{F93F2652-5EB0-4F15-9ED5-BB94C9869DAF}" name="Column15223"/>
    <tableColumn id="15238" xr3:uid="{77F14298-4345-414B-B227-E6EEE721F545}" name="Column15224"/>
    <tableColumn id="15239" xr3:uid="{84991440-14F5-4260-B05D-47A72C3320CA}" name="Column15225"/>
    <tableColumn id="15240" xr3:uid="{FD58FEF7-8BBD-4833-90DD-3DC512F09F36}" name="Column15226"/>
    <tableColumn id="15241" xr3:uid="{3FF66A1B-AAEA-47C1-8820-4A07D65E7B4D}" name="Column15227"/>
    <tableColumn id="15242" xr3:uid="{2F208FAC-9CB3-4B81-9E8F-DD45C05AA824}" name="Column15228"/>
    <tableColumn id="15243" xr3:uid="{A2CCD3D5-104C-42DA-95DD-2CAE2BEE0AEC}" name="Column15229"/>
    <tableColumn id="15244" xr3:uid="{76215FE6-5135-49E7-9448-6F2D5472CF5A}" name="Column15230"/>
    <tableColumn id="15245" xr3:uid="{734735A2-38ED-407C-B306-515B9CFF9F3D}" name="Column15231"/>
    <tableColumn id="15246" xr3:uid="{3027C073-199E-48BC-A8EB-6729D50E850A}" name="Column15232"/>
    <tableColumn id="15247" xr3:uid="{83ABBC73-E5AE-4939-9B14-F978C4BF163E}" name="Column15233"/>
    <tableColumn id="15248" xr3:uid="{13DD60A8-8A81-436F-B57B-1E9F6ED113E4}" name="Column15234"/>
    <tableColumn id="15249" xr3:uid="{DAF04964-E636-4689-B744-25795B095D18}" name="Column15235"/>
    <tableColumn id="15250" xr3:uid="{ED2A00BE-44C4-4757-94EB-9FC4E6E6671D}" name="Column15236"/>
    <tableColumn id="15251" xr3:uid="{51E87E76-8836-4E61-8696-4196D9CFB575}" name="Column15237"/>
    <tableColumn id="15252" xr3:uid="{283A0F50-D539-417A-9048-433277D9B930}" name="Column15238"/>
    <tableColumn id="15253" xr3:uid="{8A4AD0E9-4603-4057-A692-596E72F87611}" name="Column15239"/>
    <tableColumn id="15254" xr3:uid="{2EFE1F0A-99C2-4794-AC42-01765EC77524}" name="Column15240"/>
    <tableColumn id="15255" xr3:uid="{6BC7732D-8FD1-49B7-812C-D39D994016D1}" name="Column15241"/>
    <tableColumn id="15256" xr3:uid="{CD99215B-66D2-4430-8B1A-41D9D49E1532}" name="Column15242"/>
    <tableColumn id="15257" xr3:uid="{F7795D5D-F877-4DE3-918B-E4E8EA9CE6E3}" name="Column15243"/>
    <tableColumn id="15258" xr3:uid="{C4CEC102-FF9B-49BD-8CB9-FCFA37D36FE3}" name="Column15244"/>
    <tableColumn id="15259" xr3:uid="{CB5C6908-4C61-4D31-91CD-49B73EC76AAD}" name="Column15245"/>
    <tableColumn id="15260" xr3:uid="{EA88E058-8D9A-4BA3-BC7A-A3F95301BE85}" name="Column15246"/>
    <tableColumn id="15261" xr3:uid="{7E9D1B70-0EDF-4F1D-BC85-161BA8B0A1F9}" name="Column15247"/>
    <tableColumn id="15262" xr3:uid="{49BEBC23-9AF7-4447-8673-8ECF0D6F125D}" name="Column15248"/>
    <tableColumn id="15263" xr3:uid="{138EDC92-91E0-45FF-BEE8-194E1221B98E}" name="Column15249"/>
    <tableColumn id="15264" xr3:uid="{6A132007-7D2C-4B2F-A826-F85D14AD210D}" name="Column15250"/>
    <tableColumn id="15265" xr3:uid="{AE9F47FE-A800-4B4B-BB01-F428D1BA6819}" name="Column15251"/>
    <tableColumn id="15266" xr3:uid="{95657C20-22FB-445E-B619-6DEC32E9DE02}" name="Column15252"/>
    <tableColumn id="15267" xr3:uid="{C52C7A53-39BB-472B-825F-D6E135E65F52}" name="Column15253"/>
    <tableColumn id="15268" xr3:uid="{C12CD61F-4B0A-4A0A-9A7B-083CFD358D33}" name="Column15254"/>
    <tableColumn id="15269" xr3:uid="{E7BDE188-E703-4A67-980D-A30E7C82054C}" name="Column15255"/>
    <tableColumn id="15270" xr3:uid="{3E3BE569-50A9-4E40-89A4-76465AA45F84}" name="Column15256"/>
    <tableColumn id="15271" xr3:uid="{7E7ECF5F-318A-4DEA-ADF6-1FC0A2FF0A6B}" name="Column15257"/>
    <tableColumn id="15272" xr3:uid="{4224DB15-247B-4F33-AB91-EA3D6C591BF5}" name="Column15258"/>
    <tableColumn id="15273" xr3:uid="{4322E6E4-DEA2-46D3-9B64-B9567E4BE815}" name="Column15259"/>
    <tableColumn id="15274" xr3:uid="{01D46579-0782-4530-B0FA-85CA49F6FBB2}" name="Column15260"/>
    <tableColumn id="15275" xr3:uid="{BDCAEA61-52FE-4A18-919F-8DAAE3C8960F}" name="Column15261"/>
    <tableColumn id="15276" xr3:uid="{EE2CC89F-1135-4DD3-B7D9-64AC13256A20}" name="Column15262"/>
    <tableColumn id="15277" xr3:uid="{B1536731-2305-4F02-ABD5-B75F6ECFD9E0}" name="Column15263"/>
    <tableColumn id="15278" xr3:uid="{24E0DCEA-E1AB-4A2C-8272-3132DE5A9367}" name="Column15264"/>
    <tableColumn id="15279" xr3:uid="{741F3BDE-39B5-4183-8C44-ABBA5D70A6A5}" name="Column15265"/>
    <tableColumn id="15280" xr3:uid="{A1D335DB-BC99-4FC8-A896-0A088D35095F}" name="Column15266"/>
    <tableColumn id="15281" xr3:uid="{094A029A-5A85-4F48-B14E-801BCAE17B1D}" name="Column15267"/>
    <tableColumn id="15282" xr3:uid="{5FF3DC93-E482-49FE-97B9-24C09C33ADA1}" name="Column15268"/>
    <tableColumn id="15283" xr3:uid="{6E89006C-E05E-4440-8ED1-D7292433B342}" name="Column15269"/>
    <tableColumn id="15284" xr3:uid="{F14B2ECB-88F6-4893-878F-55DE6AF976F7}" name="Column15270"/>
    <tableColumn id="15285" xr3:uid="{358EC7F8-901D-48D4-A258-F1A23F40D9CD}" name="Column15271"/>
    <tableColumn id="15286" xr3:uid="{98362E8E-6620-43D9-B161-5E33D90FA645}" name="Column15272"/>
    <tableColumn id="15287" xr3:uid="{64227E3E-832B-428C-938F-FFBBE6EC1806}" name="Column15273"/>
    <tableColumn id="15288" xr3:uid="{9560E336-EBF3-45D3-B733-0F7743C2170F}" name="Column15274"/>
    <tableColumn id="15289" xr3:uid="{08A0BDBD-20C8-4CDC-9FC8-A7011E335F98}" name="Column15275"/>
    <tableColumn id="15290" xr3:uid="{D1576F33-97E1-4789-8A87-6C7AB86DA21B}" name="Column15276"/>
    <tableColumn id="15291" xr3:uid="{1A4177C5-C10C-4CF6-AF94-D1C042F74BB5}" name="Column15277"/>
    <tableColumn id="15292" xr3:uid="{C2C9BCA8-A241-49C1-8842-8E4F1F22A22C}" name="Column15278"/>
    <tableColumn id="15293" xr3:uid="{B3334769-FFF6-4D34-BAF7-86CA2E85182E}" name="Column15279"/>
    <tableColumn id="15294" xr3:uid="{DEA7CEEC-56B4-46BE-97DC-016EE6BFDC76}" name="Column15280"/>
    <tableColumn id="15295" xr3:uid="{5F900246-0CF7-470A-9248-8C879E5B0613}" name="Column15281"/>
    <tableColumn id="15296" xr3:uid="{64B88B87-9573-4758-AA15-435DABE9131F}" name="Column15282"/>
    <tableColumn id="15297" xr3:uid="{62704A5C-AB06-4C86-99D5-7402D21DCE72}" name="Column15283"/>
    <tableColumn id="15298" xr3:uid="{015B71A1-3209-422B-A29B-3F6D9D029E82}" name="Column15284"/>
    <tableColumn id="15299" xr3:uid="{18287D5E-DBF5-4DE0-BD66-4E5ECB9A0FCF}" name="Column15285"/>
    <tableColumn id="15300" xr3:uid="{2880469B-2B9A-4B97-BB09-B762093C3C0F}" name="Column15286"/>
    <tableColumn id="15301" xr3:uid="{D528DB1C-E233-4320-97B2-39E1E5FE1B01}" name="Column15287"/>
    <tableColumn id="15302" xr3:uid="{7ED2A224-4587-4B55-BBE2-7CC3B14A4BD5}" name="Column15288"/>
    <tableColumn id="15303" xr3:uid="{784E0F62-8FDE-485B-8A04-6C321CD5CB52}" name="Column15289"/>
    <tableColumn id="15304" xr3:uid="{3F94FC9D-7640-4F8E-AE30-E1A959E707B0}" name="Column15290"/>
    <tableColumn id="15305" xr3:uid="{BE32D909-12B4-4798-888B-915D0FD32DF2}" name="Column15291"/>
    <tableColumn id="15306" xr3:uid="{4E54532D-A85E-4571-BC44-91057841A167}" name="Column15292"/>
    <tableColumn id="15307" xr3:uid="{784D243E-5918-427A-A157-54A355DC5863}" name="Column15293"/>
    <tableColumn id="15308" xr3:uid="{C61DCAE6-3EFE-40C9-90BD-EBB6F244EAC4}" name="Column15294"/>
    <tableColumn id="15309" xr3:uid="{AD45C44E-0B05-448F-BAD0-55645D29B4CA}" name="Column15295"/>
    <tableColumn id="15310" xr3:uid="{D5D32143-5398-4A01-B1C2-4B0A5CF0A89A}" name="Column15296"/>
    <tableColumn id="15311" xr3:uid="{3E02D8C8-4D84-4BE6-AF15-2930BBC6E41D}" name="Column15297"/>
    <tableColumn id="15312" xr3:uid="{D7C116F4-4CBE-4FAB-890F-297097608F12}" name="Column15298"/>
    <tableColumn id="15313" xr3:uid="{C8B2E327-B727-420E-98AA-482350EB2D9A}" name="Column15299"/>
    <tableColumn id="15314" xr3:uid="{0AB24E74-7F1D-4CF8-B074-6869342B74A9}" name="Column15300"/>
    <tableColumn id="15315" xr3:uid="{B901E076-FD92-4F68-9B2A-DB3D181BB396}" name="Column15301"/>
    <tableColumn id="15316" xr3:uid="{011373F4-A21B-43B7-9BB8-47C6B0007442}" name="Column15302"/>
    <tableColumn id="15317" xr3:uid="{A831B62F-DE6E-48F7-A722-60550363BC30}" name="Column15303"/>
    <tableColumn id="15318" xr3:uid="{F13FC7DA-942C-45A1-980C-45BAA627E01E}" name="Column15304"/>
    <tableColumn id="15319" xr3:uid="{A0214840-62ED-466A-AE05-DD5B05D631F0}" name="Column15305"/>
    <tableColumn id="15320" xr3:uid="{EE4F837C-21F2-40F3-B2AB-1ADB21EE909D}" name="Column15306"/>
    <tableColumn id="15321" xr3:uid="{AF449A09-1AA6-4C61-AB00-FE9119FFAA7B}" name="Column15307"/>
    <tableColumn id="15322" xr3:uid="{3E6E6CB5-AB19-4F39-BA1A-30FC0343A4ED}" name="Column15308"/>
    <tableColumn id="15323" xr3:uid="{CB46D47B-011F-4B39-86EC-E11F0A3AB288}" name="Column15309"/>
    <tableColumn id="15324" xr3:uid="{1D6B7A0C-AAE1-4CAB-A121-F6F1E57FF73C}" name="Column15310"/>
    <tableColumn id="15325" xr3:uid="{DB4BAC25-5F9A-4924-ADF7-514B5B466520}" name="Column15311"/>
    <tableColumn id="15326" xr3:uid="{27E4F79F-735D-4BDF-B403-2C49560BFF6E}" name="Column15312"/>
    <tableColumn id="15327" xr3:uid="{C8BCB7B2-098C-4B3B-AFE0-565D40121B78}" name="Column15313"/>
    <tableColumn id="15328" xr3:uid="{8999AEF3-0627-40D1-ACAD-2C0363998F92}" name="Column15314"/>
    <tableColumn id="15329" xr3:uid="{72818DD8-B086-4ED7-8258-834CF762F752}" name="Column15315"/>
    <tableColumn id="15330" xr3:uid="{58795987-3E08-4EA2-906A-6A7763CDC39C}" name="Column15316"/>
    <tableColumn id="15331" xr3:uid="{1DE454FD-D425-481F-A958-4974DB5D4682}" name="Column15317"/>
    <tableColumn id="15332" xr3:uid="{5B8BDBB9-4D7F-46E3-8A4C-43E2C27B13B0}" name="Column15318"/>
    <tableColumn id="15333" xr3:uid="{DD961B49-C94A-4B61-8087-0CF74A38D404}" name="Column15319"/>
    <tableColumn id="15334" xr3:uid="{7F8BBE90-8DAA-49F7-81A5-015C1E00730B}" name="Column15320"/>
    <tableColumn id="15335" xr3:uid="{58FC805A-CFD0-4D9D-A1A2-56AED9962A4E}" name="Column15321"/>
    <tableColumn id="15336" xr3:uid="{34972AF7-6C40-4F4E-950D-4F4D9B2A3550}" name="Column15322"/>
    <tableColumn id="15337" xr3:uid="{DEC2A15F-61C6-4ACC-874E-D00F6F5F2BD7}" name="Column15323"/>
    <tableColumn id="15338" xr3:uid="{50441A30-601C-488E-8E3D-4909A9DA5633}" name="Column15324"/>
    <tableColumn id="15339" xr3:uid="{194C2A55-FF29-4CC5-8BB2-DE6832A9D1AF}" name="Column15325"/>
    <tableColumn id="15340" xr3:uid="{B2DAE014-0AF7-4EA7-80C7-0FF902B4151D}" name="Column15326"/>
    <tableColumn id="15341" xr3:uid="{4E3FD86F-42B3-43E8-9CEF-E7904B74533A}" name="Column15327"/>
    <tableColumn id="15342" xr3:uid="{B3146874-0128-4582-ACD3-C048EE0438D3}" name="Column15328"/>
    <tableColumn id="15343" xr3:uid="{86A3A1C6-F3BD-47B1-B8C4-B3F461C34E6B}" name="Column15329"/>
    <tableColumn id="15344" xr3:uid="{8554D9C7-1D56-47F6-A2A5-93827B8DB32A}" name="Column15330"/>
    <tableColumn id="15345" xr3:uid="{3F11C928-F685-449F-A2D1-FA94AF4271E2}" name="Column15331"/>
    <tableColumn id="15346" xr3:uid="{F792F7C1-2330-4EB8-A000-B21B24699E1A}" name="Column15332"/>
    <tableColumn id="15347" xr3:uid="{CC14CA0A-29B6-4CEF-B389-0C3AED7DFFE1}" name="Column15333"/>
    <tableColumn id="15348" xr3:uid="{3957C168-EAE3-409C-8E0C-DED3BED4875D}" name="Column15334"/>
    <tableColumn id="15349" xr3:uid="{5781B02A-FE67-4007-9E1C-D72DFBE805DF}" name="Column15335"/>
    <tableColumn id="15350" xr3:uid="{5A63E168-B7E3-4AE4-B05A-08E14B7FF0F7}" name="Column15336"/>
    <tableColumn id="15351" xr3:uid="{3AE5CBEB-F812-4788-AD27-A9C611C39B5B}" name="Column15337"/>
    <tableColumn id="15352" xr3:uid="{DE7F9DF7-4F18-414F-9106-0D4582E090E8}" name="Column15338"/>
    <tableColumn id="15353" xr3:uid="{8D161A12-7BF0-4E73-BF1F-5A5326E17B51}" name="Column15339"/>
    <tableColumn id="15354" xr3:uid="{CE0EE5E0-737C-4E38-BB80-C8860143AFDC}" name="Column15340"/>
    <tableColumn id="15355" xr3:uid="{D98F6880-AD9D-407B-B9C0-9778B868147A}" name="Column15341"/>
    <tableColumn id="15356" xr3:uid="{37398B0C-44CF-4844-8F2C-42DD8F48C62A}" name="Column15342"/>
    <tableColumn id="15357" xr3:uid="{1A5A1112-C5B0-4549-A09B-55B661CCB917}" name="Column15343"/>
    <tableColumn id="15358" xr3:uid="{3FFE212E-D676-43C3-A24A-7769A2834435}" name="Column15344"/>
    <tableColumn id="15359" xr3:uid="{500050E7-3D66-413A-BCAF-E383C93904F8}" name="Column15345"/>
    <tableColumn id="15360" xr3:uid="{FB3929CC-829E-4573-AEE2-C224FCA25753}" name="Column15346"/>
    <tableColumn id="15361" xr3:uid="{627EF8E9-6B16-48E8-8EB3-AF4311257288}" name="Column15347"/>
    <tableColumn id="15362" xr3:uid="{305BD32C-DE02-46D8-96A2-5340A0AA42CF}" name="Column15348"/>
    <tableColumn id="15363" xr3:uid="{808DD699-2B12-4C63-AB28-27DCCFCEF9CF}" name="Column15349"/>
    <tableColumn id="15364" xr3:uid="{239781CA-E973-40CB-96A2-1AF90DB5F0AF}" name="Column15350"/>
    <tableColumn id="15365" xr3:uid="{8E179475-E2FE-4D09-A4BD-088C9C8A0FA9}" name="Column15351"/>
    <tableColumn id="15366" xr3:uid="{F7354AE5-4DC6-476A-9817-1971E50B180B}" name="Column15352"/>
    <tableColumn id="15367" xr3:uid="{759FB1BE-F627-412F-BDF0-09091E8E28E2}" name="Column15353"/>
    <tableColumn id="15368" xr3:uid="{B335B170-E610-4759-A23E-C3BB7E6F821C}" name="Column15354"/>
    <tableColumn id="15369" xr3:uid="{149B5D7B-3814-4128-BD9C-8D23BBBCB8D0}" name="Column15355"/>
    <tableColumn id="15370" xr3:uid="{F1587B25-C4F9-4B44-92F5-34BC1056DBCC}" name="Column15356"/>
    <tableColumn id="15371" xr3:uid="{0B6E049F-52B7-47F9-B978-B9FFCCFEAF32}" name="Column15357"/>
    <tableColumn id="15372" xr3:uid="{90285BCA-1AF3-4A57-96E2-D1C3AD8F64CF}" name="Column15358"/>
    <tableColumn id="15373" xr3:uid="{9FC3EC15-390D-4B30-970E-84783B32ACCA}" name="Column15359"/>
    <tableColumn id="15374" xr3:uid="{F39C4DAE-0CB7-4FE6-9021-E78FA9452F8C}" name="Column15360"/>
    <tableColumn id="15375" xr3:uid="{DFCE49EA-76ED-4457-A00B-B688AC4F0642}" name="Column15361"/>
    <tableColumn id="15376" xr3:uid="{0C24EB13-8003-45B2-9666-6D724F1173E4}" name="Column15362"/>
    <tableColumn id="15377" xr3:uid="{16405984-88DC-4493-BE7B-BC04131985DF}" name="Column15363"/>
    <tableColumn id="15378" xr3:uid="{FEB9170F-3656-4B61-B28F-F17BBC70317B}" name="Column15364"/>
    <tableColumn id="15379" xr3:uid="{E9173746-4568-455F-B759-6FA3293E92AE}" name="Column15365"/>
    <tableColumn id="15380" xr3:uid="{5254F0B6-2D79-49FA-82AA-37FEEB886E80}" name="Column15366"/>
    <tableColumn id="15381" xr3:uid="{ABC080AE-EFE3-417E-B5A5-DDB304CE6D55}" name="Column15367"/>
    <tableColumn id="15382" xr3:uid="{AB6F4020-8C18-4FF6-B1DE-D3E269B4870B}" name="Column15368"/>
    <tableColumn id="15383" xr3:uid="{0A5C3115-502C-42F7-A115-5EAAA6161588}" name="Column15369"/>
    <tableColumn id="15384" xr3:uid="{C71DA005-4150-456A-8C07-DE172D7830A0}" name="Column15370"/>
    <tableColumn id="15385" xr3:uid="{D7FD4806-C90B-43C2-889F-7EF77243ECBC}" name="Column15371"/>
    <tableColumn id="15386" xr3:uid="{86F482AC-6223-44A5-848F-06A4401F57B5}" name="Column15372"/>
    <tableColumn id="15387" xr3:uid="{6C1B93F4-8FD6-4609-A8F5-711B43C2B4A2}" name="Column15373"/>
    <tableColumn id="15388" xr3:uid="{5B60A2BD-399E-45D6-9BFB-57E28783A9DA}" name="Column15374"/>
    <tableColumn id="15389" xr3:uid="{5C334C43-35DB-4F56-A3A1-5520A61543BE}" name="Column15375"/>
    <tableColumn id="15390" xr3:uid="{29CC46D8-1C99-4E39-ACF1-95976BD88866}" name="Column15376"/>
    <tableColumn id="15391" xr3:uid="{096336B8-428B-4FF1-BAAE-C017783FA582}" name="Column15377"/>
    <tableColumn id="15392" xr3:uid="{460E1F07-606E-418C-9524-0DA96820D465}" name="Column15378"/>
    <tableColumn id="15393" xr3:uid="{06AEE506-0A8E-4FF4-A144-0E8E51F69C9D}" name="Column15379"/>
    <tableColumn id="15394" xr3:uid="{9FBA70D8-6D32-43F1-8EE3-66020E89EF29}" name="Column15380"/>
    <tableColumn id="15395" xr3:uid="{E2918CFC-321B-4791-95BB-2F5EFFF8FAEC}" name="Column15381"/>
    <tableColumn id="15396" xr3:uid="{9F477A53-D120-4F10-817D-0064C829AE12}" name="Column15382"/>
    <tableColumn id="15397" xr3:uid="{33A63BBC-90FB-4EB4-8613-90FEFB0A698F}" name="Column15383"/>
    <tableColumn id="15398" xr3:uid="{995CD8A8-4387-4224-B8A8-9CFF86E360F9}" name="Column15384"/>
    <tableColumn id="15399" xr3:uid="{2AC71E6A-C4BF-4D68-8C9A-CC3515A2B03C}" name="Column15385"/>
    <tableColumn id="15400" xr3:uid="{6A43C5F6-6A58-4F08-999A-E0A63A9D3F0D}" name="Column15386"/>
    <tableColumn id="15401" xr3:uid="{051D7EF2-0CFD-4235-85F0-4BC674C7830D}" name="Column15387"/>
    <tableColumn id="15402" xr3:uid="{11B35911-5CF5-44B7-A310-43423B01F71D}" name="Column15388"/>
    <tableColumn id="15403" xr3:uid="{3B86DD2A-AED4-4AEB-A6F5-F91FD4B9F765}" name="Column15389"/>
    <tableColumn id="15404" xr3:uid="{C79EE1E4-3DC3-4030-9528-F5F5BEA97579}" name="Column15390"/>
    <tableColumn id="15405" xr3:uid="{615ACD20-0812-4C0E-9AEA-4BBC9959D3E6}" name="Column15391"/>
    <tableColumn id="15406" xr3:uid="{3630AE42-0894-4611-A1DA-839E989A09B5}" name="Column15392"/>
    <tableColumn id="15407" xr3:uid="{31A47C37-73F3-4CF8-856C-2C8CE035D35E}" name="Column15393"/>
    <tableColumn id="15408" xr3:uid="{94A63A27-E101-419A-BD0A-E236D5315B24}" name="Column15394"/>
    <tableColumn id="15409" xr3:uid="{6E6E1CCA-B8D2-4E08-BAA1-B067E63C602B}" name="Column15395"/>
    <tableColumn id="15410" xr3:uid="{A1822CEE-856A-46BE-B214-0189292D4330}" name="Column15396"/>
    <tableColumn id="15411" xr3:uid="{38D6FF60-CC72-4BF2-9253-EFCB199B150F}" name="Column15397"/>
    <tableColumn id="15412" xr3:uid="{6808B38F-0D21-40BD-AD22-A3E8DE019666}" name="Column15398"/>
    <tableColumn id="15413" xr3:uid="{EEB12D06-56BB-4CB7-B6B6-14C702142D6F}" name="Column15399"/>
    <tableColumn id="15414" xr3:uid="{A3BA8B2E-C1F4-4A52-84D1-E109BC72316D}" name="Column15400"/>
    <tableColumn id="15415" xr3:uid="{5FE79090-035D-40B0-AD32-43BBD144D9E9}" name="Column15401"/>
    <tableColumn id="15416" xr3:uid="{C548832D-0068-4FD3-B1B8-714437C44802}" name="Column15402"/>
    <tableColumn id="15417" xr3:uid="{97C5B7B9-D411-4232-BDBC-FE90932A6391}" name="Column15403"/>
    <tableColumn id="15418" xr3:uid="{1DC7814F-FBE1-4577-9E56-5833C00819B6}" name="Column15404"/>
    <tableColumn id="15419" xr3:uid="{DE515306-916E-4BCE-92B3-8011E401F4CD}" name="Column15405"/>
    <tableColumn id="15420" xr3:uid="{0DF23353-6446-4866-8D96-7D186C5771ED}" name="Column15406"/>
    <tableColumn id="15421" xr3:uid="{3AB80FAD-6C33-4376-BF09-4628BDF92C1F}" name="Column15407"/>
    <tableColumn id="15422" xr3:uid="{D9FE5629-E7E3-4923-811F-D933A6A6DE8F}" name="Column15408"/>
    <tableColumn id="15423" xr3:uid="{59FCAF17-F0C0-4D1D-91AC-EF3CCCB44BC3}" name="Column15409"/>
    <tableColumn id="15424" xr3:uid="{EABA12A5-0FCF-4187-A67A-09677390ADF6}" name="Column15410"/>
    <tableColumn id="15425" xr3:uid="{4519362C-FF90-402B-AA17-403D2069F169}" name="Column15411"/>
    <tableColumn id="15426" xr3:uid="{D6C9CCB0-2878-49F5-A5DC-1D09EE8CA6BB}" name="Column15412"/>
    <tableColumn id="15427" xr3:uid="{489EA54B-5914-436A-AC85-C419485B4A36}" name="Column15413"/>
    <tableColumn id="15428" xr3:uid="{CE9D197F-986D-4761-98B1-B3A997F311CE}" name="Column15414"/>
    <tableColumn id="15429" xr3:uid="{45241377-B78D-4945-AE51-1906CBDA8AB2}" name="Column15415"/>
    <tableColumn id="15430" xr3:uid="{3F29F788-C76F-474C-A79B-E2ADB36643D6}" name="Column15416"/>
    <tableColumn id="15431" xr3:uid="{7B3CAA65-FA5F-4C13-8A02-560D49426666}" name="Column15417"/>
    <tableColumn id="15432" xr3:uid="{46EC1480-8C0A-4143-826A-8FA429F73034}" name="Column15418"/>
    <tableColumn id="15433" xr3:uid="{19319E99-7514-4BEC-8C24-F6422D9655D4}" name="Column15419"/>
    <tableColumn id="15434" xr3:uid="{3DD5D985-4310-42A4-B217-C5DFC78A7047}" name="Column15420"/>
    <tableColumn id="15435" xr3:uid="{A7923278-1AE7-4205-BB68-8CB2F0AC517A}" name="Column15421"/>
    <tableColumn id="15436" xr3:uid="{820912FD-5C2D-4A4C-885F-BE48EB45B4FA}" name="Column15422"/>
    <tableColumn id="15437" xr3:uid="{A48A145F-8C3D-4795-8437-C4474D76B0FE}" name="Column15423"/>
    <tableColumn id="15438" xr3:uid="{1B238C10-D088-4B5E-A435-02219FFFA3D1}" name="Column15424"/>
    <tableColumn id="15439" xr3:uid="{10F4A2B4-B42D-42AB-8E64-8DE136063C99}" name="Column15425"/>
    <tableColumn id="15440" xr3:uid="{53A0000E-E518-4809-B134-9EA5EAAE17E5}" name="Column15426"/>
    <tableColumn id="15441" xr3:uid="{0B836119-8EFB-4B21-A5E2-C7F8F9EE3903}" name="Column15427"/>
    <tableColumn id="15442" xr3:uid="{86A7F9F0-7F09-4321-BF27-9D407FF7B4AE}" name="Column15428"/>
    <tableColumn id="15443" xr3:uid="{3886AF2D-EA3F-4FAE-AFBC-1C88882040F6}" name="Column15429"/>
    <tableColumn id="15444" xr3:uid="{C115BB88-13B5-47FB-B2BC-E005880D71D2}" name="Column15430"/>
    <tableColumn id="15445" xr3:uid="{813BA3E9-73CF-4742-AE6B-41DB21ACA916}" name="Column15431"/>
    <tableColumn id="15446" xr3:uid="{ECAA488E-D077-4E55-A9CF-547310169604}" name="Column15432"/>
    <tableColumn id="15447" xr3:uid="{DF199298-B73E-48DB-A132-D418F01D9DBB}" name="Column15433"/>
    <tableColumn id="15448" xr3:uid="{16A50D5F-80C7-41CF-9B68-D28348F82C7B}" name="Column15434"/>
    <tableColumn id="15449" xr3:uid="{B8897AAD-005E-4D47-9FCE-951025E9E6F8}" name="Column15435"/>
    <tableColumn id="15450" xr3:uid="{24D76579-5D11-4609-8208-A9CAE1C97689}" name="Column15436"/>
    <tableColumn id="15451" xr3:uid="{8FF3B150-7D46-45D1-81AF-918233BC3D42}" name="Column15437"/>
    <tableColumn id="15452" xr3:uid="{B6EB389E-F38B-4E03-9710-2688D7E04F52}" name="Column15438"/>
    <tableColumn id="15453" xr3:uid="{098147D7-6796-4458-9F44-2B9F83264801}" name="Column15439"/>
    <tableColumn id="15454" xr3:uid="{FCDE1710-01EB-4741-ABE6-B0F5FA04E3E2}" name="Column15440"/>
    <tableColumn id="15455" xr3:uid="{3A2F7FB8-D1B7-46D2-8441-C29306AEA342}" name="Column15441"/>
    <tableColumn id="15456" xr3:uid="{EA27B840-EAEB-48B7-99A5-67C73A5DB848}" name="Column15442"/>
    <tableColumn id="15457" xr3:uid="{85F71159-1418-4900-818B-5D590993C594}" name="Column15443"/>
    <tableColumn id="15458" xr3:uid="{379AB231-248B-48EA-A0C2-1E23D8B19769}" name="Column15444"/>
    <tableColumn id="15459" xr3:uid="{79F2E089-D239-4AF2-AAFB-405E7BF37B79}" name="Column15445"/>
    <tableColumn id="15460" xr3:uid="{82A105AA-FBD5-434E-BF2B-05091D4DF606}" name="Column15446"/>
    <tableColumn id="15461" xr3:uid="{AA14F71D-0E83-4383-825D-4F19F8664B0E}" name="Column15447"/>
    <tableColumn id="15462" xr3:uid="{5444FDF9-542A-4674-B631-9626398A99A5}" name="Column15448"/>
    <tableColumn id="15463" xr3:uid="{047D012A-1A74-4DE1-9576-A8485FCE3D6E}" name="Column15449"/>
    <tableColumn id="15464" xr3:uid="{005EF727-977B-4FBD-A466-78BE19FC93AD}" name="Column15450"/>
    <tableColumn id="15465" xr3:uid="{77CEA6D7-8CFE-4185-ABA8-F2ADC60E3F07}" name="Column15451"/>
    <tableColumn id="15466" xr3:uid="{51DB13A2-D245-4181-A9C7-0BF5096277D2}" name="Column15452"/>
    <tableColumn id="15467" xr3:uid="{DD8AC010-50F9-4BD9-82D9-110E892B76C2}" name="Column15453"/>
    <tableColumn id="15468" xr3:uid="{205FA659-FB8A-48B9-855A-5FCC3B144A5B}" name="Column15454"/>
    <tableColumn id="15469" xr3:uid="{02DF117E-7A56-4F68-845A-614F830DEC34}" name="Column15455"/>
    <tableColumn id="15470" xr3:uid="{CB3A7E43-3781-4EAE-B50A-B33239D15FE1}" name="Column15456"/>
    <tableColumn id="15471" xr3:uid="{D8E35217-918F-4D9D-A5AE-761771E5ACBC}" name="Column15457"/>
    <tableColumn id="15472" xr3:uid="{720CF4DB-BBFD-4C02-B707-EB3A50A22125}" name="Column15458"/>
    <tableColumn id="15473" xr3:uid="{BF8A26EF-27E6-4E11-9D79-7990E3361181}" name="Column15459"/>
    <tableColumn id="15474" xr3:uid="{47FDA12B-ACA3-40E1-BF57-CEBF7C5EBA4A}" name="Column15460"/>
    <tableColumn id="15475" xr3:uid="{B05371C4-FAF8-46E1-ADD5-BF2D83151268}" name="Column15461"/>
    <tableColumn id="15476" xr3:uid="{208B66ED-F994-48A5-B9E1-BE9BE2A264CC}" name="Column15462"/>
    <tableColumn id="15477" xr3:uid="{FF69CE38-6183-4F6C-A05F-24D4542001B1}" name="Column15463"/>
    <tableColumn id="15478" xr3:uid="{3177CB55-B968-47AF-9591-287E87F7ED3D}" name="Column15464"/>
    <tableColumn id="15479" xr3:uid="{965CFA32-8D66-4B5C-8579-BB2443FC6CD8}" name="Column15465"/>
    <tableColumn id="15480" xr3:uid="{0D20F82B-5547-4F43-8BF1-DEB5547DE8D5}" name="Column15466"/>
    <tableColumn id="15481" xr3:uid="{9F54892B-EEAA-42C7-A21F-0F26788F58FC}" name="Column15467"/>
    <tableColumn id="15482" xr3:uid="{60C289E2-E512-44B7-8197-6A341E25A1CE}" name="Column15468"/>
    <tableColumn id="15483" xr3:uid="{34F37C69-EDEC-4BF0-A217-325D218D0E46}" name="Column15469"/>
    <tableColumn id="15484" xr3:uid="{8483444D-E231-4AE4-853F-A27AA555A0E1}" name="Column15470"/>
    <tableColumn id="15485" xr3:uid="{46C41039-F2F3-4C21-B23C-AADA0A23F129}" name="Column15471"/>
    <tableColumn id="15486" xr3:uid="{BA7277AE-FBED-4F5F-88DE-F5A6C928E3CB}" name="Column15472"/>
    <tableColumn id="15487" xr3:uid="{64A2BEE3-B8FC-4AB9-85BE-4D0CA3633C5D}" name="Column15473"/>
    <tableColumn id="15488" xr3:uid="{C4C4CA77-57D7-4FA3-947C-1878340F0CE6}" name="Column15474"/>
    <tableColumn id="15489" xr3:uid="{A109637E-6811-4288-B1FB-5F9FFDB0B381}" name="Column15475"/>
    <tableColumn id="15490" xr3:uid="{2F68FBF8-D165-4B7C-B72E-1CD077AC82F3}" name="Column15476"/>
    <tableColumn id="15491" xr3:uid="{50AAD73A-B9C6-4BC0-A0C4-AC14F666E7C8}" name="Column15477"/>
    <tableColumn id="15492" xr3:uid="{FFBBD52C-2940-44B5-A676-82AD686B103E}" name="Column15478"/>
    <tableColumn id="15493" xr3:uid="{9A28DE6B-A0AD-4E48-A2A2-1143D0C493CF}" name="Column15479"/>
    <tableColumn id="15494" xr3:uid="{60700233-8503-4E4F-8441-45AC636D2305}" name="Column15480"/>
    <tableColumn id="15495" xr3:uid="{23B5150E-9150-4AA5-A77A-642803A919A3}" name="Column15481"/>
    <tableColumn id="15496" xr3:uid="{E21BAD14-DCE2-4C7E-BC28-4169473F0923}" name="Column15482"/>
    <tableColumn id="15497" xr3:uid="{B3F83314-3EE4-4532-81FF-F290E9E537AC}" name="Column15483"/>
    <tableColumn id="15498" xr3:uid="{59D10C95-BDF3-45D8-A624-8E9BD0D914A7}" name="Column15484"/>
    <tableColumn id="15499" xr3:uid="{72EE4EBA-E528-4913-96FC-328430B43402}" name="Column15485"/>
    <tableColumn id="15500" xr3:uid="{A1D8A3BA-BD41-40B5-8175-30D8C99471B9}" name="Column15486"/>
    <tableColumn id="15501" xr3:uid="{F7966A12-F985-4B3B-9052-809A144826C8}" name="Column15487"/>
    <tableColumn id="15502" xr3:uid="{299DA85C-8D9B-417F-8C4E-B3604AF76D57}" name="Column15488"/>
    <tableColumn id="15503" xr3:uid="{6D168F25-8481-40FC-B2BB-F389501593B0}" name="Column15489"/>
    <tableColumn id="15504" xr3:uid="{C475737B-5619-46FC-A855-3FB9C01ECD1A}" name="Column15490"/>
    <tableColumn id="15505" xr3:uid="{FB14704F-C2B7-481C-B569-4A4ACCDC8083}" name="Column15491"/>
    <tableColumn id="15506" xr3:uid="{4E0CEFD3-5365-42A2-9560-39595B731C22}" name="Column15492"/>
    <tableColumn id="15507" xr3:uid="{47B58EC0-7643-46DC-98EB-C9C3BF27D7EF}" name="Column15493"/>
    <tableColumn id="15508" xr3:uid="{DDDB6F95-5A99-43BA-820F-8F8751B0F7FF}" name="Column15494"/>
    <tableColumn id="15509" xr3:uid="{302136D1-ADF7-44F1-8CFC-EA9C0BAE9E2E}" name="Column15495"/>
    <tableColumn id="15510" xr3:uid="{6F11BA3D-1B7C-4D05-9DE1-704FC2B52892}" name="Column15496"/>
    <tableColumn id="15511" xr3:uid="{20B9B28B-791D-4E24-B5D6-E613E8A6C176}" name="Column15497"/>
    <tableColumn id="15512" xr3:uid="{0C4DEA51-AFA6-4250-98EE-32327ACAE0D2}" name="Column15498"/>
    <tableColumn id="15513" xr3:uid="{B2DF6AEB-ED6F-4CE8-A8C7-9F6A561AF6B3}" name="Column15499"/>
    <tableColumn id="15514" xr3:uid="{68103FE3-BDE3-4DA6-B572-33AD56D269F7}" name="Column15500"/>
    <tableColumn id="15515" xr3:uid="{65CA623E-329F-436A-822E-C547733BAA27}" name="Column15501"/>
    <tableColumn id="15516" xr3:uid="{B241854E-6AA4-422E-A9D0-015EABFC9F26}" name="Column15502"/>
    <tableColumn id="15517" xr3:uid="{234F079A-9C4B-4ACF-AD54-06B51E3252E3}" name="Column15503"/>
    <tableColumn id="15518" xr3:uid="{B8D6659C-3061-4C24-A08E-71523E9C41E5}" name="Column15504"/>
    <tableColumn id="15519" xr3:uid="{D2908EC1-3BCA-417A-A1FE-5BC539CBDC72}" name="Column15505"/>
    <tableColumn id="15520" xr3:uid="{8A890F64-022E-4FD8-B737-11F4A9EDF479}" name="Column15506"/>
    <tableColumn id="15521" xr3:uid="{B089A765-1687-4B71-AAF7-56406A3B5138}" name="Column15507"/>
    <tableColumn id="15522" xr3:uid="{CC8EED69-93D2-4BEE-A6C5-E740BE1C2970}" name="Column15508"/>
    <tableColumn id="15523" xr3:uid="{ABEE426D-5482-4B0C-A96B-2C95B635FA08}" name="Column15509"/>
    <tableColumn id="15524" xr3:uid="{B0C95159-BFC2-4917-8C4D-EA998C7C54F6}" name="Column15510"/>
    <tableColumn id="15525" xr3:uid="{C7C65183-E157-4050-880F-D0E0A861DF48}" name="Column15511"/>
    <tableColumn id="15526" xr3:uid="{1147E712-A260-4DDB-AF56-A6D3471DB328}" name="Column15512"/>
    <tableColumn id="15527" xr3:uid="{FFAF17F3-340B-40CB-B43C-0F4492D47981}" name="Column15513"/>
    <tableColumn id="15528" xr3:uid="{DBEFFD2F-6E55-4204-B5A4-E64ED55AB943}" name="Column15514"/>
    <tableColumn id="15529" xr3:uid="{BA4E8A74-6AD5-43A4-89D8-64711613523D}" name="Column15515"/>
    <tableColumn id="15530" xr3:uid="{7261CAB8-398F-47C7-8CF3-BEE5B6F9D34D}" name="Column15516"/>
    <tableColumn id="15531" xr3:uid="{3CD9F9EC-B9AB-4A61-B847-F9CD4DA4DECB}" name="Column15517"/>
    <tableColumn id="15532" xr3:uid="{79D0B7E4-0947-4C7A-AEDF-38D5110635CF}" name="Column15518"/>
    <tableColumn id="15533" xr3:uid="{939D2F87-B2CE-4D04-B913-81B150836FE2}" name="Column15519"/>
    <tableColumn id="15534" xr3:uid="{85D64300-5578-4E4C-82DB-AED61DDA2D79}" name="Column15520"/>
    <tableColumn id="15535" xr3:uid="{47A277BF-4D38-4C9B-8C26-48A46D7329A5}" name="Column15521"/>
    <tableColumn id="15536" xr3:uid="{0A6F8484-7166-4BD8-A042-F4CB297C7A13}" name="Column15522"/>
    <tableColumn id="15537" xr3:uid="{8FB19FFE-D507-4A66-81CA-1D50F5A85806}" name="Column15523"/>
    <tableColumn id="15538" xr3:uid="{FA4B55D5-7F8F-43C3-8F18-82D4C46D4ABA}" name="Column15524"/>
    <tableColumn id="15539" xr3:uid="{4F4ABD7E-FD0C-4AB7-925E-E82A3C30BA28}" name="Column15525"/>
    <tableColumn id="15540" xr3:uid="{B9CFE28E-0F01-417A-9323-1D307984B312}" name="Column15526"/>
    <tableColumn id="15541" xr3:uid="{3BF6A712-FECC-4784-A087-0A2219EFE3DE}" name="Column15527"/>
    <tableColumn id="15542" xr3:uid="{84839600-5852-4BEB-952E-83A99128F494}" name="Column15528"/>
    <tableColumn id="15543" xr3:uid="{40CE54CF-6524-4CDF-9616-D107BAA3C92E}" name="Column15529"/>
    <tableColumn id="15544" xr3:uid="{4615B39F-96A8-4D90-BD61-330E4BE0A307}" name="Column15530"/>
    <tableColumn id="15545" xr3:uid="{BA95E82D-BA01-47A4-A0D8-B4C3203B833C}" name="Column15531"/>
    <tableColumn id="15546" xr3:uid="{8258D54C-6D14-403E-A7C1-62859363C610}" name="Column15532"/>
    <tableColumn id="15547" xr3:uid="{702705B0-0558-471D-A3AD-5CCE2898FDFC}" name="Column15533"/>
    <tableColumn id="15548" xr3:uid="{764101D5-D014-4F04-9267-709B429445A9}" name="Column15534"/>
    <tableColumn id="15549" xr3:uid="{29C8EADA-7E23-4FD0-96D6-6E1C34BD3155}" name="Column15535"/>
    <tableColumn id="15550" xr3:uid="{8CC06F81-E3A4-4D14-A11D-8CB340ACE864}" name="Column15536"/>
    <tableColumn id="15551" xr3:uid="{CDAEADC7-FB5F-4EB8-A7F4-208A097E8174}" name="Column15537"/>
    <tableColumn id="15552" xr3:uid="{08A4809D-B8E4-4B40-BADE-52D9D1A99648}" name="Column15538"/>
    <tableColumn id="15553" xr3:uid="{126CBBF1-8D6C-40AD-A38A-80E4AFE305D4}" name="Column15539"/>
    <tableColumn id="15554" xr3:uid="{50C5A961-06DF-495E-8E5F-B9D20274E598}" name="Column15540"/>
    <tableColumn id="15555" xr3:uid="{6C5A1FCD-DCFE-485C-B515-A293BFE57174}" name="Column15541"/>
    <tableColumn id="15556" xr3:uid="{6782818D-A186-48BB-9E29-5DC47B9AA6E4}" name="Column15542"/>
    <tableColumn id="15557" xr3:uid="{A7BCAB38-C74B-48C8-BE9B-AF6D0A192E79}" name="Column15543"/>
    <tableColumn id="15558" xr3:uid="{42566F51-B1F0-4035-9A1B-35B753386938}" name="Column15544"/>
    <tableColumn id="15559" xr3:uid="{A8681128-FFE5-40B1-A5A6-1DFD0DE1124F}" name="Column15545"/>
    <tableColumn id="15560" xr3:uid="{F6EBEE78-D02B-4531-88B1-CB892DDBF625}" name="Column15546"/>
    <tableColumn id="15561" xr3:uid="{43455396-2CFF-4960-A2FF-AE1FBAB5086D}" name="Column15547"/>
    <tableColumn id="15562" xr3:uid="{1E73FD51-F40C-4C9C-BAA3-E93E48A4F35E}" name="Column15548"/>
    <tableColumn id="15563" xr3:uid="{C3AE1A16-B47E-4F77-A005-60BE0CE1C04A}" name="Column15549"/>
    <tableColumn id="15564" xr3:uid="{A81086B3-4FE5-4680-91A2-0549F540030B}" name="Column15550"/>
    <tableColumn id="15565" xr3:uid="{102FD894-7B18-4D19-9428-FE4CA21EEF3F}" name="Column15551"/>
    <tableColumn id="15566" xr3:uid="{EFF3801D-E090-4C27-8F34-588AA2EA6361}" name="Column15552"/>
    <tableColumn id="15567" xr3:uid="{5D61EFCA-6BF4-4585-89D0-D79ADA61F5BB}" name="Column15553"/>
    <tableColumn id="15568" xr3:uid="{90321B27-4F14-4590-8F94-213B71FE8932}" name="Column15554"/>
    <tableColumn id="15569" xr3:uid="{833D9627-8EE2-4C9C-B517-677239FAAB61}" name="Column15555"/>
    <tableColumn id="15570" xr3:uid="{4C81593F-92F6-4B0E-B07C-05863DAC7211}" name="Column15556"/>
    <tableColumn id="15571" xr3:uid="{2C7595E1-A64E-4E2F-992A-4E2E8185FC33}" name="Column15557"/>
    <tableColumn id="15572" xr3:uid="{519F813C-132D-4ABB-A58D-1D5321872129}" name="Column15558"/>
    <tableColumn id="15573" xr3:uid="{D3F5A4CA-12E2-438A-99EC-498D0B737CC3}" name="Column15559"/>
    <tableColumn id="15574" xr3:uid="{BDB41771-E405-4AC7-8A33-8460BFCAD021}" name="Column15560"/>
    <tableColumn id="15575" xr3:uid="{04AD9508-EFD3-46C2-BECF-066AF6E76EFC}" name="Column15561"/>
    <tableColumn id="15576" xr3:uid="{EC2269AE-FA79-4962-90FB-EA132D3160CE}" name="Column15562"/>
    <tableColumn id="15577" xr3:uid="{8AE15C54-29F8-4058-87D9-8FE5602BA313}" name="Column15563"/>
    <tableColumn id="15578" xr3:uid="{039B0C68-8D2B-45D4-B853-AE59E587B4BB}" name="Column15564"/>
    <tableColumn id="15579" xr3:uid="{37FF91E1-1BF3-4107-B0F9-F0747148657E}" name="Column15565"/>
    <tableColumn id="15580" xr3:uid="{2375D616-5AA5-413B-8275-713F3FD765AF}" name="Column15566"/>
    <tableColumn id="15581" xr3:uid="{F5CE93E3-58D6-43F3-A6F4-50A5CB2111DF}" name="Column15567"/>
    <tableColumn id="15582" xr3:uid="{36A4D14A-DA3E-40D6-8E72-F1A248555A4D}" name="Column15568"/>
    <tableColumn id="15583" xr3:uid="{CEECB0E9-9B36-4D2D-A7E3-E52412E7DC2E}" name="Column15569"/>
    <tableColumn id="15584" xr3:uid="{62258DDB-BFCC-4AF3-9AB0-368A65CA00F0}" name="Column15570"/>
    <tableColumn id="15585" xr3:uid="{B97635F6-E110-43E3-A0C2-F381C7FA07B8}" name="Column15571"/>
    <tableColumn id="15586" xr3:uid="{36DE65D7-595A-4F70-BD77-5D46DA48D2A0}" name="Column15572"/>
    <tableColumn id="15587" xr3:uid="{5F7AEF12-3A5B-4C44-ABCD-FB8B8F42C873}" name="Column15573"/>
    <tableColumn id="15588" xr3:uid="{4D3A4122-6579-4AF7-94A4-C77B6992FE61}" name="Column15574"/>
    <tableColumn id="15589" xr3:uid="{850FD255-EC63-4BA2-B025-049C4EBCEBA0}" name="Column15575"/>
    <tableColumn id="15590" xr3:uid="{F94D3833-F23F-4113-AA30-161AB215E87D}" name="Column15576"/>
    <tableColumn id="15591" xr3:uid="{92B5F274-390A-40A7-8B5B-4C961FF170C0}" name="Column15577"/>
    <tableColumn id="15592" xr3:uid="{0C15A819-705D-49DD-B067-C7722D28F2C4}" name="Column15578"/>
    <tableColumn id="15593" xr3:uid="{DF32A4AE-33C0-443F-8DEE-E081579D6F6E}" name="Column15579"/>
    <tableColumn id="15594" xr3:uid="{9FC08980-F779-4EFA-902C-21932E99710D}" name="Column15580"/>
    <tableColumn id="15595" xr3:uid="{333FD18E-4CE2-4429-BA26-E8EB3237996E}" name="Column15581"/>
    <tableColumn id="15596" xr3:uid="{1C12C326-5743-4E94-A569-313EDCD5766A}" name="Column15582"/>
    <tableColumn id="15597" xr3:uid="{C9E08C76-A186-41F8-8D63-25A0B6D1C940}" name="Column15583"/>
    <tableColumn id="15598" xr3:uid="{D79B1AEE-929C-45A1-8C74-CD8330C399C2}" name="Column15584"/>
    <tableColumn id="15599" xr3:uid="{3A13C612-46F8-4053-9A11-CEDD72A2B34E}" name="Column15585"/>
    <tableColumn id="15600" xr3:uid="{C28E7BEF-CD1D-4B9A-B7BC-2B9208359EA8}" name="Column15586"/>
    <tableColumn id="15601" xr3:uid="{A4151488-6856-4ACF-9216-C4966A52F667}" name="Column15587"/>
    <tableColumn id="15602" xr3:uid="{BF803E8A-A049-4EF1-A403-A98D9912FA58}" name="Column15588"/>
    <tableColumn id="15603" xr3:uid="{C2D2526D-6A69-40A7-827B-CF4A874A18E7}" name="Column15589"/>
    <tableColumn id="15604" xr3:uid="{BBE500A0-4E86-4FF6-B105-862127B86C98}" name="Column15590"/>
    <tableColumn id="15605" xr3:uid="{62D3BFC2-088F-4710-86DC-1636DCF54787}" name="Column15591"/>
    <tableColumn id="15606" xr3:uid="{F775CFE1-2ABC-42B9-B1E6-6299DC0A27CB}" name="Column15592"/>
    <tableColumn id="15607" xr3:uid="{C241D0CB-3E31-4412-BA85-F83B0B264511}" name="Column15593"/>
    <tableColumn id="15608" xr3:uid="{1AF3DFD0-F1ED-4850-AAEC-2254BA3CEA5B}" name="Column15594"/>
    <tableColumn id="15609" xr3:uid="{B5BF3B17-DF05-437C-99EB-C26DE13C52C3}" name="Column15595"/>
    <tableColumn id="15610" xr3:uid="{F52B52B6-5608-4230-B3AE-3DFC73EE04A5}" name="Column15596"/>
    <tableColumn id="15611" xr3:uid="{784A4B9B-1BB3-4A6F-B7D0-391478B305A5}" name="Column15597"/>
    <tableColumn id="15612" xr3:uid="{D76E3E77-CBB5-467A-B39D-F79CA725E629}" name="Column15598"/>
    <tableColumn id="15613" xr3:uid="{7399A121-51EB-48F4-BAB0-17B8D643E924}" name="Column15599"/>
    <tableColumn id="15614" xr3:uid="{C1F5B35E-00E7-409B-9D8C-2AC0981B1E80}" name="Column15600"/>
    <tableColumn id="15615" xr3:uid="{362B5B02-11C1-4F9A-9094-E9758BAEA05A}" name="Column15601"/>
    <tableColumn id="15616" xr3:uid="{C3F6822D-B75B-4EDC-AFC4-DAA3DDB69590}" name="Column15602"/>
    <tableColumn id="15617" xr3:uid="{2995C860-F4C9-4EEB-99A6-C520F91AF50F}" name="Column15603"/>
    <tableColumn id="15618" xr3:uid="{0710EA13-512B-4D6C-9BBC-6B49A39B921B}" name="Column15604"/>
    <tableColumn id="15619" xr3:uid="{C78AC11B-20EF-4AAA-95BE-5344E640206D}" name="Column15605"/>
    <tableColumn id="15620" xr3:uid="{A764623B-35D5-415D-A054-5AD04B8C1731}" name="Column15606"/>
    <tableColumn id="15621" xr3:uid="{C03DD703-D8C3-4597-A190-1A726EB8B1F3}" name="Column15607"/>
    <tableColumn id="15622" xr3:uid="{CC082A3E-D48B-4F05-8D1A-7F54533FABFB}" name="Column15608"/>
    <tableColumn id="15623" xr3:uid="{4AAC9924-3827-4787-AB2B-E9D2E818D30F}" name="Column15609"/>
    <tableColumn id="15624" xr3:uid="{D0969A19-F21D-4678-9F65-5F2AC780D182}" name="Column15610"/>
    <tableColumn id="15625" xr3:uid="{91BF5ED7-3C50-4A40-AB81-6EF422F1B8F5}" name="Column15611"/>
    <tableColumn id="15626" xr3:uid="{C48C1302-F030-431A-9BB9-8898B0D1A724}" name="Column15612"/>
    <tableColumn id="15627" xr3:uid="{DEA555BC-4677-4490-B8BF-B926B78925C6}" name="Column15613"/>
    <tableColumn id="15628" xr3:uid="{CB431665-F898-459D-9DC5-2EC13E21E271}" name="Column15614"/>
    <tableColumn id="15629" xr3:uid="{BD874A34-482C-4FB6-94F7-9712A957C826}" name="Column15615"/>
    <tableColumn id="15630" xr3:uid="{DCACB961-44A9-43CF-97DD-5E64B70D7DCF}" name="Column15616"/>
    <tableColumn id="15631" xr3:uid="{DC882CD0-D47B-414F-897B-645D7892B183}" name="Column15617"/>
    <tableColumn id="15632" xr3:uid="{7373738A-759D-485E-845D-72401C6426D2}" name="Column15618"/>
    <tableColumn id="15633" xr3:uid="{0F505B63-0203-4285-BA28-74EEE3D69D75}" name="Column15619"/>
    <tableColumn id="15634" xr3:uid="{CF7FCC7A-F5BB-44E1-9D5C-B7D107749D00}" name="Column15620"/>
    <tableColumn id="15635" xr3:uid="{247043E1-BBDB-4295-8A60-EA76270CB092}" name="Column15621"/>
    <tableColumn id="15636" xr3:uid="{7AC7898E-29AF-466F-BF4C-82CA3A2127F7}" name="Column15622"/>
    <tableColumn id="15637" xr3:uid="{BF8E3F21-B895-4517-BFEC-006C722FB35F}" name="Column15623"/>
    <tableColumn id="15638" xr3:uid="{F6491590-855A-4C84-8F4F-6774B9B0E3D8}" name="Column15624"/>
    <tableColumn id="15639" xr3:uid="{8A27695A-93ED-4330-A011-A962A71EA2F4}" name="Column15625"/>
    <tableColumn id="15640" xr3:uid="{1D1CEB5B-49DC-4EB8-AAB7-B6A43FF0DF46}" name="Column15626"/>
    <tableColumn id="15641" xr3:uid="{5590BE32-E715-4C0D-8889-75213F478A3D}" name="Column15627"/>
    <tableColumn id="15642" xr3:uid="{D0F9A321-A207-4677-89E9-72265F351D65}" name="Column15628"/>
    <tableColumn id="15643" xr3:uid="{FC3E8C51-C5A8-41E4-99E0-AB27B2BEBDCC}" name="Column15629"/>
    <tableColumn id="15644" xr3:uid="{F19BA95F-95EF-4A42-936B-E32C3A05E133}" name="Column15630"/>
    <tableColumn id="15645" xr3:uid="{012887E2-E659-484D-8FB6-BA6375D06111}" name="Column15631"/>
    <tableColumn id="15646" xr3:uid="{823F040F-3E05-46E4-BAC7-DEDAA24FCB73}" name="Column15632"/>
    <tableColumn id="15647" xr3:uid="{97E0EDC1-C0D8-46AE-9950-966F2136B593}" name="Column15633"/>
    <tableColumn id="15648" xr3:uid="{B0B14FFD-08AB-423C-8B30-87CA3393BAC4}" name="Column15634"/>
    <tableColumn id="15649" xr3:uid="{692BA9EF-D748-4832-B86C-C50DB10405F9}" name="Column15635"/>
    <tableColumn id="15650" xr3:uid="{BD2508DB-BB46-4218-A141-E56587F305AD}" name="Column15636"/>
    <tableColumn id="15651" xr3:uid="{CEB70A12-2012-4580-B766-138D402BA175}" name="Column15637"/>
    <tableColumn id="15652" xr3:uid="{5E25A14F-66F3-4A4B-8099-9C337029242F}" name="Column15638"/>
    <tableColumn id="15653" xr3:uid="{8341B703-53FB-47E8-86C7-8BDCA31CBB46}" name="Column15639"/>
    <tableColumn id="15654" xr3:uid="{F1652327-28AD-45E8-A0BC-1570142D8333}" name="Column15640"/>
    <tableColumn id="15655" xr3:uid="{857DC687-1F7E-43E8-8474-0E7F4251F68F}" name="Column15641"/>
    <tableColumn id="15656" xr3:uid="{A142E5CB-6B4E-4FD9-BA26-CA13FE4081A5}" name="Column15642"/>
    <tableColumn id="15657" xr3:uid="{AAB0E464-E477-45C1-905B-B8B5EE12903D}" name="Column15643"/>
    <tableColumn id="15658" xr3:uid="{781A2FED-B7F3-4EEA-8E94-97B3881AFEC0}" name="Column15644"/>
    <tableColumn id="15659" xr3:uid="{6EA6F295-8BB1-4EDC-B345-C4DD891B3DBA}" name="Column15645"/>
    <tableColumn id="15660" xr3:uid="{74C06AE6-627F-419F-84EE-A4C817FB7EAA}" name="Column15646"/>
    <tableColumn id="15661" xr3:uid="{38CC79C5-53F0-419E-909E-F1F4484F52FA}" name="Column15647"/>
    <tableColumn id="15662" xr3:uid="{2AD5AD3E-7C94-4ABC-B1F0-B2A862B6ED04}" name="Column15648"/>
    <tableColumn id="15663" xr3:uid="{C728401A-3D3B-4477-A1C9-EDB39F0CF3F2}" name="Column15649"/>
    <tableColumn id="15664" xr3:uid="{65AED930-7D1D-4DE5-AC7D-5ACBC9AB5CFB}" name="Column15650"/>
    <tableColumn id="15665" xr3:uid="{222D37FC-9A31-4F00-B41D-4234130CBC48}" name="Column15651"/>
    <tableColumn id="15666" xr3:uid="{83B0B74B-5F44-4F95-8733-74D6B4495B43}" name="Column15652"/>
    <tableColumn id="15667" xr3:uid="{AE54A2BE-144A-4EAB-BEDD-B5B82639F720}" name="Column15653"/>
    <tableColumn id="15668" xr3:uid="{E85B45DF-6AF0-49F8-9612-D66AC8CDC2C1}" name="Column15654"/>
    <tableColumn id="15669" xr3:uid="{1599B52B-9684-4400-B31B-EBDF007B7FFE}" name="Column15655"/>
    <tableColumn id="15670" xr3:uid="{5D7185A6-55A8-481E-8606-BF0587017778}" name="Column15656"/>
    <tableColumn id="15671" xr3:uid="{39E8B996-A9C8-4672-9675-6BFF14822DC7}" name="Column15657"/>
    <tableColumn id="15672" xr3:uid="{96B39FBB-9DF7-463C-B673-74AEA691B6A1}" name="Column15658"/>
    <tableColumn id="15673" xr3:uid="{7B7BC932-04BD-471F-A958-1EC2E16E5AB6}" name="Column15659"/>
    <tableColumn id="15674" xr3:uid="{C12B5EC9-0820-40E7-BCC4-44D940673B7B}" name="Column15660"/>
    <tableColumn id="15675" xr3:uid="{8DB9CE6D-C70B-4FF4-87C2-3FF9EE437542}" name="Column15661"/>
    <tableColumn id="15676" xr3:uid="{0F7B0EF9-AC86-46E8-9B20-8C293397F83D}" name="Column15662"/>
    <tableColumn id="15677" xr3:uid="{10D1525B-8CC9-44D4-A562-04FDBCDD74F6}" name="Column15663"/>
    <tableColumn id="15678" xr3:uid="{E1271842-C91B-44F2-B3EF-A18D4471C1EF}" name="Column15664"/>
    <tableColumn id="15679" xr3:uid="{82EBAF5E-5D10-48DF-BCA6-3CE64018B328}" name="Column15665"/>
    <tableColumn id="15680" xr3:uid="{F8F6AB0D-B203-4DAA-B97B-F3EA80304EF8}" name="Column15666"/>
    <tableColumn id="15681" xr3:uid="{24B6E12F-911A-4436-A060-F9BEA03359D6}" name="Column15667"/>
    <tableColumn id="15682" xr3:uid="{5A138037-71C6-432A-AC15-151DBC00B160}" name="Column15668"/>
    <tableColumn id="15683" xr3:uid="{4EDF388E-D577-42F1-8580-7304F0275068}" name="Column15669"/>
    <tableColumn id="15684" xr3:uid="{250B918A-BD2E-45D6-9ABF-AA875EBFB853}" name="Column15670"/>
    <tableColumn id="15685" xr3:uid="{9899FDEA-3885-40A3-AA6C-8F47AC568C91}" name="Column15671"/>
    <tableColumn id="15686" xr3:uid="{3E139B8C-EC97-461D-8DBD-67F31AC9FF8E}" name="Column15672"/>
    <tableColumn id="15687" xr3:uid="{046E7982-CEBE-4C9E-85A8-3FCD7AF4C4BB}" name="Column15673"/>
    <tableColumn id="15688" xr3:uid="{3940113D-4B7A-4E5A-A846-C70CC1EC325A}" name="Column15674"/>
    <tableColumn id="15689" xr3:uid="{146E2E75-D922-460D-ABE6-66CD61094524}" name="Column15675"/>
    <tableColumn id="15690" xr3:uid="{A75254CB-BF0E-431F-920D-55A66971FFF4}" name="Column15676"/>
    <tableColumn id="15691" xr3:uid="{0D6E57CD-55AB-45F8-A8A3-C4EC2E90C164}" name="Column15677"/>
    <tableColumn id="15692" xr3:uid="{4920CC75-41E6-448E-9150-3A401DECB3A1}" name="Column15678"/>
    <tableColumn id="15693" xr3:uid="{765B0981-E928-4B3B-A5E5-B4E54313716F}" name="Column15679"/>
    <tableColumn id="15694" xr3:uid="{7BEFA7D1-8880-4D45-8CCF-5A1F85B105D8}" name="Column15680"/>
    <tableColumn id="15695" xr3:uid="{63A2F75C-95EA-4412-932F-48D8493863A9}" name="Column15681"/>
    <tableColumn id="15696" xr3:uid="{B3C6A954-A9DB-43B2-AC2D-3065FE1A2EE1}" name="Column15682"/>
    <tableColumn id="15697" xr3:uid="{5B0001F3-572E-419E-AC3C-A33801801BD9}" name="Column15683"/>
    <tableColumn id="15698" xr3:uid="{96A38817-5017-4C0C-B720-C5C048F8B064}" name="Column15684"/>
    <tableColumn id="15699" xr3:uid="{5A652046-8B29-45A0-A965-302D668B820D}" name="Column15685"/>
    <tableColumn id="15700" xr3:uid="{450F2534-968C-4A1C-93CD-FF5BE99EFF2F}" name="Column15686"/>
    <tableColumn id="15701" xr3:uid="{1E9B495A-8BE3-4609-9822-64AEA5A83FCC}" name="Column15687"/>
    <tableColumn id="15702" xr3:uid="{C76E88B0-176D-4DED-AD21-E5349FFAB25B}" name="Column15688"/>
    <tableColumn id="15703" xr3:uid="{34D08E0C-F47E-42FD-B1EA-1A9CC1F00796}" name="Column15689"/>
    <tableColumn id="15704" xr3:uid="{732D7190-767E-4C26-B595-3EE077B41F3A}" name="Column15690"/>
    <tableColumn id="15705" xr3:uid="{5C97B146-81FC-43CA-956C-4F1BE861147E}" name="Column15691"/>
    <tableColumn id="15706" xr3:uid="{0FC6EEB6-0C9A-4456-A780-22B7D2605ED1}" name="Column15692"/>
    <tableColumn id="15707" xr3:uid="{5870002D-D6ED-4575-B90C-ECFE80E8B77B}" name="Column15693"/>
    <tableColumn id="15708" xr3:uid="{91894F3F-8DB0-4E0D-9783-B060E4402207}" name="Column15694"/>
    <tableColumn id="15709" xr3:uid="{4A6D2F77-B8DB-496E-9E6B-E51A39F5BBA6}" name="Column15695"/>
    <tableColumn id="15710" xr3:uid="{898B050D-5D8F-44E5-8C01-C7275E8AA8E0}" name="Column15696"/>
    <tableColumn id="15711" xr3:uid="{B7647E06-9E40-41B3-A53D-FD90E3DB87FE}" name="Column15697"/>
    <tableColumn id="15712" xr3:uid="{A2F5CA4E-5579-48F6-A984-A9E82DFFF577}" name="Column15698"/>
    <tableColumn id="15713" xr3:uid="{DFF47438-F20D-4C06-BE59-7BA63C317D89}" name="Column15699"/>
    <tableColumn id="15714" xr3:uid="{E0581773-689F-4190-8E0A-46D43A9D5E93}" name="Column15700"/>
    <tableColumn id="15715" xr3:uid="{BDDB7A3D-6435-4E53-9AB4-8AAC1DB101F9}" name="Column15701"/>
    <tableColumn id="15716" xr3:uid="{BED21628-474D-4DE4-B1D4-9CDFC643E62D}" name="Column15702"/>
    <tableColumn id="15717" xr3:uid="{6FE0E4AA-CF04-47F2-AE98-E41FFA9550CE}" name="Column15703"/>
    <tableColumn id="15718" xr3:uid="{A3F1001D-8FC3-4A41-8BCD-0985D936540A}" name="Column15704"/>
    <tableColumn id="15719" xr3:uid="{FA7F3645-5F94-4B53-A3AE-5963ED6BD8AE}" name="Column15705"/>
    <tableColumn id="15720" xr3:uid="{B807D7AA-532B-4002-886F-A8D5394009A9}" name="Column15706"/>
    <tableColumn id="15721" xr3:uid="{CF64B52B-C42B-404D-B805-AA7D49A88B16}" name="Column15707"/>
    <tableColumn id="15722" xr3:uid="{DD380A35-2638-4ABE-AFE1-877EBF1CD1C9}" name="Column15708"/>
    <tableColumn id="15723" xr3:uid="{51BD9598-C797-4563-9822-D0C382515AEF}" name="Column15709"/>
    <tableColumn id="15724" xr3:uid="{841A11E6-1D31-476F-A54B-FEC4BB0B24D9}" name="Column15710"/>
    <tableColumn id="15725" xr3:uid="{04E1511E-4957-40AD-A951-95A9D6C65269}" name="Column15711"/>
    <tableColumn id="15726" xr3:uid="{90359C95-EF31-4D3A-8717-E2118592B899}" name="Column15712"/>
    <tableColumn id="15727" xr3:uid="{152BF9A3-818C-4B2F-8AC6-486972F031C8}" name="Column15713"/>
    <tableColumn id="15728" xr3:uid="{5FE9466A-3B49-46EA-8CE4-BE21CCD28389}" name="Column15714"/>
    <tableColumn id="15729" xr3:uid="{89AA103C-6229-4709-8F67-A0983B1298BA}" name="Column15715"/>
    <tableColumn id="15730" xr3:uid="{F3C4DEBE-2CCB-4AA0-BB14-89B5A5934212}" name="Column15716"/>
    <tableColumn id="15731" xr3:uid="{7786C94E-3EFA-42AA-BAFF-0CC55CB31E1B}" name="Column15717"/>
    <tableColumn id="15732" xr3:uid="{A19EBCF9-16C6-4C62-B7CB-FF055A916DDF}" name="Column15718"/>
    <tableColumn id="15733" xr3:uid="{3FB1A4D5-F75A-4B94-B2EC-60FA19952EAC}" name="Column15719"/>
    <tableColumn id="15734" xr3:uid="{9BADA061-0792-485B-9D60-FF40637E5E7B}" name="Column15720"/>
    <tableColumn id="15735" xr3:uid="{296806B6-862C-479B-B2B4-66A911A7CF0C}" name="Column15721"/>
    <tableColumn id="15736" xr3:uid="{18116880-8CA6-43FB-9248-17B672300BC2}" name="Column15722"/>
    <tableColumn id="15737" xr3:uid="{0CA0F517-85A5-49D8-AA88-631B2D81A9E7}" name="Column15723"/>
    <tableColumn id="15738" xr3:uid="{3B914B22-6FE4-4F17-80BC-A133D1CC2D5D}" name="Column15724"/>
    <tableColumn id="15739" xr3:uid="{CEB4C18C-53F9-45BA-BA43-96B86B2D4B85}" name="Column15725"/>
    <tableColumn id="15740" xr3:uid="{32F1DB10-3F29-4F9C-A7B1-F94611C5B5C9}" name="Column15726"/>
    <tableColumn id="15741" xr3:uid="{961B973D-C7DD-4D0B-A6AE-D513C9A6CCE7}" name="Column15727"/>
    <tableColumn id="15742" xr3:uid="{E14A4946-A400-4DD5-A632-1AF59C63249A}" name="Column15728"/>
    <tableColumn id="15743" xr3:uid="{EFC91C0C-FC07-43A2-A4A5-24C6EB878A57}" name="Column15729"/>
    <tableColumn id="15744" xr3:uid="{B91F778F-5EC2-46CB-B97E-3C36A8BB51FF}" name="Column15730"/>
    <tableColumn id="15745" xr3:uid="{8E490935-ADE9-45D3-A143-3C4323703FC4}" name="Column15731"/>
    <tableColumn id="15746" xr3:uid="{273052C9-DA0E-4984-9E09-749AC7476E3F}" name="Column15732"/>
    <tableColumn id="15747" xr3:uid="{BB17333A-119E-42D1-91E2-4ABD037527D4}" name="Column15733"/>
    <tableColumn id="15748" xr3:uid="{C3709676-DD9E-479E-A503-862621540EFF}" name="Column15734"/>
    <tableColumn id="15749" xr3:uid="{156BF17F-53FE-42E1-8F0B-8B7EFCE45E55}" name="Column15735"/>
    <tableColumn id="15750" xr3:uid="{1C8A51F5-30BF-47CE-8027-A2FA95C9B022}" name="Column15736"/>
    <tableColumn id="15751" xr3:uid="{1FDF4C6F-BA96-4E29-A3EB-92204049DB30}" name="Column15737"/>
    <tableColumn id="15752" xr3:uid="{CDB82003-6589-4E44-B92A-A28270B6E2F4}" name="Column15738"/>
    <tableColumn id="15753" xr3:uid="{4AED11B9-CF26-4659-B49C-3782149DFD03}" name="Column15739"/>
    <tableColumn id="15754" xr3:uid="{46C0C632-BFE9-4EBC-B905-E4EA616477C2}" name="Column15740"/>
    <tableColumn id="15755" xr3:uid="{2BA559BC-675D-46C5-AFD1-8FA0CD89A991}" name="Column15741"/>
    <tableColumn id="15756" xr3:uid="{50FCE336-552D-4CB9-AC03-6285D5400C04}" name="Column15742"/>
    <tableColumn id="15757" xr3:uid="{9B9E0F0F-7ED5-4502-8BAA-28854144CD17}" name="Column15743"/>
    <tableColumn id="15758" xr3:uid="{F565E5F8-12C3-40C7-94F5-0AE3CAA3E8BA}" name="Column15744"/>
    <tableColumn id="15759" xr3:uid="{2D38638E-2F04-4A96-83EA-4435F36F3AE5}" name="Column15745"/>
    <tableColumn id="15760" xr3:uid="{0E9AD0B2-E5BD-4AB4-9DBD-93F1CF933FAC}" name="Column15746"/>
    <tableColumn id="15761" xr3:uid="{F124B88C-BEAD-48CE-BC13-D1446C3A3AE4}" name="Column15747"/>
    <tableColumn id="15762" xr3:uid="{77DDD9D7-E9C3-4CC7-B8A2-EB1608E29DC1}" name="Column15748"/>
    <tableColumn id="15763" xr3:uid="{3966A836-0788-405B-AF91-224C81ACF97D}" name="Column15749"/>
    <tableColumn id="15764" xr3:uid="{92E66558-DEC9-4741-8546-A6D97CA3BF29}" name="Column15750"/>
    <tableColumn id="15765" xr3:uid="{E54FF2CC-3036-4913-A188-133BEF221C1D}" name="Column15751"/>
    <tableColumn id="15766" xr3:uid="{A484D317-819F-4F2A-A3E5-57C0FD851A6F}" name="Column15752"/>
    <tableColumn id="15767" xr3:uid="{1D4333D0-2D39-43E5-8DD1-D74AA9B89377}" name="Column15753"/>
    <tableColumn id="15768" xr3:uid="{D22F9558-3ED4-4F27-AE7D-0192F627D217}" name="Column15754"/>
    <tableColumn id="15769" xr3:uid="{FCFD386C-CAA9-473B-9EF6-EA90F8D3B2D2}" name="Column15755"/>
    <tableColumn id="15770" xr3:uid="{F33ADDBA-258F-4A72-AA41-F49A797B41FA}" name="Column15756"/>
    <tableColumn id="15771" xr3:uid="{24F68ABD-3663-4216-8261-36D8D10DFAC0}" name="Column15757"/>
    <tableColumn id="15772" xr3:uid="{393784B3-E58F-4890-AB3A-41E2BA157E85}" name="Column15758"/>
    <tableColumn id="15773" xr3:uid="{74E855C1-C7F7-4BEE-BC39-A6B1DB1A6294}" name="Column15759"/>
    <tableColumn id="15774" xr3:uid="{62038427-9D30-4411-9BED-6DA3E859007F}" name="Column15760"/>
    <tableColumn id="15775" xr3:uid="{A98C7E22-CD6B-422D-AB40-1CFBDC3633D0}" name="Column15761"/>
    <tableColumn id="15776" xr3:uid="{7AC57ACF-898E-49B7-B5AC-793761B99E92}" name="Column15762"/>
    <tableColumn id="15777" xr3:uid="{5C2CC703-22E6-40BA-AEC2-C2969E393957}" name="Column15763"/>
    <tableColumn id="15778" xr3:uid="{5F19C64F-6431-4DEE-96E1-7E284F05BEA3}" name="Column15764"/>
    <tableColumn id="15779" xr3:uid="{722913D2-A548-475C-B4AB-C3B2704A8E4F}" name="Column15765"/>
    <tableColumn id="15780" xr3:uid="{9289B7EC-00EB-4254-A9D0-5189B055133A}" name="Column15766"/>
    <tableColumn id="15781" xr3:uid="{55AB3238-22B4-4049-840E-F91120C3ACAD}" name="Column15767"/>
    <tableColumn id="15782" xr3:uid="{EEB25991-968E-4691-90D9-0EFA116B3306}" name="Column15768"/>
    <tableColumn id="15783" xr3:uid="{A8D45653-C171-44C1-A035-D7AF23F44EC9}" name="Column15769"/>
    <tableColumn id="15784" xr3:uid="{B8152929-0838-4194-9A98-2B6F0ED3E9D9}" name="Column15770"/>
    <tableColumn id="15785" xr3:uid="{9F98F76F-E4DF-43AC-BABD-A6FFC2D595E3}" name="Column15771"/>
    <tableColumn id="15786" xr3:uid="{F9BBF99D-F0EB-4D26-AE6F-8E71337DF060}" name="Column15772"/>
    <tableColumn id="15787" xr3:uid="{D74C6048-0AD0-4C33-9D2F-A9D0C1EC40EB}" name="Column15773"/>
    <tableColumn id="15788" xr3:uid="{C4251968-FAC2-4803-BC3C-4E7B6AA74B7D}" name="Column15774"/>
    <tableColumn id="15789" xr3:uid="{FB4F09D5-1692-48F6-AB5E-C33E4CC8BA5F}" name="Column15775"/>
    <tableColumn id="15790" xr3:uid="{421FF7E8-BA0F-4BD2-B9C1-9FE3ABA49EF4}" name="Column15776"/>
    <tableColumn id="15791" xr3:uid="{D9717965-22C8-476E-9665-BC6D014FEC36}" name="Column15777"/>
    <tableColumn id="15792" xr3:uid="{86720F91-0770-4995-85BD-954A2C7B2F67}" name="Column15778"/>
    <tableColumn id="15793" xr3:uid="{30DA006E-3848-43A3-B858-8BD97533796A}" name="Column15779"/>
    <tableColumn id="15794" xr3:uid="{AC7EBF1B-9FDC-4543-AF91-DD0B75986E79}" name="Column15780"/>
    <tableColumn id="15795" xr3:uid="{E8B6EF3C-D82F-4B77-AB9F-30CD16F827A5}" name="Column15781"/>
    <tableColumn id="15796" xr3:uid="{ACA739F6-CDA3-4D34-9AA5-D9CD169969A1}" name="Column15782"/>
    <tableColumn id="15797" xr3:uid="{83DE326C-5B17-43B4-89B4-C4CBCD53EF19}" name="Column15783"/>
    <tableColumn id="15798" xr3:uid="{70FB016F-B907-488B-83C0-33DF4306F7F8}" name="Column15784"/>
    <tableColumn id="15799" xr3:uid="{076316F4-30A6-4456-823E-D627769C471C}" name="Column15785"/>
    <tableColumn id="15800" xr3:uid="{994E3BC2-CE07-471D-9B83-744D3C3B0DBB}" name="Column15786"/>
    <tableColumn id="15801" xr3:uid="{978B1859-CE61-4B88-8C4C-E8CB67B88B23}" name="Column15787"/>
    <tableColumn id="15802" xr3:uid="{82ACF419-E73D-49DA-B810-CE92C70A95F2}" name="Column15788"/>
    <tableColumn id="15803" xr3:uid="{F629236C-8687-4858-BEEC-851A094FB061}" name="Column15789"/>
    <tableColumn id="15804" xr3:uid="{9D99E8B1-728B-447D-8CA1-E1E5BA544AB1}" name="Column15790"/>
    <tableColumn id="15805" xr3:uid="{C93AE888-D4EF-4C5B-B29A-0D0C73571C30}" name="Column15791"/>
    <tableColumn id="15806" xr3:uid="{A319283F-740A-496A-ADF9-45EAE822B734}" name="Column15792"/>
    <tableColumn id="15807" xr3:uid="{9FFFA229-6017-4AB2-AEB8-F1FCE96D93A0}" name="Column15793"/>
    <tableColumn id="15808" xr3:uid="{EFCDA8EA-8EE9-4D2B-9E7C-F7F413C2908F}" name="Column15794"/>
    <tableColumn id="15809" xr3:uid="{3F7C36A5-70F4-4670-B4FE-51F0BF624AFD}" name="Column15795"/>
    <tableColumn id="15810" xr3:uid="{B6B9ED3C-360A-43FA-B7D3-6239A81680D4}" name="Column15796"/>
    <tableColumn id="15811" xr3:uid="{A0EEB374-7F69-4BD4-9F55-E409AF7C9828}" name="Column15797"/>
    <tableColumn id="15812" xr3:uid="{4CB93A96-7254-4C26-91FB-2EBF6525B597}" name="Column15798"/>
    <tableColumn id="15813" xr3:uid="{91FEC2E4-3B9F-4717-B308-30771D403ADE}" name="Column15799"/>
    <tableColumn id="15814" xr3:uid="{9666D6D2-EA09-455F-A913-83463C630E28}" name="Column15800"/>
    <tableColumn id="15815" xr3:uid="{AF0A4276-CEBE-4514-BDDB-71240CA18D1A}" name="Column15801"/>
    <tableColumn id="15816" xr3:uid="{B2619D59-2312-46CE-874D-0730A146EA35}" name="Column15802"/>
    <tableColumn id="15817" xr3:uid="{96E5E351-B3F1-48C6-AD41-90D654EFFA6A}" name="Column15803"/>
    <tableColumn id="15818" xr3:uid="{BAC118B3-0440-4864-8031-631EDBA3F1D1}" name="Column15804"/>
    <tableColumn id="15819" xr3:uid="{8F9767E0-751E-43CA-836D-F225C13B89A1}" name="Column15805"/>
    <tableColumn id="15820" xr3:uid="{913AB028-2B87-4ABA-890E-58D9F609D78E}" name="Column15806"/>
    <tableColumn id="15821" xr3:uid="{4D80AF8A-BB6D-458A-8644-14C0E34B8150}" name="Column15807"/>
    <tableColumn id="15822" xr3:uid="{CD73B73E-B664-4F42-A253-EA6128261046}" name="Column15808"/>
    <tableColumn id="15823" xr3:uid="{8D9D5693-F93B-4205-B460-564220D5315D}" name="Column15809"/>
    <tableColumn id="15824" xr3:uid="{4DC748F7-F633-4740-AAB8-CB45ADF0725F}" name="Column15810"/>
    <tableColumn id="15825" xr3:uid="{615D6E03-7CD1-49A1-95D2-1D78505345EA}" name="Column15811"/>
    <tableColumn id="15826" xr3:uid="{EE30AB69-8A56-48EB-9DF1-51CD3F2A8C65}" name="Column15812"/>
    <tableColumn id="15827" xr3:uid="{F8B2A0A8-4DB1-4B9C-9AFF-E0874329F1B3}" name="Column15813"/>
    <tableColumn id="15828" xr3:uid="{795AF44E-C910-4146-ABBE-5CB5BA25DA2E}" name="Column15814"/>
    <tableColumn id="15829" xr3:uid="{9BE4EDF0-ACF2-41D3-B1A8-FBA370262162}" name="Column15815"/>
    <tableColumn id="15830" xr3:uid="{80794CFE-0915-4666-8212-2FC8F44A7F87}" name="Column15816"/>
    <tableColumn id="15831" xr3:uid="{7F34900B-955E-481F-9E94-309EF5B08DED}" name="Column15817"/>
    <tableColumn id="15832" xr3:uid="{A5FC099E-298C-4426-9FF8-E5ACC7E25F85}" name="Column15818"/>
    <tableColumn id="15833" xr3:uid="{16B72C21-168D-437C-B385-17DB532FD34B}" name="Column15819"/>
    <tableColumn id="15834" xr3:uid="{C4424F59-6E78-44B7-B451-D6122EE1D5CF}" name="Column15820"/>
    <tableColumn id="15835" xr3:uid="{1EFCF10A-7768-47AC-A9E3-2037633966B3}" name="Column15821"/>
    <tableColumn id="15836" xr3:uid="{C3CC988A-45D6-4569-AC38-BDFD58D9DC4E}" name="Column15822"/>
    <tableColumn id="15837" xr3:uid="{85E37A5B-E3FA-42E2-93D7-B3C00264453C}" name="Column15823"/>
    <tableColumn id="15838" xr3:uid="{1CDC0025-9D38-4BF0-B95C-798CAF64EC83}" name="Column15824"/>
    <tableColumn id="15839" xr3:uid="{513BEE0B-FB77-4933-AFA9-1399B2C8D654}" name="Column15825"/>
    <tableColumn id="15840" xr3:uid="{A90D1376-7F81-4E36-9361-375B1DE437C2}" name="Column15826"/>
    <tableColumn id="15841" xr3:uid="{8F6968CF-6A5F-49AE-97BB-73601664F018}" name="Column15827"/>
    <tableColumn id="15842" xr3:uid="{74DE18A2-9F97-44AE-8B36-FF5AAE345E7F}" name="Column15828"/>
    <tableColumn id="15843" xr3:uid="{747EB562-CC4B-472D-B88E-2EAC1F82223E}" name="Column15829"/>
    <tableColumn id="15844" xr3:uid="{546EB791-3819-4438-8D44-F3298C82A762}" name="Column15830"/>
    <tableColumn id="15845" xr3:uid="{151698B4-3A31-42F2-B40D-4B5DCFFE081A}" name="Column15831"/>
    <tableColumn id="15846" xr3:uid="{4C3D620A-A090-4AF7-8100-06E423E90136}" name="Column15832"/>
    <tableColumn id="15847" xr3:uid="{21D683D6-45F6-4779-B04F-E479BBB2130F}" name="Column15833"/>
    <tableColumn id="15848" xr3:uid="{077A1A29-E71C-4BAD-BEAD-C6F7561E7D94}" name="Column15834"/>
    <tableColumn id="15849" xr3:uid="{24A2ECA1-B3AA-4A46-AE97-C218BA578BEB}" name="Column15835"/>
    <tableColumn id="15850" xr3:uid="{A712B5C5-9E25-4329-ADD2-3C84E4A3C4EF}" name="Column15836"/>
    <tableColumn id="15851" xr3:uid="{49171719-8556-468B-8CB5-DE304302B8A4}" name="Column15837"/>
    <tableColumn id="15852" xr3:uid="{5D5B938E-1955-48E9-9877-5DE54C0DBE3C}" name="Column15838"/>
    <tableColumn id="15853" xr3:uid="{D4A8F980-43EC-47C0-8654-08756D4182B7}" name="Column15839"/>
    <tableColumn id="15854" xr3:uid="{82651B16-4E8F-4B08-9103-019695CEDAAC}" name="Column15840"/>
    <tableColumn id="15855" xr3:uid="{29888411-3EC7-4B06-807B-94EAF7F3CD09}" name="Column15841"/>
    <tableColumn id="15856" xr3:uid="{F57B2727-D4AB-44EE-948C-13E358D7C6F9}" name="Column15842"/>
    <tableColumn id="15857" xr3:uid="{E61AA688-E4CF-44F2-8A8F-82880FB55617}" name="Column15843"/>
    <tableColumn id="15858" xr3:uid="{F117BEC2-F378-40C5-BC6A-0295400B42BF}" name="Column15844"/>
    <tableColumn id="15859" xr3:uid="{8DA955E5-92C6-44E4-81E3-3AF09375E870}" name="Column15845"/>
    <tableColumn id="15860" xr3:uid="{431D58F7-9C30-4C58-B673-F523BC88E867}" name="Column15846"/>
    <tableColumn id="15861" xr3:uid="{EFB689D7-1AB8-4380-B87A-3839C30CEA1A}" name="Column15847"/>
    <tableColumn id="15862" xr3:uid="{9FB3F643-D690-4000-957B-C2F499C49A2F}" name="Column15848"/>
    <tableColumn id="15863" xr3:uid="{A799C85A-7839-4FFA-B5DB-468DE739A4BC}" name="Column15849"/>
    <tableColumn id="15864" xr3:uid="{142308CF-FC40-4CD8-A42A-B1CC08C86B07}" name="Column15850"/>
    <tableColumn id="15865" xr3:uid="{5DDD4B2C-2364-4E1E-9B45-4FE96AEA0CB0}" name="Column15851"/>
    <tableColumn id="15866" xr3:uid="{A104B3CC-F8B2-4EB1-917C-361CDD30A626}" name="Column15852"/>
    <tableColumn id="15867" xr3:uid="{8DBDCFC3-0D05-4ADC-8C52-FC6C70060D20}" name="Column15853"/>
    <tableColumn id="15868" xr3:uid="{A741E659-BD5D-46C8-8672-7C90BC8246FB}" name="Column15854"/>
    <tableColumn id="15869" xr3:uid="{5139B7E8-367A-4577-A9ED-C805897B3434}" name="Column15855"/>
    <tableColumn id="15870" xr3:uid="{3B261DCA-ACFA-41DA-8790-30ECC897047A}" name="Column15856"/>
    <tableColumn id="15871" xr3:uid="{ECB6DAF5-3BCD-4DEB-B592-F9D83E0AA920}" name="Column15857"/>
    <tableColumn id="15872" xr3:uid="{19EC9F26-D946-475F-9D3D-ABC4519E3980}" name="Column15858"/>
    <tableColumn id="15873" xr3:uid="{FA8CF453-11A8-47F3-9AE1-94289A906FD1}" name="Column15859"/>
    <tableColumn id="15874" xr3:uid="{C3C44E35-21E7-405A-B90A-201C699517B0}" name="Column15860"/>
    <tableColumn id="15875" xr3:uid="{14A5A624-AD28-4F96-8C13-09CADC682EC4}" name="Column15861"/>
    <tableColumn id="15876" xr3:uid="{66388727-F567-44A5-8CB4-1BFA73F38E04}" name="Column15862"/>
    <tableColumn id="15877" xr3:uid="{622722D9-0F88-4941-894C-3336EF4DEA46}" name="Column15863"/>
    <tableColumn id="15878" xr3:uid="{C0D5D737-FF8F-4C20-BA57-32D5114884A3}" name="Column15864"/>
    <tableColumn id="15879" xr3:uid="{4A023127-0C43-4BC0-8ABA-C7E623CF8469}" name="Column15865"/>
    <tableColumn id="15880" xr3:uid="{AF8C086E-F3AD-46FC-8252-0CBE4256B5C9}" name="Column15866"/>
    <tableColumn id="15881" xr3:uid="{F21256A2-1845-4FC2-A57A-92D6580983FD}" name="Column15867"/>
    <tableColumn id="15882" xr3:uid="{1878A9B6-E9C4-4660-B9C4-FA78DC4ECD40}" name="Column15868"/>
    <tableColumn id="15883" xr3:uid="{1C3D42B6-A008-45BD-BFA2-0F82DFBCDA5F}" name="Column15869"/>
    <tableColumn id="15884" xr3:uid="{C8BE3135-B231-4378-BB37-59668132269C}" name="Column15870"/>
    <tableColumn id="15885" xr3:uid="{F09FB829-0EE8-42F8-9CA6-1FC98AE2AE88}" name="Column15871"/>
    <tableColumn id="15886" xr3:uid="{4BAFCC5D-3FE3-4792-96CA-4E60814EADE6}" name="Column15872"/>
    <tableColumn id="15887" xr3:uid="{FD139E3D-E266-457F-B4DC-4957B17E6155}" name="Column15873"/>
    <tableColumn id="15888" xr3:uid="{8F320159-E59B-439C-BED5-0B4516862D87}" name="Column15874"/>
    <tableColumn id="15889" xr3:uid="{8BA101A2-9C8C-46C6-9858-F3C3753D55FB}" name="Column15875"/>
    <tableColumn id="15890" xr3:uid="{F1D4AF10-9EFC-492E-B371-9894B988CD91}" name="Column15876"/>
    <tableColumn id="15891" xr3:uid="{FE1EC45A-8537-436D-AF97-78084EF04F4F}" name="Column15877"/>
    <tableColumn id="15892" xr3:uid="{FDFB6E0C-4D28-4ED7-AB76-A38350CEE20C}" name="Column15878"/>
    <tableColumn id="15893" xr3:uid="{4E499CAD-9E14-44FC-8025-71BAB4868D86}" name="Column15879"/>
    <tableColumn id="15894" xr3:uid="{F93E0976-2EB1-4292-AFC0-23CD3C4E2B28}" name="Column15880"/>
    <tableColumn id="15895" xr3:uid="{5762268B-D15A-4A67-94A2-ECC4C79B9A3A}" name="Column15881"/>
    <tableColumn id="15896" xr3:uid="{4D09B2A2-42E0-49CB-8121-8F7983383555}" name="Column15882"/>
    <tableColumn id="15897" xr3:uid="{D14410FC-5113-4BCB-8B3D-A7117C278B6C}" name="Column15883"/>
    <tableColumn id="15898" xr3:uid="{2BDCE80C-C00C-4FFE-84DE-0EB7B93DFF98}" name="Column15884"/>
    <tableColumn id="15899" xr3:uid="{01148AF6-E4F3-4395-92D0-1505889B8673}" name="Column15885"/>
    <tableColumn id="15900" xr3:uid="{2DEDFBD4-F818-49A4-B347-AB0897403F0C}" name="Column15886"/>
    <tableColumn id="15901" xr3:uid="{64E87109-CC31-4FA8-851D-4025D19D2E0B}" name="Column15887"/>
    <tableColumn id="15902" xr3:uid="{BAC7A2EB-604A-4B74-864A-4A0270B143A9}" name="Column15888"/>
    <tableColumn id="15903" xr3:uid="{9B89732D-DC60-4B56-84D8-BFDBDADC246A}" name="Column15889"/>
    <tableColumn id="15904" xr3:uid="{41D410FA-CCA2-4288-948F-7D3705E68D16}" name="Column15890"/>
    <tableColumn id="15905" xr3:uid="{E926DF30-8E37-4FC6-98FC-8C44CC4BEB34}" name="Column15891"/>
    <tableColumn id="15906" xr3:uid="{40EFC3FE-B5EB-45CB-9B1E-565E1CB5DE0D}" name="Column15892"/>
    <tableColumn id="15907" xr3:uid="{E233BA68-3E51-4F42-A0D4-2B2F5207171D}" name="Column15893"/>
    <tableColumn id="15908" xr3:uid="{AA480B5B-9F91-4CD1-8F02-9B9CCBFE94A6}" name="Column15894"/>
    <tableColumn id="15909" xr3:uid="{D638FD7C-4BF1-4A74-8566-5D798A1ACE5F}" name="Column15895"/>
    <tableColumn id="15910" xr3:uid="{F28A2B70-1D36-44F3-9BFB-B65705542F79}" name="Column15896"/>
    <tableColumn id="15911" xr3:uid="{DD1F86F1-AD67-4202-B078-FF676DE6D3C6}" name="Column15897"/>
    <tableColumn id="15912" xr3:uid="{9B3CBF29-4C16-49E4-AA99-88AF2788EDB4}" name="Column15898"/>
    <tableColumn id="15913" xr3:uid="{1028FCF2-1C9C-4577-91F0-6B4730B8DD45}" name="Column15899"/>
    <tableColumn id="15914" xr3:uid="{5D9651AC-6072-4B89-92D9-AB410E0A0DB7}" name="Column15900"/>
    <tableColumn id="15915" xr3:uid="{79538730-DCCE-451B-AC7B-4980E4DFD5B6}" name="Column15901"/>
    <tableColumn id="15916" xr3:uid="{D4155C10-B7DE-4050-B5B1-69773F1056E9}" name="Column15902"/>
    <tableColumn id="15917" xr3:uid="{F0FA87C7-374D-4EA9-849A-F04EAC70B3AC}" name="Column15903"/>
    <tableColumn id="15918" xr3:uid="{4B7B66F2-D14E-4A1E-A968-12CB525F27F5}" name="Column15904"/>
    <tableColumn id="15919" xr3:uid="{DFD4D5E4-D79F-4781-AE9A-C1A9D1D9100D}" name="Column15905"/>
    <tableColumn id="15920" xr3:uid="{8845EA12-A581-4642-9A8D-99E66F21D879}" name="Column15906"/>
    <tableColumn id="15921" xr3:uid="{77652DD3-1166-4AB1-A3DC-2440E71AC87D}" name="Column15907"/>
    <tableColumn id="15922" xr3:uid="{29657FC7-DFAD-42B1-8DA4-B87009704A35}" name="Column15908"/>
    <tableColumn id="15923" xr3:uid="{E07E15BD-F76D-42A7-8B82-272C89AF8B60}" name="Column15909"/>
    <tableColumn id="15924" xr3:uid="{D0AAC3B3-E3B6-4882-A88F-378FA921D52B}" name="Column15910"/>
    <tableColumn id="15925" xr3:uid="{D948E19C-7DAA-4813-92C1-2381AB5116B8}" name="Column15911"/>
    <tableColumn id="15926" xr3:uid="{36322116-38D1-4FFC-8F4B-80F8D2D861A6}" name="Column15912"/>
    <tableColumn id="15927" xr3:uid="{432C3F0E-09F0-498B-90F1-952255009EB4}" name="Column15913"/>
    <tableColumn id="15928" xr3:uid="{2FC2EE8D-B95B-441A-BA70-5A985159C7D0}" name="Column15914"/>
    <tableColumn id="15929" xr3:uid="{82C11247-0689-46B2-8E7D-A8765B8C0736}" name="Column15915"/>
    <tableColumn id="15930" xr3:uid="{86E55E5F-2489-46EE-8DDB-C6B3036F5213}" name="Column15916"/>
    <tableColumn id="15931" xr3:uid="{BBAC468B-D29A-42B8-A69C-CE8AFCCBF003}" name="Column15917"/>
    <tableColumn id="15932" xr3:uid="{1F4F1696-EB6F-40A9-A064-E5FE25DD3D38}" name="Column15918"/>
    <tableColumn id="15933" xr3:uid="{5378AE82-7E0D-403C-8D0B-F90230F23093}" name="Column15919"/>
    <tableColumn id="15934" xr3:uid="{444B04E4-11C3-4D8D-81F4-05EEA4FF5CC2}" name="Column15920"/>
    <tableColumn id="15935" xr3:uid="{E2E261C7-A5D9-44FC-B393-352A604B9115}" name="Column15921"/>
    <tableColumn id="15936" xr3:uid="{6F27B605-1C43-40C1-AEBE-3B7B4B13C7AB}" name="Column15922"/>
    <tableColumn id="15937" xr3:uid="{E9BE3BC6-8374-4A9B-A765-1B61F9F45464}" name="Column15923"/>
    <tableColumn id="15938" xr3:uid="{E662F3EA-82CF-4F3F-A99B-8E789690741F}" name="Column15924"/>
    <tableColumn id="15939" xr3:uid="{D8516C6E-DC7A-4C62-8B52-4EF49AB9B1D4}" name="Column15925"/>
    <tableColumn id="15940" xr3:uid="{D4B8EE92-365F-441C-8814-B993F209D73A}" name="Column15926"/>
    <tableColumn id="15941" xr3:uid="{A0DC1FB1-87B5-4F35-A348-F5E9D856092A}" name="Column15927"/>
    <tableColumn id="15942" xr3:uid="{732E8E36-2965-455D-A5F2-07B1AE64DC64}" name="Column15928"/>
    <tableColumn id="15943" xr3:uid="{0C8B2EE6-4805-4675-8F00-6F5E6466D51F}" name="Column15929"/>
    <tableColumn id="15944" xr3:uid="{CB44AFE5-F062-4F2A-88FC-4E1753B072A1}" name="Column15930"/>
    <tableColumn id="15945" xr3:uid="{AD5D31F2-BEF7-49DB-906B-9B7E4C6EC1BE}" name="Column15931"/>
    <tableColumn id="15946" xr3:uid="{91273C1B-6D0A-499B-9A02-21A6A886F3F3}" name="Column15932"/>
    <tableColumn id="15947" xr3:uid="{2CB894F5-CC7A-4171-9C6C-B68105C08871}" name="Column15933"/>
    <tableColumn id="15948" xr3:uid="{02A02981-9350-48DE-8FF8-69467287FBBF}" name="Column15934"/>
    <tableColumn id="15949" xr3:uid="{7E402042-BE37-48E2-BA39-3FB110BAF505}" name="Column15935"/>
    <tableColumn id="15950" xr3:uid="{356151A2-EDC1-463C-B6E4-C26152640BE8}" name="Column15936"/>
    <tableColumn id="15951" xr3:uid="{F44979A0-9D85-4E1E-A544-468615355A46}" name="Column15937"/>
    <tableColumn id="15952" xr3:uid="{D326AA73-29D9-4E43-9B64-10528A8E980C}" name="Column15938"/>
    <tableColumn id="15953" xr3:uid="{BB83DF1C-5049-41AF-AA9D-46065F9CFBEA}" name="Column15939"/>
    <tableColumn id="15954" xr3:uid="{B57F58CC-B928-47A3-BA52-08631E797A11}" name="Column15940"/>
    <tableColumn id="15955" xr3:uid="{108C47CA-B5D1-4908-AC49-7160F7C98FD3}" name="Column15941"/>
    <tableColumn id="15956" xr3:uid="{D1B4E4C5-836B-4C7E-9476-689218A69816}" name="Column15942"/>
    <tableColumn id="15957" xr3:uid="{8B7091B2-76E6-4F25-B311-3D8BBC01DE41}" name="Column15943"/>
    <tableColumn id="15958" xr3:uid="{BC59AC05-0C2F-4C59-B381-373CBDDE4823}" name="Column15944"/>
    <tableColumn id="15959" xr3:uid="{6C06A600-9B65-4A25-87E5-53D5AEE40AC4}" name="Column15945"/>
    <tableColumn id="15960" xr3:uid="{B90FD72E-9AD8-4957-88CB-2D4B19D63FAB}" name="Column15946"/>
    <tableColumn id="15961" xr3:uid="{96187343-B5E2-4FEC-BF2A-01E0432294E7}" name="Column15947"/>
    <tableColumn id="15962" xr3:uid="{A35D00A7-07A0-479F-8970-D7BBE1737BA1}" name="Column15948"/>
    <tableColumn id="15963" xr3:uid="{88B5176E-FC36-4475-9EC8-BE1B5311EC39}" name="Column15949"/>
    <tableColumn id="15964" xr3:uid="{43F05D3A-C21C-4DCE-B360-F550C372BF7D}" name="Column15950"/>
    <tableColumn id="15965" xr3:uid="{71A7BDC0-D5A0-4252-89CB-09D9C8BFC056}" name="Column15951"/>
    <tableColumn id="15966" xr3:uid="{3087AF52-8C36-4BB9-A497-8F50F1D49F8C}" name="Column15952"/>
    <tableColumn id="15967" xr3:uid="{955EE8B2-E65A-4791-A28E-6241D0F0FD76}" name="Column15953"/>
    <tableColumn id="15968" xr3:uid="{C3444E35-C6EE-4E63-9C6C-18ADDDC07CA4}" name="Column15954"/>
    <tableColumn id="15969" xr3:uid="{6EEF5662-FBBD-4772-8A1C-5083D99FC155}" name="Column15955"/>
    <tableColumn id="15970" xr3:uid="{FA79D8B3-EF3B-4459-9567-748198F0FC04}" name="Column15956"/>
    <tableColumn id="15971" xr3:uid="{F7A9B90C-4366-49F4-815D-94D787A7DC13}" name="Column15957"/>
    <tableColumn id="15972" xr3:uid="{29043468-B70D-4908-B831-4A22758CC90D}" name="Column15958"/>
    <tableColumn id="15973" xr3:uid="{329F037D-6871-4BFC-BAF7-EFFFDAFC776E}" name="Column15959"/>
    <tableColumn id="15974" xr3:uid="{98353355-91D6-4215-B9DF-BB492C932205}" name="Column15960"/>
    <tableColumn id="15975" xr3:uid="{02889AAD-FDF2-4450-9EB7-08A08A64EEF6}" name="Column15961"/>
    <tableColumn id="15976" xr3:uid="{98B65E20-0096-4BDD-8D54-775E6AC78E89}" name="Column15962"/>
    <tableColumn id="15977" xr3:uid="{4FBF16A8-FC35-4221-A19B-F656E1A12361}" name="Column15963"/>
    <tableColumn id="15978" xr3:uid="{E7DF2514-87A7-41EA-AD32-BF5386007CA8}" name="Column15964"/>
    <tableColumn id="15979" xr3:uid="{1298A7DD-D5B5-468C-95C2-D7DD6D944D44}" name="Column15965"/>
    <tableColumn id="15980" xr3:uid="{613E3D4B-0A89-402F-9138-189CDEA7C16B}" name="Column15966"/>
    <tableColumn id="15981" xr3:uid="{878E18BA-A1FB-413E-8EF7-1C0B2E7CDECA}" name="Column15967"/>
    <tableColumn id="15982" xr3:uid="{D5A8D0B7-E7A3-4B84-BE36-269601B4D51E}" name="Column15968"/>
    <tableColumn id="15983" xr3:uid="{DDDD4BD7-8F6F-498B-83DA-495F679A00A1}" name="Column15969"/>
    <tableColumn id="15984" xr3:uid="{093F4B3F-AE81-471B-8702-A1B4CEC8D5C3}" name="Column15970"/>
    <tableColumn id="15985" xr3:uid="{95D5A281-DE3A-4F37-A1C8-F0509C2BDCB0}" name="Column15971"/>
    <tableColumn id="15986" xr3:uid="{871344DA-79BC-425A-98DF-8CE07195AA3C}" name="Column15972"/>
    <tableColumn id="15987" xr3:uid="{D3C73C13-44A5-47F0-BF6E-A626F806C9B9}" name="Column15973"/>
    <tableColumn id="15988" xr3:uid="{16628764-6955-406F-B673-FC69974CED49}" name="Column15974"/>
    <tableColumn id="15989" xr3:uid="{8FA9690D-AF5B-4090-BDFB-B6627DE1EAE7}" name="Column15975"/>
    <tableColumn id="15990" xr3:uid="{753026C6-656A-45D4-A129-2FED0C9795FE}" name="Column15976"/>
    <tableColumn id="15991" xr3:uid="{E3DD3AF7-5838-4ABE-95F8-F260CCC67E16}" name="Column15977"/>
    <tableColumn id="15992" xr3:uid="{BCDB7B96-17E0-4DEE-A595-47917B3CBD24}" name="Column15978"/>
    <tableColumn id="15993" xr3:uid="{2991A8F6-8018-443F-BA74-67A96EBFC17B}" name="Column15979"/>
    <tableColumn id="15994" xr3:uid="{EC06EFBB-6F5E-4A97-92C6-F5CA47A3543B}" name="Column15980"/>
    <tableColumn id="15995" xr3:uid="{CD403DB1-30FD-4DC2-8A2B-10A1FA5EA177}" name="Column15981"/>
    <tableColumn id="15996" xr3:uid="{6A3E8222-DAED-4E8A-972B-2B65D0697AE0}" name="Column15982"/>
    <tableColumn id="15997" xr3:uid="{6429EA13-7EA3-4AF6-8EFD-B237005DF00E}" name="Column15983"/>
    <tableColumn id="15998" xr3:uid="{44DD6463-7D61-4D77-9B20-8350DCA0E082}" name="Column15984"/>
    <tableColumn id="15999" xr3:uid="{08FEA160-3C7C-4520-8AFA-9607C395F9E8}" name="Column15985"/>
    <tableColumn id="16000" xr3:uid="{96C0DFAF-EF9B-4E7D-B3E6-61FDF8ACC471}" name="Column15986"/>
    <tableColumn id="16001" xr3:uid="{FCB35219-B666-44CA-87E4-427DD71CD829}" name="Column15987"/>
    <tableColumn id="16002" xr3:uid="{01F0B30A-5CDE-435A-9A50-22D0E2196EDC}" name="Column15988"/>
    <tableColumn id="16003" xr3:uid="{E9AB8381-C5D6-4B17-9B1B-ABC75174DAE4}" name="Column15989"/>
    <tableColumn id="16004" xr3:uid="{29102037-C080-44E7-B300-8A3612AD7030}" name="Column15990"/>
    <tableColumn id="16005" xr3:uid="{35F4DC89-2498-4853-B018-82DC820AD1C4}" name="Column15991"/>
    <tableColumn id="16006" xr3:uid="{1C09A404-79BB-4ACE-AA8D-FCE2D3C25CDA}" name="Column15992"/>
    <tableColumn id="16007" xr3:uid="{1E1A6A00-F565-41D7-923F-ED48522F2ECD}" name="Column15993"/>
    <tableColumn id="16008" xr3:uid="{410846A5-6A57-489B-9104-BFFEEE403BAB}" name="Column15994"/>
    <tableColumn id="16009" xr3:uid="{3FBE626A-41C4-456A-BBF7-232DD0AF9D69}" name="Column15995"/>
    <tableColumn id="16010" xr3:uid="{B050D45A-978D-4DB1-92A7-2C0D7BEEE7CC}" name="Column15996"/>
    <tableColumn id="16011" xr3:uid="{CF1C5750-62DD-4702-A19A-81D82577E24C}" name="Column15997"/>
    <tableColumn id="16012" xr3:uid="{B4C13AE3-2B69-4E66-A218-983414099258}" name="Column15998"/>
    <tableColumn id="16013" xr3:uid="{14A966F7-5F43-4E40-A5D2-01F5105189A8}" name="Column15999"/>
    <tableColumn id="16014" xr3:uid="{670F8756-52E4-4E44-82A0-85CEAF709166}" name="Column16000"/>
    <tableColumn id="16015" xr3:uid="{0BF9B09C-A138-46F7-A58B-64162EEAB4A0}" name="Column16001"/>
    <tableColumn id="16016" xr3:uid="{A0FE6E5C-0C7A-4647-8BD5-C1BFF078BC7A}" name="Column16002"/>
    <tableColumn id="16017" xr3:uid="{0419967C-08BF-416C-B706-D9D66ED39CBE}" name="Column16003"/>
    <tableColumn id="16018" xr3:uid="{6E9B0D1A-C926-4383-8E25-6EE445BBE14B}" name="Column16004"/>
    <tableColumn id="16019" xr3:uid="{60C2920E-2C15-4A35-AC7C-3D4359413B8E}" name="Column16005"/>
    <tableColumn id="16020" xr3:uid="{2B780F61-8A2C-4A46-85E1-72392BFB129C}" name="Column16006"/>
    <tableColumn id="16021" xr3:uid="{A2A605A7-0305-46F1-8AAE-19CB358D9D86}" name="Column16007"/>
    <tableColumn id="16022" xr3:uid="{77308269-34CC-44A6-915B-F45623055674}" name="Column16008"/>
    <tableColumn id="16023" xr3:uid="{5DCB2107-1001-4E91-A58B-6D21B55FB505}" name="Column16009"/>
    <tableColumn id="16024" xr3:uid="{307FB976-3814-4AB9-9547-6E4C3CF47000}" name="Column16010"/>
    <tableColumn id="16025" xr3:uid="{B5547CE3-04AF-484B-908F-EE1EBAE4FEB5}" name="Column16011"/>
    <tableColumn id="16026" xr3:uid="{8449DD7F-4A3B-468A-A587-321E968B9402}" name="Column16012"/>
    <tableColumn id="16027" xr3:uid="{751C8AB1-3F6F-41C1-9DEF-241012CB27A1}" name="Column16013"/>
    <tableColumn id="16028" xr3:uid="{DB185353-560F-4943-A6F8-214283E82977}" name="Column16014"/>
    <tableColumn id="16029" xr3:uid="{1ACAA794-19A4-4A61-B893-A5664C51AE90}" name="Column16015"/>
    <tableColumn id="16030" xr3:uid="{9F63BFE3-DC12-455E-BA9D-EF4E2E9D9A04}" name="Column16016"/>
    <tableColumn id="16031" xr3:uid="{1E3F2991-4FD1-4F9B-BBDD-78B8D1B53CA3}" name="Column16017"/>
    <tableColumn id="16032" xr3:uid="{1E5D073A-AD3D-40E8-88C8-4648D2670093}" name="Column16018"/>
    <tableColumn id="16033" xr3:uid="{CF12DF8A-472A-47C5-9812-268194917189}" name="Column16019"/>
    <tableColumn id="16034" xr3:uid="{710D0545-2172-4D81-BDB3-437F5FF00916}" name="Column16020"/>
    <tableColumn id="16035" xr3:uid="{9D8610D9-086B-4533-9BC0-0C98295C0B3B}" name="Column16021"/>
    <tableColumn id="16036" xr3:uid="{B3AD7191-355E-4B92-916B-32DFE73192B2}" name="Column16022"/>
    <tableColumn id="16037" xr3:uid="{91460902-2347-44F7-AD22-FA8F4BD174BA}" name="Column16023"/>
    <tableColumn id="16038" xr3:uid="{A754D0C8-E425-4A9F-99E3-74D3180CA111}" name="Column16024"/>
    <tableColumn id="16039" xr3:uid="{1919D757-389B-49E8-8730-1CFD35FEDB2A}" name="Column16025"/>
    <tableColumn id="16040" xr3:uid="{64F430A1-C0E7-471A-983D-D959C726B627}" name="Column16026"/>
    <tableColumn id="16041" xr3:uid="{6B37C628-4FFB-4E28-855A-72E0CC84CF1C}" name="Column16027"/>
    <tableColumn id="16042" xr3:uid="{CF075E3F-7D2F-46C6-AA39-BCF001ACEEE2}" name="Column16028"/>
    <tableColumn id="16043" xr3:uid="{C1E34A96-DCA5-4DEB-B330-EF354783B056}" name="Column16029"/>
    <tableColumn id="16044" xr3:uid="{9EE24E08-7910-42A8-B706-5D3F28CD96AF}" name="Column16030"/>
    <tableColumn id="16045" xr3:uid="{AF8B3263-D6FC-4BDA-A435-C5C723E2FEF6}" name="Column16031"/>
    <tableColumn id="16046" xr3:uid="{513AA067-17D8-4C65-BB7D-ED86CAFAABD0}" name="Column16032"/>
    <tableColumn id="16047" xr3:uid="{CFF415FE-344E-4964-90C2-424D0B414027}" name="Column16033"/>
    <tableColumn id="16048" xr3:uid="{BEA22702-9B55-4C72-A20C-669AB86A531C}" name="Column16034"/>
    <tableColumn id="16049" xr3:uid="{94C97889-3572-4CAC-9382-D49C2D5D1063}" name="Column16035"/>
    <tableColumn id="16050" xr3:uid="{0E5AA6AB-0D82-45BB-8E6F-095D52468440}" name="Column16036"/>
    <tableColumn id="16051" xr3:uid="{37746E46-AEF7-40C4-BD81-D651DB1ED5F2}" name="Column16037"/>
    <tableColumn id="16052" xr3:uid="{A11F4BA9-6D36-4F51-B304-EA732E15D259}" name="Column16038"/>
    <tableColumn id="16053" xr3:uid="{E364D64B-B240-40F1-9967-5D3FF118A49B}" name="Column16039"/>
    <tableColumn id="16054" xr3:uid="{FD16C0E1-E0D1-4EEA-B628-0111B751C32B}" name="Column16040"/>
    <tableColumn id="16055" xr3:uid="{426F02F8-15A5-4278-A556-F72146236852}" name="Column16041"/>
    <tableColumn id="16056" xr3:uid="{2E34211E-4174-472A-9C64-4583A2CB32EF}" name="Column16042"/>
    <tableColumn id="16057" xr3:uid="{6BF92DD3-78B1-4D4D-A798-62AA0B939E39}" name="Column16043"/>
    <tableColumn id="16058" xr3:uid="{6F1EB2B4-FBB1-4831-8C68-CA7EC9AC6E66}" name="Column16044"/>
    <tableColumn id="16059" xr3:uid="{AACD4E87-D448-4E0C-B7C6-CB973E4EA115}" name="Column16045"/>
    <tableColumn id="16060" xr3:uid="{7B7294E9-FAFA-4125-AC6C-BD13696E62A4}" name="Column16046"/>
    <tableColumn id="16061" xr3:uid="{405B3757-E958-4AB3-96C0-213461EFC994}" name="Column16047"/>
    <tableColumn id="16062" xr3:uid="{D49737E8-674A-43BD-93FC-3F1A5CA55BA5}" name="Column16048"/>
    <tableColumn id="16063" xr3:uid="{26AB00D2-FDAE-4ED0-AE80-DA7FC8D5FE9A}" name="Column16049"/>
    <tableColumn id="16064" xr3:uid="{3265D798-0470-4743-90BE-41E1585AB91A}" name="Column16050"/>
    <tableColumn id="16065" xr3:uid="{00662489-0F82-4ABE-87CE-8284797EDFB3}" name="Column16051"/>
    <tableColumn id="16066" xr3:uid="{89111251-B364-4A34-9C36-939D37BFBA10}" name="Column16052"/>
    <tableColumn id="16067" xr3:uid="{C60FC37F-5CEA-409E-92BA-D5B0ACF92EDB}" name="Column16053"/>
    <tableColumn id="16068" xr3:uid="{B8DB2DC6-774F-43C7-894F-356E3F126FBE}" name="Column16054"/>
    <tableColumn id="16069" xr3:uid="{A172F326-52CE-44A6-A443-E5352E4C8BCD}" name="Column16055"/>
    <tableColumn id="16070" xr3:uid="{7642AB12-79DB-44C4-BC22-CC6B89382A18}" name="Column16056"/>
    <tableColumn id="16071" xr3:uid="{C7F56132-0D03-4355-A76D-F643BE655F3E}" name="Column16057"/>
    <tableColumn id="16072" xr3:uid="{53ED6A78-7AEA-4EE4-A7B2-647DF3FF14F6}" name="Column16058"/>
    <tableColumn id="16073" xr3:uid="{0AB5CEF4-B900-4460-9FBA-0080AD5DB1FB}" name="Column16059"/>
    <tableColumn id="16074" xr3:uid="{CCED3E8D-2EAC-41BA-93C5-C611CAC45BBD}" name="Column16060"/>
    <tableColumn id="16075" xr3:uid="{69EF3AD7-25F1-4F8F-9FBA-2A5181061F89}" name="Column16061"/>
    <tableColumn id="16076" xr3:uid="{4E7AA697-D4AC-4C66-8ABA-1C1945F0D72E}" name="Column16062"/>
    <tableColumn id="16077" xr3:uid="{0E244DC3-B97F-42EB-B85E-07DF8FC436E9}" name="Column16063"/>
    <tableColumn id="16078" xr3:uid="{11CAA92A-D837-439A-9A9B-F57EE0EE5D0A}" name="Column16064"/>
    <tableColumn id="16079" xr3:uid="{B02794D5-D5D3-474F-ACED-2D4EF48A28D6}" name="Column16065"/>
    <tableColumn id="16080" xr3:uid="{1D8015A8-AF6D-473F-ADD6-0A547BD048CC}" name="Column16066"/>
    <tableColumn id="16081" xr3:uid="{6D6D3EA4-392F-4F5E-89B3-B5DA609D714E}" name="Column16067"/>
    <tableColumn id="16082" xr3:uid="{CB42EE30-611D-4069-B5D0-78364160F5C3}" name="Column16068"/>
    <tableColumn id="16083" xr3:uid="{DD5A4036-F21C-4E85-A97A-825BDCFDD38B}" name="Column16069"/>
    <tableColumn id="16084" xr3:uid="{641D31A7-4569-4F88-9270-75D86F073631}" name="Column16070"/>
    <tableColumn id="16085" xr3:uid="{3944DE89-F21A-48D2-8ED1-7AA2B781C924}" name="Column16071"/>
    <tableColumn id="16086" xr3:uid="{5D52593D-224B-4324-A074-76E52B08AC95}" name="Column16072"/>
    <tableColumn id="16087" xr3:uid="{2224AE6B-3770-437A-8769-8E3CE734D82F}" name="Column16073"/>
    <tableColumn id="16088" xr3:uid="{50516D65-8EAD-4E95-B587-84DCE034B1FF}" name="Column16074"/>
    <tableColumn id="16089" xr3:uid="{F55EA2FC-A4B1-4387-B9F2-E7A5107516C4}" name="Column16075"/>
    <tableColumn id="16090" xr3:uid="{77FF645C-F7D1-4E6E-BA9A-1972DAE8A2AC}" name="Column16076"/>
    <tableColumn id="16091" xr3:uid="{793AF457-F222-4F82-855F-11BADEB62177}" name="Column16077"/>
    <tableColumn id="16092" xr3:uid="{BAA12AB8-E60E-4BEB-AAE8-9E6753521FEF}" name="Column16078"/>
    <tableColumn id="16093" xr3:uid="{11C587FF-EC37-44D0-A6E2-5D8E5217E210}" name="Column16079"/>
    <tableColumn id="16094" xr3:uid="{C5E8ECC9-0871-4C28-88D0-DCF21E5FC38F}" name="Column16080"/>
    <tableColumn id="16095" xr3:uid="{1CB82B5B-4D80-430C-8ECB-9DC8B4C43F9E}" name="Column16081"/>
    <tableColumn id="16096" xr3:uid="{9D16A93C-392F-4D38-8FBE-E2164C0BFBAB}" name="Column16082"/>
    <tableColumn id="16097" xr3:uid="{AB71D946-2130-4929-9D90-ACC6242DFD52}" name="Column16083"/>
    <tableColumn id="16098" xr3:uid="{758996DF-C680-4EAC-B0A4-6E9A04496768}" name="Column16084"/>
    <tableColumn id="16099" xr3:uid="{841F1B60-D251-43AA-A400-14E2125E4A1D}" name="Column16085"/>
    <tableColumn id="16100" xr3:uid="{9A63E22A-9892-4C8A-A48D-05FAF71CE4AF}" name="Column16086"/>
    <tableColumn id="16101" xr3:uid="{CC0E7E56-DC7A-4253-8E07-9EF707CB3B1E}" name="Column16087"/>
    <tableColumn id="16102" xr3:uid="{D197199C-78AF-4648-9495-553918CCAFB5}" name="Column16088"/>
    <tableColumn id="16103" xr3:uid="{DF8E7EDC-80F9-41A0-8462-24CD9C36FCB5}" name="Column16089"/>
    <tableColumn id="16104" xr3:uid="{C0879653-770A-4AC0-9F72-CD8361B49FBA}" name="Column16090"/>
    <tableColumn id="16105" xr3:uid="{549D3E4F-A0CA-4CFA-87CD-53AE1A86BF67}" name="Column16091"/>
    <tableColumn id="16106" xr3:uid="{F8C2E8C2-4BA2-4AFE-8151-7559D1B2C46B}" name="Column16092"/>
    <tableColumn id="16107" xr3:uid="{24D81DE6-3ECC-4574-93B5-A61501585BAF}" name="Column16093"/>
    <tableColumn id="16108" xr3:uid="{67F12A95-0EB7-4C8C-AAC3-E892AEA73B71}" name="Column16094"/>
    <tableColumn id="16109" xr3:uid="{6093480D-8D2F-4F4F-935F-83B3D9AF1B1D}" name="Column16095"/>
    <tableColumn id="16110" xr3:uid="{6F7F86C5-AE8E-4049-B5DD-A7B748619446}" name="Column16096"/>
    <tableColumn id="16111" xr3:uid="{454B4C11-596A-4CA4-814A-76E8F7EF8A9A}" name="Column16097"/>
    <tableColumn id="16112" xr3:uid="{3A29F569-782C-4635-942D-0C7538318590}" name="Column16098"/>
    <tableColumn id="16113" xr3:uid="{69344146-FF4C-4825-B709-6365E03355D6}" name="Column16099"/>
    <tableColumn id="16114" xr3:uid="{16665212-E81D-42ED-B683-8D2FF41EAF58}" name="Column16100"/>
    <tableColumn id="16115" xr3:uid="{8BAE91CE-1E19-49FC-B2AE-1FA40DBD5BE6}" name="Column16101"/>
    <tableColumn id="16116" xr3:uid="{DA9E2349-567A-4A89-8D5D-7D159C662C62}" name="Column16102"/>
    <tableColumn id="16117" xr3:uid="{2E8EA3D0-26DF-4658-AC13-914DE376E52D}" name="Column16103"/>
    <tableColumn id="16118" xr3:uid="{B99713E0-DE05-4527-9166-3F5E906C7D8A}" name="Column16104"/>
    <tableColumn id="16119" xr3:uid="{0BCEC02A-9243-478E-81AA-D62E41C7A1C6}" name="Column16105"/>
    <tableColumn id="16120" xr3:uid="{A7D149E5-320A-40C9-A881-D63BD02C6D55}" name="Column16106"/>
    <tableColumn id="16121" xr3:uid="{1D6C644A-47A1-406C-9A95-89CC1376DAF2}" name="Column16107"/>
    <tableColumn id="16122" xr3:uid="{7378590B-037A-4BDD-BA3B-AF04A39006EB}" name="Column16108"/>
    <tableColumn id="16123" xr3:uid="{C02DDBBD-CD35-474D-80FF-901AB699C911}" name="Column16109"/>
    <tableColumn id="16124" xr3:uid="{7B33E8A6-5E34-4A9C-BF6B-C19FF1DA4E7D}" name="Column16110"/>
    <tableColumn id="16125" xr3:uid="{3D634C4E-EBB8-410C-8B6D-9DD7243BD859}" name="Column16111"/>
    <tableColumn id="16126" xr3:uid="{267D175A-474A-47AE-B65B-600192E27612}" name="Column16112"/>
    <tableColumn id="16127" xr3:uid="{3039C96F-B48D-4511-A299-EE3B5723D7D1}" name="Column16113"/>
    <tableColumn id="16128" xr3:uid="{4A53AD12-2A83-452F-A532-5B972A80C739}" name="Column16114"/>
    <tableColumn id="16129" xr3:uid="{2D5EA8B8-0216-4F22-93DE-D5299727E1AD}" name="Column16115"/>
    <tableColumn id="16130" xr3:uid="{52E5AD30-5AF0-4285-B885-68F7E7A9AF1A}" name="Column16116"/>
    <tableColumn id="16131" xr3:uid="{990F1569-99A8-495D-95D8-664E16141EA6}" name="Column16117"/>
    <tableColumn id="16132" xr3:uid="{5CFF78B2-45A8-4EFB-A5DD-5D9F84FBD8CD}" name="Column16118"/>
    <tableColumn id="16133" xr3:uid="{D5D76FE6-6282-434F-A02D-B7066601C4DE}" name="Column16119"/>
    <tableColumn id="16134" xr3:uid="{BC27ACBA-115C-4F52-852B-E9F7800CB5D9}" name="Column16120"/>
    <tableColumn id="16135" xr3:uid="{0571CA60-2246-404C-AADD-B35C7C55856B}" name="Column16121"/>
    <tableColumn id="16136" xr3:uid="{B6B63CDB-4FB1-4AB7-BFAD-6D33F2382E43}" name="Column16122"/>
    <tableColumn id="16137" xr3:uid="{35E4C3A0-01BE-4EC6-A747-41134BCB7E63}" name="Column16123"/>
    <tableColumn id="16138" xr3:uid="{98735F17-A769-44BD-9B3E-C5C736358E4D}" name="Column16124"/>
    <tableColumn id="16139" xr3:uid="{C7B3F507-4FDC-474E-897B-DECCAE2DAA3A}" name="Column16125"/>
    <tableColumn id="16140" xr3:uid="{C44F66FB-263E-416E-A9D7-FAF7FAD2A380}" name="Column16126"/>
    <tableColumn id="16141" xr3:uid="{F42634D7-DBD8-40EB-A367-C0CD3D00E66E}" name="Column16127"/>
    <tableColumn id="16142" xr3:uid="{64D64FCA-ECB6-46B5-B34C-15B7A321230C}" name="Column16128"/>
    <tableColumn id="16143" xr3:uid="{8597016C-CBCD-463B-B456-FEF1320E84D8}" name="Column16129"/>
    <tableColumn id="16144" xr3:uid="{421D7643-7D89-4472-BEB7-44958B1A917F}" name="Column16130"/>
    <tableColumn id="16145" xr3:uid="{BB4D2C2A-93B4-43BD-A983-07D79B7A4258}" name="Column16131"/>
    <tableColumn id="16146" xr3:uid="{F20DC684-1159-4137-8A92-E63F3C744BFA}" name="Column16132"/>
    <tableColumn id="16147" xr3:uid="{980CEF33-78BA-4242-A242-26E809EE2AAA}" name="Column16133"/>
    <tableColumn id="16148" xr3:uid="{3514903F-F605-4A9D-81D2-844FE18A1F7A}" name="Column16134"/>
    <tableColumn id="16149" xr3:uid="{C871F9A3-EB3A-4887-B536-B7A5A277BC16}" name="Column16135"/>
    <tableColumn id="16150" xr3:uid="{4555E5D5-FEF8-4C86-B0CF-C54CE329E03E}" name="Column16136"/>
    <tableColumn id="16151" xr3:uid="{5CC77738-A29C-44EA-A7EF-36775408C9C8}" name="Column16137"/>
    <tableColumn id="16152" xr3:uid="{271F7C05-115C-4174-BD4D-1FE37F318141}" name="Column16138"/>
    <tableColumn id="16153" xr3:uid="{08A02396-C7C7-4267-B692-2EA206083291}" name="Column16139"/>
    <tableColumn id="16154" xr3:uid="{F90448BB-CC98-4A2D-B93B-01D85B5AE049}" name="Column16140"/>
    <tableColumn id="16155" xr3:uid="{CBDD716C-22FF-4492-9E57-96BB3E29A5F0}" name="Column16141"/>
    <tableColumn id="16156" xr3:uid="{C91D7C90-6739-478D-A45E-4A8A0AF74C0F}" name="Column16142"/>
    <tableColumn id="16157" xr3:uid="{2FB96549-1D5F-4803-A8CB-A6C1E654A04D}" name="Column16143"/>
    <tableColumn id="16158" xr3:uid="{A0D5494B-70E3-4226-97BC-DC26E21D4A5E}" name="Column16144"/>
    <tableColumn id="16159" xr3:uid="{506C86EC-30FA-4572-878F-8413CF96F6A6}" name="Column16145"/>
    <tableColumn id="16160" xr3:uid="{200D9504-1B88-484C-8D0B-4D3762D1E1AD}" name="Column16146"/>
    <tableColumn id="16161" xr3:uid="{AC69832A-286E-4382-9786-1F87BF7BBB08}" name="Column16147"/>
    <tableColumn id="16162" xr3:uid="{A38CCDDA-78B5-458C-A8CC-5CF2E6C0C627}" name="Column16148"/>
    <tableColumn id="16163" xr3:uid="{3803D00C-1A2E-41A7-B6D9-EEC1C13FBE2D}" name="Column16149"/>
    <tableColumn id="16164" xr3:uid="{DFD403E0-0AB7-4EA4-A672-D52C3FF19F75}" name="Column16150"/>
    <tableColumn id="16165" xr3:uid="{919809A3-D2AD-41B4-A5AE-91746279680F}" name="Column16151"/>
    <tableColumn id="16166" xr3:uid="{C63A71C7-42A1-4ACC-8DEB-4380715D3E69}" name="Column16152"/>
    <tableColumn id="16167" xr3:uid="{F967CB72-69E4-47B2-AEF0-D90DEFE2703F}" name="Column16153"/>
    <tableColumn id="16168" xr3:uid="{DC72D368-4E3E-4845-A9D6-7CB89D0B09A4}" name="Column16154"/>
    <tableColumn id="16169" xr3:uid="{8503970D-F8B1-4371-A200-DF7980DF633D}" name="Column16155"/>
    <tableColumn id="16170" xr3:uid="{092AA935-AB78-403A-8CB8-C8FFC26549B5}" name="Column16156"/>
    <tableColumn id="16171" xr3:uid="{82CFBB06-5118-4C8A-9E24-DD3DF019649E}" name="Column16157"/>
    <tableColumn id="16172" xr3:uid="{997BCDBC-B8CD-4B11-9453-75C56A05D787}" name="Column16158"/>
    <tableColumn id="16173" xr3:uid="{CA393E66-9D0F-4AA3-A745-E01A7D0EC575}" name="Column16159"/>
    <tableColumn id="16174" xr3:uid="{8C71C4D6-2C83-4C8E-849D-86B5B10A023D}" name="Column16160"/>
    <tableColumn id="16175" xr3:uid="{229D8268-D8BE-48E7-A9E8-D230BF6FB7F0}" name="Column16161"/>
    <tableColumn id="16176" xr3:uid="{8BFA3976-59BC-4502-BAFD-295D0F984177}" name="Column16162"/>
    <tableColumn id="16177" xr3:uid="{0ACB7122-A170-4B30-82A8-13EF9FD4B261}" name="Column16163"/>
    <tableColumn id="16178" xr3:uid="{567A1BA4-9DB3-4D52-81DF-E7FA89D4FEB3}" name="Column16164"/>
    <tableColumn id="16179" xr3:uid="{DE9AD96E-1680-4B8D-A3C6-6B75EF5A536F}" name="Column16165"/>
    <tableColumn id="16180" xr3:uid="{99373F0E-2F62-410B-8C4E-454A4F6D0874}" name="Column16166"/>
    <tableColumn id="16181" xr3:uid="{8E79D568-63E7-46CC-8ED3-886CF57CB3D5}" name="Column16167"/>
    <tableColumn id="16182" xr3:uid="{8F140297-E2E1-4B32-B8CD-D9EEE8CCEE76}" name="Column16168"/>
    <tableColumn id="16183" xr3:uid="{2482B929-28F6-4C45-83BB-87FF8581A564}" name="Column16169"/>
    <tableColumn id="16184" xr3:uid="{D65412E3-F16B-4B13-8856-1400E16C43D7}" name="Column16170"/>
    <tableColumn id="16185" xr3:uid="{648353E8-0CA0-482E-A8A9-44E628527165}" name="Column16171"/>
    <tableColumn id="16186" xr3:uid="{DC742F7A-FD87-4BCA-B970-1084075EC625}" name="Column16172"/>
    <tableColumn id="16187" xr3:uid="{D5605B84-9287-4609-86D7-BE58FCD72BF4}" name="Column16173"/>
    <tableColumn id="16188" xr3:uid="{A4EA8D88-0BD3-4A06-82ED-3F0E07F2FADA}" name="Column16174"/>
    <tableColumn id="16189" xr3:uid="{E3B4C834-23D6-43AB-AAF1-CC2A9A93A259}" name="Column16175"/>
    <tableColumn id="16190" xr3:uid="{4D5C6B3A-06E9-40F7-A0FA-D1EDA94941A1}" name="Column16176"/>
    <tableColumn id="16191" xr3:uid="{F5C50D9E-8FAD-4AF0-9668-6A0774D519B7}" name="Column16177"/>
    <tableColumn id="16192" xr3:uid="{1A969B5B-210D-4BF5-99A6-7BBF60B1DCA4}" name="Column16178"/>
    <tableColumn id="16193" xr3:uid="{8F949293-85AD-44D7-BDE3-CFA747067F93}" name="Column16179"/>
    <tableColumn id="16194" xr3:uid="{C1C187EB-366E-482C-A664-7E48909CC0BB}" name="Column16180"/>
    <tableColumn id="16195" xr3:uid="{8C83BB84-21AF-4195-9538-559C98BEC46D}" name="Column16181"/>
    <tableColumn id="16196" xr3:uid="{CBFD9F00-93F2-4AB3-AE47-5A372AAE9314}" name="Column16182"/>
    <tableColumn id="16197" xr3:uid="{87D35552-9BFC-44DB-801A-B7C6A45AB31B}" name="Column16183"/>
    <tableColumn id="16198" xr3:uid="{84AA99A8-ABB9-49DD-921C-027D020568A2}" name="Column16184"/>
    <tableColumn id="16199" xr3:uid="{9F2F8D7E-7D40-4308-BE46-A76BECBB0E60}" name="Column16185"/>
    <tableColumn id="16200" xr3:uid="{780CF24D-EFE8-48A6-8AFC-A9956FA8AFC6}" name="Column16186"/>
    <tableColumn id="16201" xr3:uid="{BDFD667C-4E5F-4B6A-A4A9-F6F0A05A6EEB}" name="Column16187"/>
    <tableColumn id="16202" xr3:uid="{14142DF6-AED7-40FF-8D8E-1F17D9F968C8}" name="Column16188"/>
    <tableColumn id="16203" xr3:uid="{07A1BE5E-5E95-4B88-8E10-FB877E13CE7F}" name="Column16189"/>
    <tableColumn id="16204" xr3:uid="{69D8D95E-A682-4CE0-BDA6-AB421CB75CCA}" name="Column16190"/>
    <tableColumn id="16205" xr3:uid="{E4FBC414-A464-46BD-B5E4-CD4F83FC2684}" name="Column16191"/>
    <tableColumn id="16206" xr3:uid="{F1B79A3F-11F1-4235-886F-396D7EACCC49}" name="Column16192"/>
    <tableColumn id="16207" xr3:uid="{8BAF4F24-8628-44F4-A4D1-51E418D1026D}" name="Column16193"/>
    <tableColumn id="16208" xr3:uid="{95BEE818-EDB1-4542-A1C7-78E007E97F95}" name="Column16194"/>
    <tableColumn id="16209" xr3:uid="{466C0EAD-B85E-4F55-A299-B02882F7A654}" name="Column16195"/>
    <tableColumn id="16210" xr3:uid="{C29452F9-728E-4180-AA2E-A292B062526E}" name="Column16196"/>
    <tableColumn id="16211" xr3:uid="{6575046B-63D7-4011-A11B-9CA525377551}" name="Column16197"/>
    <tableColumn id="16212" xr3:uid="{9E655570-EF5B-4F8E-8A5B-85D4E8EF16A0}" name="Column16198"/>
    <tableColumn id="16213" xr3:uid="{17287526-7D84-41B3-B55C-DCEDFD4CF2D4}" name="Column16199"/>
    <tableColumn id="16214" xr3:uid="{8A46AF7B-946A-44B8-AE97-A666F7CFDF43}" name="Column16200"/>
    <tableColumn id="16215" xr3:uid="{823000A1-B1A5-4E0A-AA59-C986A4D98B56}" name="Column16201"/>
    <tableColumn id="16216" xr3:uid="{82768652-C0C5-4AC4-B957-8D7502CDFCD6}" name="Column16202"/>
    <tableColumn id="16217" xr3:uid="{7E2DCE50-6287-4317-AD12-D7FB1D4BE63A}" name="Column16203"/>
    <tableColumn id="16218" xr3:uid="{0A60A1D4-E154-45BD-89DD-ED5C7BEB0F42}" name="Column16204"/>
    <tableColumn id="16219" xr3:uid="{683E1F9D-B4BF-48B4-9CC9-B2F38C97537E}" name="Column16205"/>
    <tableColumn id="16220" xr3:uid="{0F030757-9CE1-469B-A754-E7776B2A0AA2}" name="Column16206"/>
    <tableColumn id="16221" xr3:uid="{B90D2444-AB70-4FBB-9C26-538AAC02A644}" name="Column16207"/>
    <tableColumn id="16222" xr3:uid="{90D726FA-2FAC-4135-B89B-91262EBD0A05}" name="Column16208"/>
    <tableColumn id="16223" xr3:uid="{8B0088E2-3E64-40A2-848E-896B1D132E4C}" name="Column16209"/>
    <tableColumn id="16224" xr3:uid="{42AAB3E8-6572-4135-B2F4-5CE6B166444E}" name="Column16210"/>
    <tableColumn id="16225" xr3:uid="{294E02DC-305D-445E-B1C4-DC65BCB777D3}" name="Column16211"/>
    <tableColumn id="16226" xr3:uid="{E219B983-8BFC-41C5-8CF5-2E4B64326268}" name="Column16212"/>
    <tableColumn id="16227" xr3:uid="{A60CF2AA-15DA-4915-8379-162DB6B8196D}" name="Column16213"/>
    <tableColumn id="16228" xr3:uid="{24CC9095-0853-420D-A28A-1132F083E503}" name="Column16214"/>
    <tableColumn id="16229" xr3:uid="{6DA02D3F-9CED-44D8-A34B-EF4B7DBFF2B4}" name="Column16215"/>
    <tableColumn id="16230" xr3:uid="{E786780E-CF2B-4033-9909-CF1933E210F5}" name="Column16216"/>
    <tableColumn id="16231" xr3:uid="{10963699-8309-4C4B-8917-75690FDD347E}" name="Column16217"/>
    <tableColumn id="16232" xr3:uid="{543C13BA-E621-43C5-8BB5-5E999F2C769A}" name="Column16218"/>
    <tableColumn id="16233" xr3:uid="{BDF8EB51-F4A7-4C70-A880-BD182AC34657}" name="Column16219"/>
    <tableColumn id="16234" xr3:uid="{409EA47B-71E6-41FA-9662-1640500B7B3F}" name="Column16220"/>
    <tableColumn id="16235" xr3:uid="{113171D4-2239-41A6-A4D2-43F6D427D308}" name="Column16221"/>
    <tableColumn id="16236" xr3:uid="{A7F38C8F-2862-4D25-A86A-62C9FF21F838}" name="Column16222"/>
    <tableColumn id="16237" xr3:uid="{5B32385F-79D0-4994-AA29-0FDF215C178F}" name="Column16223"/>
    <tableColumn id="16238" xr3:uid="{09F6ACFF-F46F-4027-9FE3-7DE017DCF925}" name="Column16224"/>
    <tableColumn id="16239" xr3:uid="{9C997F65-F176-4B4A-BDEC-17F18830AD36}" name="Column16225"/>
    <tableColumn id="16240" xr3:uid="{3A55105B-D245-4D80-8D8F-317CC0796008}" name="Column16226"/>
    <tableColumn id="16241" xr3:uid="{C3031F7A-1B17-448E-977B-FF7D32B23D2D}" name="Column16227"/>
    <tableColumn id="16242" xr3:uid="{B101FA6D-4E0D-497C-84E2-97A33F9BEC57}" name="Column16228"/>
    <tableColumn id="16243" xr3:uid="{A4C731CB-4C3D-44E1-9FD5-87D649A5C8AA}" name="Column16229"/>
    <tableColumn id="16244" xr3:uid="{C8C00B2F-172D-47E8-A853-4A60F5497082}" name="Column16230"/>
    <tableColumn id="16245" xr3:uid="{44E060D9-827E-467D-95DD-8F1E5E17EAFC}" name="Column16231"/>
    <tableColumn id="16246" xr3:uid="{B310C818-2D1F-4476-A161-6D65FE8C48FE}" name="Column16232"/>
    <tableColumn id="16247" xr3:uid="{C626E400-AFA8-43C6-BFAE-26BF6C17547A}" name="Column16233"/>
    <tableColumn id="16248" xr3:uid="{63471B43-0463-42B8-A996-4FD55F945BDA}" name="Column16234"/>
    <tableColumn id="16249" xr3:uid="{E85B819B-A15F-4726-B692-138F9D3646CC}" name="Column16235"/>
    <tableColumn id="16250" xr3:uid="{6130C3B8-A163-41F4-80D3-7FFFB7399CBD}" name="Column16236"/>
    <tableColumn id="16251" xr3:uid="{F300B063-33B8-47CC-98C4-C49F5A693DFD}" name="Column16237"/>
    <tableColumn id="16252" xr3:uid="{4391EB54-838E-475B-87F9-3BB82AE944D7}" name="Column16238"/>
    <tableColumn id="16253" xr3:uid="{F18DBAB3-65F4-40B6-A94E-6E5B8980D1D4}" name="Column16239"/>
    <tableColumn id="16254" xr3:uid="{E318CF39-B917-4C7D-8F5F-B1C3A627CD13}" name="Column16240"/>
    <tableColumn id="16255" xr3:uid="{C18A66BE-37D2-42ED-B732-6727C40D5D19}" name="Column16241"/>
    <tableColumn id="16256" xr3:uid="{089E166F-8720-4291-979B-ACFCAEBFB2C5}" name="Column16242"/>
    <tableColumn id="16257" xr3:uid="{D7078258-21A9-4994-BE80-A20F6E56F662}" name="Column16243"/>
    <tableColumn id="16258" xr3:uid="{12A0BAA1-3D6E-4399-9649-C974DD2D1598}" name="Column16244"/>
    <tableColumn id="16259" xr3:uid="{60251A2D-11D9-4585-9A77-8CD1BF2184BD}" name="Column16245"/>
    <tableColumn id="16260" xr3:uid="{C13F225B-FD94-485A-89A7-98A5462D5BAF}" name="Column16246"/>
    <tableColumn id="16261" xr3:uid="{BF3171D3-AD15-49AE-8187-30E2D422A986}" name="Column16247"/>
    <tableColumn id="16262" xr3:uid="{322D0AFA-B10E-4848-8FC7-07DBB2F0FD5A}" name="Column16248"/>
    <tableColumn id="16263" xr3:uid="{BA3D3B37-A540-4E0A-BB48-A227F7619F0B}" name="Column16249"/>
    <tableColumn id="16264" xr3:uid="{F34AA735-0277-4F40-AC47-A7FD2B34E65F}" name="Column16250"/>
    <tableColumn id="16265" xr3:uid="{6D4825D3-23CA-4154-A69F-CD923B3DE35A}" name="Column16251"/>
    <tableColumn id="16266" xr3:uid="{91127BBB-34D1-4AE7-A4C6-AEE20B3F6FDB}" name="Column16252"/>
    <tableColumn id="16267" xr3:uid="{5C7BF41E-A922-4B11-A277-2AC56B416A44}" name="Column16253"/>
    <tableColumn id="16268" xr3:uid="{4F5F95B8-3859-4DDB-A94C-542D787EFF0A}" name="Column16254"/>
    <tableColumn id="16269" xr3:uid="{58C7C281-C5C0-4DBD-8B08-253D71B10510}" name="Column16255"/>
    <tableColumn id="16270" xr3:uid="{F738F448-A479-4412-AFB3-06AAA08DF475}" name="Column16256"/>
    <tableColumn id="16271" xr3:uid="{C9F82D9C-A838-44D9-A212-B02DB945971C}" name="Column16257"/>
    <tableColumn id="16272" xr3:uid="{01BBD08A-8CDE-4219-8F08-1DD4A876FF32}" name="Column16258"/>
    <tableColumn id="16273" xr3:uid="{B54F4CAF-94FA-44F8-A29C-19D2F46DA2DF}" name="Column16259"/>
    <tableColumn id="16274" xr3:uid="{8BA73188-9702-4EFB-B5D9-1EA7ABB16A45}" name="Column16260"/>
    <tableColumn id="16275" xr3:uid="{AB2151D5-DCEF-46D7-B481-667A6CA43C6B}" name="Column16261"/>
    <tableColumn id="16276" xr3:uid="{41DD703A-CC49-4F51-9B3A-9E17126B3C7E}" name="Column16262"/>
    <tableColumn id="16277" xr3:uid="{A9759F87-E0CD-4DE2-9B08-10C606BCC6FC}" name="Column16263"/>
    <tableColumn id="16278" xr3:uid="{FEE285A0-4BEF-4931-A2A2-1A1E3032CD14}" name="Column16264"/>
    <tableColumn id="16279" xr3:uid="{93916556-B86C-4D33-8D20-62F37D783C36}" name="Column16265"/>
    <tableColumn id="16280" xr3:uid="{808BC158-4F7F-4450-9A54-2D2E8453AA58}" name="Column16266"/>
    <tableColumn id="16281" xr3:uid="{E2F4AC77-A57B-454F-A12A-42BBE0ABDF7B}" name="Column16267"/>
    <tableColumn id="16282" xr3:uid="{94DCF437-5D31-4839-A10A-1F883E354259}" name="Column16268"/>
    <tableColumn id="16283" xr3:uid="{7D25CA3A-14C6-4EDF-BD62-6D0CA7A77993}" name="Column16269"/>
    <tableColumn id="16284" xr3:uid="{C1E2A744-BABF-41CE-B45E-3F169D7B955C}" name="Column16270"/>
    <tableColumn id="16285" xr3:uid="{38D45C7E-3EB5-4EEB-8665-7C6CB1D8514D}" name="Column16271"/>
    <tableColumn id="16286" xr3:uid="{FD4701B4-34B2-4DF6-AD02-9F599256DD5F}" name="Column16272"/>
    <tableColumn id="16287" xr3:uid="{197B35C7-7269-4C9F-8D30-9F254181DB68}" name="Column16273"/>
    <tableColumn id="16288" xr3:uid="{9E8D00EB-8021-4120-BE24-91F15F32C53D}" name="Column16274"/>
    <tableColumn id="16289" xr3:uid="{087A79D7-D0AF-4939-8F47-4574391A7228}" name="Column16275"/>
    <tableColumn id="16290" xr3:uid="{6030323F-F443-48A5-AA4E-9E9A1D9FB170}" name="Column16276"/>
    <tableColumn id="16291" xr3:uid="{327C447C-224C-45F5-A147-7FE1C82EB121}" name="Column16277"/>
    <tableColumn id="16292" xr3:uid="{36A97059-36CC-472A-B05E-98FC8C80AEBF}" name="Column16278"/>
    <tableColumn id="16293" xr3:uid="{0CBBD533-DB96-48C0-8C71-9023CB14F559}" name="Column16279"/>
    <tableColumn id="16294" xr3:uid="{BC774B8C-6C14-4B5F-94E3-0497958CB6F7}" name="Column16280"/>
    <tableColumn id="16295" xr3:uid="{BF5EC9FD-18B3-4B3B-8D91-0F5F8A11D3AE}" name="Column16281"/>
    <tableColumn id="16296" xr3:uid="{F2053A64-E70C-43C8-94CC-6E7F4D4FC171}" name="Column16282"/>
    <tableColumn id="16297" xr3:uid="{7596EA47-0510-4DE5-9847-69E5BF9745B7}" name="Column16283"/>
    <tableColumn id="16298" xr3:uid="{3592041F-D09C-41DC-8765-176F14499614}" name="Column16284"/>
    <tableColumn id="16299" xr3:uid="{08868722-763D-430C-8E9B-8B82ABE6A6AC}" name="Column16285"/>
    <tableColumn id="16300" xr3:uid="{8B03482F-A2B8-40CC-B829-AA62358EF0E5}" name="Column16286"/>
    <tableColumn id="16301" xr3:uid="{6D5166AE-8428-4788-AF13-6C9CBB55A9FD}" name="Column16287"/>
    <tableColumn id="16302" xr3:uid="{736D5149-D287-44CB-B773-F5D31CD9A51B}" name="Column16288"/>
    <tableColumn id="16303" xr3:uid="{AF31163A-B097-4942-BAC2-52381999476A}" name="Column16289"/>
    <tableColumn id="16304" xr3:uid="{743DFF60-01D8-42E1-8AEF-79D076ED4995}" name="Column16290"/>
    <tableColumn id="16305" xr3:uid="{497518C9-E546-48FE-8D1A-57ABFEF6AF50}" name="Column16291"/>
    <tableColumn id="16306" xr3:uid="{95389498-28D0-4678-98F5-51163C17E3FA}" name="Column16292"/>
    <tableColumn id="16307" xr3:uid="{07FCD990-446D-4B3B-9D50-F89EC4F0B3B1}" name="Column16293"/>
    <tableColumn id="16308" xr3:uid="{EFA51378-3A6D-41D1-AF24-47484D89926D}" name="Column16294"/>
    <tableColumn id="16309" xr3:uid="{86423436-2478-411A-AE62-81D3B5969199}" name="Column16295"/>
    <tableColumn id="16310" xr3:uid="{4198CDC5-3D6D-4CA7-9E8E-FA6FC0C23DB8}" name="Column16296"/>
    <tableColumn id="16311" xr3:uid="{E863BC4F-4D5C-4C7A-8DEE-D01AE176D0A0}" name="Column16297"/>
    <tableColumn id="16312" xr3:uid="{08B7AA78-F07A-4FDC-BF9D-7078163E6A6B}" name="Column16298"/>
    <tableColumn id="16313" xr3:uid="{361FBBFE-B7EC-4E7B-BEEC-384A51564000}" name="Column16299"/>
    <tableColumn id="16314" xr3:uid="{49FF576A-85E4-43FA-9C55-DD6F47F85B6C}" name="Column16300"/>
    <tableColumn id="16315" xr3:uid="{3B551BD3-C78F-42CA-A36C-4B79412BED86}" name="Column16301"/>
    <tableColumn id="16316" xr3:uid="{ABE8CF2B-C61E-482B-BA95-24E9F1BA6E2E}" name="Column16302"/>
    <tableColumn id="16317" xr3:uid="{975FFC87-D3AA-4E85-9083-FD1BEC4D98BE}" name="Column16303"/>
    <tableColumn id="16318" xr3:uid="{77DEECCE-2C7F-49B5-9683-99B6BA2C1895}" name="Column16304"/>
    <tableColumn id="16319" xr3:uid="{696DCE86-E737-425D-8C4F-1A1BEF870E87}" name="Column16305"/>
    <tableColumn id="16320" xr3:uid="{D61EC47C-736D-4441-8D3B-379AFA147428}" name="Column16306"/>
    <tableColumn id="16321" xr3:uid="{0319BC1B-9F64-4D1F-AF6F-4A49B74F3D68}" name="Column16307"/>
    <tableColumn id="16322" xr3:uid="{F10A22B5-C07C-485C-890F-322C446D02FE}" name="Column16308"/>
    <tableColumn id="16323" xr3:uid="{C91D327A-14D6-41BF-AE21-4B91C2D5E27D}" name="Column16309"/>
    <tableColumn id="16324" xr3:uid="{29E9E1D6-B1FC-44D8-8B6A-CF6ABDFDC58C}" name="Column16310"/>
    <tableColumn id="16325" xr3:uid="{E5D3100F-9049-40DD-BF47-FE04FAA8EF73}" name="Column16311"/>
    <tableColumn id="16326" xr3:uid="{FB01DD44-824D-49FF-BAC8-5D8F2C1FB88D}" name="Column16312"/>
    <tableColumn id="16327" xr3:uid="{A581D5C3-89CE-4BC6-9291-543F04F725F4}" name="Column16313"/>
    <tableColumn id="16328" xr3:uid="{B08CEF4C-A1E5-4500-8B11-3F3C87F9E469}" name="Column16314"/>
    <tableColumn id="16329" xr3:uid="{04111E52-A160-46BF-A7A0-F697F5493D72}" name="Column16315"/>
    <tableColumn id="16330" xr3:uid="{AFB61C15-6A9D-4937-AB7C-9A91F87E7345}" name="Column16316"/>
    <tableColumn id="16331" xr3:uid="{9E848BBD-38A5-4B2E-9D0C-3B5936CEA8A2}" name="Column16317"/>
    <tableColumn id="16332" xr3:uid="{88552FDC-DD1F-4835-B181-C9879A3EB47D}" name="Column16318"/>
    <tableColumn id="16333" xr3:uid="{7A3F3410-AD8F-4BC6-BB87-943A7F6232A4}" name="Column16319"/>
    <tableColumn id="16334" xr3:uid="{991C3A77-E24D-4CBB-B589-B7F7179EFC19}" name="Column16320"/>
    <tableColumn id="16335" xr3:uid="{95072612-6B1C-41D3-B538-4B44759390DF}" name="Column16321"/>
    <tableColumn id="16336" xr3:uid="{589F8F76-C7FB-4F77-9A35-6A31BF86D79A}" name="Column16322"/>
    <tableColumn id="16337" xr3:uid="{833ED260-C7B9-40AD-9170-1C9EF9A0B596}" name="Column16323"/>
    <tableColumn id="16338" xr3:uid="{3E827349-8936-4990-A553-6C7E44946808}" name="Column16324"/>
    <tableColumn id="16339" xr3:uid="{819C6EEE-BAA6-4C8C-8FA3-46D63A157FC7}" name="Column16325"/>
    <tableColumn id="16340" xr3:uid="{2F280A2C-1756-4446-9686-D2A6B7D8C014}" name="Column16326"/>
    <tableColumn id="16341" xr3:uid="{646DFDB6-7AC0-4AC5-956C-1D49E144486F}" name="Column16327"/>
    <tableColumn id="16342" xr3:uid="{3EC60473-760F-4A69-A31F-77C5DFD3E74A}" name="Column16328"/>
    <tableColumn id="16343" xr3:uid="{58655067-90F6-4428-B00B-325110A89998}" name="Column16329"/>
    <tableColumn id="16344" xr3:uid="{B232A2EF-2338-4F10-99C0-752E3C3FDE5E}" name="Column16330"/>
    <tableColumn id="16345" xr3:uid="{7DC12A75-BF2B-4439-8523-0E20D010702A}" name="Column16331"/>
    <tableColumn id="16346" xr3:uid="{F76C7F0D-C9A6-4383-82F8-961EDDED6B25}" name="Column16332"/>
    <tableColumn id="16347" xr3:uid="{8E9C9FA4-5527-40D5-84B3-E9135D120C95}" name="Column16333"/>
    <tableColumn id="16348" xr3:uid="{672ECFB6-98CC-47A2-8D3C-C23C2F2230A6}" name="Column16334"/>
    <tableColumn id="16349" xr3:uid="{908F7F2B-B61E-4A25-86AF-69BE372CCD05}" name="Column16335"/>
    <tableColumn id="16350" xr3:uid="{5002D2A2-9B82-4873-B5CF-E8F267A35745}" name="Column16336"/>
    <tableColumn id="16351" xr3:uid="{04D124C4-76F3-4161-A79F-83FA136A7564}" name="Column16337"/>
    <tableColumn id="16352" xr3:uid="{E09C2CB9-11EB-4456-8298-0C5D73DED38E}" name="Column16338"/>
    <tableColumn id="16353" xr3:uid="{E88BDE25-02A3-408E-BB85-73AD63EDB8F6}" name="Column16339"/>
    <tableColumn id="16354" xr3:uid="{1DC311CF-4F6F-48D9-97E8-5214F041FCBA}" name="Column16340"/>
    <tableColumn id="16355" xr3:uid="{A46E9BEB-1B74-42EF-B22F-C25CE33076A4}" name="Column16341"/>
    <tableColumn id="16356" xr3:uid="{7795635E-AD5E-4D07-A7A5-A31BA07E8C76}" name="Column16342"/>
    <tableColumn id="16357" xr3:uid="{356CBC90-B5D8-4400-9851-CF4399E7AE0C}" name="Column16343"/>
    <tableColumn id="16358" xr3:uid="{5CDE7DC9-421E-4FEB-9BD3-F0FB452C6F3F}" name="Column16344"/>
    <tableColumn id="16359" xr3:uid="{7FF99100-C595-4B76-9AC1-0BB2DB950E9C}" name="Column16345"/>
    <tableColumn id="16360" xr3:uid="{4D729597-CA8B-414D-B3DA-9AA56ACE8F7C}" name="Column16346"/>
    <tableColumn id="16361" xr3:uid="{D3115DC4-CA57-48C9-9B55-7F6AD1470A66}" name="Column16347"/>
    <tableColumn id="16362" xr3:uid="{0CCA5B16-AF38-4A90-B0C8-EDAC6701935F}" name="Column16348"/>
    <tableColumn id="16363" xr3:uid="{36F4475E-D5D8-460D-857E-58BFD8B2D86B}" name="Column16349"/>
    <tableColumn id="16364" xr3:uid="{FF9C3973-DE8C-41AA-B4DE-7B1D7B4B5626}" name="Column16350"/>
    <tableColumn id="16365" xr3:uid="{DEE13132-DCD3-4D7E-8BAC-F0C1743E389F}" name="Column16351"/>
    <tableColumn id="16366" xr3:uid="{CA548CFC-1465-47B6-BCA0-DE6BEA283AE5}" name="Column16352"/>
    <tableColumn id="16367" xr3:uid="{11BA1AAA-8AB7-462F-AA2C-15FD9D997504}" name="Column16353"/>
    <tableColumn id="16368" xr3:uid="{F19A9C54-621A-48D0-ABF4-09AF02E63F5A}" name="Column16354"/>
    <tableColumn id="16369" xr3:uid="{0E2A3655-21BB-4F09-B755-77A9AC749046}" name="Column16355"/>
    <tableColumn id="16370" xr3:uid="{32C2A701-E039-4A22-B058-09437876D21F}" name="Column16356"/>
    <tableColumn id="16371" xr3:uid="{FCFF89A6-286E-48E3-AA82-262DAFDF928E}" name="Column16357"/>
    <tableColumn id="16372" xr3:uid="{9E52B869-847C-4EDB-AA4D-1AD1E7CDC4F1}" name="Column16358"/>
    <tableColumn id="16373" xr3:uid="{2F8E526D-E84E-440F-8730-0C1E9DB5777E}" name="Column16359"/>
    <tableColumn id="16374" xr3:uid="{97CE7D8F-A248-42DC-9D51-76FD3E1299A7}" name="Column16360"/>
    <tableColumn id="16375" xr3:uid="{9F885CF5-B3D2-410E-8CEF-6F6321E99DA1}" name="Column16361"/>
    <tableColumn id="16376" xr3:uid="{92DD169D-D3A5-42E3-8AC6-A2C16EDF7F4D}" name="Column16362"/>
    <tableColumn id="16377" xr3:uid="{B3CE4660-4E0F-4467-9B52-196799DE1EDD}" name="Column16363"/>
    <tableColumn id="16378" xr3:uid="{B4750F5C-FB93-4C37-B74C-BB4717DE7F29}" name="Column16364"/>
    <tableColumn id="16379" xr3:uid="{F452FC85-8334-448F-A5CD-A1173CAC49F0}" name="Column16365"/>
    <tableColumn id="16380" xr3:uid="{8DBC55B0-31B6-4917-BBEC-DB4B16303D4E}" name="Column16366"/>
    <tableColumn id="16381" xr3:uid="{D8D48383-F35F-4576-8FA6-DF67BD1971AC}" name="Column16367"/>
    <tableColumn id="16382" xr3:uid="{FFA08E0D-10C1-4CD1-91A0-8E84905EB5C6}" name="Column16368"/>
    <tableColumn id="16383" xr3:uid="{D99C644F-D327-44A5-8C09-5B4D46694D02}" name="Column16369"/>
    <tableColumn id="16384" xr3:uid="{B8D0F133-F317-4A0B-AD5D-3C46B27BBCA6}" name="Column1637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8309F28-E787-450F-9390-0593A8D3066C}" name="Combined20212022" displayName="Combined20212022" ref="A1:AL279" tableType="queryTable" totalsRowShown="0">
  <autoFilter ref="A1:AL279" xr:uid="{4DF06A8B-19B8-474C-BA4F-7D19E3D5E41A}"/>
  <tableColumns count="38">
    <tableColumn id="1" xr3:uid="{655EC7EC-311E-43F4-9479-8DCE4C70C27E}" uniqueName="1" name="organisation_name" queryTableFieldId="1"/>
    <tableColumn id="2" xr3:uid="{3CD105D1-803B-470F-B172-F595D2DF18E6}" uniqueName="2" name="Sector " queryTableFieldId="2"/>
    <tableColumn id="3" xr3:uid="{6070213A-C228-46B4-8378-9D197F8ED9FF}" uniqueName="3" name="type " queryTableFieldId="3"/>
    <tableColumn id="4" xr3:uid="{FEAA90FD-10DF-4477-A5EF-9DD89CB0BF5F}" uniqueName="4" name="Number of members" queryTableFieldId="4"/>
    <tableColumn id="5" xr3:uid="{9B321135-264A-41F7-B4C8-0C8C023956E7}" uniqueName="5" name="Number of active members" queryTableFieldId="5"/>
    <tableColumn id="6" xr3:uid="{05C750B9-2123-4995-B937-B446F996075A}" uniqueName="6" name="Number of  inactive members" queryTableFieldId="6"/>
    <tableColumn id="7" xr3:uid="{7E76995F-C229-4749-B33F-73EE3981A4E2}" uniqueName="7" name="Percentage active members" queryTableFieldId="7"/>
    <tableColumn id="8" xr3:uid="{DFFB340C-A5DC-4A78-BC30-1D9277D0B774}" uniqueName="8" name="Percentage inactive members" queryTableFieldId="8"/>
    <tableColumn id="9" xr3:uid="{E8262193-32AB-4F20-87D1-5357C88F274C}" uniqueName="9" name="Interval number of members" queryTableFieldId="9"/>
    <tableColumn id="10" xr3:uid="{DB0920B2-2B45-4718-9F48-02BE752D9E70}" uniqueName="10" name="Non-EEA Total" queryTableFieldId="10"/>
    <tableColumn id="11" xr3:uid="{1A5628A9-832F-4C8F-9F18-4F611823F78C}" uniqueName="11" name="EEA total" queryTableFieldId="11"/>
    <tableColumn id="12" xr3:uid="{40AA892A-E5AD-4248-BC0E-FBA178245854}" uniqueName="12" name="Dutch total" queryTableFieldId="12"/>
    <tableColumn id="13" xr3:uid="{DFDD5EBA-FAAE-4D30-BCBB-DCE6981BE6A9}" uniqueName="13" name="Non-EEA Active " queryTableFieldId="13"/>
    <tableColumn id="14" xr3:uid="{66508F15-FF51-49AB-9FE4-C44D9E28A881}" uniqueName="14" name="EEA Active" queryTableFieldId="14"/>
    <tableColumn id="15" xr3:uid="{C02F0449-8BE7-4A40-A29C-54644B05E583}" uniqueName="15" name="Dutch Active" queryTableFieldId="15"/>
    <tableColumn id="16" xr3:uid="{2FCA6B01-71AA-4704-A0B5-B13B02A8E800}" uniqueName="16" name="Ratio Active Non-EEA" queryTableFieldId="16" dataDxfId="9"/>
    <tableColumn id="17" xr3:uid="{BDD8371A-7171-4946-B0ED-952E8C244FD0}" uniqueName="17" name="Ratio Active EEA" queryTableFieldId="17" dataDxfId="8"/>
    <tableColumn id="18" xr3:uid="{53F606E6-DEE1-43D7-B37D-B0A4DE98AD7B}" uniqueName="18" name="Ratio Active Dutch" queryTableFieldId="18" dataDxfId="7"/>
    <tableColumn id="19" xr3:uid="{0A5C6D8A-C7CA-40F4-82D1-E06570E5ADA7}" uniqueName="19" name="Test total number of members" queryTableFieldId="19"/>
    <tableColumn id="20" xr3:uid="{7234FFC4-AE12-495D-8BA7-CB4ABF85DD94}" uniqueName="20" name="Test total number of active members" queryTableFieldId="20"/>
    <tableColumn id="21" xr3:uid="{F046ED9B-EF94-46FC-84B1-B85E825691B5}" uniqueName="21" name="Test total number inactive members" queryTableFieldId="21"/>
    <tableColumn id="22" xr3:uid="{1240A709-85B2-4BAA-B9D7-11D21BD2726F}" uniqueName="22" name="Test max EEA active" queryTableFieldId="22"/>
    <tableColumn id="23" xr3:uid="{9C7CA8E8-E431-4852-9CCF-1EE04C071034}" uniqueName="23" name="Test max Dutch active" queryTableFieldId="23"/>
    <tableColumn id="24" xr3:uid="{8C9FF783-61CC-4143-A198-B4A8070DC6C9}" uniqueName="24" name="Test max non-EEA active" queryTableFieldId="24"/>
    <tableColumn id="25" xr3:uid="{E56839F2-06F4-4F65-9C93-2B949C2E61E6}" uniqueName="25" name="Fullfill all requirements?" queryTableFieldId="25"/>
    <tableColumn id="26" xr3:uid="{2700C7A9-EA6C-42B1-9ABD-D00C594BE1A5}" uniqueName="26" name="Number of first year comittee members" queryTableFieldId="26"/>
    <tableColumn id="27" xr3:uid="{02DF3CF5-ACAD-441D-BE3A-C28332ED8726}" uniqueName="27" name="Number of second year comittee members" queryTableFieldId="27"/>
    <tableColumn id="28" xr3:uid="{AABFB074-C82B-488F-96ED-3ABA21A4AF57}" uniqueName="28" name="Number of third year comittee members" queryTableFieldId="28"/>
    <tableColumn id="29" xr3:uid="{3CC422F2-86E5-4102-A0CC-AEB60CEAAE2C}" uniqueName="29" name="Number of fourth year comittee members" queryTableFieldId="29"/>
    <tableColumn id="30" xr3:uid="{17EC8E95-F765-4D23-8DFF-66C57737FC47}" uniqueName="30" name="Number of 4+ year comittee members" queryTableFieldId="30"/>
    <tableColumn id="31" xr3:uid="{749E9262-715F-4DB8-B9F7-4BD044411D47}" uniqueName="31" name="Total committee members" queryTableFieldId="31"/>
    <tableColumn id="32" xr3:uid="{C51A61C5-9F0D-4361-BA09-F149E9FEDD2E}" uniqueName="32" name="Number of Comittees" queryTableFieldId="32"/>
    <tableColumn id="33" xr3:uid="{97A36EFA-7370-41BE-B348-36FB2D349259}" uniqueName="33" name="Number of covid strong decrease" queryTableFieldId="33" dataDxfId="6"/>
    <tableColumn id="34" xr3:uid="{18DD03C6-7404-413C-A647-DF7810AD4D45}" uniqueName="34" name="Number of covid slight decrease" queryTableFieldId="34" dataDxfId="5"/>
    <tableColumn id="35" xr3:uid="{17B5D072-85D4-44C7-9831-058C8BC8B322}" uniqueName="35" name="Number of covid no influence" queryTableFieldId="35" dataDxfId="4"/>
    <tableColumn id="36" xr3:uid="{1FE56905-86E2-4E8F-97F7-15FE7684F271}" uniqueName="36" name="Number ofcovid slicht increase" queryTableFieldId="36" dataDxfId="3"/>
    <tableColumn id="37" xr3:uid="{BE217E2A-8311-4766-87D6-57BA5E781A9F}" uniqueName="37" name="Number of covid strong increase" queryTableFieldId="37" dataDxfId="2"/>
    <tableColumn id="38" xr3:uid="{5A1D5380-4B79-4D4F-BA72-1C6C41180751}" uniqueName="38" name="Year" queryTableFieldId="38"/>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A3A28-9C0F-4B9D-A24A-23636AD2D3D4}" name="Table1" displayName="Table1" ref="G7:I15" totalsRowShown="0" headerRowDxfId="1" tableBorderDxfId="0">
  <autoFilter ref="G7:I15" xr:uid="{D719D04F-96ED-4C83-84D1-D42330572575}"/>
  <tableColumns count="3">
    <tableColumn id="1" xr3:uid="{32EA5C12-D625-4246-98AE-C298F7DA44CB}" name="Column1"/>
    <tableColumn id="2" xr3:uid="{860D1C84-DB6E-4341-9814-58A7F1D271A3}" name="Column2"/>
    <tableColumn id="3" xr3:uid="{35709561-1B45-4217-8A5C-FEC7F0861700}" name="Column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0226B30-F59C-40F9-BC83-9D0B26BD0506}" name="General2023" displayName="General2023" ref="A1:O143" totalsRowShown="0">
  <autoFilter ref="A1:O143" xr:uid="{50226B30-F59C-40F9-BC83-9D0B26BD0506}"/>
  <tableColumns count="15">
    <tableColumn id="1" xr3:uid="{A1D0A667-8EC9-4982-BF4A-E59619C37E49}" name="organisation_id"/>
    <tableColumn id="2" xr3:uid="{7176B933-93AA-4B62-B6EA-25E876B9A74C}" name="organisation_name"/>
    <tableColumn id="3" xr3:uid="{10A6B945-436B-44AB-B98C-ADBF8907AB68}" name="organisation_type"/>
    <tableColumn id="4" xr3:uid="{BEB8F05F-1D7D-4888-89F0-B7B0560F39B0}" name="organisation_email"/>
    <tableColumn id="5" xr3:uid="{8A8F67B1-9CB0-46FC-BE8A-E0F0E9A06FBA}" name="organisation_status"/>
    <tableColumn id="6" xr3:uid="{3671B948-F9A2-44C3-9EEA-F1D17CAD0F5D}" name="sector"/>
    <tableColumn id="7" xr3:uid="{A11708FF-EE57-4E87-B9AD-F049ABCF5EDB}" name="number_of_members"/>
    <tableColumn id="8" xr3:uid="{012D1170-92FB-4500-987C-6D35D38DB15F}" name="number_of_inactive_members_other_association"/>
    <tableColumn id="9" xr3:uid="{3DBF23B2-CEBF-4B70-8A16-60B890FC8819}" name="number_of_international_members_eea"/>
    <tableColumn id="10" xr3:uid="{6E84A632-151E-4861-836B-F820ABF3AEAC}" name="number_of_international_members_not_eea"/>
    <tableColumn id="11" xr3:uid="{E60F7ABF-29A3-4671-AB6C-6F78E765C883}" name="number_of_committee_board_members"/>
    <tableColumn id="12" xr3:uid="{5252E4A6-7FB7-4EB7-8804-9C7F0D3C0CD3}" name="number_of_international_committee_board_members_eea"/>
    <tableColumn id="13" xr3:uid="{243A9462-66EF-47DA-9E30-DCF47B46D25D}" name="number_of_international_committee_board_members_not_eea"/>
    <tableColumn id="14" xr3:uid="{DEC347D2-4797-4331-A7DB-233D567527CD}" name="number_of_students_with_dutch_nationality"/>
    <tableColumn id="15" xr3:uid="{9B58849A-0A0D-47C6-A084-A5D9E05C414F}" name="number_of_active_students_with_dutch_nationalit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1AD04AD-E113-4A46-A447-C0268A89F970}" name="Committee2023" displayName="Committee2023" ref="A1:O1177" totalsRowShown="0">
  <autoFilter ref="A1:O1177" xr:uid="{C1AD04AD-E113-4A46-A447-C0268A89F970}"/>
  <tableColumns count="15">
    <tableColumn id="1" xr3:uid="{2F3FF990-CA50-48BB-BA0A-CD38187AAF27}" name="submission_id"/>
    <tableColumn id="2" xr3:uid="{BE39D1FB-1393-4108-89DC-29A6CD418D7F}" name="submission_status"/>
    <tableColumn id="3" xr3:uid="{EC2332C8-EE40-460A-9860-9C1877469485}" name="organisation_id"/>
    <tableColumn id="4" xr3:uid="{C6A0E32A-D8E4-4F13-B8EC-E36E572F5CC8}" name="organisation_name"/>
    <tableColumn id="5" xr3:uid="{CEE10EAE-E96E-42AA-B81B-FA4A4D3381A7}" name="committee_id"/>
    <tableColumn id="6" xr3:uid="{CF25404D-622E-4891-9B35-6226B25D5D16}" name="committee_name"/>
    <tableColumn id="7" xr3:uid="{9C2ADA61-8CB1-455A-878F-D455E6F66FE9}" name="total_committee_members"/>
    <tableColumn id="8" xr3:uid="{7AAD9F8D-459C-4934-831D-CDBCFFF2812A}" name="1st_years"/>
    <tableColumn id="9" xr3:uid="{744B400A-EEA3-4B3C-9AAD-04855C3B378B}" name="2nd_years"/>
    <tableColumn id="10" xr3:uid="{841ECC4E-B3FB-42AF-B125-442CCC4A0612}" name="3rd_years"/>
    <tableColumn id="11" xr3:uid="{59687763-EC6F-4877-8D66-CDBC6A18FD6C}" name="4th_years"/>
    <tableColumn id="12" xr3:uid="{CCDB58F0-71EF-49FA-94BB-24990824DA2D}" name="4th_plus_years"/>
    <tableColumn id="13" xr3:uid="{10FE3FF2-F67B-4A80-86D4-EAB1C038FC95}" name="unknown"/>
    <tableColumn id="14" xr3:uid="{97A4B92D-351F-4D5C-B840-3EECE8C16931}" name="workload_per_member_per_week"/>
    <tableColumn id="15" xr3:uid="{74900594-E098-42E7-9F4A-3703F47ADD1B}" name="duration_of_committee_in_week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D698BD-D5FA-44AC-8E01-8D765FB19844}" name="Data2021" displayName="Data2021" ref="A1:AL140" totalsRowShown="0">
  <autoFilter ref="A1:AL140" xr:uid="{0270DA92-2CD6-45CB-8FD4-C1E111346569}"/>
  <tableColumns count="38">
    <tableColumn id="1" xr3:uid="{38A22A75-0E9A-4BD3-BD77-5E68C1F7984A}" name="organisation_name">
      <calculatedColumnFormula>General2021[[#This Row],[organisation_name]]</calculatedColumnFormula>
    </tableColumn>
    <tableColumn id="6" xr3:uid="{1A3CEE13-31D2-4EB8-9387-B9A3D35E183E}" name="Sector ">
      <calculatedColumnFormula>IF(General2021[[#This Row],[sector]]= "",VLOOKUP(Data2021[[#This Row],[organisation_name]],'Response Rate sheet'!A:D,3,FALSE),General2021[[#This Row],[sector]])</calculatedColumnFormula>
    </tableColumn>
    <tableColumn id="8" xr3:uid="{77B891C4-3998-459A-A861-99777269DBAA}" name="type ">
      <calculatedColumnFormula>General2021[[#This Row],[organisation_type]]</calculatedColumnFormula>
    </tableColumn>
    <tableColumn id="2" xr3:uid="{195C4F27-D607-4905-B11D-2EB70E8A4211}" name="Number of members">
      <calculatedColumnFormula>IF(ISBLANK(General2021[[#This Row],[number_of_members]]),"N/A",VLOOKUP(A2,General2021[[organisation_name]:[number_of_international_committee_board_members_not_eea]],6,FALSE))</calculatedColumnFormula>
    </tableColumn>
    <tableColumn id="3" xr3:uid="{458FEE7F-21E4-4901-9201-44259D664C31}" name="Number of active members">
      <calculatedColumnFormula>IF(ISBLANK(General2021[[#This Row],[number_of_committee_board_members]]),"N/A",VLOOKUP(A2,General2021!B:M,10,FALSE))</calculatedColumnFormula>
    </tableColumn>
    <tableColumn id="4" xr3:uid="{1227C7DE-E4A9-4D85-88FF-8CFBE33A6153}" name="Number of  inactive members">
      <calculatedColumnFormula>IFERROR(Data2021[[#This Row],[Number of members]]-Data2021[[#This Row],[Number of active members]], "N/A")</calculatedColumnFormula>
    </tableColumn>
    <tableColumn id="11" xr3:uid="{4AA7C767-F82E-40E2-8515-6CEE44976E3B}" name="Percentage active members">
      <calculatedColumnFormula>IFERROR(Data2021[[#This Row],[Number of active members]]/Data2021[[#This Row],[Number of members]], "N/A")</calculatedColumnFormula>
    </tableColumn>
    <tableColumn id="12" xr3:uid="{8FF8413D-73C9-4728-A97F-72C815075270}" name="Percentage inactive members">
      <calculatedColumnFormula>IFERROR(1-Data2021[[#This Row],[Percentage active members]],"N/A")</calculatedColumnFormula>
    </tableColumn>
    <tableColumn id="5" xr3:uid="{5BA7908F-1EC4-43FA-9A43-530E7CD2C40C}" name="Interval number of members" dataDxfId="21">
      <calculatedColumnFormula>IF(Data2021[[#This Row],[Number of members]]=0,"N/A",IF(Data2021[[#This Row],[Number of members]]&lt;50," A. 1 - 50 ",IF(Data2021[[#This Row],[Number of members]]&lt;100, "B. 50 - 100", IF(Data2021[[#This Row],[Number of members]]&lt;400, "C. 100 - 400", IF(Data2021[[#This Row],[Number of members]]&lt;1000,"D. 400 - 1000", "E. 1000 +")))))</calculatedColumnFormula>
    </tableColumn>
    <tableColumn id="9" xr3:uid="{7F331A3B-4EA1-49F7-8868-64E1803FB0B3}" name="Non-EEA Total">
      <calculatedColumnFormula>IF(ISBLANK(General2021[[#This Row],[number_of_international_members_not_eea]]),"N/A",VLOOKUP(A2,General2021[[organisation_name]:[number_of_international_committee_board_members_not_eea]],9,FALSE))</calculatedColumnFormula>
    </tableColumn>
    <tableColumn id="10" xr3:uid="{00981812-16EF-46C9-9D1F-8348E434896D}" name="EEA total">
      <calculatedColumnFormula>IF(ISBLANK(General2021[[#This Row],[number_of_international_members_eea]]),"N/A",VLOOKUP(A2,General2021[[organisation_name]:[number_of_international_committee_board_members_not_eea]],8,FALSE))</calculatedColumnFormula>
    </tableColumn>
    <tableColumn id="13" xr3:uid="{7DAF7BE5-6A58-47F4-AA6A-C37FF35057F1}" name="Dutch total">
      <calculatedColumnFormula>IFERROR(IF(Data2021[[#This Row],[Number of members]]-Data2021[[#This Row],[Non-EEA Total]]-Data2021[[#This Row],[EEA total]]&lt;1,"N/A", Data2021[[#This Row],[Number of members]]-Data2021[[#This Row],[Non-EEA Total]]-Data2021[[#This Row],[EEA total]]),"N/A")</calculatedColumnFormula>
    </tableColumn>
    <tableColumn id="14" xr3:uid="{85B7E712-8A02-4F9E-98C0-D82E9502C8B3}" name="Non-EEA Active ">
      <calculatedColumnFormula>VLOOKUP(A2,General2021[[organisation_name]:[number_of_international_committee_board_members_not_eea]],12,FALSE)</calculatedColumnFormula>
    </tableColumn>
    <tableColumn id="15" xr3:uid="{9CA19490-3CC7-46FB-A3D5-7789200ABDE9}" name="EEA Active">
      <calculatedColumnFormula>VLOOKUP(A2,General2021[[organisation_name]:[number_of_international_committee_board_members_not_eea]],11,FALSE)</calculatedColumnFormula>
    </tableColumn>
    <tableColumn id="16" xr3:uid="{951DE725-10D3-4530-9CC6-3F1BAA92E7CF}" name="Dutch Active">
      <calculatedColumnFormula>IFERROR(IF(Data2021[[#This Row],[Number of active members]]-Data2021[[#This Row],[Non-EEA Active ]]-Data2021[[#This Row],[EEA Active]]&lt;1,"N/A", Data2021[[#This Row],[Number of active members]]-Data2021[[#This Row],[Non-EEA Active ]]-Data2021[[#This Row],[EEA Active]]),"N/A")</calculatedColumnFormula>
    </tableColumn>
    <tableColumn id="17" xr3:uid="{28CF1FD2-8A73-4FBB-ACAA-514EEF27F507}" name="Ratio Active Non-EEA">
      <calculatedColumnFormula>IFERROR(Data2021[[#This Row],[Non-EEA Active ]]/Data2021[[#This Row],[Number of active members]],"N/A")</calculatedColumnFormula>
    </tableColumn>
    <tableColumn id="18" xr3:uid="{4C247D39-F580-47EC-B70C-45105A7FF64E}" name="Ratio Active EEA">
      <calculatedColumnFormula>IFERROR(Data2021[[#This Row],[EEA Active]]/Data2021[[#This Row],[EEA total]], "N/A")</calculatedColumnFormula>
    </tableColumn>
    <tableColumn id="7" xr3:uid="{CC04BE9B-36A1-4035-BDD4-51912BE055DF}" name="Ratio Active Dutch">
      <calculatedColumnFormula>IFERROR(Data2021[[#This Row],[Dutch Active]]/Data2021[[#This Row],[Dutch total]],"N/A")</calculatedColumnFormula>
    </tableColumn>
    <tableColumn id="20" xr3:uid="{E4F76DFE-1CBC-4BC7-8A82-6BC0129A22F3}" name="Test total number of members">
      <calculatedColumnFormula>IFERROR(IF(Data2021[[#This Row],[Number of members]]=Data2021[[#This Row],[Non-EEA Total]]+Data2021[[#This Row],[EEA total]]+Data2021[[#This Row],[Dutch total]],"T","F"),"F")</calculatedColumnFormula>
    </tableColumn>
    <tableColumn id="21" xr3:uid="{C86998E7-EB5F-40A3-A761-BCF7052B71B0}" name="Test total number of active members">
      <calculatedColumnFormula>IFERROR(IF(Data2021[[#This Row],[Number of active members]]=Data2021[[#This Row],[Non-EEA Active ]]+Data2021[[#This Row],[EEA Active]]+Data2021[[#This Row],[Dutch Active]],"T","F"),"F")</calculatedColumnFormula>
    </tableColumn>
    <tableColumn id="22" xr3:uid="{EEAD0076-1C6E-44D4-A72C-A13A0BA2429C}" name="Test total number inactive members">
      <calculatedColumnFormula>IFERROR(IF(Data2021[[#This Row],[Number of members]]-Data2021[[#This Row],[Non-EEA Active ]]-Data2021[[#This Row],[EEA Active]]-Data2021[[#This Row],[Dutch Active]]=Data2021[[#This Row],[Number of  inactive members]],"T","F"),"F")</calculatedColumnFormula>
    </tableColumn>
    <tableColumn id="23" xr3:uid="{249C196B-EED6-47D5-AA94-D9A66D770B21}" name="Test max EEA active">
      <calculatedColumnFormula>IF(Data2021[[#This Row],[EEA Active]]&lt;=Data2021[[#This Row],[EEA total]],"T","F")</calculatedColumnFormula>
    </tableColumn>
    <tableColumn id="24" xr3:uid="{17C96E54-E993-4F79-BA76-EB01611A4305}" name="Test max Dutch active">
      <calculatedColumnFormula>IF(Data2021[[#This Row],[Dutch Active]]&lt;=Data2021[[#This Row],[Dutch total]],"T","F")</calculatedColumnFormula>
    </tableColumn>
    <tableColumn id="25" xr3:uid="{521C3F03-2B06-4C76-941E-19E5E256B3CB}" name="Test max non-EEA active">
      <calculatedColumnFormula>IF(Data2021[[#This Row],[Non-EEA Active ]]&lt;=Data2021[[#This Row],[Non-EEA Total]],"T","F")</calculatedColumnFormula>
    </tableColumn>
    <tableColumn id="26" xr3:uid="{31E05172-CCA8-44F9-BB94-527B4FE16FDF}" name="Fullfill all requirements?"/>
    <tableColumn id="19" xr3:uid="{BB0784CC-A6BC-4CC0-915A-8A11F870F352}" name="Number of first year comittee members">
      <calculatedColumnFormula>IFERROR(VLOOKUP(Data2021[[#This Row],[organisation_name]],'Division Study Year Committees'!$A$1:$L$108,2,FALSE),"N/A")</calculatedColumnFormula>
    </tableColumn>
    <tableColumn id="27" xr3:uid="{B162B7F6-6B13-4A4A-BF3A-703F9AC35127}" name="Number of second year comittee members">
      <calculatedColumnFormula>IFERROR(VLOOKUP(Data2021[[#This Row],[organisation_name]],'Division Study Year Committees'!$A$1:$L$108,3,FALSE),"N/A")</calculatedColumnFormula>
    </tableColumn>
    <tableColumn id="28" xr3:uid="{40A1D809-ABF8-41D5-BEB3-01A4AFAEF05D}" name="Number of third year comittee members">
      <calculatedColumnFormula>IFERROR(VLOOKUP(Data2021[[#This Row],[organisation_name]],'Division Study Year Committees'!$A$1:$L$108,4,FALSE),"N/A")</calculatedColumnFormula>
    </tableColumn>
    <tableColumn id="29" xr3:uid="{B430C6B0-1333-4F69-BD0B-D611CA48F725}" name="Number of fourth year comittee members">
      <calculatedColumnFormula>IFERROR(VLOOKUP(Data2021[[#This Row],[organisation_name]],'Division Study Year Committees'!$A$1:$L$108,5,FALSE), "N/A")</calculatedColumnFormula>
    </tableColumn>
    <tableColumn id="30" xr3:uid="{A8D225D7-CC01-4C2D-AD10-EC2428BE8016}" name="Number of 4+ year comittee members">
      <calculatedColumnFormula>IFERROR(VLOOKUP(Data2021[[#This Row],[organisation_name]],'Division Study Year Committees'!$A$1:$L$108,6,FALSE), "N/A")</calculatedColumnFormula>
    </tableColumn>
    <tableColumn id="31" xr3:uid="{4EC27883-8B2C-424B-A40A-C4875BFF8851}" name="Total committee members">
      <calculatedColumnFormula>SUM(Data2021[[#This Row],[Number of first year comittee members]:[Number of 4+ year comittee members]])</calculatedColumnFormula>
    </tableColumn>
    <tableColumn id="33" xr3:uid="{6D3D135A-163C-4FED-A092-338AFD98FB9C}" name="Number of Comittees">
      <calculatedColumnFormula>COUNTIF('Comittee2021'!D:D,Data2021[[#This Row],[organisation_name]])</calculatedColumnFormula>
    </tableColumn>
    <tableColumn id="36" xr3:uid="{957C4ABB-EE34-4964-9DB3-20C48762F22A}" name="Number of covid strong decrease">
      <calculatedColumnFormula>COUNTIFS('Comittee2021'!$D:$D,Data2021[[#This Row],[organisation_name]],'Comittee2021'!$O:$O,"strong decrease")</calculatedColumnFormula>
    </tableColumn>
    <tableColumn id="34" xr3:uid="{985035C5-5F9F-4BEF-B9EF-79EB5A8EFF76}" name="Number of covid slight decrease">
      <calculatedColumnFormula>COUNTIFS('Comittee2021'!$D:$D,Data2021[[#This Row],[organisation_name]],'Comittee2021'!$O:$O,"slight decrease")</calculatedColumnFormula>
    </tableColumn>
    <tableColumn id="35" xr3:uid="{BD09CB5E-AC6B-4810-95E0-62CA1AF3AFEA}" name="Number of covid no influence">
      <calculatedColumnFormula>COUNTIFS('Comittee2021'!$D:$D,Data2021[[#This Row],[organisation_name]],'Comittee2021'!$O:$O,"no influence")</calculatedColumnFormula>
    </tableColumn>
    <tableColumn id="37" xr3:uid="{CA879C8F-67CF-46B2-84BB-FA459C814F31}" name="Number ofcovid slicht increase">
      <calculatedColumnFormula>COUNTIFS('Comittee2021'!$D:$D,Data2021[[#This Row],[organisation_name]],'Comittee2021'!$O:$O,"slight increase")</calculatedColumnFormula>
    </tableColumn>
    <tableColumn id="38" xr3:uid="{8201F0E8-16C5-4604-89F9-B74F087BBB89}" name="Number of covid strong increase">
      <calculatedColumnFormula>COUNTIFS('Comittee2021'!$D:$D,Data2021[[#This Row],[organisation_name]],'Comittee2021'!$O:$O,"strong increase")</calculatedColumnFormula>
    </tableColumn>
    <tableColumn id="32" xr3:uid="{C8F50F7C-4F68-4D23-8C92-3CD70C15217F}" name="Yea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AFF4FCF-6C25-4560-9D6A-5FD83D873E59}" name="General2021" displayName="General2021" ref="A1:M140" totalsRowShown="0" headerRowDxfId="20">
  <autoFilter ref="A1:M140" xr:uid="{0AFF4FCF-6C25-4560-9D6A-5FD83D873E59}"/>
  <tableColumns count="13">
    <tableColumn id="1" xr3:uid="{D776BB7D-CBEA-4263-946F-F77511C1F785}" name="organisation_id"/>
    <tableColumn id="2" xr3:uid="{CBB78BF3-A550-4ACF-AC34-D4E5B45FA2F4}" name="organisation_name"/>
    <tableColumn id="3" xr3:uid="{D6D8989C-15DE-4AEF-A6C3-93AD260E48D3}" name="organisation_type"/>
    <tableColumn id="4" xr3:uid="{0F11BE7F-B275-4E12-A58D-9885EBE7D9A0}" name="organisation_email"/>
    <tableColumn id="5" xr3:uid="{09012718-04F2-4F62-A8DE-6985C28BC92B}" name="organisation_status"/>
    <tableColumn id="6" xr3:uid="{0D41686D-3A15-43D7-9830-EC99CAC7E224}" name="sector"/>
    <tableColumn id="7" xr3:uid="{1B591BDE-3AFA-4D2C-BF8A-39CA5E232B58}" name="number_of_members"/>
    <tableColumn id="8" xr3:uid="{106E93A0-DFE6-45D8-8636-421D69CDDE62}" name="number_of_inactive_members_other_association"/>
    <tableColumn id="9" xr3:uid="{A5E1CE35-FCE9-4F8D-A56F-B73CDE4B202C}" name="number_of_international_members_eea"/>
    <tableColumn id="10" xr3:uid="{86FB9739-8E80-46CA-92CC-A0E37DB6BDA0}" name="number_of_international_members_not_eea"/>
    <tableColumn id="11" xr3:uid="{8539D7AF-4CF2-4F47-81CA-B43E6DECA2DB}" name="number_of_committee_board_members"/>
    <tableColumn id="12" xr3:uid="{1CA7FD9F-96BB-4553-A7C4-6BF32ED61F54}" name="number_of_international_committee_board_members_eea"/>
    <tableColumn id="13" xr3:uid="{A89D34ED-47EC-4B06-BD40-08D1F36D4ADA}" name="number_of_international_committee_board_members_not_eea"/>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0A38AF2-4F7D-4674-A002-8A48C2CC7106}" name="Data2023" displayName="Data2023" ref="A1:AG140" totalsRowShown="0">
  <autoFilter ref="A1:AG140" xr:uid="{0270DA92-2CD6-45CB-8FD4-C1E111346569}"/>
  <tableColumns count="33">
    <tableColumn id="1" xr3:uid="{B3FAFF88-9C7A-4209-93A7-7BC683D3FFCD}" name="organisation_name">
      <calculatedColumnFormula>General2022[[#This Row],[organisation_name]]</calculatedColumnFormula>
    </tableColumn>
    <tableColumn id="6" xr3:uid="{2EB2C97A-D726-4EB1-B9ED-97F03E97741F}" name="Sector " dataDxfId="19">
      <calculatedColumnFormula>IF(General2022[[#This Row],[sector]]= "",VLOOKUP(Data2023[[#This Row],[organisation_name]],'Response Rate sheet'!A:D,3,FALSE),General2022[[#This Row],[sector]])</calculatedColumnFormula>
    </tableColumn>
    <tableColumn id="8" xr3:uid="{00DC97EA-B6F0-4719-8BB1-6D9BAE2ED08F}" name="type " dataDxfId="18">
      <calculatedColumnFormula>General2022[[#This Row],[organisation_type]]</calculatedColumnFormula>
    </tableColumn>
    <tableColumn id="2" xr3:uid="{0860EC7F-B41D-416F-ABD0-F5BCC1910E92}" name="Number of members" dataDxfId="17">
      <calculatedColumnFormula>IF(ISBLANK(General2022[[#This Row],[number_of_members]]),"N/A",VLOOKUP(A2,General2022[[organisation_name]:[number_of_international_committee_board_members_not_eea]],6,FALSE))</calculatedColumnFormula>
    </tableColumn>
    <tableColumn id="3" xr3:uid="{D3A14CE8-621B-4262-9229-8F8F106439DA}" name="Number of active members" dataDxfId="16">
      <calculatedColumnFormula>IF(ISBLANK(General2022[[#This Row],[number_of_committee_board_members]]),"N/A",VLOOKUP(A2,General2022!B:M,10,FALSE))</calculatedColumnFormula>
    </tableColumn>
    <tableColumn id="4" xr3:uid="{AD949FAD-175B-4854-A185-D18F08F97B12}" name="Number of  inactive members">
      <calculatedColumnFormula>IFERROR(Data2023[[#This Row],[Number of members]]-Data2023[[#This Row],[Number of active members]], "N/A")</calculatedColumnFormula>
    </tableColumn>
    <tableColumn id="11" xr3:uid="{5BB0A809-2D58-4ED6-A1B5-F593FAAFC514}" name="Percentage active members">
      <calculatedColumnFormula>IFERROR(Data2023[[#This Row],[Number of active members]]/Data2023[[#This Row],[Number of members]], "N/A")</calculatedColumnFormula>
    </tableColumn>
    <tableColumn id="12" xr3:uid="{CA2A407B-E792-4D30-B850-B2AD595DD82A}" name="Percentage inactive members">
      <calculatedColumnFormula>IFERROR(1-Data2023[[#This Row],[Percentage active members]],"N/A")</calculatedColumnFormula>
    </tableColumn>
    <tableColumn id="5" xr3:uid="{9E6BD191-E251-4279-ADA0-76FF82BCAB3A}" name="Interval number of members" dataDxfId="15">
      <calculatedColumnFormula>IF(Data2023[[#This Row],[Number of members]]=0,"N/A",IF(Data2023[[#This Row],[Number of members]]&lt;50," A. 1 - 50 ",IF(Data2023[[#This Row],[Number of members]]&lt;100, "B. 50 - 100", IF(Data2023[[#This Row],[Number of members]]&lt;400, "C. 100 - 400", IF(Data2023[[#This Row],[Number of members]]&lt;1000,"D. 400 - 1000", "E. 1000 +")))))</calculatedColumnFormula>
    </tableColumn>
    <tableColumn id="9" xr3:uid="{FF064938-FE83-4F85-A88B-16C0F55C3516}" name="Non-EEA Total">
      <calculatedColumnFormula>IF(ISBLANK(General2022[[#This Row],[number_of_international_members_not_eea]]),"N/A",VLOOKUP(A2,General2022[[organisation_name]:[number_of_international_committee_board_members_not_eea]],9,FALSE))</calculatedColumnFormula>
    </tableColumn>
    <tableColumn id="10" xr3:uid="{1903C642-EF82-4576-A35D-BE3A6990A32C}" name="EEA total">
      <calculatedColumnFormula>IF(ISBLANK(General2022[[#This Row],[number_of_international_members_eea]]),"N/A",VLOOKUP(A2,General2022[[organisation_name]:[number_of_international_committee_board_members_not_eea]],8,FALSE))</calculatedColumnFormula>
    </tableColumn>
    <tableColumn id="13" xr3:uid="{E298AE26-0A50-423E-97F7-96372B66844B}" name="Dutch total">
      <calculatedColumnFormula>IFERROR(IF(Data2023[[#This Row],[Number of members]]-Data2023[[#This Row],[Non-EEA Total]]-Data2023[[#This Row],[EEA total]]&lt;1,"N/A", Data2023[[#This Row],[Number of members]]-Data2023[[#This Row],[Non-EEA Total]]-Data2023[[#This Row],[EEA total]]),"N/A")</calculatedColumnFormula>
    </tableColumn>
    <tableColumn id="14" xr3:uid="{B5DDB4DE-791E-4D70-9E58-A4BBFD82E945}" name="Non-EEA Active ">
      <calculatedColumnFormula>VLOOKUP(A2,General2022[[organisation_name]:[number_of_international_committee_board_members_not_eea]],12,FALSE)</calculatedColumnFormula>
    </tableColumn>
    <tableColumn id="15" xr3:uid="{39915CFD-0BFA-4BA1-984A-7049309505B3}" name="EEA Active">
      <calculatedColumnFormula>VLOOKUP(A2,General2022[[organisation_name]:[number_of_international_committee_board_members_not_eea]],11,FALSE)</calculatedColumnFormula>
    </tableColumn>
    <tableColumn id="16" xr3:uid="{E67B0ABE-6A7D-482C-A937-4E5CAEE582D8}" name="Dutch Active">
      <calculatedColumnFormula>IFERROR(IF(Data2023[[#This Row],[Number of active members]]-Data2023[[#This Row],[Non-EEA Active ]]-Data2023[[#This Row],[EEA Active]]&lt;1,"N/A", Data2023[[#This Row],[Number of active members]]-Data2023[[#This Row],[Non-EEA Active ]]-Data2023[[#This Row],[EEA Active]]),"N/A")</calculatedColumnFormula>
    </tableColumn>
    <tableColumn id="17" xr3:uid="{D8176E45-1212-4093-BCF0-8CF50934B96A}" name="Ratio Active Non-EEA">
      <calculatedColumnFormula>IFERROR(Data2023[[#This Row],[Non-EEA Active ]]/Data2023[[#This Row],[Number of active members]],"N/A")</calculatedColumnFormula>
    </tableColumn>
    <tableColumn id="18" xr3:uid="{3E9B685D-85E3-4F7C-B5CA-4033E86386D7}" name="Ratio Active EEA">
      <calculatedColumnFormula>IFERROR(Data2023[[#This Row],[EEA Active]]/Data2023[[#This Row],[EEA total]], "N/A")</calculatedColumnFormula>
    </tableColumn>
    <tableColumn id="7" xr3:uid="{08FDC2A7-1524-4A11-B487-799BC029F26D}" name="Ratio Active Dutch">
      <calculatedColumnFormula>IFERROR(Data2023[[#This Row],[Dutch Active]]/Data2023[[#This Row],[Dutch total]],"N/A")</calculatedColumnFormula>
    </tableColumn>
    <tableColumn id="20" xr3:uid="{5E31C3C3-9A73-4C91-8EBE-E063A3D5B36C}" name="Test total number of members">
      <calculatedColumnFormula>IFERROR(IF(Data2023[[#This Row],[Number of members]]=Data2023[[#This Row],[Non-EEA Total]]+Data2023[[#This Row],[EEA total]]+Data2023[[#This Row],[Dutch total]],"T","F"),"F")</calculatedColumnFormula>
    </tableColumn>
    <tableColumn id="21" xr3:uid="{A800C6F3-E1F0-4FC3-89D4-62D6E91161D8}" name="Test total number of active members">
      <calculatedColumnFormula>IFERROR(IF(Data2023[[#This Row],[Number of active members]]=Data2023[[#This Row],[Non-EEA Active ]]+Data2023[[#This Row],[EEA Active]]+Data2023[[#This Row],[Dutch Active]],"T","F"),"F")</calculatedColumnFormula>
    </tableColumn>
    <tableColumn id="22" xr3:uid="{3B7AE498-F1C1-47F2-9462-8088BB92F438}" name="Test total number inactive members">
      <calculatedColumnFormula>IFERROR(IF(Data2023[[#This Row],[Number of members]]-Data2023[[#This Row],[Non-EEA Active ]]-Data2023[[#This Row],[EEA Active]]-Data2023[[#This Row],[Dutch Active]]=Data2023[[#This Row],[Number of  inactive members]],"T","F"),"F")</calculatedColumnFormula>
    </tableColumn>
    <tableColumn id="23" xr3:uid="{D508581A-F035-4BC1-BF9C-F5637E5846ED}" name="Test max EEA active">
      <calculatedColumnFormula>IF(Data2023[[#This Row],[EEA Active]]&lt;=Data2023[[#This Row],[EEA total]],"T","F")</calculatedColumnFormula>
    </tableColumn>
    <tableColumn id="24" xr3:uid="{9F5A35BE-9733-4840-98B9-2763D8446A36}" name="Test max Dutch active">
      <calculatedColumnFormula>IF(Data2023[[#This Row],[Dutch Active]]&lt;=Data2023[[#This Row],[Dutch total]],"T","F")</calculatedColumnFormula>
    </tableColumn>
    <tableColumn id="25" xr3:uid="{0D7F7882-5272-440B-AA07-0C2643E5B417}" name="Test max non-EEA active">
      <calculatedColumnFormula>IF(Data2023[[#This Row],[Non-EEA Active ]]&lt;=Data2023[[#This Row],[Non-EEA Total]],"T","F")</calculatedColumnFormula>
    </tableColumn>
    <tableColumn id="26" xr3:uid="{DA1171A5-CACD-4296-A9B4-B2B38CC57377}" name="Fullfill all requirements?"/>
    <tableColumn id="19" xr3:uid="{885F31B9-C0FA-4891-8718-F5EB833316D3}" name="Number of first year comittee members">
      <calculatedColumnFormula>IFERROR(VLOOKUP(Data2023[[#This Row],[organisation_name]],'Division Study Year Committees'!$A$1:$L$108,2,FALSE),"N/A")</calculatedColumnFormula>
    </tableColumn>
    <tableColumn id="27" xr3:uid="{5B9E25A0-10E9-4087-A535-282429FA9266}" name="Number of second year comittee members">
      <calculatedColumnFormula>IFERROR(VLOOKUP(Data2023[[#This Row],[organisation_name]],'Division Study Year Committees'!$A$1:$L$108,3,FALSE),"N/A")</calculatedColumnFormula>
    </tableColumn>
    <tableColumn id="28" xr3:uid="{DBF6FA37-8E72-4F3D-A89C-9347067D37FC}" name="Number of third year comittee members">
      <calculatedColumnFormula>IFERROR(VLOOKUP(Data2023[[#This Row],[organisation_name]],'Division Study Year Committees'!$A$1:$L$108,4,FALSE),"N/A")</calculatedColumnFormula>
    </tableColumn>
    <tableColumn id="29" xr3:uid="{872DE41F-F8E3-4857-9C51-DA6F6A67EB09}" name="Number of fourth year comittee members">
      <calculatedColumnFormula>IFERROR(VLOOKUP(Data2023[[#This Row],[organisation_name]],'Division Study Year Committees'!$A$1:$L$108,5,FALSE), "N/A")</calculatedColumnFormula>
    </tableColumn>
    <tableColumn id="30" xr3:uid="{B9AF013D-0975-4221-8E77-238FF96E03DA}" name="Number of 4+ year comittee members">
      <calculatedColumnFormula>IFERROR(VLOOKUP(Data2023[[#This Row],[organisation_name]],'Division Study Year Committees'!$A$1:$L$108,6,FALSE), "N/A")</calculatedColumnFormula>
    </tableColumn>
    <tableColumn id="31" xr3:uid="{6946EFA0-7716-497A-9DF8-AE46F76D9617}" name="Total committee members">
      <calculatedColumnFormula>SUM(Data2023[[#This Row],[Number of first year comittee members]:[Number of 4+ year comittee members]])</calculatedColumnFormula>
    </tableColumn>
    <tableColumn id="33" xr3:uid="{995BD37B-6110-4D13-A8EF-D7C7CEE5CD76}" name="Number of Comittees">
      <calculatedColumnFormula>COUNTIF('Committee2022'!D:D,Data2023[[#This Row],[organisation_name]])</calculatedColumnFormula>
    </tableColumn>
    <tableColumn id="32" xr3:uid="{ABC08026-D9F2-411D-8328-09A06222C5F6}" name="Year"/>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8484707-A730-45EC-97F7-6D872B48C533}" name="Comittee2021" displayName="Comittee2021" ref="A1:O915" totalsRowShown="0">
  <autoFilter ref="A1:O915" xr:uid="{E1E7B2BE-3AAE-442A-A5ED-967C87FBBFF2}"/>
  <tableColumns count="15">
    <tableColumn id="1" xr3:uid="{DBA3864C-CF9E-47F5-8237-23AB3344D179}" name="submission_id"/>
    <tableColumn id="2" xr3:uid="{BC678EBF-C7F2-478C-9691-48BB526A1CD5}" name="submission_status"/>
    <tableColumn id="3" xr3:uid="{74CB8527-58A6-47EF-A50A-6AE4B640C2EF}" name="organisation_id"/>
    <tableColumn id="4" xr3:uid="{F5CF9CE9-DA64-48EF-8F1A-3747D73D4824}" name="organisation_name"/>
    <tableColumn id="5" xr3:uid="{92CA0B49-B7D1-4C91-96BC-F67FCFB8D267}" name="committee_id"/>
    <tableColumn id="6" xr3:uid="{10481A57-02CC-4CB1-9C90-38BFE2841081}" name="committee_name"/>
    <tableColumn id="7" xr3:uid="{362704CC-B121-44FC-9E31-29F785036FD1}" name="1st_years"/>
    <tableColumn id="8" xr3:uid="{4B1B599E-0586-48BC-8ABF-C52370E19E20}" name="2nd_years"/>
    <tableColumn id="9" xr3:uid="{6FC097D7-FDAF-4935-953B-679BC3D09353}" name="3rd_years"/>
    <tableColumn id="10" xr3:uid="{0BA8DB86-FF45-4279-929B-208BA10F17E2}" name="4th_years"/>
    <tableColumn id="11" xr3:uid="{83AF6555-D1D0-4458-A053-57925C428487}" name="4th_plus_years"/>
    <tableColumn id="12" xr3:uid="{D4CA4776-3335-4D81-A5FE-E34369FBEF8D}" name="unknown"/>
    <tableColumn id="13" xr3:uid="{0CFEC40F-A51B-4448-94F6-E0CA6998390B}" name="workload_per_member_per_week"/>
    <tableColumn id="14" xr3:uid="{4D358A27-8DAF-4BC3-9D19-A9606ACB0F91}" name="duration_of_committee_in_weeks"/>
    <tableColumn id="15" xr3:uid="{2448A529-5D32-46A6-BA91-159DFA598682}" name="covid_impact"/>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B15D860-690A-41FD-939B-F4B7C89BDD9E}" name="Data2022" displayName="Data2022" ref="A1:AG140" totalsRowShown="0">
  <autoFilter ref="A1:AG140" xr:uid="{0270DA92-2CD6-45CB-8FD4-C1E111346569}"/>
  <tableColumns count="33">
    <tableColumn id="1" xr3:uid="{83D2F09A-F3F3-4554-AA8B-CD835BF907B4}" name="organisation_name">
      <calculatedColumnFormula>General2021[[#This Row],[organisation_name]]</calculatedColumnFormula>
    </tableColumn>
    <tableColumn id="6" xr3:uid="{CE0B6773-873A-497C-AEE8-E312C4D00805}" name="Sector " dataDxfId="14">
      <calculatedColumnFormula>IF(General2022[[#This Row],[sector]]= "",VLOOKUP(Data2022[[#This Row],[organisation_name]],'Response Rate sheet'!A:D,3,FALSE),General2022[[#This Row],[sector]])</calculatedColumnFormula>
    </tableColumn>
    <tableColumn id="8" xr3:uid="{927A2B13-6299-463B-B543-6C67ED73ACE4}" name="type " dataDxfId="13">
      <calculatedColumnFormula>General2022[[#This Row],[organisation_type]]</calculatedColumnFormula>
    </tableColumn>
    <tableColumn id="2" xr3:uid="{DA5914E6-760F-4FA1-B081-5CD02BC3FF84}" name="Number of members" dataDxfId="12">
      <calculatedColumnFormula>IF(ISBLANK(General2022[[#This Row],[number_of_members]]),"N/A",VLOOKUP(A2,General2022[[organisation_name]:[number_of_international_committee_board_members_not_eea]],6,FALSE))</calculatedColumnFormula>
    </tableColumn>
    <tableColumn id="3" xr3:uid="{2DF5CC1F-F008-42CE-9686-8A38CCA17750}" name="Number of active members" dataDxfId="11">
      <calculatedColumnFormula>IF(ISBLANK(General2022[[#This Row],[number_of_committee_board_members]]),"N/A",VLOOKUP(A2,General2022!B:M,10,FALSE))</calculatedColumnFormula>
    </tableColumn>
    <tableColumn id="4" xr3:uid="{78BEE32C-BE07-411F-A9C5-4D74F1B81FEA}" name="Number of  inactive members">
      <calculatedColumnFormula>IFERROR(Data2022[[#This Row],[Number of members]]-Data2022[[#This Row],[Number of active members]], "N/A")</calculatedColumnFormula>
    </tableColumn>
    <tableColumn id="11" xr3:uid="{08C6F026-DCAD-4320-86F7-E68AA40B2A50}" name="Percentage active members">
      <calculatedColumnFormula>IFERROR(Data2022[[#This Row],[Number of active members]]/Data2022[[#This Row],[Number of members]], "N/A")</calculatedColumnFormula>
    </tableColumn>
    <tableColumn id="12" xr3:uid="{BDBF7D90-7173-4B96-8DFA-F82EDE15452E}" name="Percentage inactive members">
      <calculatedColumnFormula>IFERROR(1-Data2022[[#This Row],[Percentage active members]],"N/A")</calculatedColumnFormula>
    </tableColumn>
    <tableColumn id="5" xr3:uid="{716EDFAA-2A48-49EE-8401-EA11FBB645D4}" name="Interval number of members" dataDxfId="10">
      <calculatedColumnFormula>IF(Data2022[[#This Row],[Number of members]]=0,"N/A",IF(Data2022[[#This Row],[Number of members]]&lt;50," A. 1 - 50 ",IF(Data2022[[#This Row],[Number of members]]&lt;100, "B. 50 - 100", IF(Data2022[[#This Row],[Number of members]]&lt;400, "C. 100 - 400", IF(Data2022[[#This Row],[Number of members]]&lt;1000,"D. 400 - 1000", "E. 1000 +")))))</calculatedColumnFormula>
    </tableColumn>
    <tableColumn id="9" xr3:uid="{C1A0BF00-9E91-4337-9D44-C810833209A5}" name="Non-EEA Total">
      <calculatedColumnFormula>IF(ISBLANK(General2021[[#This Row],[number_of_international_members_not_eea]]),"N/A",VLOOKUP(A2,General2021[[organisation_name]:[number_of_international_committee_board_members_not_eea]],9,FALSE))</calculatedColumnFormula>
    </tableColumn>
    <tableColumn id="10" xr3:uid="{39A31CCF-6B4A-4AE4-AF56-643593BF5481}" name="EEA total">
      <calculatedColumnFormula>IF(ISBLANK(General2021[[#This Row],[number_of_international_members_eea]]),"N/A",VLOOKUP(A2,General2021[[organisation_name]:[number_of_international_committee_board_members_not_eea]],8,FALSE))</calculatedColumnFormula>
    </tableColumn>
    <tableColumn id="13" xr3:uid="{AC350A44-F694-4040-BB97-ACAA5A7794C5}" name="Dutch total">
      <calculatedColumnFormula>IFERROR(IF(Data2022[[#This Row],[Number of members]]-Data2022[[#This Row],[Non-EEA Total]]-Data2022[[#This Row],[EEA total]]&lt;1,"N/A", Data2022[[#This Row],[Number of members]]-Data2022[[#This Row],[Non-EEA Total]]-Data2022[[#This Row],[EEA total]]),"N/A")</calculatedColumnFormula>
    </tableColumn>
    <tableColumn id="14" xr3:uid="{CB1B223E-7ABA-4FE8-91F9-4E09855646E8}" name="Non-EEA Active ">
      <calculatedColumnFormula>VLOOKUP(A2,General2021[[organisation_name]:[number_of_international_committee_board_members_not_eea]],12,FALSE)</calculatedColumnFormula>
    </tableColumn>
    <tableColumn id="15" xr3:uid="{2C306E81-7E1D-4D64-9EB7-7F4C412AAC45}" name="EEA Active">
      <calculatedColumnFormula>VLOOKUP(A2,General2021[[organisation_name]:[number_of_international_committee_board_members_not_eea]],11,FALSE)</calculatedColumnFormula>
    </tableColumn>
    <tableColumn id="16" xr3:uid="{6E3ECC41-14AD-40E1-9C83-8AC1D21DF3E6}" name="Dutch Active">
      <calculatedColumnFormula>IFERROR(IF(Data2022[[#This Row],[Number of active members]]-Data2022[[#This Row],[Non-EEA Active ]]-Data2022[[#This Row],[EEA Active]]&lt;1,"N/A", Data2022[[#This Row],[Number of active members]]-Data2022[[#This Row],[Non-EEA Active ]]-Data2022[[#This Row],[EEA Active]]),"N/A")</calculatedColumnFormula>
    </tableColumn>
    <tableColumn id="17" xr3:uid="{A589A9A3-7516-4C13-BE3D-338A0C19DE3F}" name="Ratio Active Non-EEA">
      <calculatedColumnFormula>IFERROR(Data2022[[#This Row],[Non-EEA Active ]]/Data2022[[#This Row],[Number of active members]],"N/A")</calculatedColumnFormula>
    </tableColumn>
    <tableColumn id="18" xr3:uid="{295A9574-185C-4656-A279-F716D78C6AD8}" name="Ratio Active EEA">
      <calculatedColumnFormula>IFERROR(Data2022[[#This Row],[EEA Active]]/Data2022[[#This Row],[EEA total]], "N/A")</calculatedColumnFormula>
    </tableColumn>
    <tableColumn id="7" xr3:uid="{C6D4447F-D35E-461A-B1B4-B177099B15D4}" name="Ratio Active Dutch">
      <calculatedColumnFormula>IFERROR(Data2022[[#This Row],[Dutch Active]]/Data2022[[#This Row],[Dutch total]],"N/A")</calculatedColumnFormula>
    </tableColumn>
    <tableColumn id="20" xr3:uid="{3DFA05D2-BEBA-4390-8995-CB0ED137EB74}" name="Test total number of members">
      <calculatedColumnFormula>IFERROR(IF(Data2022[[#This Row],[Number of members]]=Data2022[[#This Row],[Non-EEA Total]]+Data2022[[#This Row],[EEA total]]+Data2022[[#This Row],[Dutch total]],"T","F"),"F")</calculatedColumnFormula>
    </tableColumn>
    <tableColumn id="21" xr3:uid="{91FD0553-A1EA-453F-A3BF-FC914FA804D4}" name="Test total number of active members">
      <calculatedColumnFormula>IFERROR(IF(Data2022[[#This Row],[Number of active members]]=Data2022[[#This Row],[Non-EEA Active ]]+Data2022[[#This Row],[EEA Active]]+Data2022[[#This Row],[Dutch Active]],"T","F"),"F")</calculatedColumnFormula>
    </tableColumn>
    <tableColumn id="22" xr3:uid="{1F112D0F-3299-4A5A-9B93-269414E2B75C}" name="Test total number inactive members">
      <calculatedColumnFormula>IFERROR(IF(Data2022[[#This Row],[Number of members]]-Data2022[[#This Row],[Non-EEA Active ]]-Data2022[[#This Row],[EEA Active]]-Data2022[[#This Row],[Dutch Active]]=Data2022[[#This Row],[Number of  inactive members]],"T","F"),"F")</calculatedColumnFormula>
    </tableColumn>
    <tableColumn id="23" xr3:uid="{0C05F817-B8CA-4927-BCB2-6241152308C7}" name="Test max EEA active">
      <calculatedColumnFormula>IF(Data2022[[#This Row],[EEA Active]]&lt;=Data2022[[#This Row],[EEA total]],"T","F")</calculatedColumnFormula>
    </tableColumn>
    <tableColumn id="24" xr3:uid="{4CD3D823-9D47-4F64-AFD0-043D5602DBF4}" name="Test max Dutch active">
      <calculatedColumnFormula>IF(Data2022[[#This Row],[Dutch Active]]&lt;=Data2022[[#This Row],[Dutch total]],"T","F")</calculatedColumnFormula>
    </tableColumn>
    <tableColumn id="25" xr3:uid="{0A1E10D6-3D03-41AA-B6A4-4DDB97745155}" name="Test max non-EEA active">
      <calculatedColumnFormula>IF(Data2022[[#This Row],[Non-EEA Active ]]&lt;=Data2022[[#This Row],[Non-EEA Total]],"T","F")</calculatedColumnFormula>
    </tableColumn>
    <tableColumn id="26" xr3:uid="{F1BED7D2-BADB-4DB9-A9B2-4FADB7B623BD}" name="Fullfill all requirements?"/>
    <tableColumn id="19" xr3:uid="{B54F365F-D27D-4050-8862-75F9BE1EB000}" name="Number of first year comittee members">
      <calculatedColumnFormula>IFERROR(VLOOKUP(Data2022[[#This Row],[organisation_name]],'Division Study Year Committees'!$A$1:$L$108,2,FALSE),"N/A")</calculatedColumnFormula>
    </tableColumn>
    <tableColumn id="27" xr3:uid="{E7F416AD-76ED-4659-A303-3A0574D790F2}" name="Number of second year comittee members">
      <calculatedColumnFormula>IFERROR(VLOOKUP(Data2022[[#This Row],[organisation_name]],'Division Study Year Committees'!$A$1:$L$108,3,FALSE),"N/A")</calculatedColumnFormula>
    </tableColumn>
    <tableColumn id="28" xr3:uid="{2D0CEECD-D691-4414-8D8F-5B0CDDC5792D}" name="Number of third year comittee members">
      <calculatedColumnFormula>IFERROR(VLOOKUP(Data2022[[#This Row],[organisation_name]],'Division Study Year Committees'!$A$1:$L$108,4,FALSE),"N/A")</calculatedColumnFormula>
    </tableColumn>
    <tableColumn id="29" xr3:uid="{B71E57A2-DA14-4A94-B85D-C008F82A8394}" name="Number of fourth year comittee members">
      <calculatedColumnFormula>IFERROR(VLOOKUP(Data2022[[#This Row],[organisation_name]],'Division Study Year Committees'!$A$1:$L$108,5,FALSE), "N/A")</calculatedColumnFormula>
    </tableColumn>
    <tableColumn id="30" xr3:uid="{7D3F1A09-AF25-4D12-B961-952D42ADD285}" name="Number of 4+ year comittee members">
      <calculatedColumnFormula>IFERROR(VLOOKUP(Data2022[[#This Row],[organisation_name]],'Division Study Year Committees'!$A$1:$L$108,6,FALSE), "N/A")</calculatedColumnFormula>
    </tableColumn>
    <tableColumn id="31" xr3:uid="{973D58E4-B6A6-491F-AB5C-0D36EF901926}" name="Total committee members">
      <calculatedColumnFormula>SUM(Data2022[[#This Row],[Number of first year comittee members]:[Number of 4+ year comittee members]])</calculatedColumnFormula>
    </tableColumn>
    <tableColumn id="33" xr3:uid="{DE8AB839-B2D1-40FC-9AEF-BFEEFE4DC579}" name="Number of Comittees">
      <calculatedColumnFormula>COUNTIF('Comittee2021'!D:D,Data2022[[#This Row],[organisation_name]])</calculatedColumnFormula>
    </tableColumn>
    <tableColumn id="32" xr3:uid="{A142EFD3-BDBF-440D-A1F6-6AB1F39AE5AE}" name="Yea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DB8D70-654A-4594-A73F-A9D065F0936B}" name="General2022" displayName="General2022" ref="A1:M143" totalsRowShown="0">
  <autoFilter ref="A1:M143" xr:uid="{EF954284-2F8B-4CAB-9125-B9D06D4C723D}"/>
  <tableColumns count="13">
    <tableColumn id="1" xr3:uid="{4E66CC01-ED32-46CC-A365-6CD015F07605}" name="organisation_id"/>
    <tableColumn id="2" xr3:uid="{7501D9E6-B8A0-44A3-9F6E-5FB2195ECCA8}" name="organisation_name"/>
    <tableColumn id="3" xr3:uid="{5822A099-E61D-496B-8EA5-0809F2D6B5AF}" name="organisation_type"/>
    <tableColumn id="4" xr3:uid="{26F735A1-E648-4D8C-87B3-AF5167C95A56}" name="organisation_email"/>
    <tableColumn id="5" xr3:uid="{4156AE99-19F2-4B0B-A40C-C6DC006F3ABC}" name="organisation_status"/>
    <tableColumn id="6" xr3:uid="{05A8DC1D-D5DA-4079-B532-36ABDEA34EBC}" name="sector"/>
    <tableColumn id="7" xr3:uid="{3B765BED-21BD-4B32-9C8B-D16AB1F207C0}" name="number_of_members"/>
    <tableColumn id="8" xr3:uid="{83161529-BEB3-4DCD-A326-8F309A0C486C}" name="number_of_inactive_members_other_association"/>
    <tableColumn id="9" xr3:uid="{C4F19386-0334-407A-8F5B-7B52E99BD59D}" name="number_of_international_members_eea"/>
    <tableColumn id="10" xr3:uid="{B911D23D-A160-407C-97AF-B6AEF9671B4A}" name="number_of_international_members_not_eea"/>
    <tableColumn id="11" xr3:uid="{2D377585-0A34-437B-88CF-477A08E974A5}" name="number_of_committee_board_members"/>
    <tableColumn id="12" xr3:uid="{1ECA767D-21E2-4144-AD89-47F1419089BF}" name="number_of_international_committee_board_members_eea"/>
    <tableColumn id="13" xr3:uid="{ADAF65B1-4778-4F76-96E8-F7665656911F}" name="number_of_international_committee_board_members_not_eea"/>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Custom 3">
      <a:dk1>
        <a:srgbClr val="3F3F3F"/>
      </a:dk1>
      <a:lt1>
        <a:srgbClr val="FFFFFF"/>
      </a:lt1>
      <a:dk2>
        <a:srgbClr val="3F3F3F"/>
      </a:dk2>
      <a:lt2>
        <a:srgbClr val="7F7F7F"/>
      </a:lt2>
      <a:accent1>
        <a:srgbClr val="0563C1"/>
      </a:accent1>
      <a:accent2>
        <a:srgbClr val="85C0FB"/>
      </a:accent2>
      <a:accent3>
        <a:srgbClr val="023160"/>
      </a:accent3>
      <a:accent4>
        <a:srgbClr val="C2DFFD"/>
      </a:accent4>
      <a:accent5>
        <a:srgbClr val="002060"/>
      </a:accent5>
      <a:accent6>
        <a:srgbClr val="00B0F0"/>
      </a:accent6>
      <a:hlink>
        <a:srgbClr val="0036A2"/>
      </a:hlink>
      <a:folHlink>
        <a:srgbClr val="837AF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ln w="9525" cmpd="sng">
          <a:noFill/>
        </a:ln>
      </a:spPr>
      <a:bodyPr vertOverflow="clip" horzOverflow="clip" wrap="square" lIns="0" tIns="0" rIns="0" bIns="0" rtlCol="0" anchor="t"/>
      <a:lstStyle>
        <a:defPPr algn="l">
          <a:defRPr sz="14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3">
    <a:dk1>
      <a:srgbClr val="3F3F3F"/>
    </a:dk1>
    <a:lt1>
      <a:srgbClr val="FFFFFF"/>
    </a:lt1>
    <a:dk2>
      <a:srgbClr val="3F3F3F"/>
    </a:dk2>
    <a:lt2>
      <a:srgbClr val="7F7F7F"/>
    </a:lt2>
    <a:accent1>
      <a:srgbClr val="0563C1"/>
    </a:accent1>
    <a:accent2>
      <a:srgbClr val="85C0FB"/>
    </a:accent2>
    <a:accent3>
      <a:srgbClr val="023160"/>
    </a:accent3>
    <a:accent4>
      <a:srgbClr val="C2DFFD"/>
    </a:accent4>
    <a:accent5>
      <a:srgbClr val="002060"/>
    </a:accent5>
    <a:accent6>
      <a:srgbClr val="00B0F0"/>
    </a:accent6>
    <a:hlink>
      <a:srgbClr val="0036A2"/>
    </a:hlink>
    <a:folHlink>
      <a:srgbClr val="837AF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microsoft.com/office/2007/relationships/slicer" Target="../slicers/slicer7.xml"/></Relationships>
</file>

<file path=xl/worksheets/_rels/sheet1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4.xml"/><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0.xml"/></Relationships>
</file>

<file path=xl/worksheets/_rels/sheet21.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9.xml"/><Relationship Id="rId1" Type="http://schemas.openxmlformats.org/officeDocument/2006/relationships/pivotTable" Target="../pivotTables/pivotTable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bin"/><Relationship Id="rId1" Type="http://schemas.openxmlformats.org/officeDocument/2006/relationships/pivotTable" Target="../pivotTables/pivotTable12.xml"/><Relationship Id="rId4" Type="http://schemas.microsoft.com/office/2007/relationships/slicer" Target="../slicers/slicer1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microsoft.com/office/2007/relationships/slicer" Target="../slicers/slicer6.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37192-8B97-43D9-B0E4-3CDD68DEE08C}">
  <sheetPr codeName="Sheet1">
    <tabColor rgb="FF0070C0"/>
  </sheetPr>
  <dimension ref="A1:AE49"/>
  <sheetViews>
    <sheetView showGridLines="0" showRowColHeaders="0" tabSelected="1" zoomScale="70" zoomScaleNormal="70" workbookViewId="0">
      <selection activeCell="L2" sqref="L2"/>
    </sheetView>
  </sheetViews>
  <sheetFormatPr defaultColWidth="0" defaultRowHeight="14.4" zeroHeight="1" x14ac:dyDescent="0.3"/>
  <cols>
    <col min="1" max="31" width="9.109375" customWidth="1"/>
    <col min="32" max="16384" width="9.109375" hidden="1"/>
  </cols>
  <sheetData>
    <row r="1" spans="8:8" x14ac:dyDescent="0.3"/>
    <row r="2" spans="8:8" x14ac:dyDescent="0.3">
      <c r="H2" s="8"/>
    </row>
    <row r="3" spans="8:8" x14ac:dyDescent="0.3"/>
    <row r="4" spans="8:8" x14ac:dyDescent="0.3"/>
    <row r="5" spans="8:8" x14ac:dyDescent="0.3"/>
    <row r="6" spans="8:8" x14ac:dyDescent="0.3"/>
    <row r="7" spans="8:8" x14ac:dyDescent="0.3"/>
    <row r="8" spans="8:8" x14ac:dyDescent="0.3"/>
    <row r="9" spans="8:8" x14ac:dyDescent="0.3"/>
    <row r="10" spans="8:8" x14ac:dyDescent="0.3"/>
    <row r="11" spans="8:8" x14ac:dyDescent="0.3"/>
    <row r="12" spans="8:8" x14ac:dyDescent="0.3"/>
    <row r="13" spans="8:8" x14ac:dyDescent="0.3"/>
    <row r="14" spans="8:8" x14ac:dyDescent="0.3"/>
    <row r="15" spans="8:8" x14ac:dyDescent="0.3"/>
    <row r="16" spans="8:8"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sheetData>
  <sheetProtection selectLockedCells="1" autoFilter="0" pivotTables="0" selectUn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11747-9288-4895-86E6-480BC25D3E87}">
  <sheetPr codeName="Sheet8">
    <tabColor rgb="FFF2F0F5"/>
  </sheetPr>
  <dimension ref="A2:K121"/>
  <sheetViews>
    <sheetView showGridLines="0" zoomScale="70" zoomScaleNormal="70" zoomScaleSheetLayoutView="50" workbookViewId="0">
      <selection activeCell="I53" sqref="I53"/>
    </sheetView>
  </sheetViews>
  <sheetFormatPr defaultColWidth="0" defaultRowHeight="14.4" x14ac:dyDescent="0.3"/>
  <cols>
    <col min="1" max="1" width="41.33203125" bestFit="1" customWidth="1"/>
    <col min="2" max="2" width="30.5546875" bestFit="1" customWidth="1"/>
    <col min="3" max="3" width="47.88671875" bestFit="1" customWidth="1"/>
    <col min="4" max="4" width="27.109375" bestFit="1" customWidth="1"/>
    <col min="5" max="5" width="26.109375" bestFit="1" customWidth="1"/>
    <col min="6" max="9" width="8.88671875" customWidth="1"/>
    <col min="10" max="10" width="21.6640625" customWidth="1"/>
    <col min="11" max="11" width="45.88671875" hidden="1" customWidth="1"/>
    <col min="12" max="16384" width="8.88671875" hidden="1"/>
  </cols>
  <sheetData>
    <row r="2" spans="1:5" x14ac:dyDescent="0.3">
      <c r="A2" s="1" t="s">
        <v>2</v>
      </c>
      <c r="B2" t="s">
        <v>1194</v>
      </c>
    </row>
    <row r="4" spans="1:5" x14ac:dyDescent="0.3">
      <c r="A4" s="1" t="s">
        <v>1192</v>
      </c>
      <c r="B4" t="s">
        <v>1176</v>
      </c>
      <c r="C4" t="s">
        <v>1177</v>
      </c>
      <c r="D4" t="s">
        <v>1124</v>
      </c>
      <c r="E4" s="4" t="s">
        <v>1178</v>
      </c>
    </row>
    <row r="5" spans="1:5" x14ac:dyDescent="0.3">
      <c r="A5" s="2" t="s">
        <v>17</v>
      </c>
      <c r="B5" s="10">
        <v>69</v>
      </c>
      <c r="C5" s="10">
        <v>15</v>
      </c>
      <c r="D5" s="10">
        <v>894</v>
      </c>
      <c r="E5" s="4">
        <v>0.19021739130434784</v>
      </c>
    </row>
    <row r="6" spans="1:5" x14ac:dyDescent="0.3">
      <c r="A6" s="3" t="s">
        <v>99</v>
      </c>
      <c r="B6" s="10">
        <v>252</v>
      </c>
      <c r="C6" s="10">
        <v>40</v>
      </c>
      <c r="D6" s="10">
        <v>212</v>
      </c>
      <c r="E6" s="4">
        <v>0.15873015873015872</v>
      </c>
    </row>
    <row r="7" spans="1:5" x14ac:dyDescent="0.3">
      <c r="A7" s="3" t="s">
        <v>103</v>
      </c>
      <c r="B7" s="10">
        <v>28</v>
      </c>
      <c r="C7" s="10">
        <v>6</v>
      </c>
      <c r="D7" s="10">
        <v>22</v>
      </c>
      <c r="E7" s="4">
        <v>0.21428571428571427</v>
      </c>
    </row>
    <row r="8" spans="1:5" x14ac:dyDescent="0.3">
      <c r="A8" s="3" t="s">
        <v>105</v>
      </c>
      <c r="B8" s="10">
        <v>133</v>
      </c>
      <c r="C8" s="10">
        <v>40</v>
      </c>
      <c r="D8" s="10">
        <v>93</v>
      </c>
      <c r="E8" s="4">
        <v>0.3007518796992481</v>
      </c>
    </row>
    <row r="9" spans="1:5" x14ac:dyDescent="0.3">
      <c r="A9" s="3" t="s">
        <v>13</v>
      </c>
      <c r="B9" s="10">
        <v>85</v>
      </c>
      <c r="C9" s="10">
        <v>30</v>
      </c>
      <c r="D9" s="10">
        <v>55</v>
      </c>
      <c r="E9" s="4">
        <v>0.35294117647058826</v>
      </c>
    </row>
    <row r="10" spans="1:5" x14ac:dyDescent="0.3">
      <c r="A10" s="3" t="s">
        <v>212</v>
      </c>
      <c r="B10" s="10">
        <v>3</v>
      </c>
      <c r="C10" s="10"/>
      <c r="D10" s="10">
        <v>3</v>
      </c>
      <c r="E10" s="4">
        <v>0</v>
      </c>
    </row>
    <row r="11" spans="1:5" x14ac:dyDescent="0.3">
      <c r="A11" s="3" t="s">
        <v>109</v>
      </c>
      <c r="B11" s="10">
        <v>88</v>
      </c>
      <c r="C11" s="10">
        <v>15</v>
      </c>
      <c r="D11" s="10">
        <v>73</v>
      </c>
      <c r="E11" s="4">
        <v>0.17045454545454544</v>
      </c>
    </row>
    <row r="12" spans="1:5" x14ac:dyDescent="0.3">
      <c r="A12" s="3" t="s">
        <v>125</v>
      </c>
      <c r="B12" s="10">
        <v>70</v>
      </c>
      <c r="C12" s="10"/>
      <c r="D12" s="10">
        <v>70</v>
      </c>
      <c r="E12" s="4">
        <v>0</v>
      </c>
    </row>
    <row r="13" spans="1:5" x14ac:dyDescent="0.3">
      <c r="A13" s="3" t="s">
        <v>195</v>
      </c>
      <c r="B13" s="10">
        <v>65</v>
      </c>
      <c r="C13" s="10">
        <v>2</v>
      </c>
      <c r="D13" s="10">
        <v>63</v>
      </c>
      <c r="E13" s="4">
        <v>3.0769230769230771E-2</v>
      </c>
    </row>
    <row r="14" spans="1:5" x14ac:dyDescent="0.3">
      <c r="A14" s="3" t="s">
        <v>111</v>
      </c>
      <c r="B14" s="10">
        <v>18</v>
      </c>
      <c r="C14" s="10">
        <v>4</v>
      </c>
      <c r="D14" s="10">
        <v>14</v>
      </c>
      <c r="E14" s="4">
        <v>0.22222222222222221</v>
      </c>
    </row>
    <row r="15" spans="1:5" x14ac:dyDescent="0.3">
      <c r="A15" s="3" t="s">
        <v>113</v>
      </c>
      <c r="B15" s="10">
        <v>60</v>
      </c>
      <c r="C15" s="10">
        <v>8</v>
      </c>
      <c r="D15" s="10">
        <v>52</v>
      </c>
      <c r="E15" s="4">
        <v>0.13333333333333333</v>
      </c>
    </row>
    <row r="16" spans="1:5" x14ac:dyDescent="0.3">
      <c r="A16" s="3" t="s">
        <v>115</v>
      </c>
      <c r="B16" s="10">
        <v>67</v>
      </c>
      <c r="C16" s="10">
        <v>5</v>
      </c>
      <c r="D16" s="10">
        <v>62</v>
      </c>
      <c r="E16" s="4">
        <v>7.4626865671641784E-2</v>
      </c>
    </row>
    <row r="17" spans="1:5" x14ac:dyDescent="0.3">
      <c r="A17" s="3" t="s">
        <v>83</v>
      </c>
      <c r="B17" s="10">
        <v>55</v>
      </c>
      <c r="C17" s="10">
        <v>30</v>
      </c>
      <c r="D17" s="10">
        <v>25</v>
      </c>
      <c r="E17" s="4">
        <v>0.54545454545454541</v>
      </c>
    </row>
    <row r="18" spans="1:5" x14ac:dyDescent="0.3">
      <c r="A18" s="3" t="s">
        <v>117</v>
      </c>
      <c r="B18" s="10">
        <v>44</v>
      </c>
      <c r="C18" s="10">
        <v>10</v>
      </c>
      <c r="D18" s="10">
        <v>34</v>
      </c>
      <c r="E18" s="4">
        <v>0.22727272727272727</v>
      </c>
    </row>
    <row r="19" spans="1:5" x14ac:dyDescent="0.3">
      <c r="A19" s="3" t="s">
        <v>119</v>
      </c>
      <c r="B19" s="10">
        <v>48</v>
      </c>
      <c r="C19" s="10">
        <v>8</v>
      </c>
      <c r="D19" s="10">
        <v>40</v>
      </c>
      <c r="E19" s="4">
        <v>0.16666666666666666</v>
      </c>
    </row>
    <row r="20" spans="1:5" x14ac:dyDescent="0.3">
      <c r="A20" s="3" t="s">
        <v>121</v>
      </c>
      <c r="B20" s="10">
        <v>63</v>
      </c>
      <c r="C20" s="10">
        <v>10</v>
      </c>
      <c r="D20" s="10">
        <v>53</v>
      </c>
      <c r="E20" s="4">
        <v>0.15873015873015872</v>
      </c>
    </row>
    <row r="21" spans="1:5" x14ac:dyDescent="0.3">
      <c r="A21" s="3" t="s">
        <v>123</v>
      </c>
      <c r="B21" s="10">
        <v>25</v>
      </c>
      <c r="C21" s="10">
        <v>2</v>
      </c>
      <c r="D21" s="10">
        <v>23</v>
      </c>
      <c r="E21" s="4">
        <v>0.08</v>
      </c>
    </row>
    <row r="22" spans="1:5" x14ac:dyDescent="0.3">
      <c r="A22" s="2" t="s">
        <v>194</v>
      </c>
      <c r="B22" s="10">
        <v>41.727272727272727</v>
      </c>
      <c r="C22" s="10">
        <v>8.5</v>
      </c>
      <c r="D22" s="10">
        <v>833</v>
      </c>
      <c r="E22" s="4">
        <v>9.2592592592592587E-2</v>
      </c>
    </row>
    <row r="23" spans="1:5" x14ac:dyDescent="0.3">
      <c r="A23" s="3" t="s">
        <v>1200</v>
      </c>
      <c r="B23" s="10">
        <v>28</v>
      </c>
      <c r="C23" s="10">
        <v>7</v>
      </c>
      <c r="D23" s="10">
        <v>21</v>
      </c>
      <c r="E23" s="4">
        <v>0.25</v>
      </c>
    </row>
    <row r="24" spans="1:5" x14ac:dyDescent="0.3">
      <c r="A24" s="3" t="s">
        <v>220</v>
      </c>
      <c r="B24" s="10">
        <v>6</v>
      </c>
      <c r="C24" s="10"/>
      <c r="D24" s="10">
        <v>6</v>
      </c>
      <c r="E24" s="4">
        <v>0</v>
      </c>
    </row>
    <row r="25" spans="1:5" x14ac:dyDescent="0.3">
      <c r="A25" s="3" t="s">
        <v>268</v>
      </c>
      <c r="B25" s="10">
        <v>16</v>
      </c>
      <c r="C25" s="10"/>
      <c r="D25" s="10">
        <v>16</v>
      </c>
      <c r="E25" s="4">
        <v>0</v>
      </c>
    </row>
    <row r="26" spans="1:5" x14ac:dyDescent="0.3">
      <c r="A26" s="3" t="s">
        <v>232</v>
      </c>
      <c r="B26" s="10">
        <v>8</v>
      </c>
      <c r="C26" s="10"/>
      <c r="D26" s="10">
        <v>8</v>
      </c>
      <c r="E26" s="4">
        <v>0</v>
      </c>
    </row>
    <row r="27" spans="1:5" x14ac:dyDescent="0.3">
      <c r="A27" s="3" t="s">
        <v>222</v>
      </c>
      <c r="B27" s="10">
        <v>110</v>
      </c>
      <c r="C27" s="10">
        <v>30</v>
      </c>
      <c r="D27" s="10">
        <v>80</v>
      </c>
      <c r="E27" s="4">
        <v>0.27272727272727271</v>
      </c>
    </row>
    <row r="28" spans="1:5" x14ac:dyDescent="0.3">
      <c r="A28" s="3" t="s">
        <v>236</v>
      </c>
      <c r="B28" s="10">
        <v>31</v>
      </c>
      <c r="C28" s="10"/>
      <c r="D28" s="10">
        <v>31</v>
      </c>
      <c r="E28" s="4">
        <v>0</v>
      </c>
    </row>
    <row r="29" spans="1:5" x14ac:dyDescent="0.3">
      <c r="A29" s="3" t="s">
        <v>234</v>
      </c>
      <c r="B29" s="10">
        <v>5</v>
      </c>
      <c r="C29" s="10">
        <v>0</v>
      </c>
      <c r="D29" s="10">
        <v>5</v>
      </c>
      <c r="E29" s="4">
        <v>0</v>
      </c>
    </row>
    <row r="30" spans="1:5" x14ac:dyDescent="0.3">
      <c r="A30" s="3" t="s">
        <v>238</v>
      </c>
      <c r="B30" s="10">
        <v>30</v>
      </c>
      <c r="C30" s="10"/>
      <c r="D30" s="10">
        <v>30</v>
      </c>
      <c r="E30" s="4">
        <v>0</v>
      </c>
    </row>
    <row r="31" spans="1:5" x14ac:dyDescent="0.3">
      <c r="A31" s="3" t="s">
        <v>226</v>
      </c>
      <c r="B31" s="10">
        <v>9</v>
      </c>
      <c r="C31" s="10"/>
      <c r="D31" s="10">
        <v>9</v>
      </c>
      <c r="E31" s="4">
        <v>0</v>
      </c>
    </row>
    <row r="32" spans="1:5" x14ac:dyDescent="0.3">
      <c r="A32" s="3" t="s">
        <v>188</v>
      </c>
      <c r="B32" s="10">
        <v>170</v>
      </c>
      <c r="C32" s="10">
        <v>30</v>
      </c>
      <c r="D32" s="10">
        <v>140</v>
      </c>
      <c r="E32" s="4">
        <v>0.17647058823529413</v>
      </c>
    </row>
    <row r="33" spans="1:5" x14ac:dyDescent="0.3">
      <c r="A33" s="3" t="s">
        <v>228</v>
      </c>
      <c r="B33" s="10">
        <v>25</v>
      </c>
      <c r="C33" s="10"/>
      <c r="D33" s="10">
        <v>25</v>
      </c>
      <c r="E33" s="4">
        <v>0</v>
      </c>
    </row>
    <row r="34" spans="1:5" x14ac:dyDescent="0.3">
      <c r="A34" s="3" t="s">
        <v>272</v>
      </c>
      <c r="B34" s="10">
        <v>38</v>
      </c>
      <c r="C34" s="10">
        <v>5</v>
      </c>
      <c r="D34" s="10">
        <v>33</v>
      </c>
      <c r="E34" s="4">
        <v>0.13157894736842105</v>
      </c>
    </row>
    <row r="35" spans="1:5" x14ac:dyDescent="0.3">
      <c r="A35" s="3" t="s">
        <v>262</v>
      </c>
      <c r="B35" s="10">
        <v>14</v>
      </c>
      <c r="C35" s="10"/>
      <c r="D35" s="10">
        <v>14</v>
      </c>
      <c r="E35" s="4">
        <v>0</v>
      </c>
    </row>
    <row r="36" spans="1:5" x14ac:dyDescent="0.3">
      <c r="A36" s="3" t="s">
        <v>260</v>
      </c>
      <c r="B36" s="10">
        <v>18</v>
      </c>
      <c r="C36" s="10"/>
      <c r="D36" s="10">
        <v>18</v>
      </c>
      <c r="E36" s="4">
        <v>0</v>
      </c>
    </row>
    <row r="37" spans="1:5" x14ac:dyDescent="0.3">
      <c r="A37" s="3" t="s">
        <v>258</v>
      </c>
      <c r="B37" s="10">
        <v>21</v>
      </c>
      <c r="C37" s="10"/>
      <c r="D37" s="10">
        <v>21</v>
      </c>
      <c r="E37" s="4">
        <v>0</v>
      </c>
    </row>
    <row r="38" spans="1:5" x14ac:dyDescent="0.3">
      <c r="A38" s="3" t="s">
        <v>244</v>
      </c>
      <c r="B38" s="10">
        <v>28</v>
      </c>
      <c r="C38" s="10"/>
      <c r="D38" s="10">
        <v>28</v>
      </c>
      <c r="E38" s="4">
        <v>0</v>
      </c>
    </row>
    <row r="39" spans="1:5" x14ac:dyDescent="0.3">
      <c r="A39" s="3" t="s">
        <v>292</v>
      </c>
      <c r="B39" s="10">
        <v>4</v>
      </c>
      <c r="C39" s="10"/>
      <c r="D39" s="10">
        <v>4</v>
      </c>
      <c r="E39" s="4">
        <v>0</v>
      </c>
    </row>
    <row r="40" spans="1:5" x14ac:dyDescent="0.3">
      <c r="A40" s="3" t="s">
        <v>192</v>
      </c>
      <c r="B40" s="10">
        <v>6</v>
      </c>
      <c r="C40" s="10">
        <v>0</v>
      </c>
      <c r="D40" s="10">
        <v>6</v>
      </c>
      <c r="E40" s="4">
        <v>0</v>
      </c>
    </row>
    <row r="41" spans="1:5" x14ac:dyDescent="0.3">
      <c r="A41" s="3" t="s">
        <v>246</v>
      </c>
      <c r="B41" s="10">
        <v>145</v>
      </c>
      <c r="C41" s="10">
        <v>4</v>
      </c>
      <c r="D41" s="10">
        <v>141</v>
      </c>
      <c r="E41" s="4">
        <v>2.7586206896551724E-2</v>
      </c>
    </row>
    <row r="42" spans="1:5" x14ac:dyDescent="0.3">
      <c r="A42" s="3" t="s">
        <v>254</v>
      </c>
      <c r="B42" s="10">
        <v>38</v>
      </c>
      <c r="C42" s="10">
        <v>5</v>
      </c>
      <c r="D42" s="10">
        <v>33</v>
      </c>
      <c r="E42" s="4">
        <v>0.13157894736842105</v>
      </c>
    </row>
    <row r="43" spans="1:5" x14ac:dyDescent="0.3">
      <c r="A43" s="3" t="s">
        <v>290</v>
      </c>
      <c r="B43" s="10">
        <v>79</v>
      </c>
      <c r="C43" s="10">
        <v>1</v>
      </c>
      <c r="D43" s="10">
        <v>78</v>
      </c>
      <c r="E43" s="4">
        <v>1.2658227848101266E-2</v>
      </c>
    </row>
    <row r="44" spans="1:5" x14ac:dyDescent="0.3">
      <c r="A44" s="3" t="s">
        <v>250</v>
      </c>
      <c r="B44" s="10">
        <v>89</v>
      </c>
      <c r="C44" s="10">
        <v>3</v>
      </c>
      <c r="D44" s="10">
        <v>86</v>
      </c>
      <c r="E44" s="4">
        <v>3.3707865168539325E-2</v>
      </c>
    </row>
    <row r="45" spans="1:5" x14ac:dyDescent="0.3">
      <c r="A45" s="2" t="s">
        <v>175</v>
      </c>
      <c r="B45" s="10">
        <v>356.8</v>
      </c>
      <c r="C45" s="10">
        <v>26</v>
      </c>
      <c r="D45" s="10">
        <v>3360</v>
      </c>
      <c r="E45" s="4">
        <v>5.829596412556054E-2</v>
      </c>
    </row>
    <row r="46" spans="1:5" x14ac:dyDescent="0.3">
      <c r="A46" s="3" t="s">
        <v>173</v>
      </c>
      <c r="B46" s="10">
        <v>285</v>
      </c>
      <c r="C46" s="10">
        <v>95</v>
      </c>
      <c r="D46" s="10">
        <v>190</v>
      </c>
      <c r="E46" s="4">
        <v>0.33333333333333331</v>
      </c>
    </row>
    <row r="47" spans="1:5" x14ac:dyDescent="0.3">
      <c r="A47" s="3" t="s">
        <v>176</v>
      </c>
      <c r="B47" s="10">
        <v>548</v>
      </c>
      <c r="C47" s="10">
        <v>70</v>
      </c>
      <c r="D47" s="10">
        <v>478</v>
      </c>
      <c r="E47" s="4">
        <v>0.12773722627737227</v>
      </c>
    </row>
    <row r="48" spans="1:5" x14ac:dyDescent="0.3">
      <c r="A48" s="3" t="s">
        <v>178</v>
      </c>
      <c r="B48" s="10">
        <v>510</v>
      </c>
      <c r="C48" s="10">
        <v>18</v>
      </c>
      <c r="D48" s="10">
        <v>492</v>
      </c>
      <c r="E48" s="4">
        <v>3.5294117647058823E-2</v>
      </c>
    </row>
    <row r="49" spans="1:5" x14ac:dyDescent="0.3">
      <c r="A49" s="3" t="s">
        <v>180</v>
      </c>
      <c r="B49" s="10">
        <v>118</v>
      </c>
      <c r="C49" s="10">
        <v>10</v>
      </c>
      <c r="D49" s="10">
        <v>108</v>
      </c>
      <c r="E49" s="4">
        <v>8.4745762711864403E-2</v>
      </c>
    </row>
    <row r="50" spans="1:5" x14ac:dyDescent="0.3">
      <c r="A50" s="3" t="s">
        <v>186</v>
      </c>
      <c r="B50" s="10">
        <v>96</v>
      </c>
      <c r="C50" s="10">
        <v>5</v>
      </c>
      <c r="D50" s="10">
        <v>91</v>
      </c>
      <c r="E50" s="4">
        <v>5.2083333333333336E-2</v>
      </c>
    </row>
    <row r="51" spans="1:5" x14ac:dyDescent="0.3">
      <c r="A51" s="3" t="s">
        <v>214</v>
      </c>
      <c r="B51" s="10">
        <v>1447</v>
      </c>
      <c r="C51" s="10"/>
      <c r="D51" s="10">
        <v>1447</v>
      </c>
      <c r="E51" s="4">
        <v>0</v>
      </c>
    </row>
    <row r="52" spans="1:5" x14ac:dyDescent="0.3">
      <c r="A52" s="3" t="s">
        <v>182</v>
      </c>
      <c r="B52" s="10">
        <v>55</v>
      </c>
      <c r="C52" s="10">
        <v>10</v>
      </c>
      <c r="D52" s="10">
        <v>45</v>
      </c>
      <c r="E52" s="4">
        <v>0.18181818181818182</v>
      </c>
    </row>
    <row r="53" spans="1:5" x14ac:dyDescent="0.3">
      <c r="A53" s="3" t="s">
        <v>240</v>
      </c>
      <c r="B53" s="10">
        <v>17</v>
      </c>
      <c r="C53" s="10">
        <v>0</v>
      </c>
      <c r="D53" s="10">
        <v>17</v>
      </c>
      <c r="E53" s="4">
        <v>0</v>
      </c>
    </row>
    <row r="54" spans="1:5" x14ac:dyDescent="0.3">
      <c r="A54" s="3" t="s">
        <v>280</v>
      </c>
      <c r="B54" s="10">
        <v>467</v>
      </c>
      <c r="C54" s="10"/>
      <c r="D54" s="10">
        <v>467</v>
      </c>
      <c r="E54" s="4">
        <v>0</v>
      </c>
    </row>
    <row r="55" spans="1:5" x14ac:dyDescent="0.3">
      <c r="A55" s="3" t="s">
        <v>266</v>
      </c>
      <c r="B55" s="10">
        <v>25</v>
      </c>
      <c r="C55" s="10">
        <v>0</v>
      </c>
      <c r="D55" s="10">
        <v>25</v>
      </c>
      <c r="E55" s="4">
        <v>0</v>
      </c>
    </row>
    <row r="56" spans="1:5" x14ac:dyDescent="0.3">
      <c r="A56" s="2" t="s">
        <v>20</v>
      </c>
      <c r="B56" s="10">
        <v>147.22222222222223</v>
      </c>
      <c r="C56" s="10">
        <v>30.588235294117649</v>
      </c>
      <c r="D56" s="10">
        <v>4260</v>
      </c>
      <c r="E56" s="4">
        <v>0.19622641509433963</v>
      </c>
    </row>
    <row r="57" spans="1:5" x14ac:dyDescent="0.3">
      <c r="A57" s="3" t="s">
        <v>97</v>
      </c>
      <c r="B57" s="10">
        <v>180</v>
      </c>
      <c r="C57" s="10">
        <v>30</v>
      </c>
      <c r="D57" s="10">
        <v>150</v>
      </c>
      <c r="E57" s="4">
        <v>0.16666666666666666</v>
      </c>
    </row>
    <row r="58" spans="1:5" x14ac:dyDescent="0.3">
      <c r="A58" s="3" t="s">
        <v>18</v>
      </c>
      <c r="B58" s="10">
        <v>102</v>
      </c>
      <c r="C58" s="10">
        <v>5</v>
      </c>
      <c r="D58" s="10">
        <v>97</v>
      </c>
      <c r="E58" s="4">
        <v>4.9019607843137254E-2</v>
      </c>
    </row>
    <row r="59" spans="1:5" x14ac:dyDescent="0.3">
      <c r="A59" s="3" t="s">
        <v>21</v>
      </c>
      <c r="B59" s="10">
        <v>106</v>
      </c>
      <c r="C59" s="10">
        <v>5</v>
      </c>
      <c r="D59" s="10">
        <v>101</v>
      </c>
      <c r="E59" s="4">
        <v>4.716981132075472E-2</v>
      </c>
    </row>
    <row r="60" spans="1:5" x14ac:dyDescent="0.3">
      <c r="A60" s="3" t="s">
        <v>35</v>
      </c>
      <c r="B60" s="10">
        <v>42</v>
      </c>
      <c r="C60" s="10">
        <v>8</v>
      </c>
      <c r="D60" s="10">
        <v>34</v>
      </c>
      <c r="E60" s="4">
        <v>0.19047619047619047</v>
      </c>
    </row>
    <row r="61" spans="1:5" x14ac:dyDescent="0.3">
      <c r="A61" s="3" t="s">
        <v>33</v>
      </c>
      <c r="B61" s="10">
        <v>106</v>
      </c>
      <c r="C61" s="10">
        <v>7</v>
      </c>
      <c r="D61" s="10">
        <v>99</v>
      </c>
      <c r="E61" s="4">
        <v>6.6037735849056603E-2</v>
      </c>
    </row>
    <row r="62" spans="1:5" x14ac:dyDescent="0.3">
      <c r="A62" s="3" t="s">
        <v>264</v>
      </c>
      <c r="B62" s="10">
        <v>500</v>
      </c>
      <c r="C62" s="10"/>
      <c r="D62" s="10">
        <v>500</v>
      </c>
      <c r="E62" s="4">
        <v>0</v>
      </c>
    </row>
    <row r="63" spans="1:5" x14ac:dyDescent="0.3">
      <c r="A63" s="3" t="s">
        <v>37</v>
      </c>
      <c r="B63" s="10">
        <v>223</v>
      </c>
      <c r="C63" s="10">
        <v>80</v>
      </c>
      <c r="D63" s="10">
        <v>143</v>
      </c>
      <c r="E63" s="4">
        <v>0.35874439461883406</v>
      </c>
    </row>
    <row r="64" spans="1:5" x14ac:dyDescent="0.3">
      <c r="A64" s="3" t="s">
        <v>41</v>
      </c>
      <c r="B64" s="10">
        <v>353</v>
      </c>
      <c r="C64" s="10">
        <v>10</v>
      </c>
      <c r="D64" s="10">
        <v>343</v>
      </c>
      <c r="E64" s="4">
        <v>2.8328611898016998E-2</v>
      </c>
    </row>
    <row r="65" spans="1:5" x14ac:dyDescent="0.3">
      <c r="A65" s="3" t="s">
        <v>43</v>
      </c>
      <c r="B65" s="10">
        <v>60</v>
      </c>
      <c r="C65" s="10">
        <v>10</v>
      </c>
      <c r="D65" s="10">
        <v>50</v>
      </c>
      <c r="E65" s="4">
        <v>0.16666666666666666</v>
      </c>
    </row>
    <row r="66" spans="1:5" x14ac:dyDescent="0.3">
      <c r="A66" s="3" t="s">
        <v>45</v>
      </c>
      <c r="B66" s="10">
        <v>75</v>
      </c>
      <c r="C66" s="10">
        <v>20</v>
      </c>
      <c r="D66" s="10">
        <v>55</v>
      </c>
      <c r="E66" s="4">
        <v>0.26666666666666666</v>
      </c>
    </row>
    <row r="67" spans="1:5" x14ac:dyDescent="0.3">
      <c r="A67" s="3" t="s">
        <v>23</v>
      </c>
      <c r="B67" s="10">
        <v>72</v>
      </c>
      <c r="C67" s="10">
        <v>10</v>
      </c>
      <c r="D67" s="10">
        <v>62</v>
      </c>
      <c r="E67" s="4">
        <v>0.1388888888888889</v>
      </c>
    </row>
    <row r="68" spans="1:5" x14ac:dyDescent="0.3">
      <c r="A68" s="3" t="s">
        <v>25</v>
      </c>
      <c r="B68" s="10">
        <v>240</v>
      </c>
      <c r="C68" s="10">
        <v>75</v>
      </c>
      <c r="D68" s="10">
        <v>165</v>
      </c>
      <c r="E68" s="4">
        <v>0.3125</v>
      </c>
    </row>
    <row r="69" spans="1:5" x14ac:dyDescent="0.3">
      <c r="A69" s="3" t="s">
        <v>27</v>
      </c>
      <c r="B69" s="10">
        <v>29</v>
      </c>
      <c r="C69" s="10">
        <v>25</v>
      </c>
      <c r="D69" s="10">
        <v>4</v>
      </c>
      <c r="E69" s="4">
        <v>0.86206896551724133</v>
      </c>
    </row>
    <row r="70" spans="1:5" x14ac:dyDescent="0.3">
      <c r="A70" s="3" t="s">
        <v>29</v>
      </c>
      <c r="B70" s="10">
        <v>170</v>
      </c>
      <c r="C70" s="10">
        <v>50</v>
      </c>
      <c r="D70" s="10">
        <v>120</v>
      </c>
      <c r="E70" s="4">
        <v>0.29411764705882354</v>
      </c>
    </row>
    <row r="71" spans="1:5" x14ac:dyDescent="0.3">
      <c r="A71" s="3" t="s">
        <v>31</v>
      </c>
      <c r="B71" s="10">
        <v>78</v>
      </c>
      <c r="C71" s="10">
        <v>10</v>
      </c>
      <c r="D71" s="10">
        <v>68</v>
      </c>
      <c r="E71" s="4">
        <v>0.12820512820512819</v>
      </c>
    </row>
    <row r="72" spans="1:5" x14ac:dyDescent="0.3">
      <c r="A72" s="3" t="s">
        <v>47</v>
      </c>
      <c r="B72" s="10">
        <v>62</v>
      </c>
      <c r="C72" s="10">
        <v>4</v>
      </c>
      <c r="D72" s="10">
        <v>58</v>
      </c>
      <c r="E72" s="4">
        <v>6.4516129032258063E-2</v>
      </c>
    </row>
    <row r="73" spans="1:5" x14ac:dyDescent="0.3">
      <c r="A73" s="3" t="s">
        <v>49</v>
      </c>
      <c r="B73" s="10">
        <v>50</v>
      </c>
      <c r="C73" s="10">
        <v>10</v>
      </c>
      <c r="D73" s="10">
        <v>40</v>
      </c>
      <c r="E73" s="4">
        <v>0.2</v>
      </c>
    </row>
    <row r="74" spans="1:5" x14ac:dyDescent="0.3">
      <c r="A74" s="3" t="s">
        <v>51</v>
      </c>
      <c r="B74" s="10">
        <v>100</v>
      </c>
      <c r="C74" s="10">
        <v>30</v>
      </c>
      <c r="D74" s="10">
        <v>70</v>
      </c>
      <c r="E74" s="4">
        <v>0.3</v>
      </c>
    </row>
    <row r="75" spans="1:5" x14ac:dyDescent="0.3">
      <c r="A75" s="3" t="s">
        <v>53</v>
      </c>
      <c r="B75" s="10">
        <v>52</v>
      </c>
      <c r="C75" s="10">
        <v>7</v>
      </c>
      <c r="D75" s="10">
        <v>45</v>
      </c>
      <c r="E75" s="4">
        <v>0.13461538461538461</v>
      </c>
    </row>
    <row r="76" spans="1:5" x14ac:dyDescent="0.3">
      <c r="A76" s="3" t="s">
        <v>1204</v>
      </c>
      <c r="B76" s="10">
        <v>166</v>
      </c>
      <c r="C76" s="10">
        <v>50</v>
      </c>
      <c r="D76" s="10">
        <v>116</v>
      </c>
      <c r="E76" s="4">
        <v>0.30120481927710846</v>
      </c>
    </row>
    <row r="77" spans="1:5" x14ac:dyDescent="0.3">
      <c r="A77" s="3" t="s">
        <v>55</v>
      </c>
      <c r="B77" s="10">
        <v>68</v>
      </c>
      <c r="C77" s="10">
        <v>5</v>
      </c>
      <c r="D77" s="10">
        <v>63</v>
      </c>
      <c r="E77" s="4">
        <v>7.3529411764705885E-2</v>
      </c>
    </row>
    <row r="78" spans="1:5" x14ac:dyDescent="0.3">
      <c r="A78" s="3" t="s">
        <v>57</v>
      </c>
      <c r="B78" s="10">
        <v>37</v>
      </c>
      <c r="C78" s="10">
        <v>3</v>
      </c>
      <c r="D78" s="10">
        <v>34</v>
      </c>
      <c r="E78" s="4">
        <v>8.1081081081081086E-2</v>
      </c>
    </row>
    <row r="79" spans="1:5" x14ac:dyDescent="0.3">
      <c r="A79" s="3" t="s">
        <v>59</v>
      </c>
      <c r="B79" s="10">
        <v>74</v>
      </c>
      <c r="C79" s="10">
        <v>20</v>
      </c>
      <c r="D79" s="10">
        <v>54</v>
      </c>
      <c r="E79" s="4">
        <v>0.27027027027027029</v>
      </c>
    </row>
    <row r="80" spans="1:5" x14ac:dyDescent="0.3">
      <c r="A80" s="3" t="s">
        <v>85</v>
      </c>
      <c r="B80" s="10">
        <v>59</v>
      </c>
      <c r="C80" s="10">
        <v>24</v>
      </c>
      <c r="D80" s="10">
        <v>35</v>
      </c>
      <c r="E80" s="4">
        <v>0.40677966101694918</v>
      </c>
    </row>
    <row r="81" spans="1:5" x14ac:dyDescent="0.3">
      <c r="A81" s="3" t="s">
        <v>63</v>
      </c>
      <c r="B81" s="10">
        <v>59</v>
      </c>
      <c r="C81" s="10">
        <v>16</v>
      </c>
      <c r="D81" s="10">
        <v>43</v>
      </c>
      <c r="E81" s="4">
        <v>0.2711864406779661</v>
      </c>
    </row>
    <row r="82" spans="1:5" x14ac:dyDescent="0.3">
      <c r="A82" s="3" t="s">
        <v>87</v>
      </c>
      <c r="B82" s="10">
        <v>65</v>
      </c>
      <c r="C82" s="10">
        <v>40</v>
      </c>
      <c r="D82" s="10">
        <v>25</v>
      </c>
      <c r="E82" s="4">
        <v>0.61538461538461542</v>
      </c>
    </row>
    <row r="83" spans="1:5" x14ac:dyDescent="0.3">
      <c r="A83" s="3" t="s">
        <v>61</v>
      </c>
      <c r="B83" s="10">
        <v>57</v>
      </c>
      <c r="C83" s="10">
        <v>5</v>
      </c>
      <c r="D83" s="10">
        <v>52</v>
      </c>
      <c r="E83" s="4">
        <v>8.771929824561403E-2</v>
      </c>
    </row>
    <row r="84" spans="1:5" x14ac:dyDescent="0.3">
      <c r="A84" s="3" t="s">
        <v>242</v>
      </c>
      <c r="B84" s="10">
        <v>120</v>
      </c>
      <c r="C84" s="10"/>
      <c r="D84" s="10">
        <v>120</v>
      </c>
      <c r="E84" s="4">
        <v>0</v>
      </c>
    </row>
    <row r="85" spans="1:5" x14ac:dyDescent="0.3">
      <c r="A85" s="3" t="s">
        <v>210</v>
      </c>
      <c r="B85" s="10">
        <v>3</v>
      </c>
      <c r="C85" s="10">
        <v>0</v>
      </c>
      <c r="D85" s="10">
        <v>3</v>
      </c>
      <c r="E85" s="4">
        <v>0</v>
      </c>
    </row>
    <row r="86" spans="1:5" x14ac:dyDescent="0.3">
      <c r="A86" s="3" t="s">
        <v>1199</v>
      </c>
      <c r="B86" s="10">
        <v>55</v>
      </c>
      <c r="C86" s="10">
        <v>0</v>
      </c>
      <c r="D86" s="10">
        <v>55</v>
      </c>
      <c r="E86" s="4">
        <v>0</v>
      </c>
    </row>
    <row r="87" spans="1:5" x14ac:dyDescent="0.3">
      <c r="A87" s="3" t="s">
        <v>69</v>
      </c>
      <c r="B87" s="10">
        <v>560</v>
      </c>
      <c r="C87" s="10">
        <v>250</v>
      </c>
      <c r="D87" s="10">
        <v>310</v>
      </c>
      <c r="E87" s="4">
        <v>0.44642857142857145</v>
      </c>
    </row>
    <row r="88" spans="1:5" x14ac:dyDescent="0.3">
      <c r="A88" s="3" t="s">
        <v>71</v>
      </c>
      <c r="B88" s="10">
        <v>175</v>
      </c>
      <c r="C88" s="10">
        <v>11</v>
      </c>
      <c r="D88" s="10">
        <v>164</v>
      </c>
      <c r="E88" s="4">
        <v>6.2857142857142861E-2</v>
      </c>
    </row>
    <row r="89" spans="1:5" x14ac:dyDescent="0.3">
      <c r="A89" s="3" t="s">
        <v>73</v>
      </c>
      <c r="B89" s="10">
        <v>122</v>
      </c>
      <c r="C89" s="10">
        <v>20</v>
      </c>
      <c r="D89" s="10">
        <v>102</v>
      </c>
      <c r="E89" s="4">
        <v>0.16393442622950818</v>
      </c>
    </row>
    <row r="90" spans="1:5" x14ac:dyDescent="0.3">
      <c r="A90" s="3" t="s">
        <v>75</v>
      </c>
      <c r="B90" s="10">
        <v>380</v>
      </c>
      <c r="C90" s="10">
        <v>100</v>
      </c>
      <c r="D90" s="10">
        <v>280</v>
      </c>
      <c r="E90" s="4">
        <v>0.26315789473684209</v>
      </c>
    </row>
    <row r="91" spans="1:5" x14ac:dyDescent="0.3">
      <c r="A91" s="3" t="s">
        <v>77</v>
      </c>
      <c r="B91" s="10">
        <v>420</v>
      </c>
      <c r="C91" s="10">
        <v>50</v>
      </c>
      <c r="D91" s="10">
        <v>370</v>
      </c>
      <c r="E91" s="4">
        <v>0.11904761904761904</v>
      </c>
    </row>
    <row r="92" spans="1:5" x14ac:dyDescent="0.3">
      <c r="A92" s="3" t="s">
        <v>79</v>
      </c>
      <c r="B92" s="10">
        <v>280</v>
      </c>
      <c r="C92" s="10">
        <v>50</v>
      </c>
      <c r="D92" s="10">
        <v>230</v>
      </c>
      <c r="E92" s="4">
        <v>0.17857142857142858</v>
      </c>
    </row>
    <row r="93" spans="1:5" x14ac:dyDescent="0.3">
      <c r="A93" s="2" t="s">
        <v>132</v>
      </c>
      <c r="B93" s="10">
        <v>595.70000000000005</v>
      </c>
      <c r="C93" s="10">
        <v>50.2</v>
      </c>
      <c r="D93" s="10">
        <v>10910</v>
      </c>
      <c r="E93" s="4">
        <v>8.4270606009736446E-2</v>
      </c>
    </row>
    <row r="94" spans="1:5" x14ac:dyDescent="0.3">
      <c r="A94" s="3" t="s">
        <v>130</v>
      </c>
      <c r="B94" s="10">
        <v>477</v>
      </c>
      <c r="C94" s="10">
        <v>30</v>
      </c>
      <c r="D94" s="10">
        <v>447</v>
      </c>
      <c r="E94" s="4">
        <v>6.2893081761006289E-2</v>
      </c>
    </row>
    <row r="95" spans="1:5" x14ac:dyDescent="0.3">
      <c r="A95" s="3" t="s">
        <v>133</v>
      </c>
      <c r="B95" s="10">
        <v>308</v>
      </c>
      <c r="C95" s="10">
        <v>25</v>
      </c>
      <c r="D95" s="10">
        <v>283</v>
      </c>
      <c r="E95" s="4">
        <v>8.1168831168831168E-2</v>
      </c>
    </row>
    <row r="96" spans="1:5" x14ac:dyDescent="0.3">
      <c r="A96" s="3" t="s">
        <v>135</v>
      </c>
      <c r="B96" s="10">
        <v>617</v>
      </c>
      <c r="C96" s="10">
        <v>56</v>
      </c>
      <c r="D96" s="10">
        <v>561</v>
      </c>
      <c r="E96" s="4">
        <v>9.0761750405186387E-2</v>
      </c>
    </row>
    <row r="97" spans="1:5" x14ac:dyDescent="0.3">
      <c r="A97" s="3" t="s">
        <v>137</v>
      </c>
      <c r="B97" s="10">
        <v>442</v>
      </c>
      <c r="C97" s="10">
        <v>0</v>
      </c>
      <c r="D97" s="10">
        <v>442</v>
      </c>
      <c r="E97" s="4">
        <v>0</v>
      </c>
    </row>
    <row r="98" spans="1:5" x14ac:dyDescent="0.3">
      <c r="A98" s="3" t="s">
        <v>139</v>
      </c>
      <c r="B98" s="10">
        <v>193</v>
      </c>
      <c r="C98" s="10">
        <v>10</v>
      </c>
      <c r="D98" s="10">
        <v>183</v>
      </c>
      <c r="E98" s="4">
        <v>5.181347150259067E-2</v>
      </c>
    </row>
    <row r="99" spans="1:5" x14ac:dyDescent="0.3">
      <c r="A99" s="3" t="s">
        <v>141</v>
      </c>
      <c r="B99" s="10">
        <v>311</v>
      </c>
      <c r="C99" s="10">
        <v>50</v>
      </c>
      <c r="D99" s="10">
        <v>261</v>
      </c>
      <c r="E99" s="4">
        <v>0.16077170418006431</v>
      </c>
    </row>
    <row r="100" spans="1:5" x14ac:dyDescent="0.3">
      <c r="A100" s="3" t="s">
        <v>143</v>
      </c>
      <c r="B100" s="10">
        <v>670</v>
      </c>
      <c r="C100" s="10">
        <v>100</v>
      </c>
      <c r="D100" s="10">
        <v>570</v>
      </c>
      <c r="E100" s="4">
        <v>0.14925373134328357</v>
      </c>
    </row>
    <row r="101" spans="1:5" x14ac:dyDescent="0.3">
      <c r="A101" s="3" t="s">
        <v>145</v>
      </c>
      <c r="B101" s="10">
        <v>862</v>
      </c>
      <c r="C101" s="10">
        <v>100</v>
      </c>
      <c r="D101" s="10">
        <v>762</v>
      </c>
      <c r="E101" s="4">
        <v>0.11600928074245939</v>
      </c>
    </row>
    <row r="102" spans="1:5" x14ac:dyDescent="0.3">
      <c r="A102" s="3" t="s">
        <v>147</v>
      </c>
      <c r="B102" s="10">
        <v>780</v>
      </c>
      <c r="C102" s="10">
        <v>150</v>
      </c>
      <c r="D102" s="10">
        <v>630</v>
      </c>
      <c r="E102" s="4">
        <v>0.19230769230769232</v>
      </c>
    </row>
    <row r="103" spans="1:5" x14ac:dyDescent="0.3">
      <c r="A103" s="3" t="s">
        <v>171</v>
      </c>
      <c r="B103" s="10">
        <v>250</v>
      </c>
      <c r="C103" s="10">
        <v>80</v>
      </c>
      <c r="D103" s="10">
        <v>170</v>
      </c>
      <c r="E103" s="4">
        <v>0.32</v>
      </c>
    </row>
    <row r="104" spans="1:5" x14ac:dyDescent="0.3">
      <c r="A104" s="3" t="s">
        <v>149</v>
      </c>
      <c r="B104" s="10">
        <v>66</v>
      </c>
      <c r="C104" s="10">
        <v>5</v>
      </c>
      <c r="D104" s="10">
        <v>61</v>
      </c>
      <c r="E104" s="4">
        <v>7.575757575757576E-2</v>
      </c>
    </row>
    <row r="105" spans="1:5" x14ac:dyDescent="0.3">
      <c r="A105" s="3" t="s">
        <v>151</v>
      </c>
      <c r="B105" s="10">
        <v>1200</v>
      </c>
      <c r="C105" s="10">
        <v>90</v>
      </c>
      <c r="D105" s="10">
        <v>1110</v>
      </c>
      <c r="E105" s="4">
        <v>7.4999999999999997E-2</v>
      </c>
    </row>
    <row r="106" spans="1:5" x14ac:dyDescent="0.3">
      <c r="A106" s="3" t="s">
        <v>153</v>
      </c>
      <c r="B106" s="10">
        <v>1505</v>
      </c>
      <c r="C106" s="10">
        <v>150</v>
      </c>
      <c r="D106" s="10">
        <v>1355</v>
      </c>
      <c r="E106" s="4">
        <v>9.9667774086378738E-2</v>
      </c>
    </row>
    <row r="107" spans="1:5" x14ac:dyDescent="0.3">
      <c r="A107" s="3" t="s">
        <v>155</v>
      </c>
      <c r="B107" s="10">
        <v>298</v>
      </c>
      <c r="C107" s="10">
        <v>4</v>
      </c>
      <c r="D107" s="10">
        <v>294</v>
      </c>
      <c r="E107" s="4">
        <v>1.3422818791946308E-2</v>
      </c>
    </row>
    <row r="108" spans="1:5" x14ac:dyDescent="0.3">
      <c r="A108" s="3" t="s">
        <v>159</v>
      </c>
      <c r="B108" s="10">
        <v>455</v>
      </c>
      <c r="C108" s="10">
        <v>50</v>
      </c>
      <c r="D108" s="10">
        <v>405</v>
      </c>
      <c r="E108" s="4">
        <v>0.10989010989010989</v>
      </c>
    </row>
    <row r="109" spans="1:5" x14ac:dyDescent="0.3">
      <c r="A109" s="3" t="s">
        <v>161</v>
      </c>
      <c r="B109" s="10">
        <v>600</v>
      </c>
      <c r="C109" s="10">
        <v>0</v>
      </c>
      <c r="D109" s="10">
        <v>600</v>
      </c>
      <c r="E109" s="4">
        <v>0</v>
      </c>
    </row>
    <row r="110" spans="1:5" x14ac:dyDescent="0.3">
      <c r="A110" s="3" t="s">
        <v>163</v>
      </c>
      <c r="B110" s="10">
        <v>820</v>
      </c>
      <c r="C110" s="10">
        <v>15</v>
      </c>
      <c r="D110" s="10">
        <v>805</v>
      </c>
      <c r="E110" s="4">
        <v>1.8292682926829267E-2</v>
      </c>
    </row>
    <row r="111" spans="1:5" x14ac:dyDescent="0.3">
      <c r="A111" s="3" t="s">
        <v>165</v>
      </c>
      <c r="B111" s="10">
        <v>1960</v>
      </c>
      <c r="C111" s="10">
        <v>49</v>
      </c>
      <c r="D111" s="10">
        <v>1911</v>
      </c>
      <c r="E111" s="4">
        <v>2.5000000000000001E-2</v>
      </c>
    </row>
    <row r="112" spans="1:5" x14ac:dyDescent="0.3">
      <c r="A112" s="3" t="s">
        <v>167</v>
      </c>
      <c r="B112" s="10">
        <v>80</v>
      </c>
      <c r="C112" s="10">
        <v>40</v>
      </c>
      <c r="D112" s="10">
        <v>40</v>
      </c>
      <c r="E112" s="4">
        <v>0.5</v>
      </c>
    </row>
    <row r="113" spans="1:5" x14ac:dyDescent="0.3">
      <c r="A113" s="3" t="s">
        <v>276</v>
      </c>
      <c r="B113" s="10">
        <v>20</v>
      </c>
      <c r="C113" s="10">
        <v>0</v>
      </c>
      <c r="D113" s="10">
        <v>20</v>
      </c>
      <c r="E113" s="4">
        <v>0</v>
      </c>
    </row>
    <row r="114" spans="1:5" x14ac:dyDescent="0.3">
      <c r="A114" s="2" t="s">
        <v>199</v>
      </c>
      <c r="B114" s="10">
        <v>65.833333333333329</v>
      </c>
      <c r="C114" s="10">
        <v>13.4</v>
      </c>
      <c r="D114" s="10">
        <v>328</v>
      </c>
      <c r="E114" s="4">
        <v>0.16962025316455695</v>
      </c>
    </row>
    <row r="115" spans="1:5" x14ac:dyDescent="0.3">
      <c r="A115" s="3" t="s">
        <v>1202</v>
      </c>
      <c r="B115" s="10">
        <v>63</v>
      </c>
      <c r="C115" s="10">
        <v>47</v>
      </c>
      <c r="D115" s="10">
        <v>16</v>
      </c>
      <c r="E115" s="4">
        <v>0.74603174603174605</v>
      </c>
    </row>
    <row r="116" spans="1:5" x14ac:dyDescent="0.3">
      <c r="A116" s="3" t="s">
        <v>296</v>
      </c>
      <c r="B116" s="10">
        <v>200</v>
      </c>
      <c r="C116" s="10">
        <v>15</v>
      </c>
      <c r="D116" s="10">
        <v>185</v>
      </c>
      <c r="E116" s="4">
        <v>7.4999999999999997E-2</v>
      </c>
    </row>
    <row r="117" spans="1:5" x14ac:dyDescent="0.3">
      <c r="A117" s="3" t="s">
        <v>200</v>
      </c>
      <c r="B117" s="10">
        <v>50</v>
      </c>
      <c r="C117" s="10"/>
      <c r="D117" s="10">
        <v>50</v>
      </c>
      <c r="E117" s="4">
        <v>0</v>
      </c>
    </row>
    <row r="118" spans="1:5" x14ac:dyDescent="0.3">
      <c r="A118" s="3" t="s">
        <v>204</v>
      </c>
      <c r="B118" s="10">
        <v>18</v>
      </c>
      <c r="C118" s="10">
        <v>0</v>
      </c>
      <c r="D118" s="10">
        <v>18</v>
      </c>
      <c r="E118" s="4">
        <v>0</v>
      </c>
    </row>
    <row r="119" spans="1:5" x14ac:dyDescent="0.3">
      <c r="A119" s="3" t="s">
        <v>216</v>
      </c>
      <c r="B119" s="10">
        <v>7</v>
      </c>
      <c r="C119" s="10">
        <v>0</v>
      </c>
      <c r="D119" s="10">
        <v>7</v>
      </c>
      <c r="E119" s="4">
        <v>0</v>
      </c>
    </row>
    <row r="120" spans="1:5" x14ac:dyDescent="0.3">
      <c r="A120" s="3" t="s">
        <v>208</v>
      </c>
      <c r="B120" s="10">
        <v>57</v>
      </c>
      <c r="C120" s="10">
        <v>5</v>
      </c>
      <c r="D120" s="10">
        <v>52</v>
      </c>
      <c r="E120" s="4">
        <v>8.771929824561403E-2</v>
      </c>
    </row>
    <row r="121" spans="1:5" x14ac:dyDescent="0.3">
      <c r="A121" s="2" t="s">
        <v>1193</v>
      </c>
      <c r="B121" s="10">
        <v>210.9</v>
      </c>
      <c r="C121" s="10">
        <v>28.725274725274726</v>
      </c>
      <c r="D121" s="10">
        <v>20585</v>
      </c>
      <c r="E121" s="4">
        <v>0.11267727057200741</v>
      </c>
    </row>
  </sheetData>
  <sheetProtection selectLockedCells="1" autoFilter="0" pivotTables="0" selectUnlockedCells="1"/>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3CE8-0744-48D0-BF55-4B43EA473EDE}">
  <sheetPr codeName="Sheet9">
    <tabColor rgb="FFF2F0F5"/>
  </sheetPr>
  <dimension ref="A1:K114"/>
  <sheetViews>
    <sheetView showGridLines="0" topLeftCell="A83" zoomScale="80" zoomScaleNormal="80" workbookViewId="0">
      <selection activeCell="I107" sqref="I107"/>
    </sheetView>
  </sheetViews>
  <sheetFormatPr defaultColWidth="0" defaultRowHeight="14.4" x14ac:dyDescent="0.3"/>
  <cols>
    <col min="1" max="1" width="42" bestFit="1" customWidth="1"/>
    <col min="2" max="2" width="21.21875" bestFit="1" customWidth="1"/>
    <col min="3" max="3" width="16.44140625" bestFit="1" customWidth="1"/>
    <col min="4" max="4" width="18.33203125" bestFit="1" customWidth="1"/>
    <col min="5" max="5" width="19.6640625" bestFit="1" customWidth="1"/>
    <col min="6" max="6" width="22.77734375" bestFit="1" customWidth="1"/>
    <col min="7" max="7" width="17.88671875" bestFit="1" customWidth="1"/>
    <col min="8" max="8" width="17.88671875" customWidth="1"/>
    <col min="9" max="11" width="8.88671875" customWidth="1"/>
    <col min="12" max="16384" width="8.88671875" hidden="1"/>
  </cols>
  <sheetData>
    <row r="1" spans="1:7" x14ac:dyDescent="0.3">
      <c r="A1" s="1" t="s">
        <v>1126</v>
      </c>
      <c r="B1" t="s">
        <v>14</v>
      </c>
    </row>
    <row r="2" spans="1:7" x14ac:dyDescent="0.3">
      <c r="A2" s="1" t="s">
        <v>1148</v>
      </c>
      <c r="B2" t="s">
        <v>1194</v>
      </c>
    </row>
    <row r="4" spans="1:7" x14ac:dyDescent="0.3">
      <c r="A4" s="1" t="s">
        <v>1192</v>
      </c>
      <c r="B4" t="s">
        <v>1133</v>
      </c>
      <c r="C4" t="s">
        <v>1134</v>
      </c>
      <c r="D4" t="s">
        <v>1135</v>
      </c>
      <c r="E4" t="s">
        <v>1174</v>
      </c>
      <c r="F4" t="s">
        <v>1136</v>
      </c>
      <c r="G4" t="s">
        <v>1137</v>
      </c>
    </row>
    <row r="5" spans="1:7" x14ac:dyDescent="0.3">
      <c r="A5" s="2" t="s">
        <v>17</v>
      </c>
      <c r="B5" s="10">
        <v>301</v>
      </c>
      <c r="C5" s="10">
        <v>132</v>
      </c>
      <c r="D5" s="10">
        <v>598</v>
      </c>
      <c r="E5" s="10">
        <v>146</v>
      </c>
      <c r="F5" s="10">
        <v>24</v>
      </c>
      <c r="G5" s="10">
        <v>52</v>
      </c>
    </row>
    <row r="6" spans="1:7" x14ac:dyDescent="0.3">
      <c r="A6" s="3" t="s">
        <v>99</v>
      </c>
      <c r="B6" s="10">
        <v>45</v>
      </c>
      <c r="C6" s="10">
        <v>10</v>
      </c>
      <c r="D6" s="10">
        <v>197</v>
      </c>
      <c r="E6" s="10">
        <v>35</v>
      </c>
      <c r="F6" s="10">
        <v>0</v>
      </c>
      <c r="G6" s="10">
        <v>5</v>
      </c>
    </row>
    <row r="7" spans="1:7" x14ac:dyDescent="0.3">
      <c r="A7" s="3" t="s">
        <v>101</v>
      </c>
      <c r="B7" s="10">
        <v>0</v>
      </c>
      <c r="C7" s="10">
        <v>0</v>
      </c>
      <c r="D7" s="10">
        <v>0</v>
      </c>
      <c r="E7" s="10">
        <v>0</v>
      </c>
      <c r="F7" s="10">
        <v>0</v>
      </c>
      <c r="G7" s="10">
        <v>0</v>
      </c>
    </row>
    <row r="8" spans="1:7" x14ac:dyDescent="0.3">
      <c r="A8" s="3" t="s">
        <v>103</v>
      </c>
      <c r="B8" s="10">
        <v>6</v>
      </c>
      <c r="C8" s="10">
        <v>4</v>
      </c>
      <c r="D8" s="10">
        <v>18</v>
      </c>
      <c r="E8" s="10">
        <v>2</v>
      </c>
      <c r="F8" s="10">
        <v>1</v>
      </c>
      <c r="G8" s="10">
        <v>3</v>
      </c>
    </row>
    <row r="9" spans="1:7" x14ac:dyDescent="0.3">
      <c r="A9" s="3" t="s">
        <v>105</v>
      </c>
      <c r="B9" s="10">
        <v>24</v>
      </c>
      <c r="C9" s="10">
        <v>20</v>
      </c>
      <c r="D9" s="10">
        <v>89</v>
      </c>
      <c r="E9" s="10">
        <v>35</v>
      </c>
      <c r="F9" s="10">
        <v>1</v>
      </c>
      <c r="G9" s="10">
        <v>4</v>
      </c>
    </row>
    <row r="10" spans="1:7" x14ac:dyDescent="0.3">
      <c r="A10" s="3" t="s">
        <v>13</v>
      </c>
      <c r="B10" s="10">
        <v>32</v>
      </c>
      <c r="C10" s="10">
        <v>15</v>
      </c>
      <c r="D10" s="10">
        <v>38</v>
      </c>
      <c r="E10" s="10">
        <v>10</v>
      </c>
      <c r="F10" s="10">
        <v>6</v>
      </c>
      <c r="G10" s="10">
        <v>14</v>
      </c>
    </row>
    <row r="11" spans="1:7" x14ac:dyDescent="0.3">
      <c r="A11" s="3" t="s">
        <v>107</v>
      </c>
      <c r="B11" s="10">
        <v>0</v>
      </c>
      <c r="C11" s="10">
        <v>0</v>
      </c>
      <c r="D11" s="10">
        <v>0</v>
      </c>
      <c r="E11" s="10">
        <v>0</v>
      </c>
      <c r="F11" s="10">
        <v>0</v>
      </c>
      <c r="G11" s="10">
        <v>0</v>
      </c>
    </row>
    <row r="12" spans="1:7" x14ac:dyDescent="0.3">
      <c r="A12" s="3" t="s">
        <v>109</v>
      </c>
      <c r="B12" s="10">
        <v>12</v>
      </c>
      <c r="C12" s="10">
        <v>1</v>
      </c>
      <c r="D12" s="10">
        <v>75</v>
      </c>
      <c r="E12" s="10">
        <v>15</v>
      </c>
      <c r="F12" s="10">
        <v>0</v>
      </c>
      <c r="G12" s="10">
        <v>0</v>
      </c>
    </row>
    <row r="13" spans="1:7" x14ac:dyDescent="0.3">
      <c r="A13" s="3" t="s">
        <v>195</v>
      </c>
      <c r="B13" s="10">
        <v>5</v>
      </c>
      <c r="C13" s="10">
        <v>50</v>
      </c>
      <c r="D13" s="10">
        <v>10</v>
      </c>
      <c r="E13" s="10">
        <v>0</v>
      </c>
      <c r="F13" s="10">
        <v>4</v>
      </c>
      <c r="G13" s="10">
        <v>0</v>
      </c>
    </row>
    <row r="14" spans="1:7" x14ac:dyDescent="0.3">
      <c r="A14" s="3" t="s">
        <v>111</v>
      </c>
      <c r="B14" s="10">
        <v>11</v>
      </c>
      <c r="C14" s="10">
        <v>2</v>
      </c>
      <c r="D14" s="10">
        <v>5</v>
      </c>
      <c r="E14" s="10">
        <v>4</v>
      </c>
      <c r="F14" s="10">
        <v>0</v>
      </c>
      <c r="G14" s="10">
        <v>0</v>
      </c>
    </row>
    <row r="15" spans="1:7" x14ac:dyDescent="0.3">
      <c r="A15" s="3" t="s">
        <v>113</v>
      </c>
      <c r="B15" s="10">
        <v>35</v>
      </c>
      <c r="C15" s="10">
        <v>12</v>
      </c>
      <c r="D15" s="10">
        <v>13</v>
      </c>
      <c r="E15" s="10">
        <v>0</v>
      </c>
      <c r="F15" s="10">
        <v>5</v>
      </c>
      <c r="G15" s="10">
        <v>8</v>
      </c>
    </row>
    <row r="16" spans="1:7" x14ac:dyDescent="0.3">
      <c r="A16" s="3" t="s">
        <v>115</v>
      </c>
      <c r="B16" s="10">
        <v>43</v>
      </c>
      <c r="C16" s="10">
        <v>1</v>
      </c>
      <c r="D16" s="10">
        <v>23</v>
      </c>
      <c r="E16" s="10">
        <v>0</v>
      </c>
      <c r="F16" s="10">
        <v>0</v>
      </c>
      <c r="G16" s="10">
        <v>10</v>
      </c>
    </row>
    <row r="17" spans="1:7" x14ac:dyDescent="0.3">
      <c r="A17" s="3" t="s">
        <v>83</v>
      </c>
      <c r="B17" s="10">
        <v>18</v>
      </c>
      <c r="C17" s="10">
        <v>7</v>
      </c>
      <c r="D17" s="10">
        <v>30</v>
      </c>
      <c r="E17" s="10">
        <v>25</v>
      </c>
      <c r="F17" s="10">
        <v>2</v>
      </c>
      <c r="G17" s="10">
        <v>3</v>
      </c>
    </row>
    <row r="18" spans="1:7" x14ac:dyDescent="0.3">
      <c r="A18" s="3" t="s">
        <v>117</v>
      </c>
      <c r="B18" s="10">
        <v>17</v>
      </c>
      <c r="C18" s="10">
        <v>2</v>
      </c>
      <c r="D18" s="10">
        <v>25</v>
      </c>
      <c r="E18" s="10">
        <v>7</v>
      </c>
      <c r="F18" s="10">
        <v>1</v>
      </c>
      <c r="G18" s="10">
        <v>2</v>
      </c>
    </row>
    <row r="19" spans="1:7" x14ac:dyDescent="0.3">
      <c r="A19" s="3" t="s">
        <v>119</v>
      </c>
      <c r="B19" s="10">
        <v>26</v>
      </c>
      <c r="C19" s="10">
        <v>3</v>
      </c>
      <c r="D19" s="10">
        <v>19</v>
      </c>
      <c r="E19" s="10">
        <v>2</v>
      </c>
      <c r="F19" s="10">
        <v>3</v>
      </c>
      <c r="G19" s="10">
        <v>3</v>
      </c>
    </row>
    <row r="20" spans="1:7" x14ac:dyDescent="0.3">
      <c r="A20" s="3" t="s">
        <v>121</v>
      </c>
      <c r="B20" s="10">
        <v>20</v>
      </c>
      <c r="C20" s="10">
        <v>2</v>
      </c>
      <c r="D20" s="10">
        <v>41</v>
      </c>
      <c r="E20" s="10">
        <v>9</v>
      </c>
      <c r="F20" s="10">
        <v>1</v>
      </c>
      <c r="G20" s="10">
        <v>0</v>
      </c>
    </row>
    <row r="21" spans="1:7" x14ac:dyDescent="0.3">
      <c r="A21" s="3" t="s">
        <v>123</v>
      </c>
      <c r="B21" s="10">
        <v>7</v>
      </c>
      <c r="C21" s="10">
        <v>3</v>
      </c>
      <c r="D21" s="10">
        <v>15</v>
      </c>
      <c r="E21" s="10">
        <v>2</v>
      </c>
      <c r="F21" s="10">
        <v>0</v>
      </c>
      <c r="G21" s="10">
        <v>0</v>
      </c>
    </row>
    <row r="22" spans="1:7" x14ac:dyDescent="0.3">
      <c r="A22" s="3" t="s">
        <v>128</v>
      </c>
      <c r="B22" s="10">
        <v>0</v>
      </c>
      <c r="C22" s="10">
        <v>0</v>
      </c>
      <c r="D22" s="10">
        <v>0</v>
      </c>
      <c r="E22" s="10">
        <v>0</v>
      </c>
      <c r="F22" s="10">
        <v>0</v>
      </c>
      <c r="G22" s="10">
        <v>0</v>
      </c>
    </row>
    <row r="23" spans="1:7" x14ac:dyDescent="0.3">
      <c r="A23" s="2" t="s">
        <v>194</v>
      </c>
      <c r="B23" s="10">
        <v>180</v>
      </c>
      <c r="C23" s="10">
        <v>55</v>
      </c>
      <c r="D23" s="10">
        <v>462</v>
      </c>
      <c r="E23" s="10">
        <v>54</v>
      </c>
      <c r="F23" s="10">
        <v>19</v>
      </c>
      <c r="G23" s="10">
        <v>26</v>
      </c>
    </row>
    <row r="24" spans="1:7" x14ac:dyDescent="0.3">
      <c r="A24" s="3" t="s">
        <v>222</v>
      </c>
      <c r="B24" s="10">
        <v>17</v>
      </c>
      <c r="C24" s="10">
        <v>12</v>
      </c>
      <c r="D24" s="10">
        <v>81</v>
      </c>
      <c r="E24" s="10">
        <v>21</v>
      </c>
      <c r="F24" s="10">
        <v>2</v>
      </c>
      <c r="G24" s="10">
        <v>7</v>
      </c>
    </row>
    <row r="25" spans="1:7" x14ac:dyDescent="0.3">
      <c r="A25" s="3" t="s">
        <v>278</v>
      </c>
      <c r="B25" s="10">
        <v>0</v>
      </c>
      <c r="C25" s="10">
        <v>0</v>
      </c>
      <c r="D25" s="10">
        <v>0</v>
      </c>
      <c r="E25" s="10">
        <v>0</v>
      </c>
      <c r="F25" s="10">
        <v>0</v>
      </c>
      <c r="G25" s="10">
        <v>0</v>
      </c>
    </row>
    <row r="26" spans="1:7" x14ac:dyDescent="0.3">
      <c r="A26" s="3" t="s">
        <v>188</v>
      </c>
      <c r="B26" s="10">
        <v>30</v>
      </c>
      <c r="C26" s="10">
        <v>10</v>
      </c>
      <c r="D26" s="10">
        <v>130</v>
      </c>
      <c r="E26" s="10">
        <v>21</v>
      </c>
      <c r="F26" s="10">
        <v>1</v>
      </c>
      <c r="G26" s="10">
        <v>8</v>
      </c>
    </row>
    <row r="27" spans="1:7" x14ac:dyDescent="0.3">
      <c r="A27" s="3" t="s">
        <v>272</v>
      </c>
      <c r="B27" s="10">
        <v>16</v>
      </c>
      <c r="C27" s="10">
        <v>12</v>
      </c>
      <c r="D27" s="10">
        <v>10</v>
      </c>
      <c r="E27" s="10">
        <v>0</v>
      </c>
      <c r="F27" s="10">
        <v>6</v>
      </c>
      <c r="G27" s="10">
        <v>4</v>
      </c>
    </row>
    <row r="28" spans="1:7" x14ac:dyDescent="0.3">
      <c r="A28" s="3" t="s">
        <v>246</v>
      </c>
      <c r="B28" s="10">
        <v>20</v>
      </c>
      <c r="C28" s="10">
        <v>2</v>
      </c>
      <c r="D28" s="10">
        <v>123</v>
      </c>
      <c r="E28" s="10">
        <v>3</v>
      </c>
      <c r="F28" s="10">
        <v>1</v>
      </c>
      <c r="G28" s="10">
        <v>0</v>
      </c>
    </row>
    <row r="29" spans="1:7" x14ac:dyDescent="0.3">
      <c r="A29" s="3" t="s">
        <v>254</v>
      </c>
      <c r="B29" s="10">
        <v>15</v>
      </c>
      <c r="C29" s="10">
        <v>0</v>
      </c>
      <c r="D29" s="10">
        <v>23</v>
      </c>
      <c r="E29" s="10">
        <v>5</v>
      </c>
      <c r="F29" s="10">
        <v>0</v>
      </c>
      <c r="G29" s="10">
        <v>0</v>
      </c>
    </row>
    <row r="30" spans="1:7" x14ac:dyDescent="0.3">
      <c r="A30" s="3" t="s">
        <v>270</v>
      </c>
      <c r="B30" s="10">
        <v>0</v>
      </c>
      <c r="C30" s="10">
        <v>0</v>
      </c>
      <c r="D30" s="10">
        <v>0</v>
      </c>
      <c r="E30" s="10">
        <v>0</v>
      </c>
      <c r="F30" s="10">
        <v>0</v>
      </c>
      <c r="G30" s="10">
        <v>0</v>
      </c>
    </row>
    <row r="31" spans="1:7" x14ac:dyDescent="0.3">
      <c r="A31" s="3" t="s">
        <v>248</v>
      </c>
      <c r="B31" s="10">
        <v>0</v>
      </c>
      <c r="C31" s="10">
        <v>0</v>
      </c>
      <c r="D31" s="10">
        <v>0</v>
      </c>
      <c r="E31" s="10">
        <v>0</v>
      </c>
      <c r="F31" s="10">
        <v>0</v>
      </c>
      <c r="G31" s="10">
        <v>0</v>
      </c>
    </row>
    <row r="32" spans="1:7" x14ac:dyDescent="0.3">
      <c r="A32" s="3" t="s">
        <v>290</v>
      </c>
      <c r="B32" s="10">
        <v>65</v>
      </c>
      <c r="C32" s="10">
        <v>0</v>
      </c>
      <c r="D32" s="10">
        <v>14</v>
      </c>
      <c r="E32" s="10">
        <v>1</v>
      </c>
      <c r="F32" s="10">
        <v>0</v>
      </c>
      <c r="G32" s="10">
        <v>0</v>
      </c>
    </row>
    <row r="33" spans="1:7" x14ac:dyDescent="0.3">
      <c r="A33" s="3" t="s">
        <v>250</v>
      </c>
      <c r="B33" s="10">
        <v>13</v>
      </c>
      <c r="C33" s="10">
        <v>2</v>
      </c>
      <c r="D33" s="10">
        <v>74</v>
      </c>
      <c r="E33" s="10">
        <v>3</v>
      </c>
      <c r="F33" s="10">
        <v>0</v>
      </c>
      <c r="G33" s="10">
        <v>0</v>
      </c>
    </row>
    <row r="34" spans="1:7" x14ac:dyDescent="0.3">
      <c r="A34" s="3" t="s">
        <v>1200</v>
      </c>
      <c r="B34" s="10">
        <v>4</v>
      </c>
      <c r="C34" s="10">
        <v>17</v>
      </c>
      <c r="D34" s="10">
        <v>7</v>
      </c>
      <c r="E34" s="10">
        <v>0</v>
      </c>
      <c r="F34" s="10">
        <v>9</v>
      </c>
      <c r="G34" s="10">
        <v>7</v>
      </c>
    </row>
    <row r="35" spans="1:7" x14ac:dyDescent="0.3">
      <c r="A35" s="2" t="s">
        <v>175</v>
      </c>
      <c r="B35" s="10">
        <v>610</v>
      </c>
      <c r="C35" s="10">
        <v>5</v>
      </c>
      <c r="D35" s="10">
        <v>997</v>
      </c>
      <c r="E35" s="10">
        <v>203</v>
      </c>
      <c r="F35" s="10">
        <v>0</v>
      </c>
      <c r="G35" s="10">
        <v>5</v>
      </c>
    </row>
    <row r="36" spans="1:7" x14ac:dyDescent="0.3">
      <c r="A36" s="3" t="s">
        <v>173</v>
      </c>
      <c r="B36" s="10">
        <v>100</v>
      </c>
      <c r="C36" s="10">
        <v>5</v>
      </c>
      <c r="D36" s="10">
        <v>180</v>
      </c>
      <c r="E36" s="10">
        <v>90</v>
      </c>
      <c r="F36" s="10">
        <v>0</v>
      </c>
      <c r="G36" s="10">
        <v>5</v>
      </c>
    </row>
    <row r="37" spans="1:7" x14ac:dyDescent="0.3">
      <c r="A37" s="3" t="s">
        <v>176</v>
      </c>
      <c r="B37" s="10">
        <v>100</v>
      </c>
      <c r="C37" s="10">
        <v>0</v>
      </c>
      <c r="D37" s="10">
        <v>448</v>
      </c>
      <c r="E37" s="10">
        <v>70</v>
      </c>
      <c r="F37" s="10">
        <v>0</v>
      </c>
      <c r="G37" s="10">
        <v>0</v>
      </c>
    </row>
    <row r="38" spans="1:7" x14ac:dyDescent="0.3">
      <c r="A38" s="3" t="s">
        <v>178</v>
      </c>
      <c r="B38" s="10">
        <v>205</v>
      </c>
      <c r="C38" s="10">
        <v>0</v>
      </c>
      <c r="D38" s="10">
        <v>305</v>
      </c>
      <c r="E38" s="10">
        <v>18</v>
      </c>
      <c r="F38" s="10">
        <v>0</v>
      </c>
      <c r="G38" s="10">
        <v>0</v>
      </c>
    </row>
    <row r="39" spans="1:7" x14ac:dyDescent="0.3">
      <c r="A39" s="3" t="s">
        <v>180</v>
      </c>
      <c r="B39" s="10">
        <v>85</v>
      </c>
      <c r="C39" s="10">
        <v>0</v>
      </c>
      <c r="D39" s="10">
        <v>33</v>
      </c>
      <c r="E39" s="10">
        <v>10</v>
      </c>
      <c r="F39" s="10">
        <v>0</v>
      </c>
      <c r="G39" s="10">
        <v>0</v>
      </c>
    </row>
    <row r="40" spans="1:7" x14ac:dyDescent="0.3">
      <c r="A40" s="3" t="s">
        <v>186</v>
      </c>
      <c r="B40" s="10">
        <v>80</v>
      </c>
      <c r="C40" s="10">
        <v>0</v>
      </c>
      <c r="D40" s="10">
        <v>16</v>
      </c>
      <c r="E40" s="10">
        <v>5</v>
      </c>
      <c r="F40" s="10">
        <v>0</v>
      </c>
      <c r="G40" s="10">
        <v>0</v>
      </c>
    </row>
    <row r="41" spans="1:7" x14ac:dyDescent="0.3">
      <c r="A41" s="3" t="s">
        <v>182</v>
      </c>
      <c r="B41" s="10">
        <v>40</v>
      </c>
      <c r="C41" s="10">
        <v>0</v>
      </c>
      <c r="D41" s="10">
        <v>15</v>
      </c>
      <c r="E41" s="10">
        <v>10</v>
      </c>
      <c r="F41" s="10">
        <v>0</v>
      </c>
      <c r="G41" s="10">
        <v>0</v>
      </c>
    </row>
    <row r="42" spans="1:7" x14ac:dyDescent="0.3">
      <c r="A42" s="3" t="s">
        <v>184</v>
      </c>
      <c r="B42" s="10">
        <v>0</v>
      </c>
      <c r="C42" s="10">
        <v>0</v>
      </c>
      <c r="D42" s="10">
        <v>0</v>
      </c>
      <c r="E42" s="10">
        <v>0</v>
      </c>
      <c r="F42" s="10">
        <v>0</v>
      </c>
      <c r="G42" s="10">
        <v>0</v>
      </c>
    </row>
    <row r="43" spans="1:7" x14ac:dyDescent="0.3">
      <c r="A43" s="2" t="s">
        <v>20</v>
      </c>
      <c r="B43" s="10">
        <v>1421</v>
      </c>
      <c r="C43" s="10">
        <v>269</v>
      </c>
      <c r="D43" s="10">
        <v>2821</v>
      </c>
      <c r="E43" s="10">
        <v>806</v>
      </c>
      <c r="F43" s="10">
        <v>51</v>
      </c>
      <c r="G43" s="10">
        <v>163</v>
      </c>
    </row>
    <row r="44" spans="1:7" x14ac:dyDescent="0.3">
      <c r="A44" s="3" t="s">
        <v>89</v>
      </c>
      <c r="B44" s="10">
        <v>0</v>
      </c>
      <c r="C44" s="10">
        <v>0</v>
      </c>
      <c r="D44" s="10">
        <v>0</v>
      </c>
      <c r="E44" s="10">
        <v>0</v>
      </c>
      <c r="F44" s="10">
        <v>0</v>
      </c>
      <c r="G44" s="10">
        <v>0</v>
      </c>
    </row>
    <row r="45" spans="1:7" x14ac:dyDescent="0.3">
      <c r="A45" s="3" t="s">
        <v>65</v>
      </c>
      <c r="B45" s="10">
        <v>0</v>
      </c>
      <c r="C45" s="10">
        <v>0</v>
      </c>
      <c r="D45" s="10">
        <v>0</v>
      </c>
      <c r="E45" s="10">
        <v>0</v>
      </c>
      <c r="F45" s="10">
        <v>0</v>
      </c>
      <c r="G45" s="10">
        <v>0</v>
      </c>
    </row>
    <row r="46" spans="1:7" x14ac:dyDescent="0.3">
      <c r="A46" s="3" t="s">
        <v>97</v>
      </c>
      <c r="B46" s="10">
        <v>60</v>
      </c>
      <c r="C46" s="10">
        <v>30</v>
      </c>
      <c r="D46" s="10">
        <v>90</v>
      </c>
      <c r="E46" s="10">
        <v>0</v>
      </c>
      <c r="F46" s="10">
        <v>15</v>
      </c>
      <c r="G46" s="10">
        <v>15</v>
      </c>
    </row>
    <row r="47" spans="1:7" x14ac:dyDescent="0.3">
      <c r="A47" s="3" t="s">
        <v>91</v>
      </c>
      <c r="B47" s="10">
        <v>0</v>
      </c>
      <c r="C47" s="10">
        <v>0</v>
      </c>
      <c r="D47" s="10">
        <v>0</v>
      </c>
      <c r="E47" s="10">
        <v>0</v>
      </c>
      <c r="F47" s="10">
        <v>0</v>
      </c>
      <c r="G47" s="10">
        <v>0</v>
      </c>
    </row>
    <row r="48" spans="1:7" x14ac:dyDescent="0.3">
      <c r="A48" s="3" t="s">
        <v>18</v>
      </c>
      <c r="B48" s="10">
        <v>45</v>
      </c>
      <c r="C48" s="10">
        <v>1</v>
      </c>
      <c r="D48" s="10">
        <v>56</v>
      </c>
      <c r="E48" s="10">
        <v>0</v>
      </c>
      <c r="F48" s="10">
        <v>1</v>
      </c>
      <c r="G48" s="10">
        <v>4</v>
      </c>
    </row>
    <row r="49" spans="1:7" x14ac:dyDescent="0.3">
      <c r="A49" s="3" t="s">
        <v>21</v>
      </c>
      <c r="B49" s="10">
        <v>33</v>
      </c>
      <c r="C49" s="10">
        <v>10</v>
      </c>
      <c r="D49" s="10">
        <v>63</v>
      </c>
      <c r="E49" s="10">
        <v>0</v>
      </c>
      <c r="F49" s="10">
        <v>1</v>
      </c>
      <c r="G49" s="10">
        <v>10</v>
      </c>
    </row>
    <row r="50" spans="1:7" x14ac:dyDescent="0.3">
      <c r="A50" s="3" t="s">
        <v>35</v>
      </c>
      <c r="B50" s="10">
        <v>14</v>
      </c>
      <c r="C50" s="10">
        <v>0</v>
      </c>
      <c r="D50" s="10">
        <v>28</v>
      </c>
      <c r="E50" s="10">
        <v>7</v>
      </c>
      <c r="F50" s="10">
        <v>0</v>
      </c>
      <c r="G50" s="10">
        <v>1</v>
      </c>
    </row>
    <row r="51" spans="1:7" x14ac:dyDescent="0.3">
      <c r="A51" s="3" t="s">
        <v>33</v>
      </c>
      <c r="B51" s="10">
        <v>24</v>
      </c>
      <c r="C51" s="10">
        <v>31</v>
      </c>
      <c r="D51" s="10">
        <v>51</v>
      </c>
      <c r="E51" s="10">
        <v>0</v>
      </c>
      <c r="F51" s="10">
        <v>6</v>
      </c>
      <c r="G51" s="10">
        <v>3</v>
      </c>
    </row>
    <row r="52" spans="1:7" x14ac:dyDescent="0.3">
      <c r="A52" s="3" t="s">
        <v>37</v>
      </c>
      <c r="B52" s="10">
        <v>65</v>
      </c>
      <c r="C52" s="10">
        <v>1</v>
      </c>
      <c r="D52" s="10">
        <v>157</v>
      </c>
      <c r="E52" s="10">
        <v>79</v>
      </c>
      <c r="F52" s="10">
        <v>1</v>
      </c>
      <c r="G52" s="10">
        <v>0</v>
      </c>
    </row>
    <row r="53" spans="1:7" x14ac:dyDescent="0.3">
      <c r="A53" s="3" t="s">
        <v>95</v>
      </c>
      <c r="B53" s="10">
        <v>0</v>
      </c>
      <c r="C53" s="10">
        <v>0</v>
      </c>
      <c r="D53" s="10">
        <v>0</v>
      </c>
      <c r="E53" s="10">
        <v>0</v>
      </c>
      <c r="F53" s="10">
        <v>0</v>
      </c>
      <c r="G53" s="10">
        <v>0</v>
      </c>
    </row>
    <row r="54" spans="1:7" x14ac:dyDescent="0.3">
      <c r="A54" s="3" t="s">
        <v>39</v>
      </c>
      <c r="B54" s="10">
        <v>0</v>
      </c>
      <c r="C54" s="10">
        <v>0</v>
      </c>
      <c r="D54" s="10">
        <v>0</v>
      </c>
      <c r="E54" s="10">
        <v>0</v>
      </c>
      <c r="F54" s="10">
        <v>0</v>
      </c>
      <c r="G54" s="10">
        <v>0</v>
      </c>
    </row>
    <row r="55" spans="1:7" x14ac:dyDescent="0.3">
      <c r="A55" s="3" t="s">
        <v>41</v>
      </c>
      <c r="B55" s="10">
        <v>194</v>
      </c>
      <c r="C55" s="10">
        <v>0</v>
      </c>
      <c r="D55" s="10">
        <v>159</v>
      </c>
      <c r="E55" s="10">
        <v>6</v>
      </c>
      <c r="F55" s="10">
        <v>0</v>
      </c>
      <c r="G55" s="10">
        <v>4</v>
      </c>
    </row>
    <row r="56" spans="1:7" x14ac:dyDescent="0.3">
      <c r="A56" s="3" t="s">
        <v>43</v>
      </c>
      <c r="B56" s="10">
        <v>20</v>
      </c>
      <c r="C56" s="10">
        <v>10</v>
      </c>
      <c r="D56" s="10">
        <v>30</v>
      </c>
      <c r="E56" s="10">
        <v>0</v>
      </c>
      <c r="F56" s="10">
        <v>5</v>
      </c>
      <c r="G56" s="10">
        <v>5</v>
      </c>
    </row>
    <row r="57" spans="1:7" x14ac:dyDescent="0.3">
      <c r="A57" s="3" t="s">
        <v>45</v>
      </c>
      <c r="B57" s="10">
        <v>52</v>
      </c>
      <c r="C57" s="10">
        <v>0</v>
      </c>
      <c r="D57" s="10">
        <v>23</v>
      </c>
      <c r="E57" s="10">
        <v>20</v>
      </c>
      <c r="F57" s="10">
        <v>0</v>
      </c>
      <c r="G57" s="10">
        <v>0</v>
      </c>
    </row>
    <row r="58" spans="1:7" x14ac:dyDescent="0.3">
      <c r="A58" s="3" t="s">
        <v>23</v>
      </c>
      <c r="B58" s="10">
        <v>29</v>
      </c>
      <c r="C58" s="10">
        <v>2</v>
      </c>
      <c r="D58" s="10">
        <v>41</v>
      </c>
      <c r="E58" s="10">
        <v>9</v>
      </c>
      <c r="F58" s="10">
        <v>0</v>
      </c>
      <c r="G58" s="10">
        <v>1</v>
      </c>
    </row>
    <row r="59" spans="1:7" x14ac:dyDescent="0.3">
      <c r="A59" s="3" t="s">
        <v>25</v>
      </c>
      <c r="B59" s="10">
        <v>75</v>
      </c>
      <c r="C59" s="10">
        <v>5</v>
      </c>
      <c r="D59" s="10">
        <v>160</v>
      </c>
      <c r="E59" s="10">
        <v>74</v>
      </c>
      <c r="F59" s="10">
        <v>0</v>
      </c>
      <c r="G59" s="10">
        <v>1</v>
      </c>
    </row>
    <row r="60" spans="1:7" x14ac:dyDescent="0.3">
      <c r="A60" s="3" t="s">
        <v>27</v>
      </c>
      <c r="B60" s="10">
        <v>5</v>
      </c>
      <c r="C60" s="10">
        <v>6</v>
      </c>
      <c r="D60" s="10">
        <v>18</v>
      </c>
      <c r="E60" s="10">
        <v>24</v>
      </c>
      <c r="F60" s="10">
        <v>0</v>
      </c>
      <c r="G60" s="10">
        <v>1</v>
      </c>
    </row>
    <row r="61" spans="1:7" x14ac:dyDescent="0.3">
      <c r="A61" s="3" t="s">
        <v>29</v>
      </c>
      <c r="B61" s="10">
        <v>40</v>
      </c>
      <c r="C61" s="10">
        <v>8</v>
      </c>
      <c r="D61" s="10">
        <v>122</v>
      </c>
      <c r="E61" s="10">
        <v>40</v>
      </c>
      <c r="F61" s="10">
        <v>3</v>
      </c>
      <c r="G61" s="10">
        <v>7</v>
      </c>
    </row>
    <row r="62" spans="1:7" x14ac:dyDescent="0.3">
      <c r="A62" s="3" t="s">
        <v>31</v>
      </c>
      <c r="B62" s="10">
        <v>32</v>
      </c>
      <c r="C62" s="10">
        <v>4</v>
      </c>
      <c r="D62" s="10">
        <v>42</v>
      </c>
      <c r="E62" s="10">
        <v>8</v>
      </c>
      <c r="F62" s="10">
        <v>0</v>
      </c>
      <c r="G62" s="10">
        <v>2</v>
      </c>
    </row>
    <row r="63" spans="1:7" x14ac:dyDescent="0.3">
      <c r="A63" s="3" t="s">
        <v>47</v>
      </c>
      <c r="B63" s="10">
        <v>45</v>
      </c>
      <c r="C63" s="10">
        <v>0</v>
      </c>
      <c r="D63" s="10">
        <v>17</v>
      </c>
      <c r="E63" s="10">
        <v>0</v>
      </c>
      <c r="F63" s="10">
        <v>0</v>
      </c>
      <c r="G63" s="10">
        <v>4</v>
      </c>
    </row>
    <row r="64" spans="1:7" x14ac:dyDescent="0.3">
      <c r="A64" s="3" t="s">
        <v>49</v>
      </c>
      <c r="B64" s="10">
        <v>28</v>
      </c>
      <c r="C64" s="10">
        <v>0</v>
      </c>
      <c r="D64" s="10">
        <v>22</v>
      </c>
      <c r="E64" s="10">
        <v>6</v>
      </c>
      <c r="F64" s="10">
        <v>0</v>
      </c>
      <c r="G64" s="10">
        <v>4</v>
      </c>
    </row>
    <row r="65" spans="1:7" x14ac:dyDescent="0.3">
      <c r="A65" s="3" t="s">
        <v>51</v>
      </c>
      <c r="B65" s="10">
        <v>15</v>
      </c>
      <c r="C65" s="10">
        <v>10</v>
      </c>
      <c r="D65" s="10">
        <v>75</v>
      </c>
      <c r="E65" s="10">
        <v>20</v>
      </c>
      <c r="F65" s="10">
        <v>2</v>
      </c>
      <c r="G65" s="10">
        <v>8</v>
      </c>
    </row>
    <row r="66" spans="1:7" x14ac:dyDescent="0.3">
      <c r="A66" s="3" t="s">
        <v>53</v>
      </c>
      <c r="B66" s="10">
        <v>25</v>
      </c>
      <c r="C66" s="10">
        <v>0</v>
      </c>
      <c r="D66" s="10">
        <v>27</v>
      </c>
      <c r="E66" s="10">
        <v>4</v>
      </c>
      <c r="F66" s="10">
        <v>0</v>
      </c>
      <c r="G66" s="10">
        <v>3</v>
      </c>
    </row>
    <row r="67" spans="1:7" x14ac:dyDescent="0.3">
      <c r="A67" s="3" t="s">
        <v>55</v>
      </c>
      <c r="B67" s="10">
        <v>40</v>
      </c>
      <c r="C67" s="10">
        <v>1</v>
      </c>
      <c r="D67" s="10">
        <v>27</v>
      </c>
      <c r="E67" s="10">
        <v>0</v>
      </c>
      <c r="F67" s="10">
        <v>1</v>
      </c>
      <c r="G67" s="10">
        <v>7</v>
      </c>
    </row>
    <row r="68" spans="1:7" x14ac:dyDescent="0.3">
      <c r="A68" s="3" t="s">
        <v>57</v>
      </c>
      <c r="B68" s="10">
        <v>17</v>
      </c>
      <c r="C68" s="10">
        <v>1</v>
      </c>
      <c r="D68" s="10">
        <v>19</v>
      </c>
      <c r="E68" s="10">
        <v>0</v>
      </c>
      <c r="F68" s="10">
        <v>1</v>
      </c>
      <c r="G68" s="10">
        <v>4</v>
      </c>
    </row>
    <row r="69" spans="1:7" x14ac:dyDescent="0.3">
      <c r="A69" s="3" t="s">
        <v>59</v>
      </c>
      <c r="B69" s="10">
        <v>15</v>
      </c>
      <c r="C69" s="10">
        <v>1</v>
      </c>
      <c r="D69" s="10">
        <v>58</v>
      </c>
      <c r="E69" s="10">
        <v>18</v>
      </c>
      <c r="F69" s="10">
        <v>0</v>
      </c>
      <c r="G69" s="10">
        <v>2</v>
      </c>
    </row>
    <row r="70" spans="1:7" x14ac:dyDescent="0.3">
      <c r="A70" s="3" t="s">
        <v>85</v>
      </c>
      <c r="B70" s="10">
        <v>35</v>
      </c>
      <c r="C70" s="10">
        <v>0</v>
      </c>
      <c r="D70" s="10">
        <v>24</v>
      </c>
      <c r="E70" s="10">
        <v>22</v>
      </c>
      <c r="F70" s="10">
        <v>0</v>
      </c>
      <c r="G70" s="10">
        <v>2</v>
      </c>
    </row>
    <row r="71" spans="1:7" x14ac:dyDescent="0.3">
      <c r="A71" s="3" t="s">
        <v>63</v>
      </c>
      <c r="B71" s="10">
        <v>16</v>
      </c>
      <c r="C71" s="10">
        <v>8</v>
      </c>
      <c r="D71" s="10">
        <v>35</v>
      </c>
      <c r="E71" s="10">
        <v>15</v>
      </c>
      <c r="F71" s="10">
        <v>1</v>
      </c>
      <c r="G71" s="10">
        <v>0</v>
      </c>
    </row>
    <row r="72" spans="1:7" x14ac:dyDescent="0.3">
      <c r="A72" s="3" t="s">
        <v>87</v>
      </c>
      <c r="B72" s="10">
        <v>25</v>
      </c>
      <c r="C72" s="10">
        <v>3</v>
      </c>
      <c r="D72" s="10">
        <v>37</v>
      </c>
      <c r="E72" s="10">
        <v>27</v>
      </c>
      <c r="F72" s="10">
        <v>1</v>
      </c>
      <c r="G72" s="10">
        <v>12</v>
      </c>
    </row>
    <row r="73" spans="1:7" x14ac:dyDescent="0.3">
      <c r="A73" s="3" t="s">
        <v>61</v>
      </c>
      <c r="B73" s="10">
        <v>40</v>
      </c>
      <c r="C73" s="10">
        <v>0</v>
      </c>
      <c r="D73" s="10">
        <v>17</v>
      </c>
      <c r="E73" s="10">
        <v>5</v>
      </c>
      <c r="F73" s="10">
        <v>0</v>
      </c>
      <c r="G73" s="10">
        <v>0</v>
      </c>
    </row>
    <row r="74" spans="1:7" x14ac:dyDescent="0.3">
      <c r="A74" s="3" t="s">
        <v>93</v>
      </c>
      <c r="B74" s="10">
        <v>0</v>
      </c>
      <c r="C74" s="10">
        <v>0</v>
      </c>
      <c r="D74" s="10">
        <v>0</v>
      </c>
      <c r="E74" s="10">
        <v>0</v>
      </c>
      <c r="F74" s="10">
        <v>0</v>
      </c>
      <c r="G74" s="10">
        <v>0</v>
      </c>
    </row>
    <row r="75" spans="1:7" x14ac:dyDescent="0.3">
      <c r="A75" s="3" t="s">
        <v>69</v>
      </c>
      <c r="B75" s="10">
        <v>100</v>
      </c>
      <c r="C75" s="10">
        <v>25</v>
      </c>
      <c r="D75" s="10">
        <v>435</v>
      </c>
      <c r="E75" s="10">
        <v>245</v>
      </c>
      <c r="F75" s="10">
        <v>0</v>
      </c>
      <c r="G75" s="10">
        <v>5</v>
      </c>
    </row>
    <row r="76" spans="1:7" x14ac:dyDescent="0.3">
      <c r="A76" s="3" t="s">
        <v>71</v>
      </c>
      <c r="B76" s="10">
        <v>40</v>
      </c>
      <c r="C76" s="10">
        <v>45</v>
      </c>
      <c r="D76" s="10">
        <v>90</v>
      </c>
      <c r="E76" s="10">
        <v>0</v>
      </c>
      <c r="F76" s="10">
        <v>5</v>
      </c>
      <c r="G76" s="10">
        <v>20</v>
      </c>
    </row>
    <row r="77" spans="1:7" x14ac:dyDescent="0.3">
      <c r="A77" s="3" t="s">
        <v>81</v>
      </c>
      <c r="B77" s="10">
        <v>0</v>
      </c>
      <c r="C77" s="10">
        <v>0</v>
      </c>
      <c r="D77" s="10">
        <v>0</v>
      </c>
      <c r="E77" s="10">
        <v>0</v>
      </c>
      <c r="F77" s="10">
        <v>0</v>
      </c>
      <c r="G77" s="10">
        <v>0</v>
      </c>
    </row>
    <row r="78" spans="1:7" x14ac:dyDescent="0.3">
      <c r="A78" s="3" t="s">
        <v>298</v>
      </c>
      <c r="B78" s="10">
        <v>0</v>
      </c>
      <c r="C78" s="10">
        <v>0</v>
      </c>
      <c r="D78" s="10">
        <v>0</v>
      </c>
      <c r="E78" s="10">
        <v>0</v>
      </c>
      <c r="F78" s="10">
        <v>0</v>
      </c>
      <c r="G78" s="10">
        <v>0</v>
      </c>
    </row>
    <row r="79" spans="1:7" x14ac:dyDescent="0.3">
      <c r="A79" s="3" t="s">
        <v>73</v>
      </c>
      <c r="B79" s="10">
        <v>30</v>
      </c>
      <c r="C79" s="10">
        <v>2</v>
      </c>
      <c r="D79" s="10">
        <v>90</v>
      </c>
      <c r="E79" s="10">
        <v>10</v>
      </c>
      <c r="F79" s="10">
        <v>0</v>
      </c>
      <c r="G79" s="10">
        <v>10</v>
      </c>
    </row>
    <row r="80" spans="1:7" x14ac:dyDescent="0.3">
      <c r="A80" s="3" t="s">
        <v>75</v>
      </c>
      <c r="B80" s="10">
        <v>50</v>
      </c>
      <c r="C80" s="10">
        <v>30</v>
      </c>
      <c r="D80" s="10">
        <v>300</v>
      </c>
      <c r="E80" s="10">
        <v>90</v>
      </c>
      <c r="F80" s="10">
        <v>0</v>
      </c>
      <c r="G80" s="10">
        <v>10</v>
      </c>
    </row>
    <row r="81" spans="1:7" x14ac:dyDescent="0.3">
      <c r="A81" s="3" t="s">
        <v>77</v>
      </c>
      <c r="B81" s="10">
        <v>100</v>
      </c>
      <c r="C81" s="10">
        <v>20</v>
      </c>
      <c r="D81" s="10">
        <v>300</v>
      </c>
      <c r="E81" s="10">
        <v>35</v>
      </c>
      <c r="F81" s="10">
        <v>5</v>
      </c>
      <c r="G81" s="10">
        <v>10</v>
      </c>
    </row>
    <row r="82" spans="1:7" x14ac:dyDescent="0.3">
      <c r="A82" s="3" t="s">
        <v>79</v>
      </c>
      <c r="B82" s="10">
        <v>108</v>
      </c>
      <c r="C82" s="10">
        <v>10</v>
      </c>
      <c r="D82" s="10">
        <v>162</v>
      </c>
      <c r="E82" s="10">
        <v>42</v>
      </c>
      <c r="F82" s="10">
        <v>1</v>
      </c>
      <c r="G82" s="10">
        <v>7</v>
      </c>
    </row>
    <row r="83" spans="1:7" x14ac:dyDescent="0.3">
      <c r="A83" s="3" t="s">
        <v>1199</v>
      </c>
      <c r="B83" s="10">
        <v>4</v>
      </c>
      <c r="C83" s="10">
        <v>5</v>
      </c>
      <c r="D83" s="10">
        <v>46</v>
      </c>
      <c r="E83" s="10">
        <v>0</v>
      </c>
      <c r="F83" s="10">
        <v>2</v>
      </c>
      <c r="G83" s="10">
        <v>1</v>
      </c>
    </row>
    <row r="84" spans="1:7" x14ac:dyDescent="0.3">
      <c r="A84" s="2" t="s">
        <v>132</v>
      </c>
      <c r="B84" s="10">
        <v>1914</v>
      </c>
      <c r="C84" s="10">
        <v>1144</v>
      </c>
      <c r="D84" s="10">
        <v>8856</v>
      </c>
      <c r="E84" s="10">
        <v>671</v>
      </c>
      <c r="F84" s="10">
        <v>96</v>
      </c>
      <c r="G84" s="10">
        <v>324</v>
      </c>
    </row>
    <row r="85" spans="1:7" x14ac:dyDescent="0.3">
      <c r="A85" s="3" t="s">
        <v>130</v>
      </c>
      <c r="B85" s="10">
        <v>80</v>
      </c>
      <c r="C85" s="10">
        <v>25</v>
      </c>
      <c r="D85" s="10">
        <v>372</v>
      </c>
      <c r="E85" s="10">
        <v>10</v>
      </c>
      <c r="F85" s="10">
        <v>5</v>
      </c>
      <c r="G85" s="10">
        <v>15</v>
      </c>
    </row>
    <row r="86" spans="1:7" x14ac:dyDescent="0.3">
      <c r="A86" s="3" t="s">
        <v>133</v>
      </c>
      <c r="B86" s="10">
        <v>100</v>
      </c>
      <c r="C86" s="10">
        <v>46</v>
      </c>
      <c r="D86" s="10">
        <v>162</v>
      </c>
      <c r="E86" s="10">
        <v>5</v>
      </c>
      <c r="F86" s="10">
        <v>10</v>
      </c>
      <c r="G86" s="10">
        <v>10</v>
      </c>
    </row>
    <row r="87" spans="1:7" x14ac:dyDescent="0.3">
      <c r="A87" s="3" t="s">
        <v>135</v>
      </c>
      <c r="B87" s="10">
        <v>219</v>
      </c>
      <c r="C87" s="10">
        <v>1</v>
      </c>
      <c r="D87" s="10">
        <v>397</v>
      </c>
      <c r="E87" s="10">
        <v>56</v>
      </c>
      <c r="F87" s="10">
        <v>0</v>
      </c>
      <c r="G87" s="10">
        <v>0</v>
      </c>
    </row>
    <row r="88" spans="1:7" x14ac:dyDescent="0.3">
      <c r="A88" s="3" t="s">
        <v>137</v>
      </c>
      <c r="B88" s="10">
        <v>108</v>
      </c>
      <c r="C88" s="10">
        <v>36</v>
      </c>
      <c r="D88" s="10">
        <v>298</v>
      </c>
      <c r="E88" s="10">
        <v>0</v>
      </c>
      <c r="F88" s="10">
        <v>5</v>
      </c>
      <c r="G88" s="10">
        <v>10</v>
      </c>
    </row>
    <row r="89" spans="1:7" x14ac:dyDescent="0.3">
      <c r="A89" s="3" t="s">
        <v>139</v>
      </c>
      <c r="B89" s="10">
        <v>75</v>
      </c>
      <c r="C89" s="10">
        <v>14</v>
      </c>
      <c r="D89" s="10">
        <v>104</v>
      </c>
      <c r="E89" s="10">
        <v>0</v>
      </c>
      <c r="F89" s="10">
        <v>10</v>
      </c>
      <c r="G89" s="10">
        <v>20</v>
      </c>
    </row>
    <row r="90" spans="1:7" x14ac:dyDescent="0.3">
      <c r="A90" s="3" t="s">
        <v>141</v>
      </c>
      <c r="B90" s="10">
        <v>55</v>
      </c>
      <c r="C90" s="10">
        <v>30</v>
      </c>
      <c r="D90" s="10">
        <v>226</v>
      </c>
      <c r="E90" s="10">
        <v>23</v>
      </c>
      <c r="F90" s="10">
        <v>4</v>
      </c>
      <c r="G90" s="10">
        <v>23</v>
      </c>
    </row>
    <row r="91" spans="1:7" x14ac:dyDescent="0.3">
      <c r="A91" s="3" t="s">
        <v>143</v>
      </c>
      <c r="B91" s="10">
        <v>146</v>
      </c>
      <c r="C91" s="10">
        <v>40</v>
      </c>
      <c r="D91" s="10">
        <v>484</v>
      </c>
      <c r="E91" s="10">
        <v>89</v>
      </c>
      <c r="F91" s="10">
        <v>4</v>
      </c>
      <c r="G91" s="10">
        <v>7</v>
      </c>
    </row>
    <row r="92" spans="1:7" x14ac:dyDescent="0.3">
      <c r="A92" s="3" t="s">
        <v>145</v>
      </c>
      <c r="B92" s="10">
        <v>128</v>
      </c>
      <c r="C92" s="10">
        <v>62</v>
      </c>
      <c r="D92" s="10">
        <v>672</v>
      </c>
      <c r="E92" s="10">
        <v>73</v>
      </c>
      <c r="F92" s="10">
        <v>5</v>
      </c>
      <c r="G92" s="10">
        <v>22</v>
      </c>
    </row>
    <row r="93" spans="1:7" x14ac:dyDescent="0.3">
      <c r="A93" s="3" t="s">
        <v>147</v>
      </c>
      <c r="B93" s="10">
        <v>74</v>
      </c>
      <c r="C93" s="10">
        <v>50</v>
      </c>
      <c r="D93" s="10">
        <v>656</v>
      </c>
      <c r="E93" s="10">
        <v>76</v>
      </c>
      <c r="F93" s="10">
        <v>1</v>
      </c>
      <c r="G93" s="10">
        <v>73</v>
      </c>
    </row>
    <row r="94" spans="1:7" x14ac:dyDescent="0.3">
      <c r="A94" s="3" t="s">
        <v>171</v>
      </c>
      <c r="B94" s="10">
        <v>40</v>
      </c>
      <c r="C94" s="10">
        <v>20</v>
      </c>
      <c r="D94" s="10">
        <v>190</v>
      </c>
      <c r="E94" s="10">
        <v>55</v>
      </c>
      <c r="F94" s="10">
        <v>5</v>
      </c>
      <c r="G94" s="10">
        <v>20</v>
      </c>
    </row>
    <row r="95" spans="1:7" x14ac:dyDescent="0.3">
      <c r="A95" s="3" t="s">
        <v>149</v>
      </c>
      <c r="B95" s="10">
        <v>25</v>
      </c>
      <c r="C95" s="10">
        <v>18</v>
      </c>
      <c r="D95" s="10">
        <v>23</v>
      </c>
      <c r="E95" s="10">
        <v>0</v>
      </c>
      <c r="F95" s="10">
        <v>10</v>
      </c>
      <c r="G95" s="10">
        <v>10</v>
      </c>
    </row>
    <row r="96" spans="1:7" x14ac:dyDescent="0.3">
      <c r="A96" s="3" t="s">
        <v>151</v>
      </c>
      <c r="B96" s="10">
        <v>150</v>
      </c>
      <c r="C96" s="10">
        <v>200</v>
      </c>
      <c r="D96" s="10">
        <v>850</v>
      </c>
      <c r="E96" s="10">
        <v>70</v>
      </c>
      <c r="F96" s="10">
        <v>8</v>
      </c>
      <c r="G96" s="10">
        <v>12</v>
      </c>
    </row>
    <row r="97" spans="1:7" x14ac:dyDescent="0.3">
      <c r="A97" s="3" t="s">
        <v>153</v>
      </c>
      <c r="B97" s="10">
        <v>197</v>
      </c>
      <c r="C97" s="10">
        <v>292</v>
      </c>
      <c r="D97" s="10">
        <v>1016</v>
      </c>
      <c r="E97" s="10">
        <v>130</v>
      </c>
      <c r="F97" s="10">
        <v>10</v>
      </c>
      <c r="G97" s="10">
        <v>10</v>
      </c>
    </row>
    <row r="98" spans="1:7" x14ac:dyDescent="0.3">
      <c r="A98" s="3" t="s">
        <v>169</v>
      </c>
      <c r="B98" s="10">
        <v>0</v>
      </c>
      <c r="C98" s="10">
        <v>0</v>
      </c>
      <c r="D98" s="10">
        <v>0</v>
      </c>
      <c r="E98" s="10">
        <v>0</v>
      </c>
      <c r="F98" s="10">
        <v>0</v>
      </c>
      <c r="G98" s="10">
        <v>0</v>
      </c>
    </row>
    <row r="99" spans="1:7" x14ac:dyDescent="0.3">
      <c r="A99" s="3" t="s">
        <v>155</v>
      </c>
      <c r="B99" s="10">
        <v>11</v>
      </c>
      <c r="C99" s="10">
        <v>65</v>
      </c>
      <c r="D99" s="10">
        <v>222</v>
      </c>
      <c r="E99" s="10">
        <v>0</v>
      </c>
      <c r="F99" s="10">
        <v>4</v>
      </c>
      <c r="G99" s="10">
        <v>5</v>
      </c>
    </row>
    <row r="100" spans="1:7" x14ac:dyDescent="0.3">
      <c r="A100" s="3" t="s">
        <v>157</v>
      </c>
      <c r="B100" s="10">
        <v>0</v>
      </c>
      <c r="C100" s="10">
        <v>0</v>
      </c>
      <c r="D100" s="10">
        <v>0</v>
      </c>
      <c r="E100" s="10">
        <v>0</v>
      </c>
      <c r="F100" s="10">
        <v>0</v>
      </c>
      <c r="G100" s="10">
        <v>0</v>
      </c>
    </row>
    <row r="101" spans="1:7" x14ac:dyDescent="0.3">
      <c r="A101" s="3" t="s">
        <v>159</v>
      </c>
      <c r="B101" s="10">
        <v>128</v>
      </c>
      <c r="C101" s="10">
        <v>25</v>
      </c>
      <c r="D101" s="10">
        <v>302</v>
      </c>
      <c r="E101" s="10">
        <v>35</v>
      </c>
      <c r="F101" s="10">
        <v>2</v>
      </c>
      <c r="G101" s="10">
        <v>13</v>
      </c>
    </row>
    <row r="102" spans="1:7" x14ac:dyDescent="0.3">
      <c r="A102" s="3" t="s">
        <v>161</v>
      </c>
      <c r="B102" s="10">
        <v>149</v>
      </c>
      <c r="C102" s="10">
        <v>15</v>
      </c>
      <c r="D102" s="10">
        <v>436</v>
      </c>
      <c r="E102" s="10">
        <v>0</v>
      </c>
      <c r="F102" s="10">
        <v>2</v>
      </c>
      <c r="G102" s="10">
        <v>10</v>
      </c>
    </row>
    <row r="103" spans="1:7" x14ac:dyDescent="0.3">
      <c r="A103" s="3" t="s">
        <v>163</v>
      </c>
      <c r="B103" s="10">
        <v>77</v>
      </c>
      <c r="C103" s="10">
        <v>5</v>
      </c>
      <c r="D103" s="10">
        <v>738</v>
      </c>
      <c r="E103" s="10">
        <v>5</v>
      </c>
      <c r="F103" s="10">
        <v>1</v>
      </c>
      <c r="G103" s="10">
        <v>9</v>
      </c>
    </row>
    <row r="104" spans="1:7" x14ac:dyDescent="0.3">
      <c r="A104" s="3" t="s">
        <v>165</v>
      </c>
      <c r="B104" s="10">
        <v>120</v>
      </c>
      <c r="C104" s="10">
        <v>200</v>
      </c>
      <c r="D104" s="10">
        <v>1640</v>
      </c>
      <c r="E104" s="10">
        <v>4</v>
      </c>
      <c r="F104" s="10">
        <v>10</v>
      </c>
      <c r="G104" s="10">
        <v>35</v>
      </c>
    </row>
    <row r="105" spans="1:7" x14ac:dyDescent="0.3">
      <c r="A105" s="3" t="s">
        <v>167</v>
      </c>
      <c r="B105" s="10">
        <v>12</v>
      </c>
      <c r="C105" s="10">
        <v>0</v>
      </c>
      <c r="D105" s="10">
        <v>68</v>
      </c>
      <c r="E105" s="10">
        <v>40</v>
      </c>
      <c r="F105" s="10">
        <v>0</v>
      </c>
      <c r="G105" s="10">
        <v>0</v>
      </c>
    </row>
    <row r="106" spans="1:7" x14ac:dyDescent="0.3">
      <c r="A106" s="3" t="s">
        <v>276</v>
      </c>
      <c r="B106" s="10">
        <v>20</v>
      </c>
      <c r="C106" s="10">
        <v>0</v>
      </c>
      <c r="D106" s="10">
        <v>0</v>
      </c>
      <c r="E106" s="10">
        <v>0</v>
      </c>
      <c r="F106" s="10">
        <v>0</v>
      </c>
      <c r="G106" s="10">
        <v>20</v>
      </c>
    </row>
    <row r="107" spans="1:7" x14ac:dyDescent="0.3">
      <c r="A107" s="2" t="s">
        <v>199</v>
      </c>
      <c r="B107" s="10">
        <v>38</v>
      </c>
      <c r="C107" s="10">
        <v>248</v>
      </c>
      <c r="D107" s="10">
        <v>9</v>
      </c>
      <c r="E107" s="10">
        <v>0</v>
      </c>
      <c r="F107" s="10">
        <v>28</v>
      </c>
      <c r="G107" s="10">
        <v>6</v>
      </c>
    </row>
    <row r="108" spans="1:7" x14ac:dyDescent="0.3">
      <c r="A108" s="3" t="s">
        <v>296</v>
      </c>
      <c r="B108" s="10">
        <v>20</v>
      </c>
      <c r="C108" s="10">
        <v>200</v>
      </c>
      <c r="D108" s="10">
        <v>0</v>
      </c>
      <c r="E108" s="10">
        <v>0</v>
      </c>
      <c r="F108" s="10">
        <v>20</v>
      </c>
      <c r="G108" s="10">
        <v>5</v>
      </c>
    </row>
    <row r="109" spans="1:7" x14ac:dyDescent="0.3">
      <c r="A109" s="3" t="s">
        <v>190</v>
      </c>
      <c r="B109" s="10">
        <v>0</v>
      </c>
      <c r="C109" s="10">
        <v>0</v>
      </c>
      <c r="D109" s="10">
        <v>0</v>
      </c>
      <c r="E109" s="10">
        <v>0</v>
      </c>
      <c r="F109" s="10">
        <v>0</v>
      </c>
      <c r="G109" s="10">
        <v>0</v>
      </c>
    </row>
    <row r="110" spans="1:7" x14ac:dyDescent="0.3">
      <c r="A110" s="3" t="s">
        <v>202</v>
      </c>
      <c r="B110" s="10">
        <v>0</v>
      </c>
      <c r="C110" s="10">
        <v>0</v>
      </c>
      <c r="D110" s="10">
        <v>0</v>
      </c>
      <c r="E110" s="10">
        <v>0</v>
      </c>
      <c r="F110" s="10">
        <v>0</v>
      </c>
      <c r="G110" s="10">
        <v>0</v>
      </c>
    </row>
    <row r="111" spans="1:7" x14ac:dyDescent="0.3">
      <c r="A111" s="3" t="s">
        <v>206</v>
      </c>
      <c r="B111" s="10">
        <v>0</v>
      </c>
      <c r="C111" s="10">
        <v>0</v>
      </c>
      <c r="D111" s="10">
        <v>0</v>
      </c>
      <c r="E111" s="10">
        <v>0</v>
      </c>
      <c r="F111" s="10">
        <v>0</v>
      </c>
      <c r="G111" s="10">
        <v>0</v>
      </c>
    </row>
    <row r="112" spans="1:7" x14ac:dyDescent="0.3">
      <c r="A112" s="3" t="s">
        <v>204</v>
      </c>
      <c r="B112" s="10">
        <v>3</v>
      </c>
      <c r="C112" s="10">
        <v>12</v>
      </c>
      <c r="D112" s="10">
        <v>3</v>
      </c>
      <c r="E112" s="10">
        <v>0</v>
      </c>
      <c r="F112" s="10">
        <v>2</v>
      </c>
      <c r="G112" s="10">
        <v>0</v>
      </c>
    </row>
    <row r="113" spans="1:7" x14ac:dyDescent="0.3">
      <c r="A113" s="3" t="s">
        <v>208</v>
      </c>
      <c r="B113" s="10">
        <v>15</v>
      </c>
      <c r="C113" s="10">
        <v>36</v>
      </c>
      <c r="D113" s="10">
        <v>6</v>
      </c>
      <c r="E113" s="10">
        <v>0</v>
      </c>
      <c r="F113" s="10">
        <v>6</v>
      </c>
      <c r="G113" s="10">
        <v>1</v>
      </c>
    </row>
    <row r="114" spans="1:7" x14ac:dyDescent="0.3">
      <c r="A114" s="2" t="s">
        <v>1193</v>
      </c>
      <c r="B114" s="10">
        <v>4464</v>
      </c>
      <c r="C114" s="10">
        <v>1853</v>
      </c>
      <c r="D114" s="10">
        <v>13743</v>
      </c>
      <c r="E114" s="10">
        <v>1880</v>
      </c>
      <c r="F114" s="10">
        <v>218</v>
      </c>
      <c r="G114" s="10">
        <v>576</v>
      </c>
    </row>
  </sheetData>
  <sheetProtection selectLockedCells="1" autoFilter="0" pivotTables="0" selectUnlockedCells="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DB5D-8911-4561-BF95-DB3EBB60945C}">
  <sheetPr codeName="Sheet10">
    <tabColor rgb="FFF2F0F5"/>
  </sheetPr>
  <dimension ref="A1:E8"/>
  <sheetViews>
    <sheetView showGridLines="0" workbookViewId="0">
      <selection activeCell="A3" sqref="A3"/>
    </sheetView>
  </sheetViews>
  <sheetFormatPr defaultColWidth="0" defaultRowHeight="14.4" x14ac:dyDescent="0.3"/>
  <cols>
    <col min="1" max="1" width="12.5546875" bestFit="1" customWidth="1"/>
    <col min="2" max="2" width="27.21875" bestFit="1" customWidth="1"/>
    <col min="3" max="5" width="8.88671875" customWidth="1"/>
    <col min="6" max="16384" width="8.88671875" hidden="1"/>
  </cols>
  <sheetData>
    <row r="1" spans="1:2" x14ac:dyDescent="0.3">
      <c r="A1" s="1" t="s">
        <v>1192</v>
      </c>
      <c r="B1" t="s">
        <v>1172</v>
      </c>
    </row>
    <row r="2" spans="1:2" x14ac:dyDescent="0.3">
      <c r="A2" s="2" t="s">
        <v>17</v>
      </c>
      <c r="B2" s="10">
        <v>137</v>
      </c>
    </row>
    <row r="3" spans="1:2" x14ac:dyDescent="0.3">
      <c r="A3" s="2" t="s">
        <v>194</v>
      </c>
      <c r="B3" s="10">
        <v>36</v>
      </c>
    </row>
    <row r="4" spans="1:2" x14ac:dyDescent="0.3">
      <c r="A4" s="2" t="s">
        <v>175</v>
      </c>
      <c r="B4" s="10">
        <v>182</v>
      </c>
    </row>
    <row r="5" spans="1:2" x14ac:dyDescent="0.3">
      <c r="A5" s="2" t="s">
        <v>20</v>
      </c>
      <c r="B5" s="10">
        <v>391</v>
      </c>
    </row>
    <row r="6" spans="1:2" x14ac:dyDescent="0.3">
      <c r="A6" s="2" t="s">
        <v>132</v>
      </c>
      <c r="B6" s="10">
        <v>413</v>
      </c>
    </row>
    <row r="7" spans="1:2" x14ac:dyDescent="0.3">
      <c r="A7" s="2" t="s">
        <v>199</v>
      </c>
      <c r="B7" s="10">
        <v>15</v>
      </c>
    </row>
    <row r="8" spans="1:2" x14ac:dyDescent="0.3">
      <c r="A8" s="2" t="s">
        <v>1193</v>
      </c>
      <c r="B8" s="10">
        <v>1174</v>
      </c>
    </row>
  </sheetData>
  <sheetProtection selectLockedCells="1" autoFilter="0" pivotTables="0" selectUnlockedCells="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675BB-CCC8-4FE0-911F-91CDD96D4FFC}">
  <sheetPr codeName="Sheet31">
    <tabColor rgb="FFF2F0F5"/>
  </sheetPr>
  <dimension ref="A1:O143"/>
  <sheetViews>
    <sheetView workbookViewId="0">
      <selection activeCell="D26" sqref="D26"/>
    </sheetView>
  </sheetViews>
  <sheetFormatPr defaultRowHeight="14.4" x14ac:dyDescent="0.3"/>
  <cols>
    <col min="1" max="1" width="15.88671875" customWidth="1"/>
    <col min="2" max="2" width="19.109375" customWidth="1"/>
    <col min="3" max="3" width="18.109375" customWidth="1"/>
    <col min="4" max="4" width="18.88671875" customWidth="1"/>
    <col min="5" max="5" width="19.33203125" customWidth="1"/>
    <col min="7" max="7" width="21.21875" customWidth="1"/>
    <col min="8" max="8" width="44.6640625" customWidth="1"/>
    <col min="9" max="9" width="37" customWidth="1"/>
    <col min="10" max="10" width="40.88671875" customWidth="1"/>
    <col min="11" max="11" width="37.33203125" customWidth="1"/>
    <col min="12" max="12" width="53.109375" customWidth="1"/>
    <col min="13" max="13" width="57" customWidth="1"/>
    <col min="14" max="14" width="41.109375" customWidth="1"/>
    <col min="15" max="15" width="47.109375" customWidth="1"/>
  </cols>
  <sheetData>
    <row r="1" spans="1:15" x14ac:dyDescent="0.3">
      <c r="A1" t="s">
        <v>0</v>
      </c>
      <c r="B1" t="s">
        <v>1</v>
      </c>
      <c r="C1" t="s">
        <v>2</v>
      </c>
      <c r="D1" t="s">
        <v>3</v>
      </c>
      <c r="E1" t="s">
        <v>4</v>
      </c>
      <c r="F1" t="s">
        <v>5</v>
      </c>
      <c r="G1" t="s">
        <v>6</v>
      </c>
      <c r="H1" t="s">
        <v>7</v>
      </c>
      <c r="I1" t="s">
        <v>8</v>
      </c>
      <c r="J1" t="s">
        <v>9</v>
      </c>
      <c r="K1" t="s">
        <v>10</v>
      </c>
      <c r="L1" t="s">
        <v>11</v>
      </c>
      <c r="M1" t="s">
        <v>12</v>
      </c>
      <c r="N1" t="s">
        <v>18130</v>
      </c>
      <c r="O1" t="s">
        <v>18131</v>
      </c>
    </row>
    <row r="2" spans="1:15" x14ac:dyDescent="0.3">
      <c r="A2">
        <v>107</v>
      </c>
      <c r="B2" t="s">
        <v>13</v>
      </c>
      <c r="C2" t="s">
        <v>14</v>
      </c>
      <c r="D2" t="s">
        <v>15</v>
      </c>
      <c r="E2" t="s">
        <v>16</v>
      </c>
      <c r="F2" t="s">
        <v>17</v>
      </c>
      <c r="G2">
        <v>85</v>
      </c>
      <c r="H2">
        <v>40</v>
      </c>
      <c r="I2">
        <v>15</v>
      </c>
      <c r="J2">
        <v>32</v>
      </c>
      <c r="K2">
        <v>30</v>
      </c>
      <c r="L2">
        <v>14</v>
      </c>
      <c r="M2">
        <v>6</v>
      </c>
      <c r="N2">
        <v>30</v>
      </c>
      <c r="O2">
        <v>12</v>
      </c>
    </row>
    <row r="3" spans="1:15" x14ac:dyDescent="0.3">
      <c r="A3">
        <v>108</v>
      </c>
      <c r="B3" t="s">
        <v>18</v>
      </c>
      <c r="C3" t="s">
        <v>14</v>
      </c>
      <c r="D3" t="s">
        <v>19</v>
      </c>
      <c r="E3" t="s">
        <v>16</v>
      </c>
      <c r="F3" t="s">
        <v>20</v>
      </c>
      <c r="G3">
        <v>102</v>
      </c>
      <c r="H3">
        <v>10</v>
      </c>
      <c r="I3">
        <v>1</v>
      </c>
      <c r="J3">
        <v>45</v>
      </c>
      <c r="K3">
        <v>5</v>
      </c>
      <c r="L3">
        <v>4</v>
      </c>
      <c r="M3">
        <v>1</v>
      </c>
      <c r="N3">
        <v>91</v>
      </c>
      <c r="O3">
        <v>40</v>
      </c>
    </row>
    <row r="4" spans="1:15" x14ac:dyDescent="0.3">
      <c r="A4">
        <v>110</v>
      </c>
      <c r="B4" t="s">
        <v>21</v>
      </c>
      <c r="C4" t="s">
        <v>14</v>
      </c>
      <c r="D4" t="s">
        <v>22</v>
      </c>
      <c r="E4" t="s">
        <v>16</v>
      </c>
      <c r="F4" t="s">
        <v>20</v>
      </c>
      <c r="G4">
        <v>106</v>
      </c>
      <c r="H4">
        <v>50</v>
      </c>
      <c r="I4">
        <v>10</v>
      </c>
      <c r="J4">
        <v>33</v>
      </c>
      <c r="K4">
        <v>5</v>
      </c>
      <c r="L4">
        <v>10</v>
      </c>
      <c r="M4">
        <v>1</v>
      </c>
      <c r="N4">
        <v>46</v>
      </c>
      <c r="O4">
        <v>22</v>
      </c>
    </row>
    <row r="5" spans="1:15" x14ac:dyDescent="0.3">
      <c r="A5">
        <v>111</v>
      </c>
      <c r="B5" t="s">
        <v>23</v>
      </c>
      <c r="C5" t="s">
        <v>14</v>
      </c>
      <c r="D5" t="s">
        <v>24</v>
      </c>
      <c r="E5" t="s">
        <v>16</v>
      </c>
      <c r="F5" t="s">
        <v>20</v>
      </c>
      <c r="G5">
        <v>72</v>
      </c>
      <c r="H5">
        <v>1</v>
      </c>
      <c r="I5">
        <v>2</v>
      </c>
      <c r="J5">
        <v>29</v>
      </c>
      <c r="K5">
        <v>10</v>
      </c>
      <c r="L5">
        <v>1</v>
      </c>
      <c r="M5">
        <v>0</v>
      </c>
      <c r="N5">
        <v>69</v>
      </c>
      <c r="O5">
        <v>28</v>
      </c>
    </row>
    <row r="6" spans="1:15" x14ac:dyDescent="0.3">
      <c r="A6">
        <v>112</v>
      </c>
      <c r="B6" t="s">
        <v>25</v>
      </c>
      <c r="C6" t="s">
        <v>14</v>
      </c>
      <c r="D6" t="s">
        <v>26</v>
      </c>
      <c r="E6" t="s">
        <v>16</v>
      </c>
      <c r="F6" t="s">
        <v>20</v>
      </c>
      <c r="G6">
        <v>240</v>
      </c>
      <c r="H6">
        <v>5</v>
      </c>
      <c r="I6">
        <v>5</v>
      </c>
      <c r="J6">
        <v>75</v>
      </c>
      <c r="K6">
        <v>75</v>
      </c>
      <c r="L6">
        <v>1</v>
      </c>
      <c r="M6">
        <v>0</v>
      </c>
    </row>
    <row r="7" spans="1:15" x14ac:dyDescent="0.3">
      <c r="A7">
        <v>113</v>
      </c>
      <c r="B7" t="s">
        <v>27</v>
      </c>
      <c r="C7" t="s">
        <v>14</v>
      </c>
      <c r="D7" t="s">
        <v>28</v>
      </c>
      <c r="E7" t="s">
        <v>16</v>
      </c>
      <c r="F7" t="s">
        <v>20</v>
      </c>
      <c r="G7">
        <v>29</v>
      </c>
      <c r="H7">
        <v>6</v>
      </c>
      <c r="I7">
        <v>6</v>
      </c>
      <c r="J7">
        <v>5</v>
      </c>
      <c r="K7">
        <v>25</v>
      </c>
      <c r="L7">
        <v>1</v>
      </c>
      <c r="M7">
        <v>0</v>
      </c>
      <c r="N7">
        <v>17</v>
      </c>
      <c r="O7">
        <v>4</v>
      </c>
    </row>
    <row r="8" spans="1:15" x14ac:dyDescent="0.3">
      <c r="A8">
        <v>114</v>
      </c>
      <c r="B8" t="s">
        <v>29</v>
      </c>
      <c r="C8" t="s">
        <v>14</v>
      </c>
      <c r="D8" t="s">
        <v>30</v>
      </c>
      <c r="E8" t="s">
        <v>16</v>
      </c>
      <c r="F8" t="s">
        <v>20</v>
      </c>
      <c r="G8">
        <v>170</v>
      </c>
      <c r="H8">
        <v>30</v>
      </c>
      <c r="I8">
        <v>8</v>
      </c>
      <c r="J8">
        <v>40</v>
      </c>
      <c r="K8">
        <v>50</v>
      </c>
      <c r="L8">
        <v>7</v>
      </c>
      <c r="M8">
        <v>3</v>
      </c>
      <c r="N8">
        <v>132</v>
      </c>
      <c r="O8">
        <v>30</v>
      </c>
    </row>
    <row r="9" spans="1:15" x14ac:dyDescent="0.3">
      <c r="A9">
        <v>115</v>
      </c>
      <c r="B9" t="s">
        <v>31</v>
      </c>
      <c r="C9" t="s">
        <v>14</v>
      </c>
      <c r="D9" t="s">
        <v>32</v>
      </c>
      <c r="E9" t="s">
        <v>16</v>
      </c>
      <c r="F9" t="s">
        <v>20</v>
      </c>
      <c r="G9">
        <v>78</v>
      </c>
      <c r="H9">
        <v>2</v>
      </c>
      <c r="I9">
        <v>4</v>
      </c>
      <c r="J9">
        <v>32</v>
      </c>
      <c r="K9">
        <v>10</v>
      </c>
      <c r="L9">
        <v>2</v>
      </c>
      <c r="M9">
        <v>0</v>
      </c>
      <c r="N9">
        <v>72</v>
      </c>
      <c r="O9">
        <v>30</v>
      </c>
    </row>
    <row r="10" spans="1:15" x14ac:dyDescent="0.3">
      <c r="A10">
        <v>116</v>
      </c>
      <c r="B10" t="s">
        <v>33</v>
      </c>
      <c r="C10" t="s">
        <v>14</v>
      </c>
      <c r="D10" t="s">
        <v>34</v>
      </c>
      <c r="E10" t="s">
        <v>16</v>
      </c>
      <c r="F10" t="s">
        <v>20</v>
      </c>
      <c r="G10">
        <v>106</v>
      </c>
      <c r="H10">
        <v>21</v>
      </c>
      <c r="I10">
        <v>31</v>
      </c>
      <c r="J10">
        <v>24</v>
      </c>
      <c r="K10">
        <v>7</v>
      </c>
      <c r="L10">
        <v>3</v>
      </c>
      <c r="M10">
        <v>6</v>
      </c>
      <c r="N10">
        <v>54</v>
      </c>
      <c r="O10">
        <v>15</v>
      </c>
    </row>
    <row r="11" spans="1:15" x14ac:dyDescent="0.3">
      <c r="A11">
        <v>117</v>
      </c>
      <c r="B11" t="s">
        <v>35</v>
      </c>
      <c r="C11" t="s">
        <v>14</v>
      </c>
      <c r="D11" t="s">
        <v>36</v>
      </c>
      <c r="E11" t="s">
        <v>16</v>
      </c>
      <c r="F11" t="s">
        <v>20</v>
      </c>
      <c r="G11">
        <v>42</v>
      </c>
      <c r="H11">
        <v>6</v>
      </c>
      <c r="I11">
        <v>0</v>
      </c>
      <c r="J11">
        <v>14</v>
      </c>
      <c r="K11">
        <v>8</v>
      </c>
      <c r="L11">
        <v>1</v>
      </c>
      <c r="M11">
        <v>0</v>
      </c>
      <c r="N11">
        <v>36</v>
      </c>
      <c r="O11">
        <v>13</v>
      </c>
    </row>
    <row r="12" spans="1:15" x14ac:dyDescent="0.3">
      <c r="A12">
        <v>118</v>
      </c>
      <c r="B12" t="s">
        <v>37</v>
      </c>
      <c r="C12" t="s">
        <v>14</v>
      </c>
      <c r="D12" t="s">
        <v>38</v>
      </c>
      <c r="E12" t="s">
        <v>16</v>
      </c>
      <c r="F12" t="s">
        <v>20</v>
      </c>
      <c r="G12">
        <v>223</v>
      </c>
      <c r="H12">
        <v>5</v>
      </c>
      <c r="I12">
        <v>1</v>
      </c>
      <c r="J12">
        <v>65</v>
      </c>
      <c r="K12">
        <v>80</v>
      </c>
      <c r="L12">
        <v>0</v>
      </c>
      <c r="M12">
        <v>1</v>
      </c>
      <c r="N12">
        <v>217</v>
      </c>
      <c r="O12">
        <v>64</v>
      </c>
    </row>
    <row r="13" spans="1:15" x14ac:dyDescent="0.3">
      <c r="A13">
        <v>119</v>
      </c>
      <c r="B13" t="s">
        <v>39</v>
      </c>
      <c r="C13" t="s">
        <v>14</v>
      </c>
      <c r="D13" t="s">
        <v>40</v>
      </c>
      <c r="E13" t="s">
        <v>16</v>
      </c>
    </row>
    <row r="14" spans="1:15" x14ac:dyDescent="0.3">
      <c r="A14">
        <v>120</v>
      </c>
      <c r="B14" t="s">
        <v>41</v>
      </c>
      <c r="C14" t="s">
        <v>14</v>
      </c>
      <c r="D14" t="s">
        <v>42</v>
      </c>
      <c r="E14" t="s">
        <v>16</v>
      </c>
      <c r="F14" t="s">
        <v>20</v>
      </c>
      <c r="G14">
        <v>353</v>
      </c>
      <c r="H14">
        <v>11</v>
      </c>
      <c r="I14">
        <v>0</v>
      </c>
      <c r="J14">
        <v>194</v>
      </c>
      <c r="K14">
        <v>10</v>
      </c>
      <c r="L14">
        <v>4</v>
      </c>
      <c r="M14">
        <v>0</v>
      </c>
      <c r="N14">
        <v>342</v>
      </c>
      <c r="O14">
        <v>190</v>
      </c>
    </row>
    <row r="15" spans="1:15" x14ac:dyDescent="0.3">
      <c r="A15">
        <v>121</v>
      </c>
      <c r="B15" t="s">
        <v>43</v>
      </c>
      <c r="C15" t="s">
        <v>14</v>
      </c>
      <c r="D15" t="s">
        <v>44</v>
      </c>
      <c r="E15" t="s">
        <v>16</v>
      </c>
      <c r="F15" t="s">
        <v>20</v>
      </c>
      <c r="G15">
        <v>60</v>
      </c>
      <c r="H15">
        <v>10</v>
      </c>
      <c r="I15">
        <v>10</v>
      </c>
      <c r="J15">
        <v>20</v>
      </c>
      <c r="K15">
        <v>10</v>
      </c>
      <c r="L15">
        <v>5</v>
      </c>
      <c r="M15">
        <v>5</v>
      </c>
      <c r="N15">
        <v>40</v>
      </c>
      <c r="O15">
        <v>10</v>
      </c>
    </row>
    <row r="16" spans="1:15" x14ac:dyDescent="0.3">
      <c r="A16">
        <v>122</v>
      </c>
      <c r="B16" t="s">
        <v>45</v>
      </c>
      <c r="C16" t="s">
        <v>14</v>
      </c>
      <c r="D16" t="s">
        <v>46</v>
      </c>
      <c r="E16" t="s">
        <v>16</v>
      </c>
      <c r="F16" t="s">
        <v>20</v>
      </c>
      <c r="G16">
        <v>75</v>
      </c>
      <c r="H16">
        <v>6</v>
      </c>
      <c r="I16">
        <v>0</v>
      </c>
      <c r="J16">
        <v>52</v>
      </c>
      <c r="K16">
        <v>20</v>
      </c>
      <c r="L16">
        <v>0</v>
      </c>
      <c r="M16">
        <v>0</v>
      </c>
      <c r="N16">
        <v>69</v>
      </c>
      <c r="O16">
        <v>52</v>
      </c>
    </row>
    <row r="17" spans="1:15" x14ac:dyDescent="0.3">
      <c r="A17">
        <v>123</v>
      </c>
      <c r="B17" t="s">
        <v>47</v>
      </c>
      <c r="C17" t="s">
        <v>14</v>
      </c>
      <c r="D17" t="s">
        <v>48</v>
      </c>
      <c r="E17" t="s">
        <v>16</v>
      </c>
      <c r="F17" t="s">
        <v>20</v>
      </c>
      <c r="G17">
        <v>62</v>
      </c>
      <c r="H17">
        <v>8</v>
      </c>
      <c r="I17">
        <v>0</v>
      </c>
      <c r="J17">
        <v>45</v>
      </c>
      <c r="K17">
        <v>4</v>
      </c>
      <c r="L17">
        <v>4</v>
      </c>
      <c r="M17">
        <v>0</v>
      </c>
      <c r="N17">
        <v>54</v>
      </c>
      <c r="O17">
        <v>41</v>
      </c>
    </row>
    <row r="18" spans="1:15" x14ac:dyDescent="0.3">
      <c r="A18">
        <v>124</v>
      </c>
      <c r="B18" t="s">
        <v>49</v>
      </c>
      <c r="C18" t="s">
        <v>14</v>
      </c>
      <c r="D18" t="s">
        <v>50</v>
      </c>
      <c r="E18" t="s">
        <v>16</v>
      </c>
      <c r="F18" t="s">
        <v>20</v>
      </c>
      <c r="G18">
        <v>50</v>
      </c>
      <c r="H18">
        <v>9</v>
      </c>
      <c r="I18">
        <v>0</v>
      </c>
      <c r="J18">
        <v>28</v>
      </c>
      <c r="K18">
        <v>10</v>
      </c>
      <c r="L18">
        <v>4</v>
      </c>
      <c r="M18">
        <v>0</v>
      </c>
      <c r="N18">
        <v>41</v>
      </c>
      <c r="O18">
        <v>24</v>
      </c>
    </row>
    <row r="19" spans="1:15" x14ac:dyDescent="0.3">
      <c r="A19">
        <v>125</v>
      </c>
      <c r="B19" t="s">
        <v>51</v>
      </c>
      <c r="C19" t="s">
        <v>14</v>
      </c>
      <c r="D19" t="s">
        <v>52</v>
      </c>
      <c r="E19" t="s">
        <v>16</v>
      </c>
      <c r="F19" t="s">
        <v>20</v>
      </c>
      <c r="G19">
        <v>100</v>
      </c>
      <c r="H19">
        <v>70</v>
      </c>
      <c r="I19">
        <v>10</v>
      </c>
      <c r="J19">
        <v>15</v>
      </c>
      <c r="K19">
        <v>30</v>
      </c>
      <c r="L19">
        <v>8</v>
      </c>
      <c r="M19">
        <v>2</v>
      </c>
    </row>
    <row r="20" spans="1:15" x14ac:dyDescent="0.3">
      <c r="A20">
        <v>126</v>
      </c>
      <c r="B20" t="s">
        <v>53</v>
      </c>
      <c r="C20" t="s">
        <v>14</v>
      </c>
      <c r="D20" t="s">
        <v>54</v>
      </c>
      <c r="E20" t="s">
        <v>16</v>
      </c>
      <c r="F20" t="s">
        <v>20</v>
      </c>
      <c r="G20">
        <v>52</v>
      </c>
      <c r="H20">
        <v>5</v>
      </c>
      <c r="I20">
        <v>0</v>
      </c>
      <c r="J20">
        <v>25</v>
      </c>
      <c r="K20">
        <v>7</v>
      </c>
      <c r="L20">
        <v>3</v>
      </c>
      <c r="M20">
        <v>0</v>
      </c>
      <c r="N20">
        <v>47</v>
      </c>
      <c r="O20">
        <v>22</v>
      </c>
    </row>
    <row r="21" spans="1:15" x14ac:dyDescent="0.3">
      <c r="A21">
        <v>127</v>
      </c>
      <c r="B21" t="s">
        <v>55</v>
      </c>
      <c r="C21" t="s">
        <v>14</v>
      </c>
      <c r="D21" t="s">
        <v>56</v>
      </c>
      <c r="E21" t="s">
        <v>16</v>
      </c>
      <c r="F21" t="s">
        <v>20</v>
      </c>
      <c r="G21">
        <v>68</v>
      </c>
      <c r="H21">
        <v>14</v>
      </c>
      <c r="I21">
        <v>1</v>
      </c>
      <c r="J21">
        <v>40</v>
      </c>
      <c r="K21">
        <v>5</v>
      </c>
      <c r="L21">
        <v>7</v>
      </c>
      <c r="M21">
        <v>1</v>
      </c>
      <c r="N21">
        <v>53</v>
      </c>
      <c r="O21">
        <v>32</v>
      </c>
    </row>
    <row r="22" spans="1:15" x14ac:dyDescent="0.3">
      <c r="A22">
        <v>128</v>
      </c>
      <c r="B22" t="s">
        <v>57</v>
      </c>
      <c r="C22" t="s">
        <v>14</v>
      </c>
      <c r="D22" t="s">
        <v>58</v>
      </c>
      <c r="E22" t="s">
        <v>16</v>
      </c>
      <c r="F22" t="s">
        <v>20</v>
      </c>
      <c r="G22">
        <v>37</v>
      </c>
      <c r="H22">
        <v>9</v>
      </c>
      <c r="I22">
        <v>1</v>
      </c>
      <c r="J22">
        <v>17</v>
      </c>
      <c r="K22">
        <v>3</v>
      </c>
      <c r="L22">
        <v>4</v>
      </c>
      <c r="M22">
        <v>1</v>
      </c>
      <c r="N22">
        <v>27</v>
      </c>
      <c r="O22">
        <v>12</v>
      </c>
    </row>
    <row r="23" spans="1:15" x14ac:dyDescent="0.3">
      <c r="A23">
        <v>129</v>
      </c>
      <c r="B23" t="s">
        <v>59</v>
      </c>
      <c r="C23" t="s">
        <v>14</v>
      </c>
      <c r="D23" t="s">
        <v>60</v>
      </c>
      <c r="E23" t="s">
        <v>16</v>
      </c>
      <c r="F23" t="s">
        <v>20</v>
      </c>
      <c r="G23">
        <v>74</v>
      </c>
      <c r="H23">
        <v>10</v>
      </c>
      <c r="I23">
        <v>1</v>
      </c>
      <c r="J23">
        <v>15</v>
      </c>
      <c r="K23">
        <v>20</v>
      </c>
      <c r="L23">
        <v>2</v>
      </c>
      <c r="M23">
        <v>0</v>
      </c>
    </row>
    <row r="24" spans="1:15" x14ac:dyDescent="0.3">
      <c r="A24">
        <v>130</v>
      </c>
      <c r="B24" t="s">
        <v>61</v>
      </c>
      <c r="C24" t="s">
        <v>14</v>
      </c>
      <c r="D24" t="s">
        <v>62</v>
      </c>
      <c r="E24" t="s">
        <v>16</v>
      </c>
      <c r="F24" t="s">
        <v>20</v>
      </c>
      <c r="G24">
        <v>57</v>
      </c>
      <c r="H24">
        <v>0</v>
      </c>
      <c r="I24">
        <v>0</v>
      </c>
      <c r="J24">
        <v>40</v>
      </c>
      <c r="K24">
        <v>5</v>
      </c>
      <c r="L24">
        <v>0</v>
      </c>
      <c r="M24">
        <v>0</v>
      </c>
      <c r="N24">
        <v>57</v>
      </c>
      <c r="O24">
        <v>40</v>
      </c>
    </row>
    <row r="25" spans="1:15" x14ac:dyDescent="0.3">
      <c r="A25">
        <v>131</v>
      </c>
      <c r="B25" t="s">
        <v>63</v>
      </c>
      <c r="C25" t="s">
        <v>14</v>
      </c>
      <c r="D25" t="s">
        <v>64</v>
      </c>
      <c r="E25" t="s">
        <v>16</v>
      </c>
      <c r="F25" t="s">
        <v>20</v>
      </c>
      <c r="G25">
        <v>59</v>
      </c>
      <c r="H25">
        <v>16</v>
      </c>
      <c r="I25">
        <v>8</v>
      </c>
      <c r="J25">
        <v>16</v>
      </c>
      <c r="K25">
        <v>16</v>
      </c>
      <c r="L25">
        <v>0</v>
      </c>
      <c r="M25">
        <v>1</v>
      </c>
      <c r="N25">
        <v>35</v>
      </c>
      <c r="O25">
        <v>15</v>
      </c>
    </row>
    <row r="26" spans="1:15" x14ac:dyDescent="0.3">
      <c r="A26">
        <v>132</v>
      </c>
      <c r="B26" t="s">
        <v>65</v>
      </c>
      <c r="C26" t="s">
        <v>14</v>
      </c>
      <c r="D26" t="s">
        <v>66</v>
      </c>
      <c r="E26" t="s">
        <v>16</v>
      </c>
    </row>
    <row r="27" spans="1:15" x14ac:dyDescent="0.3">
      <c r="A27">
        <v>133</v>
      </c>
      <c r="B27" t="s">
        <v>1199</v>
      </c>
      <c r="C27" t="s">
        <v>14</v>
      </c>
      <c r="D27" t="s">
        <v>68</v>
      </c>
      <c r="E27" t="s">
        <v>16</v>
      </c>
      <c r="F27" t="s">
        <v>20</v>
      </c>
      <c r="G27">
        <v>55</v>
      </c>
      <c r="H27">
        <v>10</v>
      </c>
      <c r="I27">
        <v>5</v>
      </c>
      <c r="J27">
        <v>4</v>
      </c>
      <c r="K27">
        <v>0</v>
      </c>
      <c r="L27">
        <v>1</v>
      </c>
      <c r="M27">
        <v>2</v>
      </c>
      <c r="N27">
        <v>40</v>
      </c>
      <c r="O27">
        <v>1</v>
      </c>
    </row>
    <row r="28" spans="1:15" x14ac:dyDescent="0.3">
      <c r="A28">
        <v>134</v>
      </c>
      <c r="B28" t="s">
        <v>69</v>
      </c>
      <c r="C28" t="s">
        <v>14</v>
      </c>
      <c r="D28" t="s">
        <v>70</v>
      </c>
      <c r="E28" t="s">
        <v>16</v>
      </c>
      <c r="F28" t="s">
        <v>20</v>
      </c>
      <c r="G28">
        <v>560</v>
      </c>
      <c r="H28">
        <v>80</v>
      </c>
      <c r="I28">
        <v>25</v>
      </c>
      <c r="J28">
        <v>100</v>
      </c>
      <c r="K28">
        <v>250</v>
      </c>
      <c r="L28">
        <v>5</v>
      </c>
      <c r="M28">
        <v>0</v>
      </c>
      <c r="N28">
        <v>455</v>
      </c>
      <c r="O28">
        <v>95</v>
      </c>
    </row>
    <row r="29" spans="1:15" x14ac:dyDescent="0.3">
      <c r="A29">
        <v>135</v>
      </c>
      <c r="B29" t="s">
        <v>71</v>
      </c>
      <c r="C29" t="s">
        <v>14</v>
      </c>
      <c r="D29" t="s">
        <v>72</v>
      </c>
      <c r="E29" t="s">
        <v>16</v>
      </c>
      <c r="F29" t="s">
        <v>20</v>
      </c>
      <c r="G29">
        <v>175</v>
      </c>
      <c r="H29">
        <v>55</v>
      </c>
      <c r="I29">
        <v>45</v>
      </c>
      <c r="J29">
        <v>40</v>
      </c>
      <c r="K29">
        <v>11</v>
      </c>
      <c r="L29">
        <v>20</v>
      </c>
      <c r="M29">
        <v>5</v>
      </c>
      <c r="N29">
        <v>75</v>
      </c>
      <c r="O29">
        <v>15</v>
      </c>
    </row>
    <row r="30" spans="1:15" x14ac:dyDescent="0.3">
      <c r="A30">
        <v>136</v>
      </c>
      <c r="B30" t="s">
        <v>73</v>
      </c>
      <c r="C30" t="s">
        <v>14</v>
      </c>
      <c r="D30" t="s">
        <v>74</v>
      </c>
      <c r="E30" t="s">
        <v>16</v>
      </c>
      <c r="F30" t="s">
        <v>20</v>
      </c>
      <c r="G30">
        <v>122</v>
      </c>
      <c r="H30">
        <v>120</v>
      </c>
      <c r="I30">
        <v>2</v>
      </c>
      <c r="J30">
        <v>30</v>
      </c>
      <c r="K30">
        <v>20</v>
      </c>
      <c r="L30">
        <v>10</v>
      </c>
      <c r="M30">
        <v>0</v>
      </c>
    </row>
    <row r="31" spans="1:15" x14ac:dyDescent="0.3">
      <c r="A31">
        <v>137</v>
      </c>
      <c r="B31" t="s">
        <v>75</v>
      </c>
      <c r="C31" t="s">
        <v>14</v>
      </c>
      <c r="D31" t="s">
        <v>76</v>
      </c>
      <c r="E31" t="s">
        <v>16</v>
      </c>
      <c r="F31" t="s">
        <v>20</v>
      </c>
      <c r="G31">
        <v>380</v>
      </c>
      <c r="H31">
        <v>70</v>
      </c>
      <c r="I31">
        <v>30</v>
      </c>
      <c r="J31">
        <v>50</v>
      </c>
      <c r="K31">
        <v>100</v>
      </c>
      <c r="L31">
        <v>10</v>
      </c>
      <c r="M31">
        <v>0</v>
      </c>
      <c r="N31">
        <v>280</v>
      </c>
      <c r="O31">
        <v>40</v>
      </c>
    </row>
    <row r="32" spans="1:15" x14ac:dyDescent="0.3">
      <c r="A32">
        <v>138</v>
      </c>
      <c r="B32" t="s">
        <v>77</v>
      </c>
      <c r="C32" t="s">
        <v>14</v>
      </c>
      <c r="D32" t="s">
        <v>78</v>
      </c>
      <c r="E32" t="s">
        <v>16</v>
      </c>
      <c r="F32" t="s">
        <v>20</v>
      </c>
      <c r="G32">
        <v>420</v>
      </c>
      <c r="H32">
        <v>50</v>
      </c>
      <c r="I32">
        <v>20</v>
      </c>
      <c r="J32">
        <v>100</v>
      </c>
      <c r="K32">
        <v>50</v>
      </c>
      <c r="L32">
        <v>10</v>
      </c>
      <c r="M32">
        <v>5</v>
      </c>
      <c r="N32">
        <v>350</v>
      </c>
      <c r="O32">
        <v>85</v>
      </c>
    </row>
    <row r="33" spans="1:15" x14ac:dyDescent="0.3">
      <c r="A33">
        <v>139</v>
      </c>
      <c r="B33" t="s">
        <v>79</v>
      </c>
      <c r="C33" t="s">
        <v>14</v>
      </c>
      <c r="D33" t="s">
        <v>80</v>
      </c>
      <c r="E33" t="s">
        <v>16</v>
      </c>
      <c r="F33" t="s">
        <v>20</v>
      </c>
      <c r="G33">
        <v>280</v>
      </c>
      <c r="H33">
        <v>40</v>
      </c>
      <c r="I33">
        <v>10</v>
      </c>
      <c r="J33">
        <v>108</v>
      </c>
      <c r="K33">
        <v>50</v>
      </c>
      <c r="L33">
        <v>7</v>
      </c>
      <c r="M33">
        <v>1</v>
      </c>
      <c r="N33">
        <v>230</v>
      </c>
      <c r="O33">
        <v>100</v>
      </c>
    </row>
    <row r="34" spans="1:15" x14ac:dyDescent="0.3">
      <c r="A34">
        <v>140</v>
      </c>
      <c r="B34" t="s">
        <v>81</v>
      </c>
      <c r="C34" t="s">
        <v>14</v>
      </c>
      <c r="D34" t="s">
        <v>82</v>
      </c>
      <c r="E34" t="s">
        <v>16</v>
      </c>
    </row>
    <row r="35" spans="1:15" x14ac:dyDescent="0.3">
      <c r="A35">
        <v>141</v>
      </c>
      <c r="B35" t="s">
        <v>83</v>
      </c>
      <c r="C35" t="s">
        <v>14</v>
      </c>
      <c r="D35" t="s">
        <v>84</v>
      </c>
      <c r="E35" t="s">
        <v>16</v>
      </c>
      <c r="F35" t="s">
        <v>17</v>
      </c>
      <c r="G35">
        <v>55</v>
      </c>
      <c r="H35">
        <v>13</v>
      </c>
      <c r="I35">
        <v>7</v>
      </c>
      <c r="J35">
        <v>18</v>
      </c>
      <c r="K35">
        <v>30</v>
      </c>
      <c r="L35">
        <v>3</v>
      </c>
      <c r="M35">
        <v>2</v>
      </c>
      <c r="N35">
        <v>35</v>
      </c>
      <c r="O35">
        <v>13</v>
      </c>
    </row>
    <row r="36" spans="1:15" x14ac:dyDescent="0.3">
      <c r="A36">
        <v>142</v>
      </c>
      <c r="B36" t="s">
        <v>85</v>
      </c>
      <c r="C36" t="s">
        <v>14</v>
      </c>
      <c r="D36" t="s">
        <v>86</v>
      </c>
      <c r="E36" t="s">
        <v>16</v>
      </c>
      <c r="F36" t="s">
        <v>20</v>
      </c>
      <c r="G36">
        <v>59</v>
      </c>
      <c r="H36">
        <v>9</v>
      </c>
      <c r="I36">
        <v>0</v>
      </c>
      <c r="J36">
        <v>35</v>
      </c>
      <c r="K36">
        <v>24</v>
      </c>
      <c r="L36">
        <v>2</v>
      </c>
      <c r="M36">
        <v>0</v>
      </c>
      <c r="N36">
        <v>50</v>
      </c>
      <c r="O36">
        <v>33</v>
      </c>
    </row>
    <row r="37" spans="1:15" x14ac:dyDescent="0.3">
      <c r="A37">
        <v>143</v>
      </c>
      <c r="B37" t="s">
        <v>87</v>
      </c>
      <c r="C37" t="s">
        <v>14</v>
      </c>
      <c r="D37" t="s">
        <v>88</v>
      </c>
      <c r="E37" t="s">
        <v>16</v>
      </c>
      <c r="F37" t="s">
        <v>20</v>
      </c>
      <c r="G37">
        <v>65</v>
      </c>
      <c r="H37">
        <v>20</v>
      </c>
      <c r="I37">
        <v>3</v>
      </c>
      <c r="J37">
        <v>25</v>
      </c>
      <c r="K37">
        <v>40</v>
      </c>
      <c r="L37">
        <v>12</v>
      </c>
      <c r="M37">
        <v>1</v>
      </c>
      <c r="N37">
        <v>42</v>
      </c>
      <c r="O37">
        <v>12</v>
      </c>
    </row>
    <row r="38" spans="1:15" x14ac:dyDescent="0.3">
      <c r="A38">
        <v>144</v>
      </c>
      <c r="B38" t="s">
        <v>89</v>
      </c>
      <c r="C38" t="s">
        <v>14</v>
      </c>
      <c r="D38" t="s">
        <v>90</v>
      </c>
      <c r="E38" t="s">
        <v>16</v>
      </c>
    </row>
    <row r="39" spans="1:15" x14ac:dyDescent="0.3">
      <c r="A39">
        <v>145</v>
      </c>
      <c r="B39" t="s">
        <v>91</v>
      </c>
      <c r="C39" t="s">
        <v>14</v>
      </c>
      <c r="D39" t="s">
        <v>92</v>
      </c>
      <c r="E39" t="s">
        <v>16</v>
      </c>
    </row>
    <row r="40" spans="1:15" x14ac:dyDescent="0.3">
      <c r="A40">
        <v>146</v>
      </c>
      <c r="B40" t="s">
        <v>93</v>
      </c>
      <c r="C40" t="s">
        <v>14</v>
      </c>
      <c r="D40" t="s">
        <v>94</v>
      </c>
      <c r="E40" t="s">
        <v>16</v>
      </c>
    </row>
    <row r="41" spans="1:15" x14ac:dyDescent="0.3">
      <c r="A41">
        <v>147</v>
      </c>
      <c r="B41" t="s">
        <v>95</v>
      </c>
      <c r="C41" t="s">
        <v>14</v>
      </c>
      <c r="D41" t="s">
        <v>96</v>
      </c>
      <c r="E41" t="s">
        <v>16</v>
      </c>
    </row>
    <row r="42" spans="1:15" x14ac:dyDescent="0.3">
      <c r="A42">
        <v>148</v>
      </c>
      <c r="B42" t="s">
        <v>97</v>
      </c>
      <c r="C42" t="s">
        <v>14</v>
      </c>
      <c r="D42" t="s">
        <v>98</v>
      </c>
      <c r="E42" t="s">
        <v>16</v>
      </c>
      <c r="F42" t="s">
        <v>20</v>
      </c>
      <c r="G42">
        <v>180</v>
      </c>
      <c r="H42">
        <v>40</v>
      </c>
      <c r="I42">
        <v>30</v>
      </c>
      <c r="J42">
        <v>60</v>
      </c>
      <c r="K42">
        <v>30</v>
      </c>
      <c r="L42">
        <v>15</v>
      </c>
      <c r="M42">
        <v>15</v>
      </c>
      <c r="N42">
        <v>110</v>
      </c>
      <c r="O42">
        <v>30</v>
      </c>
    </row>
    <row r="43" spans="1:15" x14ac:dyDescent="0.3">
      <c r="A43">
        <v>149</v>
      </c>
      <c r="B43" t="s">
        <v>99</v>
      </c>
      <c r="C43" t="s">
        <v>14</v>
      </c>
      <c r="D43" t="s">
        <v>100</v>
      </c>
      <c r="E43" t="s">
        <v>16</v>
      </c>
      <c r="F43" t="s">
        <v>17</v>
      </c>
      <c r="G43">
        <v>252</v>
      </c>
      <c r="H43">
        <v>60</v>
      </c>
      <c r="I43">
        <v>10</v>
      </c>
      <c r="J43">
        <v>45</v>
      </c>
      <c r="K43">
        <v>40</v>
      </c>
      <c r="L43">
        <v>5</v>
      </c>
      <c r="M43">
        <v>0</v>
      </c>
      <c r="N43">
        <v>182</v>
      </c>
      <c r="O43">
        <v>40</v>
      </c>
    </row>
    <row r="44" spans="1:15" x14ac:dyDescent="0.3">
      <c r="A44">
        <v>151</v>
      </c>
      <c r="B44" t="s">
        <v>101</v>
      </c>
      <c r="C44" t="s">
        <v>14</v>
      </c>
      <c r="D44" t="s">
        <v>102</v>
      </c>
      <c r="E44" t="s">
        <v>16</v>
      </c>
    </row>
    <row r="45" spans="1:15" x14ac:dyDescent="0.3">
      <c r="A45">
        <v>152</v>
      </c>
      <c r="B45" t="s">
        <v>103</v>
      </c>
      <c r="C45" t="s">
        <v>14</v>
      </c>
      <c r="D45" t="s">
        <v>104</v>
      </c>
      <c r="E45" t="s">
        <v>16</v>
      </c>
      <c r="F45" t="s">
        <v>17</v>
      </c>
      <c r="G45">
        <v>28</v>
      </c>
      <c r="H45">
        <v>10</v>
      </c>
      <c r="I45">
        <v>4</v>
      </c>
      <c r="J45">
        <v>6</v>
      </c>
      <c r="K45">
        <v>6</v>
      </c>
      <c r="L45">
        <v>3</v>
      </c>
      <c r="M45">
        <v>1</v>
      </c>
    </row>
    <row r="46" spans="1:15" x14ac:dyDescent="0.3">
      <c r="A46">
        <v>153</v>
      </c>
      <c r="B46" t="s">
        <v>105</v>
      </c>
      <c r="C46" t="s">
        <v>14</v>
      </c>
      <c r="D46" t="s">
        <v>106</v>
      </c>
      <c r="E46" t="s">
        <v>16</v>
      </c>
      <c r="F46" t="s">
        <v>17</v>
      </c>
      <c r="G46">
        <v>133</v>
      </c>
      <c r="H46">
        <v>50</v>
      </c>
      <c r="I46">
        <v>20</v>
      </c>
      <c r="J46">
        <v>24</v>
      </c>
      <c r="K46">
        <v>40</v>
      </c>
      <c r="L46">
        <v>4</v>
      </c>
      <c r="M46">
        <v>1</v>
      </c>
      <c r="N46">
        <v>63</v>
      </c>
      <c r="O46">
        <v>19</v>
      </c>
    </row>
    <row r="47" spans="1:15" x14ac:dyDescent="0.3">
      <c r="A47">
        <v>154</v>
      </c>
      <c r="B47" t="s">
        <v>107</v>
      </c>
      <c r="C47" t="s">
        <v>14</v>
      </c>
      <c r="D47" t="s">
        <v>108</v>
      </c>
      <c r="E47" t="s">
        <v>16</v>
      </c>
    </row>
    <row r="48" spans="1:15" x14ac:dyDescent="0.3">
      <c r="A48">
        <v>155</v>
      </c>
      <c r="B48" t="s">
        <v>109</v>
      </c>
      <c r="C48" t="s">
        <v>14</v>
      </c>
      <c r="D48" t="s">
        <v>110</v>
      </c>
      <c r="E48" t="s">
        <v>16</v>
      </c>
      <c r="F48" t="s">
        <v>17</v>
      </c>
      <c r="G48">
        <v>88</v>
      </c>
      <c r="H48">
        <v>8</v>
      </c>
      <c r="I48">
        <v>1</v>
      </c>
      <c r="J48">
        <v>12</v>
      </c>
      <c r="K48">
        <v>15</v>
      </c>
      <c r="L48">
        <v>0</v>
      </c>
      <c r="M48">
        <v>0</v>
      </c>
    </row>
    <row r="49" spans="1:15" x14ac:dyDescent="0.3">
      <c r="A49">
        <v>156</v>
      </c>
      <c r="B49" t="s">
        <v>111</v>
      </c>
      <c r="C49" t="s">
        <v>14</v>
      </c>
      <c r="D49" t="s">
        <v>112</v>
      </c>
      <c r="E49" t="s">
        <v>16</v>
      </c>
      <c r="F49" t="s">
        <v>17</v>
      </c>
      <c r="G49">
        <v>18</v>
      </c>
      <c r="H49">
        <v>1</v>
      </c>
      <c r="I49">
        <v>2</v>
      </c>
      <c r="J49">
        <v>11</v>
      </c>
      <c r="K49">
        <v>4</v>
      </c>
      <c r="L49">
        <v>0</v>
      </c>
      <c r="M49">
        <v>0</v>
      </c>
    </row>
    <row r="50" spans="1:15" x14ac:dyDescent="0.3">
      <c r="A50">
        <v>157</v>
      </c>
      <c r="B50" t="s">
        <v>113</v>
      </c>
      <c r="C50" t="s">
        <v>14</v>
      </c>
      <c r="D50" t="s">
        <v>114</v>
      </c>
      <c r="E50" t="s">
        <v>16</v>
      </c>
      <c r="F50" t="s">
        <v>17</v>
      </c>
      <c r="G50">
        <v>60</v>
      </c>
      <c r="H50">
        <v>21</v>
      </c>
      <c r="I50">
        <v>12</v>
      </c>
      <c r="J50">
        <v>35</v>
      </c>
      <c r="K50">
        <v>8</v>
      </c>
      <c r="L50">
        <v>8</v>
      </c>
      <c r="M50">
        <v>5</v>
      </c>
      <c r="N50">
        <v>27</v>
      </c>
      <c r="O50">
        <v>22</v>
      </c>
    </row>
    <row r="51" spans="1:15" x14ac:dyDescent="0.3">
      <c r="A51">
        <v>158</v>
      </c>
      <c r="B51" t="s">
        <v>115</v>
      </c>
      <c r="C51" t="s">
        <v>14</v>
      </c>
      <c r="D51" t="s">
        <v>116</v>
      </c>
      <c r="E51" t="s">
        <v>16</v>
      </c>
      <c r="F51" t="s">
        <v>17</v>
      </c>
      <c r="G51">
        <v>67</v>
      </c>
      <c r="H51">
        <v>14</v>
      </c>
      <c r="I51">
        <v>1</v>
      </c>
      <c r="J51">
        <v>43</v>
      </c>
      <c r="K51">
        <v>5</v>
      </c>
      <c r="L51">
        <v>10</v>
      </c>
      <c r="M51">
        <v>0</v>
      </c>
      <c r="N51">
        <v>52</v>
      </c>
      <c r="O51">
        <v>33</v>
      </c>
    </row>
    <row r="52" spans="1:15" x14ac:dyDescent="0.3">
      <c r="A52">
        <v>159</v>
      </c>
      <c r="B52" t="s">
        <v>117</v>
      </c>
      <c r="C52" t="s">
        <v>14</v>
      </c>
      <c r="D52" t="s">
        <v>118</v>
      </c>
      <c r="E52" t="s">
        <v>16</v>
      </c>
      <c r="F52" t="s">
        <v>17</v>
      </c>
      <c r="G52">
        <v>44</v>
      </c>
      <c r="H52">
        <v>6</v>
      </c>
      <c r="I52">
        <v>2</v>
      </c>
      <c r="J52">
        <v>17</v>
      </c>
      <c r="K52">
        <v>10</v>
      </c>
      <c r="L52">
        <v>2</v>
      </c>
      <c r="M52">
        <v>1</v>
      </c>
      <c r="N52">
        <v>36</v>
      </c>
      <c r="O52">
        <v>14</v>
      </c>
    </row>
    <row r="53" spans="1:15" x14ac:dyDescent="0.3">
      <c r="A53">
        <v>160</v>
      </c>
      <c r="B53" t="s">
        <v>119</v>
      </c>
      <c r="C53" t="s">
        <v>14</v>
      </c>
      <c r="D53" t="s">
        <v>120</v>
      </c>
      <c r="E53" t="s">
        <v>16</v>
      </c>
      <c r="F53" t="s">
        <v>17</v>
      </c>
      <c r="G53">
        <v>48</v>
      </c>
      <c r="H53">
        <v>5</v>
      </c>
      <c r="I53">
        <v>3</v>
      </c>
      <c r="J53">
        <v>26</v>
      </c>
      <c r="K53">
        <v>8</v>
      </c>
      <c r="L53">
        <v>3</v>
      </c>
      <c r="M53">
        <v>3</v>
      </c>
    </row>
    <row r="54" spans="1:15" x14ac:dyDescent="0.3">
      <c r="A54">
        <v>161</v>
      </c>
      <c r="B54" t="s">
        <v>121</v>
      </c>
      <c r="C54" t="s">
        <v>14</v>
      </c>
      <c r="D54" t="s">
        <v>122</v>
      </c>
      <c r="E54" t="s">
        <v>16</v>
      </c>
      <c r="F54" t="s">
        <v>17</v>
      </c>
      <c r="G54">
        <v>63</v>
      </c>
      <c r="H54">
        <v>1</v>
      </c>
      <c r="I54">
        <v>2</v>
      </c>
      <c r="J54">
        <v>20</v>
      </c>
      <c r="K54">
        <v>10</v>
      </c>
      <c r="L54">
        <v>0</v>
      </c>
      <c r="M54">
        <v>1</v>
      </c>
      <c r="N54">
        <v>60</v>
      </c>
      <c r="O54">
        <v>19</v>
      </c>
    </row>
    <row r="55" spans="1:15" x14ac:dyDescent="0.3">
      <c r="A55">
        <v>162</v>
      </c>
      <c r="B55" t="s">
        <v>123</v>
      </c>
      <c r="C55" t="s">
        <v>14</v>
      </c>
      <c r="D55" t="s">
        <v>124</v>
      </c>
      <c r="E55" t="s">
        <v>16</v>
      </c>
      <c r="F55" t="s">
        <v>17</v>
      </c>
      <c r="G55">
        <v>25</v>
      </c>
      <c r="H55">
        <v>4</v>
      </c>
      <c r="I55">
        <v>3</v>
      </c>
      <c r="J55">
        <v>7</v>
      </c>
      <c r="K55">
        <v>2</v>
      </c>
      <c r="L55">
        <v>0</v>
      </c>
      <c r="M55">
        <v>0</v>
      </c>
      <c r="N55">
        <v>18</v>
      </c>
      <c r="O55">
        <v>7</v>
      </c>
    </row>
    <row r="56" spans="1:15" x14ac:dyDescent="0.3">
      <c r="A56">
        <v>163</v>
      </c>
      <c r="B56" t="s">
        <v>125</v>
      </c>
      <c r="C56" t="s">
        <v>126</v>
      </c>
      <c r="D56" t="s">
        <v>127</v>
      </c>
      <c r="E56" t="s">
        <v>16</v>
      </c>
      <c r="F56" t="s">
        <v>17</v>
      </c>
      <c r="G56">
        <v>70</v>
      </c>
      <c r="H56">
        <v>11</v>
      </c>
      <c r="I56">
        <v>1</v>
      </c>
    </row>
    <row r="57" spans="1:15" x14ac:dyDescent="0.3">
      <c r="A57">
        <v>164</v>
      </c>
      <c r="B57" t="s">
        <v>128</v>
      </c>
      <c r="C57" t="s">
        <v>14</v>
      </c>
      <c r="D57" t="s">
        <v>129</v>
      </c>
      <c r="E57" t="s">
        <v>16</v>
      </c>
    </row>
    <row r="58" spans="1:15" x14ac:dyDescent="0.3">
      <c r="A58">
        <v>165</v>
      </c>
      <c r="B58" t="s">
        <v>130</v>
      </c>
      <c r="C58" t="s">
        <v>14</v>
      </c>
      <c r="D58" t="s">
        <v>131</v>
      </c>
      <c r="E58" t="s">
        <v>16</v>
      </c>
      <c r="F58" t="s">
        <v>132</v>
      </c>
      <c r="G58">
        <v>477</v>
      </c>
      <c r="H58">
        <v>75</v>
      </c>
      <c r="I58">
        <v>25</v>
      </c>
      <c r="J58">
        <v>80</v>
      </c>
      <c r="K58">
        <v>30</v>
      </c>
      <c r="L58">
        <v>15</v>
      </c>
      <c r="M58">
        <v>5</v>
      </c>
      <c r="N58">
        <v>377</v>
      </c>
      <c r="O58">
        <v>60</v>
      </c>
    </row>
    <row r="59" spans="1:15" x14ac:dyDescent="0.3">
      <c r="A59">
        <v>166</v>
      </c>
      <c r="B59" t="s">
        <v>133</v>
      </c>
      <c r="C59" t="s">
        <v>14</v>
      </c>
      <c r="D59" t="s">
        <v>134</v>
      </c>
      <c r="E59" t="s">
        <v>16</v>
      </c>
      <c r="F59" t="s">
        <v>132</v>
      </c>
      <c r="G59">
        <v>308</v>
      </c>
      <c r="H59">
        <v>13</v>
      </c>
      <c r="I59">
        <v>46</v>
      </c>
      <c r="J59">
        <v>100</v>
      </c>
      <c r="K59">
        <v>25</v>
      </c>
      <c r="L59">
        <v>10</v>
      </c>
      <c r="M59">
        <v>10</v>
      </c>
      <c r="N59">
        <v>249</v>
      </c>
      <c r="O59">
        <v>80</v>
      </c>
    </row>
    <row r="60" spans="1:15" x14ac:dyDescent="0.3">
      <c r="A60">
        <v>167</v>
      </c>
      <c r="B60" t="s">
        <v>135</v>
      </c>
      <c r="C60" t="s">
        <v>14</v>
      </c>
      <c r="D60" t="s">
        <v>136</v>
      </c>
      <c r="E60" t="s">
        <v>16</v>
      </c>
      <c r="F60" t="s">
        <v>132</v>
      </c>
      <c r="G60">
        <v>617</v>
      </c>
      <c r="H60">
        <v>3</v>
      </c>
      <c r="I60">
        <v>1</v>
      </c>
      <c r="J60">
        <v>219</v>
      </c>
      <c r="K60">
        <v>56</v>
      </c>
      <c r="L60">
        <v>0</v>
      </c>
      <c r="M60">
        <v>0</v>
      </c>
      <c r="N60">
        <v>613</v>
      </c>
      <c r="O60">
        <v>219</v>
      </c>
    </row>
    <row r="61" spans="1:15" x14ac:dyDescent="0.3">
      <c r="A61">
        <v>168</v>
      </c>
      <c r="B61" t="s">
        <v>137</v>
      </c>
      <c r="C61" t="s">
        <v>14</v>
      </c>
      <c r="D61" t="s">
        <v>138</v>
      </c>
      <c r="E61" t="s">
        <v>16</v>
      </c>
      <c r="F61" t="s">
        <v>132</v>
      </c>
      <c r="G61">
        <v>442</v>
      </c>
      <c r="H61">
        <v>52</v>
      </c>
      <c r="I61">
        <v>36</v>
      </c>
      <c r="J61">
        <v>108</v>
      </c>
      <c r="K61">
        <v>0</v>
      </c>
      <c r="L61">
        <v>10</v>
      </c>
      <c r="M61">
        <v>5</v>
      </c>
    </row>
    <row r="62" spans="1:15" x14ac:dyDescent="0.3">
      <c r="A62">
        <v>169</v>
      </c>
      <c r="B62" t="s">
        <v>139</v>
      </c>
      <c r="C62" t="s">
        <v>14</v>
      </c>
      <c r="D62" t="s">
        <v>140</v>
      </c>
      <c r="E62" t="s">
        <v>16</v>
      </c>
      <c r="F62" t="s">
        <v>132</v>
      </c>
      <c r="G62">
        <v>193</v>
      </c>
      <c r="H62">
        <v>36</v>
      </c>
      <c r="I62">
        <v>14</v>
      </c>
      <c r="J62">
        <v>75</v>
      </c>
      <c r="K62">
        <v>10</v>
      </c>
      <c r="L62">
        <v>20</v>
      </c>
      <c r="M62">
        <v>10</v>
      </c>
      <c r="N62">
        <v>143</v>
      </c>
      <c r="O62">
        <v>45</v>
      </c>
    </row>
    <row r="63" spans="1:15" x14ac:dyDescent="0.3">
      <c r="A63">
        <v>170</v>
      </c>
      <c r="B63" t="s">
        <v>141</v>
      </c>
      <c r="C63" t="s">
        <v>14</v>
      </c>
      <c r="D63" t="s">
        <v>142</v>
      </c>
      <c r="E63" t="s">
        <v>16</v>
      </c>
      <c r="F63" t="s">
        <v>132</v>
      </c>
      <c r="G63">
        <v>311</v>
      </c>
      <c r="H63">
        <v>180</v>
      </c>
      <c r="I63">
        <v>30</v>
      </c>
      <c r="J63">
        <v>55</v>
      </c>
      <c r="K63">
        <v>50</v>
      </c>
      <c r="L63">
        <v>23</v>
      </c>
      <c r="M63">
        <v>4</v>
      </c>
    </row>
    <row r="64" spans="1:15" x14ac:dyDescent="0.3">
      <c r="A64">
        <v>171</v>
      </c>
      <c r="B64" t="s">
        <v>143</v>
      </c>
      <c r="C64" t="s">
        <v>14</v>
      </c>
      <c r="D64" t="s">
        <v>144</v>
      </c>
      <c r="E64" t="s">
        <v>16</v>
      </c>
      <c r="F64" t="s">
        <v>132</v>
      </c>
      <c r="G64">
        <v>670</v>
      </c>
      <c r="H64">
        <v>80</v>
      </c>
      <c r="I64">
        <v>40</v>
      </c>
      <c r="J64">
        <v>146</v>
      </c>
      <c r="K64">
        <v>100</v>
      </c>
      <c r="L64">
        <v>7</v>
      </c>
      <c r="M64">
        <v>4</v>
      </c>
      <c r="N64">
        <v>550</v>
      </c>
      <c r="O64">
        <v>135</v>
      </c>
    </row>
    <row r="65" spans="1:15" x14ac:dyDescent="0.3">
      <c r="A65">
        <v>172</v>
      </c>
      <c r="B65" t="s">
        <v>145</v>
      </c>
      <c r="C65" t="s">
        <v>14</v>
      </c>
      <c r="D65" t="s">
        <v>146</v>
      </c>
      <c r="E65" t="s">
        <v>16</v>
      </c>
      <c r="F65" t="s">
        <v>132</v>
      </c>
      <c r="G65">
        <v>862</v>
      </c>
      <c r="H65">
        <v>300</v>
      </c>
      <c r="I65">
        <v>62</v>
      </c>
      <c r="J65">
        <v>128</v>
      </c>
      <c r="K65">
        <v>100</v>
      </c>
      <c r="L65">
        <v>22</v>
      </c>
      <c r="M65">
        <v>5</v>
      </c>
      <c r="N65">
        <v>500</v>
      </c>
      <c r="O65">
        <v>101</v>
      </c>
    </row>
    <row r="66" spans="1:15" x14ac:dyDescent="0.3">
      <c r="A66">
        <v>173</v>
      </c>
      <c r="B66" t="s">
        <v>147</v>
      </c>
      <c r="C66" t="s">
        <v>14</v>
      </c>
      <c r="D66" t="s">
        <v>148</v>
      </c>
      <c r="E66" t="s">
        <v>16</v>
      </c>
      <c r="F66" t="s">
        <v>132</v>
      </c>
      <c r="G66">
        <v>780</v>
      </c>
      <c r="H66">
        <v>730</v>
      </c>
      <c r="I66">
        <v>50</v>
      </c>
      <c r="J66">
        <v>74</v>
      </c>
      <c r="K66">
        <v>150</v>
      </c>
      <c r="L66">
        <v>73</v>
      </c>
      <c r="M66">
        <v>1</v>
      </c>
    </row>
    <row r="67" spans="1:15" x14ac:dyDescent="0.3">
      <c r="A67">
        <v>174</v>
      </c>
      <c r="B67" t="s">
        <v>149</v>
      </c>
      <c r="C67" t="s">
        <v>14</v>
      </c>
      <c r="D67" t="s">
        <v>150</v>
      </c>
      <c r="E67" t="s">
        <v>16</v>
      </c>
      <c r="F67" t="s">
        <v>132</v>
      </c>
      <c r="G67">
        <v>66</v>
      </c>
      <c r="H67">
        <v>30</v>
      </c>
      <c r="I67">
        <v>18</v>
      </c>
      <c r="J67">
        <v>25</v>
      </c>
      <c r="K67">
        <v>5</v>
      </c>
      <c r="L67">
        <v>10</v>
      </c>
      <c r="M67">
        <v>10</v>
      </c>
      <c r="N67">
        <v>18</v>
      </c>
      <c r="O67">
        <v>5</v>
      </c>
    </row>
    <row r="68" spans="1:15" x14ac:dyDescent="0.3">
      <c r="A68">
        <v>175</v>
      </c>
      <c r="B68" t="s">
        <v>151</v>
      </c>
      <c r="C68" t="s">
        <v>14</v>
      </c>
      <c r="D68" t="s">
        <v>152</v>
      </c>
      <c r="E68" t="s">
        <v>16</v>
      </c>
      <c r="F68" t="s">
        <v>132</v>
      </c>
      <c r="G68">
        <v>1200</v>
      </c>
      <c r="H68">
        <v>150</v>
      </c>
      <c r="I68">
        <v>200</v>
      </c>
      <c r="J68">
        <v>150</v>
      </c>
      <c r="K68">
        <v>90</v>
      </c>
      <c r="L68">
        <v>12</v>
      </c>
      <c r="M68">
        <v>8</v>
      </c>
      <c r="N68">
        <v>850</v>
      </c>
      <c r="O68">
        <v>130</v>
      </c>
    </row>
    <row r="69" spans="1:15" x14ac:dyDescent="0.3">
      <c r="A69">
        <v>176</v>
      </c>
      <c r="B69" t="s">
        <v>153</v>
      </c>
      <c r="C69" t="s">
        <v>14</v>
      </c>
      <c r="D69" t="s">
        <v>154</v>
      </c>
      <c r="E69" t="s">
        <v>16</v>
      </c>
      <c r="F69" t="s">
        <v>132</v>
      </c>
      <c r="G69">
        <v>1505</v>
      </c>
      <c r="H69">
        <v>292</v>
      </c>
      <c r="I69">
        <v>292</v>
      </c>
      <c r="J69">
        <v>197</v>
      </c>
      <c r="K69">
        <v>150</v>
      </c>
      <c r="L69">
        <v>10</v>
      </c>
      <c r="M69">
        <v>10</v>
      </c>
      <c r="N69">
        <v>921</v>
      </c>
      <c r="O69">
        <v>177</v>
      </c>
    </row>
    <row r="70" spans="1:15" x14ac:dyDescent="0.3">
      <c r="A70">
        <v>177</v>
      </c>
      <c r="B70" t="s">
        <v>155</v>
      </c>
      <c r="C70" t="s">
        <v>14</v>
      </c>
      <c r="D70" t="s">
        <v>156</v>
      </c>
      <c r="E70" t="s">
        <v>16</v>
      </c>
      <c r="F70" t="s">
        <v>132</v>
      </c>
      <c r="G70">
        <v>298</v>
      </c>
      <c r="H70">
        <v>37</v>
      </c>
      <c r="I70">
        <v>65</v>
      </c>
      <c r="J70">
        <v>11</v>
      </c>
      <c r="K70">
        <v>4</v>
      </c>
      <c r="L70">
        <v>5</v>
      </c>
      <c r="M70">
        <v>4</v>
      </c>
      <c r="N70">
        <v>196</v>
      </c>
      <c r="O70">
        <v>2</v>
      </c>
    </row>
    <row r="71" spans="1:15" x14ac:dyDescent="0.3">
      <c r="A71">
        <v>178</v>
      </c>
      <c r="B71" t="s">
        <v>157</v>
      </c>
      <c r="C71" t="s">
        <v>14</v>
      </c>
      <c r="D71" t="s">
        <v>158</v>
      </c>
      <c r="E71" t="s">
        <v>16</v>
      </c>
    </row>
    <row r="72" spans="1:15" x14ac:dyDescent="0.3">
      <c r="A72">
        <v>179</v>
      </c>
      <c r="B72" t="s">
        <v>159</v>
      </c>
      <c r="C72" t="s">
        <v>14</v>
      </c>
      <c r="D72" t="s">
        <v>160</v>
      </c>
      <c r="E72" t="s">
        <v>16</v>
      </c>
      <c r="F72" t="s">
        <v>132</v>
      </c>
      <c r="G72">
        <v>455</v>
      </c>
      <c r="H72">
        <v>112</v>
      </c>
      <c r="I72">
        <v>25</v>
      </c>
      <c r="J72">
        <v>128</v>
      </c>
      <c r="K72">
        <v>50</v>
      </c>
      <c r="L72">
        <v>13</v>
      </c>
      <c r="M72">
        <v>2</v>
      </c>
      <c r="N72">
        <v>318</v>
      </c>
      <c r="O72">
        <v>113</v>
      </c>
    </row>
    <row r="73" spans="1:15" x14ac:dyDescent="0.3">
      <c r="A73">
        <v>180</v>
      </c>
      <c r="B73" t="s">
        <v>161</v>
      </c>
      <c r="C73" t="s">
        <v>14</v>
      </c>
      <c r="D73" t="s">
        <v>162</v>
      </c>
      <c r="E73" t="s">
        <v>16</v>
      </c>
      <c r="F73" t="s">
        <v>132</v>
      </c>
      <c r="G73">
        <v>600</v>
      </c>
      <c r="H73">
        <v>50</v>
      </c>
      <c r="I73">
        <v>15</v>
      </c>
      <c r="J73">
        <v>149</v>
      </c>
      <c r="K73">
        <v>0</v>
      </c>
      <c r="L73">
        <v>10</v>
      </c>
      <c r="M73">
        <v>2</v>
      </c>
      <c r="N73">
        <v>535</v>
      </c>
      <c r="O73">
        <v>137</v>
      </c>
    </row>
    <row r="74" spans="1:15" x14ac:dyDescent="0.3">
      <c r="A74">
        <v>181</v>
      </c>
      <c r="B74" t="s">
        <v>163</v>
      </c>
      <c r="C74" t="s">
        <v>14</v>
      </c>
      <c r="D74" t="s">
        <v>18132</v>
      </c>
      <c r="E74" t="s">
        <v>16</v>
      </c>
      <c r="F74" t="s">
        <v>132</v>
      </c>
      <c r="G74">
        <v>820</v>
      </c>
      <c r="H74">
        <v>134</v>
      </c>
      <c r="I74">
        <v>5</v>
      </c>
      <c r="J74">
        <v>77</v>
      </c>
      <c r="K74">
        <v>15</v>
      </c>
      <c r="L74">
        <v>9</v>
      </c>
      <c r="M74">
        <v>1</v>
      </c>
      <c r="N74">
        <v>681</v>
      </c>
      <c r="O74">
        <v>67</v>
      </c>
    </row>
    <row r="75" spans="1:15" x14ac:dyDescent="0.3">
      <c r="A75">
        <v>182</v>
      </c>
      <c r="B75" t="s">
        <v>165</v>
      </c>
      <c r="C75" t="s">
        <v>14</v>
      </c>
      <c r="D75" t="s">
        <v>166</v>
      </c>
      <c r="E75" t="s">
        <v>16</v>
      </c>
      <c r="F75" t="s">
        <v>132</v>
      </c>
      <c r="G75">
        <v>1960</v>
      </c>
      <c r="H75">
        <v>400</v>
      </c>
      <c r="I75">
        <v>200</v>
      </c>
      <c r="J75">
        <v>120</v>
      </c>
      <c r="K75">
        <v>49</v>
      </c>
      <c r="L75">
        <v>35</v>
      </c>
      <c r="M75">
        <v>10</v>
      </c>
      <c r="N75">
        <v>1360</v>
      </c>
      <c r="O75">
        <v>75</v>
      </c>
    </row>
    <row r="76" spans="1:15" x14ac:dyDescent="0.3">
      <c r="A76">
        <v>183</v>
      </c>
      <c r="B76" t="s">
        <v>167</v>
      </c>
      <c r="C76" t="s">
        <v>14</v>
      </c>
      <c r="D76" t="s">
        <v>168</v>
      </c>
      <c r="E76" t="s">
        <v>16</v>
      </c>
      <c r="F76" t="s">
        <v>132</v>
      </c>
      <c r="G76">
        <v>80</v>
      </c>
      <c r="H76">
        <v>0</v>
      </c>
      <c r="I76">
        <v>0</v>
      </c>
      <c r="J76">
        <v>12</v>
      </c>
      <c r="K76">
        <v>40</v>
      </c>
      <c r="L76">
        <v>0</v>
      </c>
      <c r="M76">
        <v>0</v>
      </c>
      <c r="N76">
        <v>80</v>
      </c>
      <c r="O76">
        <v>12</v>
      </c>
    </row>
    <row r="77" spans="1:15" x14ac:dyDescent="0.3">
      <c r="A77">
        <v>184</v>
      </c>
      <c r="B77" t="s">
        <v>169</v>
      </c>
      <c r="C77" t="s">
        <v>14</v>
      </c>
      <c r="D77" t="s">
        <v>170</v>
      </c>
      <c r="E77" t="s">
        <v>16</v>
      </c>
    </row>
    <row r="78" spans="1:15" x14ac:dyDescent="0.3">
      <c r="A78">
        <v>185</v>
      </c>
      <c r="B78" t="s">
        <v>171</v>
      </c>
      <c r="C78" t="s">
        <v>14</v>
      </c>
      <c r="D78" t="s">
        <v>172</v>
      </c>
      <c r="E78" t="s">
        <v>16</v>
      </c>
      <c r="F78" t="s">
        <v>132</v>
      </c>
      <c r="G78">
        <v>250</v>
      </c>
      <c r="H78">
        <v>130</v>
      </c>
      <c r="I78">
        <v>20</v>
      </c>
      <c r="J78">
        <v>40</v>
      </c>
      <c r="K78">
        <v>80</v>
      </c>
      <c r="L78">
        <v>20</v>
      </c>
      <c r="M78">
        <v>5</v>
      </c>
      <c r="N78">
        <v>100</v>
      </c>
      <c r="O78">
        <v>15</v>
      </c>
    </row>
    <row r="79" spans="1:15" x14ac:dyDescent="0.3">
      <c r="A79">
        <v>186</v>
      </c>
      <c r="B79" t="s">
        <v>173</v>
      </c>
      <c r="C79" t="s">
        <v>14</v>
      </c>
      <c r="D79" t="s">
        <v>174</v>
      </c>
      <c r="E79" t="s">
        <v>16</v>
      </c>
      <c r="F79" t="s">
        <v>175</v>
      </c>
      <c r="G79">
        <v>285</v>
      </c>
      <c r="H79">
        <v>35</v>
      </c>
      <c r="I79">
        <v>5</v>
      </c>
      <c r="J79">
        <v>100</v>
      </c>
      <c r="K79">
        <v>95</v>
      </c>
      <c r="L79">
        <v>5</v>
      </c>
      <c r="M79">
        <v>0</v>
      </c>
    </row>
    <row r="80" spans="1:15" x14ac:dyDescent="0.3">
      <c r="A80">
        <v>187</v>
      </c>
      <c r="B80" t="s">
        <v>176</v>
      </c>
      <c r="C80" t="s">
        <v>14</v>
      </c>
      <c r="D80" t="s">
        <v>177</v>
      </c>
      <c r="E80" t="s">
        <v>16</v>
      </c>
      <c r="F80" t="s">
        <v>175</v>
      </c>
      <c r="G80">
        <v>548</v>
      </c>
      <c r="H80">
        <v>0</v>
      </c>
      <c r="I80">
        <v>0</v>
      </c>
      <c r="J80">
        <v>100</v>
      </c>
      <c r="K80">
        <v>70</v>
      </c>
      <c r="L80">
        <v>0</v>
      </c>
      <c r="M80">
        <v>0</v>
      </c>
      <c r="N80">
        <v>548</v>
      </c>
      <c r="O80">
        <v>100</v>
      </c>
    </row>
    <row r="81" spans="1:15" x14ac:dyDescent="0.3">
      <c r="A81">
        <v>188</v>
      </c>
      <c r="B81" t="s">
        <v>178</v>
      </c>
      <c r="C81" t="s">
        <v>14</v>
      </c>
      <c r="D81" t="s">
        <v>179</v>
      </c>
      <c r="E81" t="s">
        <v>16</v>
      </c>
      <c r="F81" t="s">
        <v>175</v>
      </c>
      <c r="G81">
        <v>510</v>
      </c>
      <c r="H81">
        <v>0</v>
      </c>
      <c r="I81">
        <v>0</v>
      </c>
      <c r="J81">
        <v>205</v>
      </c>
      <c r="K81">
        <v>18</v>
      </c>
      <c r="L81">
        <v>0</v>
      </c>
      <c r="M81">
        <v>0</v>
      </c>
      <c r="N81">
        <v>510</v>
      </c>
      <c r="O81">
        <v>205</v>
      </c>
    </row>
    <row r="82" spans="1:15" x14ac:dyDescent="0.3">
      <c r="A82">
        <v>189</v>
      </c>
      <c r="B82" t="s">
        <v>180</v>
      </c>
      <c r="C82" t="s">
        <v>14</v>
      </c>
      <c r="D82" t="s">
        <v>181</v>
      </c>
      <c r="E82" t="s">
        <v>16</v>
      </c>
      <c r="F82" t="s">
        <v>175</v>
      </c>
      <c r="G82">
        <v>118</v>
      </c>
      <c r="H82">
        <v>0</v>
      </c>
      <c r="I82">
        <v>0</v>
      </c>
      <c r="J82">
        <v>85</v>
      </c>
      <c r="K82">
        <v>10</v>
      </c>
      <c r="L82">
        <v>0</v>
      </c>
      <c r="M82">
        <v>0</v>
      </c>
      <c r="N82">
        <v>118</v>
      </c>
      <c r="O82">
        <v>85</v>
      </c>
    </row>
    <row r="83" spans="1:15" x14ac:dyDescent="0.3">
      <c r="A83">
        <v>190</v>
      </c>
      <c r="B83" t="s">
        <v>182</v>
      </c>
      <c r="C83" t="s">
        <v>14</v>
      </c>
      <c r="D83" t="s">
        <v>183</v>
      </c>
      <c r="E83" t="s">
        <v>16</v>
      </c>
      <c r="F83" t="s">
        <v>175</v>
      </c>
      <c r="G83">
        <v>55</v>
      </c>
      <c r="H83">
        <v>0</v>
      </c>
      <c r="I83">
        <v>0</v>
      </c>
      <c r="J83">
        <v>40</v>
      </c>
      <c r="K83">
        <v>10</v>
      </c>
      <c r="L83">
        <v>0</v>
      </c>
      <c r="M83">
        <v>0</v>
      </c>
      <c r="N83">
        <v>55</v>
      </c>
      <c r="O83">
        <v>40</v>
      </c>
    </row>
    <row r="84" spans="1:15" x14ac:dyDescent="0.3">
      <c r="A84">
        <v>191</v>
      </c>
      <c r="B84" t="s">
        <v>184</v>
      </c>
      <c r="C84" t="s">
        <v>14</v>
      </c>
      <c r="D84" t="s">
        <v>185</v>
      </c>
      <c r="E84" t="s">
        <v>16</v>
      </c>
    </row>
    <row r="85" spans="1:15" x14ac:dyDescent="0.3">
      <c r="A85">
        <v>192</v>
      </c>
      <c r="B85" t="s">
        <v>186</v>
      </c>
      <c r="C85" t="s">
        <v>14</v>
      </c>
      <c r="D85" t="s">
        <v>187</v>
      </c>
      <c r="E85" t="s">
        <v>16</v>
      </c>
      <c r="F85" t="s">
        <v>175</v>
      </c>
      <c r="G85">
        <v>96</v>
      </c>
      <c r="H85">
        <v>0</v>
      </c>
      <c r="I85">
        <v>0</v>
      </c>
      <c r="J85">
        <v>80</v>
      </c>
      <c r="K85">
        <v>5</v>
      </c>
      <c r="L85">
        <v>0</v>
      </c>
      <c r="M85">
        <v>0</v>
      </c>
    </row>
    <row r="86" spans="1:15" x14ac:dyDescent="0.3">
      <c r="A86">
        <v>193</v>
      </c>
      <c r="B86" t="s">
        <v>188</v>
      </c>
      <c r="C86" t="s">
        <v>14</v>
      </c>
      <c r="D86" t="s">
        <v>189</v>
      </c>
      <c r="E86" t="s">
        <v>16</v>
      </c>
      <c r="F86" t="s">
        <v>194</v>
      </c>
      <c r="G86">
        <v>170</v>
      </c>
      <c r="H86">
        <v>65</v>
      </c>
      <c r="I86">
        <v>10</v>
      </c>
      <c r="J86">
        <v>30</v>
      </c>
      <c r="K86">
        <v>30</v>
      </c>
      <c r="L86">
        <v>8</v>
      </c>
      <c r="M86">
        <v>1</v>
      </c>
      <c r="N86">
        <v>95</v>
      </c>
      <c r="O86">
        <v>21</v>
      </c>
    </row>
    <row r="87" spans="1:15" x14ac:dyDescent="0.3">
      <c r="A87">
        <v>194</v>
      </c>
      <c r="B87" t="s">
        <v>190</v>
      </c>
      <c r="C87" t="s">
        <v>14</v>
      </c>
      <c r="D87" t="s">
        <v>191</v>
      </c>
      <c r="E87" t="s">
        <v>16</v>
      </c>
    </row>
    <row r="88" spans="1:15" x14ac:dyDescent="0.3">
      <c r="A88">
        <v>195</v>
      </c>
      <c r="B88" t="s">
        <v>192</v>
      </c>
      <c r="C88" t="s">
        <v>126</v>
      </c>
      <c r="D88" t="s">
        <v>193</v>
      </c>
      <c r="E88" t="s">
        <v>16</v>
      </c>
      <c r="F88" t="s">
        <v>194</v>
      </c>
      <c r="G88">
        <v>6</v>
      </c>
      <c r="H88">
        <v>0</v>
      </c>
      <c r="I88">
        <v>0</v>
      </c>
      <c r="J88">
        <v>0</v>
      </c>
      <c r="K88">
        <v>0</v>
      </c>
    </row>
    <row r="89" spans="1:15" x14ac:dyDescent="0.3">
      <c r="A89">
        <v>196</v>
      </c>
      <c r="B89" t="s">
        <v>195</v>
      </c>
      <c r="C89" t="s">
        <v>14</v>
      </c>
      <c r="D89" t="s">
        <v>196</v>
      </c>
      <c r="E89" t="s">
        <v>16</v>
      </c>
      <c r="F89" t="s">
        <v>17</v>
      </c>
      <c r="G89">
        <v>65</v>
      </c>
      <c r="H89">
        <v>12</v>
      </c>
      <c r="I89">
        <v>50</v>
      </c>
      <c r="J89">
        <v>5</v>
      </c>
      <c r="K89">
        <v>2</v>
      </c>
      <c r="L89">
        <v>0</v>
      </c>
      <c r="M89">
        <v>4</v>
      </c>
      <c r="N89">
        <v>3</v>
      </c>
      <c r="O89">
        <v>1</v>
      </c>
    </row>
    <row r="90" spans="1:15" x14ac:dyDescent="0.3">
      <c r="A90">
        <v>197</v>
      </c>
      <c r="B90" t="s">
        <v>197</v>
      </c>
      <c r="C90" t="s">
        <v>126</v>
      </c>
      <c r="D90" t="s">
        <v>198</v>
      </c>
      <c r="E90" t="s">
        <v>16</v>
      </c>
      <c r="F90" t="s">
        <v>199</v>
      </c>
      <c r="G90">
        <v>0</v>
      </c>
      <c r="H90">
        <v>0</v>
      </c>
      <c r="I90">
        <v>0</v>
      </c>
    </row>
    <row r="91" spans="1:15" x14ac:dyDescent="0.3">
      <c r="A91">
        <v>198</v>
      </c>
      <c r="B91" t="s">
        <v>200</v>
      </c>
      <c r="C91" t="s">
        <v>126</v>
      </c>
      <c r="D91" t="s">
        <v>201</v>
      </c>
      <c r="E91" t="s">
        <v>16</v>
      </c>
      <c r="F91" t="s">
        <v>199</v>
      </c>
      <c r="G91">
        <v>50</v>
      </c>
      <c r="H91">
        <v>25</v>
      </c>
      <c r="I91">
        <v>25</v>
      </c>
    </row>
    <row r="92" spans="1:15" x14ac:dyDescent="0.3">
      <c r="A92">
        <v>199</v>
      </c>
      <c r="B92" t="s">
        <v>202</v>
      </c>
      <c r="C92" t="s">
        <v>14</v>
      </c>
      <c r="D92" t="s">
        <v>203</v>
      </c>
      <c r="E92" t="s">
        <v>16</v>
      </c>
    </row>
    <row r="93" spans="1:15" x14ac:dyDescent="0.3">
      <c r="A93">
        <v>200</v>
      </c>
      <c r="B93" t="s">
        <v>204</v>
      </c>
      <c r="C93" t="s">
        <v>14</v>
      </c>
      <c r="D93" t="s">
        <v>205</v>
      </c>
      <c r="E93" t="s">
        <v>16</v>
      </c>
      <c r="F93" t="s">
        <v>199</v>
      </c>
      <c r="G93">
        <v>18</v>
      </c>
      <c r="H93">
        <v>3</v>
      </c>
      <c r="I93">
        <v>12</v>
      </c>
      <c r="J93">
        <v>3</v>
      </c>
      <c r="K93">
        <v>0</v>
      </c>
      <c r="L93">
        <v>0</v>
      </c>
      <c r="M93">
        <v>2</v>
      </c>
      <c r="N93">
        <v>3</v>
      </c>
      <c r="O93">
        <v>1</v>
      </c>
    </row>
    <row r="94" spans="1:15" x14ac:dyDescent="0.3">
      <c r="A94">
        <v>201</v>
      </c>
      <c r="B94" t="s">
        <v>206</v>
      </c>
      <c r="C94" t="s">
        <v>14</v>
      </c>
      <c r="D94" t="s">
        <v>207</v>
      </c>
      <c r="E94" t="s">
        <v>16</v>
      </c>
    </row>
    <row r="95" spans="1:15" x14ac:dyDescent="0.3">
      <c r="A95">
        <v>202</v>
      </c>
      <c r="B95" t="s">
        <v>208</v>
      </c>
      <c r="C95" t="s">
        <v>14</v>
      </c>
      <c r="D95" t="s">
        <v>209</v>
      </c>
      <c r="E95" t="s">
        <v>16</v>
      </c>
      <c r="F95" t="s">
        <v>199</v>
      </c>
      <c r="G95">
        <v>57</v>
      </c>
      <c r="H95">
        <v>4</v>
      </c>
      <c r="I95">
        <v>36</v>
      </c>
      <c r="J95">
        <v>15</v>
      </c>
      <c r="K95">
        <v>5</v>
      </c>
      <c r="L95">
        <v>1</v>
      </c>
      <c r="M95">
        <v>6</v>
      </c>
    </row>
    <row r="96" spans="1:15" x14ac:dyDescent="0.3">
      <c r="A96">
        <v>203</v>
      </c>
      <c r="B96" t="s">
        <v>210</v>
      </c>
      <c r="C96" t="s">
        <v>126</v>
      </c>
      <c r="D96" t="s">
        <v>211</v>
      </c>
      <c r="E96" t="s">
        <v>16</v>
      </c>
      <c r="F96" t="s">
        <v>20</v>
      </c>
      <c r="G96">
        <v>3</v>
      </c>
      <c r="H96">
        <v>2</v>
      </c>
      <c r="J96">
        <v>0</v>
      </c>
      <c r="K96">
        <v>0</v>
      </c>
    </row>
    <row r="97" spans="1:15" x14ac:dyDescent="0.3">
      <c r="A97">
        <v>204</v>
      </c>
      <c r="B97" t="s">
        <v>212</v>
      </c>
      <c r="C97" t="s">
        <v>126</v>
      </c>
      <c r="D97" t="s">
        <v>213</v>
      </c>
      <c r="E97" t="s">
        <v>16</v>
      </c>
      <c r="F97" t="s">
        <v>17</v>
      </c>
      <c r="G97">
        <v>3</v>
      </c>
      <c r="H97">
        <v>3</v>
      </c>
      <c r="I97">
        <v>0</v>
      </c>
    </row>
    <row r="98" spans="1:15" x14ac:dyDescent="0.3">
      <c r="A98">
        <v>206</v>
      </c>
      <c r="B98" t="s">
        <v>214</v>
      </c>
      <c r="C98" t="s">
        <v>126</v>
      </c>
      <c r="D98" t="s">
        <v>215</v>
      </c>
      <c r="E98" t="s">
        <v>16</v>
      </c>
      <c r="F98" t="s">
        <v>175</v>
      </c>
      <c r="G98">
        <v>1447</v>
      </c>
      <c r="H98">
        <v>0</v>
      </c>
      <c r="I98">
        <v>0</v>
      </c>
    </row>
    <row r="99" spans="1:15" x14ac:dyDescent="0.3">
      <c r="A99">
        <v>207</v>
      </c>
      <c r="B99" t="s">
        <v>216</v>
      </c>
      <c r="C99" t="s">
        <v>126</v>
      </c>
      <c r="D99" t="s">
        <v>217</v>
      </c>
      <c r="E99" t="s">
        <v>16</v>
      </c>
      <c r="F99" t="s">
        <v>199</v>
      </c>
      <c r="G99">
        <v>7</v>
      </c>
      <c r="H99">
        <v>0</v>
      </c>
      <c r="I99">
        <v>6</v>
      </c>
      <c r="J99">
        <v>0</v>
      </c>
      <c r="K99">
        <v>0</v>
      </c>
    </row>
    <row r="100" spans="1:15" x14ac:dyDescent="0.3">
      <c r="A100">
        <v>209</v>
      </c>
      <c r="B100" t="s">
        <v>220</v>
      </c>
      <c r="C100" t="s">
        <v>126</v>
      </c>
      <c r="D100" t="s">
        <v>221</v>
      </c>
      <c r="E100" t="s">
        <v>16</v>
      </c>
      <c r="F100" t="s">
        <v>194</v>
      </c>
      <c r="G100">
        <v>6</v>
      </c>
      <c r="H100">
        <v>0</v>
      </c>
      <c r="I100">
        <v>0</v>
      </c>
    </row>
    <row r="101" spans="1:15" x14ac:dyDescent="0.3">
      <c r="A101">
        <v>210</v>
      </c>
      <c r="B101" t="s">
        <v>222</v>
      </c>
      <c r="C101" t="s">
        <v>14</v>
      </c>
      <c r="D101" t="s">
        <v>223</v>
      </c>
      <c r="E101" t="s">
        <v>16</v>
      </c>
      <c r="F101" t="s">
        <v>194</v>
      </c>
      <c r="G101">
        <v>110</v>
      </c>
      <c r="H101">
        <v>48</v>
      </c>
      <c r="I101">
        <v>12</v>
      </c>
      <c r="J101">
        <v>17</v>
      </c>
      <c r="K101">
        <v>30</v>
      </c>
      <c r="L101">
        <v>7</v>
      </c>
      <c r="M101">
        <v>2</v>
      </c>
      <c r="N101">
        <v>50</v>
      </c>
      <c r="O101">
        <v>8</v>
      </c>
    </row>
    <row r="102" spans="1:15" x14ac:dyDescent="0.3">
      <c r="A102">
        <v>212</v>
      </c>
      <c r="B102" t="s">
        <v>226</v>
      </c>
      <c r="C102" t="s">
        <v>126</v>
      </c>
      <c r="D102" t="s">
        <v>227</v>
      </c>
      <c r="E102" t="s">
        <v>16</v>
      </c>
      <c r="F102" t="s">
        <v>194</v>
      </c>
      <c r="G102">
        <v>9</v>
      </c>
      <c r="H102">
        <v>9</v>
      </c>
      <c r="I102">
        <v>0</v>
      </c>
    </row>
    <row r="103" spans="1:15" x14ac:dyDescent="0.3">
      <c r="A103">
        <v>213</v>
      </c>
      <c r="B103" t="s">
        <v>228</v>
      </c>
      <c r="C103" t="s">
        <v>126</v>
      </c>
      <c r="D103" t="s">
        <v>229</v>
      </c>
      <c r="E103" t="s">
        <v>16</v>
      </c>
      <c r="F103" t="s">
        <v>194</v>
      </c>
      <c r="G103">
        <v>25</v>
      </c>
      <c r="H103">
        <v>4</v>
      </c>
      <c r="I103">
        <v>2</v>
      </c>
    </row>
    <row r="104" spans="1:15" x14ac:dyDescent="0.3">
      <c r="A104">
        <v>214</v>
      </c>
      <c r="B104" t="s">
        <v>230</v>
      </c>
      <c r="C104" t="s">
        <v>126</v>
      </c>
      <c r="D104" t="s">
        <v>231</v>
      </c>
      <c r="E104" t="s">
        <v>16</v>
      </c>
    </row>
    <row r="105" spans="1:15" x14ac:dyDescent="0.3">
      <c r="A105">
        <v>215</v>
      </c>
      <c r="B105" t="s">
        <v>232</v>
      </c>
      <c r="C105" t="s">
        <v>126</v>
      </c>
      <c r="D105" t="s">
        <v>233</v>
      </c>
      <c r="E105" t="s">
        <v>16</v>
      </c>
      <c r="F105" t="s">
        <v>194</v>
      </c>
      <c r="G105">
        <v>8</v>
      </c>
      <c r="H105">
        <v>6</v>
      </c>
      <c r="I105">
        <v>2</v>
      </c>
    </row>
    <row r="106" spans="1:15" x14ac:dyDescent="0.3">
      <c r="A106">
        <v>216</v>
      </c>
      <c r="B106" t="s">
        <v>234</v>
      </c>
      <c r="C106" t="s">
        <v>126</v>
      </c>
      <c r="D106" t="s">
        <v>235</v>
      </c>
      <c r="E106" t="s">
        <v>16</v>
      </c>
      <c r="F106" t="s">
        <v>194</v>
      </c>
      <c r="G106">
        <v>5</v>
      </c>
      <c r="H106">
        <v>4</v>
      </c>
      <c r="I106">
        <v>1</v>
      </c>
      <c r="J106">
        <v>0</v>
      </c>
      <c r="K106">
        <v>0</v>
      </c>
    </row>
    <row r="107" spans="1:15" x14ac:dyDescent="0.3">
      <c r="A107">
        <v>218</v>
      </c>
      <c r="B107" t="s">
        <v>236</v>
      </c>
      <c r="C107" t="s">
        <v>126</v>
      </c>
      <c r="D107" t="s">
        <v>237</v>
      </c>
      <c r="E107" t="s">
        <v>16</v>
      </c>
      <c r="F107" t="s">
        <v>194</v>
      </c>
      <c r="G107">
        <v>31</v>
      </c>
      <c r="H107">
        <v>2</v>
      </c>
      <c r="I107">
        <v>0</v>
      </c>
    </row>
    <row r="108" spans="1:15" x14ac:dyDescent="0.3">
      <c r="A108">
        <v>219</v>
      </c>
      <c r="B108" t="s">
        <v>238</v>
      </c>
      <c r="C108" t="s">
        <v>126</v>
      </c>
      <c r="D108" t="s">
        <v>239</v>
      </c>
      <c r="E108" t="s">
        <v>16</v>
      </c>
      <c r="F108" t="s">
        <v>194</v>
      </c>
      <c r="G108">
        <v>30</v>
      </c>
      <c r="H108">
        <v>30</v>
      </c>
      <c r="I108">
        <v>0</v>
      </c>
    </row>
    <row r="109" spans="1:15" x14ac:dyDescent="0.3">
      <c r="A109">
        <v>220</v>
      </c>
      <c r="B109" t="s">
        <v>240</v>
      </c>
      <c r="C109" t="s">
        <v>126</v>
      </c>
      <c r="D109" t="s">
        <v>241</v>
      </c>
      <c r="E109" t="s">
        <v>16</v>
      </c>
      <c r="F109" t="s">
        <v>175</v>
      </c>
      <c r="G109">
        <v>17</v>
      </c>
      <c r="H109">
        <v>0</v>
      </c>
      <c r="I109">
        <v>0</v>
      </c>
      <c r="J109">
        <v>0</v>
      </c>
      <c r="K109">
        <v>0</v>
      </c>
    </row>
    <row r="110" spans="1:15" x14ac:dyDescent="0.3">
      <c r="A110">
        <v>221</v>
      </c>
      <c r="B110" t="s">
        <v>242</v>
      </c>
      <c r="C110" t="s">
        <v>126</v>
      </c>
      <c r="D110" t="s">
        <v>243</v>
      </c>
      <c r="E110" t="s">
        <v>16</v>
      </c>
      <c r="F110" t="s">
        <v>20</v>
      </c>
      <c r="G110">
        <v>120</v>
      </c>
      <c r="H110">
        <v>0</v>
      </c>
      <c r="I110">
        <v>0</v>
      </c>
    </row>
    <row r="111" spans="1:15" x14ac:dyDescent="0.3">
      <c r="A111">
        <v>222</v>
      </c>
      <c r="B111" t="s">
        <v>244</v>
      </c>
      <c r="C111" t="s">
        <v>126</v>
      </c>
      <c r="D111" t="s">
        <v>245</v>
      </c>
      <c r="E111" t="s">
        <v>16</v>
      </c>
      <c r="F111" t="s">
        <v>194</v>
      </c>
      <c r="G111">
        <v>28</v>
      </c>
      <c r="H111">
        <v>28</v>
      </c>
      <c r="I111">
        <v>0</v>
      </c>
    </row>
    <row r="112" spans="1:15" x14ac:dyDescent="0.3">
      <c r="A112">
        <v>223</v>
      </c>
      <c r="B112" t="s">
        <v>246</v>
      </c>
      <c r="C112" t="s">
        <v>14</v>
      </c>
      <c r="D112" t="s">
        <v>247</v>
      </c>
      <c r="E112" t="s">
        <v>16</v>
      </c>
      <c r="F112" t="s">
        <v>194</v>
      </c>
      <c r="G112">
        <v>145</v>
      </c>
      <c r="H112">
        <v>0</v>
      </c>
      <c r="I112">
        <v>2</v>
      </c>
      <c r="J112">
        <v>20</v>
      </c>
      <c r="K112">
        <v>4</v>
      </c>
      <c r="L112">
        <v>0</v>
      </c>
      <c r="M112">
        <v>1</v>
      </c>
      <c r="N112">
        <v>143</v>
      </c>
      <c r="O112">
        <v>19</v>
      </c>
    </row>
    <row r="113" spans="1:15" x14ac:dyDescent="0.3">
      <c r="A113">
        <v>224</v>
      </c>
      <c r="B113" t="s">
        <v>248</v>
      </c>
      <c r="C113" t="s">
        <v>14</v>
      </c>
      <c r="D113" t="s">
        <v>249</v>
      </c>
      <c r="E113" t="s">
        <v>16</v>
      </c>
    </row>
    <row r="114" spans="1:15" x14ac:dyDescent="0.3">
      <c r="A114">
        <v>225</v>
      </c>
      <c r="B114" t="s">
        <v>250</v>
      </c>
      <c r="C114" t="s">
        <v>14</v>
      </c>
      <c r="D114" t="s">
        <v>251</v>
      </c>
      <c r="E114" t="s">
        <v>16</v>
      </c>
      <c r="F114" t="s">
        <v>194</v>
      </c>
      <c r="G114">
        <v>89</v>
      </c>
      <c r="H114">
        <v>5</v>
      </c>
      <c r="I114">
        <v>2</v>
      </c>
      <c r="J114">
        <v>13</v>
      </c>
      <c r="K114">
        <v>3</v>
      </c>
      <c r="L114">
        <v>0</v>
      </c>
      <c r="M114">
        <v>0</v>
      </c>
      <c r="N114">
        <v>82</v>
      </c>
      <c r="O114">
        <v>13</v>
      </c>
    </row>
    <row r="115" spans="1:15" x14ac:dyDescent="0.3">
      <c r="A115">
        <v>226</v>
      </c>
      <c r="B115" t="s">
        <v>252</v>
      </c>
      <c r="C115" t="s">
        <v>126</v>
      </c>
      <c r="D115" t="s">
        <v>253</v>
      </c>
      <c r="E115" t="s">
        <v>16</v>
      </c>
      <c r="F115" t="s">
        <v>175</v>
      </c>
      <c r="G115">
        <v>0</v>
      </c>
      <c r="H115">
        <v>0</v>
      </c>
      <c r="I115">
        <v>0</v>
      </c>
    </row>
    <row r="116" spans="1:15" x14ac:dyDescent="0.3">
      <c r="A116">
        <v>227</v>
      </c>
      <c r="B116" t="s">
        <v>254</v>
      </c>
      <c r="C116" t="s">
        <v>14</v>
      </c>
      <c r="D116" t="s">
        <v>255</v>
      </c>
      <c r="E116" t="s">
        <v>16</v>
      </c>
      <c r="F116" t="s">
        <v>194</v>
      </c>
      <c r="G116">
        <v>38</v>
      </c>
      <c r="H116">
        <v>3</v>
      </c>
      <c r="I116">
        <v>0</v>
      </c>
      <c r="J116">
        <v>15</v>
      </c>
      <c r="K116">
        <v>5</v>
      </c>
      <c r="L116">
        <v>0</v>
      </c>
      <c r="M116">
        <v>0</v>
      </c>
      <c r="N116">
        <v>35</v>
      </c>
      <c r="O116">
        <v>15</v>
      </c>
    </row>
    <row r="117" spans="1:15" x14ac:dyDescent="0.3">
      <c r="A117">
        <v>228</v>
      </c>
      <c r="B117" t="s">
        <v>256</v>
      </c>
      <c r="C117" t="s">
        <v>126</v>
      </c>
      <c r="D117" t="s">
        <v>257</v>
      </c>
      <c r="E117" t="s">
        <v>16</v>
      </c>
    </row>
    <row r="118" spans="1:15" x14ac:dyDescent="0.3">
      <c r="A118">
        <v>230</v>
      </c>
      <c r="B118" t="s">
        <v>258</v>
      </c>
      <c r="C118" t="s">
        <v>126</v>
      </c>
      <c r="D118" t="s">
        <v>259</v>
      </c>
      <c r="E118" t="s">
        <v>16</v>
      </c>
      <c r="F118" t="s">
        <v>194</v>
      </c>
      <c r="G118">
        <v>21</v>
      </c>
      <c r="H118">
        <v>1</v>
      </c>
      <c r="I118">
        <v>0</v>
      </c>
    </row>
    <row r="119" spans="1:15" x14ac:dyDescent="0.3">
      <c r="A119">
        <v>231</v>
      </c>
      <c r="B119" t="s">
        <v>260</v>
      </c>
      <c r="C119" t="s">
        <v>126</v>
      </c>
      <c r="D119" t="s">
        <v>261</v>
      </c>
      <c r="E119" t="s">
        <v>16</v>
      </c>
      <c r="F119" t="s">
        <v>194</v>
      </c>
      <c r="G119">
        <v>18</v>
      </c>
      <c r="H119">
        <v>15</v>
      </c>
      <c r="I119">
        <v>3</v>
      </c>
    </row>
    <row r="120" spans="1:15" x14ac:dyDescent="0.3">
      <c r="A120">
        <v>232</v>
      </c>
      <c r="B120" t="s">
        <v>262</v>
      </c>
      <c r="C120" t="s">
        <v>126</v>
      </c>
      <c r="D120" t="s">
        <v>263</v>
      </c>
      <c r="E120" t="s">
        <v>16</v>
      </c>
      <c r="F120" t="s">
        <v>194</v>
      </c>
      <c r="G120">
        <v>14</v>
      </c>
      <c r="H120">
        <v>13</v>
      </c>
      <c r="I120">
        <v>1</v>
      </c>
    </row>
    <row r="121" spans="1:15" x14ac:dyDescent="0.3">
      <c r="A121">
        <v>233</v>
      </c>
      <c r="B121" t="s">
        <v>264</v>
      </c>
      <c r="C121" t="s">
        <v>126</v>
      </c>
      <c r="D121" t="s">
        <v>265</v>
      </c>
      <c r="E121" t="s">
        <v>16</v>
      </c>
      <c r="F121" t="s">
        <v>20</v>
      </c>
      <c r="G121">
        <v>500</v>
      </c>
      <c r="H121">
        <v>15</v>
      </c>
      <c r="I121">
        <v>5</v>
      </c>
    </row>
    <row r="122" spans="1:15" x14ac:dyDescent="0.3">
      <c r="A122">
        <v>234</v>
      </c>
      <c r="B122" t="s">
        <v>266</v>
      </c>
      <c r="C122" t="s">
        <v>126</v>
      </c>
      <c r="D122" t="s">
        <v>267</v>
      </c>
      <c r="E122" t="s">
        <v>16</v>
      </c>
      <c r="F122" t="s">
        <v>175</v>
      </c>
      <c r="G122">
        <v>25</v>
      </c>
      <c r="H122">
        <v>9</v>
      </c>
      <c r="I122">
        <v>6</v>
      </c>
      <c r="J122">
        <v>0</v>
      </c>
      <c r="K122">
        <v>0</v>
      </c>
    </row>
    <row r="123" spans="1:15" x14ac:dyDescent="0.3">
      <c r="A123">
        <v>235</v>
      </c>
      <c r="B123" t="s">
        <v>268</v>
      </c>
      <c r="C123" t="s">
        <v>126</v>
      </c>
      <c r="D123" t="s">
        <v>269</v>
      </c>
      <c r="E123" t="s">
        <v>16</v>
      </c>
      <c r="F123" t="s">
        <v>194</v>
      </c>
      <c r="G123">
        <v>16</v>
      </c>
      <c r="H123">
        <v>15</v>
      </c>
      <c r="I123">
        <v>1</v>
      </c>
    </row>
    <row r="124" spans="1:15" x14ac:dyDescent="0.3">
      <c r="A124">
        <v>236</v>
      </c>
      <c r="B124" t="s">
        <v>270</v>
      </c>
      <c r="C124" t="s">
        <v>14</v>
      </c>
      <c r="D124" t="s">
        <v>271</v>
      </c>
      <c r="E124" t="s">
        <v>16</v>
      </c>
    </row>
    <row r="125" spans="1:15" x14ac:dyDescent="0.3">
      <c r="A125">
        <v>237</v>
      </c>
      <c r="B125" t="s">
        <v>272</v>
      </c>
      <c r="C125" t="s">
        <v>14</v>
      </c>
      <c r="D125" t="s">
        <v>273</v>
      </c>
      <c r="E125" t="s">
        <v>16</v>
      </c>
      <c r="F125" t="s">
        <v>194</v>
      </c>
      <c r="G125">
        <v>38</v>
      </c>
      <c r="H125">
        <v>6</v>
      </c>
      <c r="I125">
        <v>12</v>
      </c>
      <c r="J125">
        <v>16</v>
      </c>
      <c r="K125">
        <v>5</v>
      </c>
      <c r="L125">
        <v>4</v>
      </c>
      <c r="M125">
        <v>6</v>
      </c>
      <c r="N125">
        <v>20</v>
      </c>
      <c r="O125">
        <v>6</v>
      </c>
    </row>
    <row r="126" spans="1:15" x14ac:dyDescent="0.3">
      <c r="A126">
        <v>238</v>
      </c>
      <c r="B126" t="s">
        <v>274</v>
      </c>
      <c r="C126" t="s">
        <v>126</v>
      </c>
      <c r="D126" t="s">
        <v>275</v>
      </c>
      <c r="E126" t="s">
        <v>16</v>
      </c>
    </row>
    <row r="127" spans="1:15" x14ac:dyDescent="0.3">
      <c r="A127">
        <v>239</v>
      </c>
      <c r="B127" t="s">
        <v>276</v>
      </c>
      <c r="C127" t="s">
        <v>14</v>
      </c>
      <c r="D127" t="s">
        <v>277</v>
      </c>
      <c r="E127" t="s">
        <v>16</v>
      </c>
      <c r="F127" t="s">
        <v>132</v>
      </c>
      <c r="G127">
        <v>20</v>
      </c>
      <c r="H127">
        <v>20</v>
      </c>
      <c r="I127">
        <v>0</v>
      </c>
      <c r="J127">
        <v>20</v>
      </c>
      <c r="K127">
        <v>0</v>
      </c>
      <c r="L127">
        <v>20</v>
      </c>
      <c r="M127">
        <v>0</v>
      </c>
      <c r="N127">
        <v>0</v>
      </c>
      <c r="O127">
        <v>0</v>
      </c>
    </row>
    <row r="128" spans="1:15" x14ac:dyDescent="0.3">
      <c r="A128">
        <v>240</v>
      </c>
      <c r="B128" t="s">
        <v>278</v>
      </c>
      <c r="C128" t="s">
        <v>14</v>
      </c>
      <c r="D128" t="s">
        <v>279</v>
      </c>
      <c r="E128" t="s">
        <v>16</v>
      </c>
    </row>
    <row r="129" spans="1:15" x14ac:dyDescent="0.3">
      <c r="A129">
        <v>241</v>
      </c>
      <c r="B129" t="s">
        <v>280</v>
      </c>
      <c r="C129" t="s">
        <v>126</v>
      </c>
      <c r="D129" t="s">
        <v>281</v>
      </c>
      <c r="E129" t="s">
        <v>16</v>
      </c>
      <c r="F129" t="s">
        <v>175</v>
      </c>
      <c r="G129">
        <v>467</v>
      </c>
      <c r="H129">
        <v>0</v>
      </c>
      <c r="I129">
        <v>0</v>
      </c>
    </row>
    <row r="130" spans="1:15" x14ac:dyDescent="0.3">
      <c r="A130">
        <v>242</v>
      </c>
      <c r="B130" t="s">
        <v>282</v>
      </c>
      <c r="C130" t="s">
        <v>126</v>
      </c>
      <c r="D130" t="s">
        <v>283</v>
      </c>
      <c r="E130" t="s">
        <v>16</v>
      </c>
      <c r="F130" t="s">
        <v>17</v>
      </c>
      <c r="G130">
        <v>0</v>
      </c>
      <c r="H130">
        <v>0</v>
      </c>
      <c r="I130">
        <v>0</v>
      </c>
    </row>
    <row r="131" spans="1:15" x14ac:dyDescent="0.3">
      <c r="A131">
        <v>243</v>
      </c>
      <c r="B131" t="s">
        <v>284</v>
      </c>
      <c r="C131" t="s">
        <v>126</v>
      </c>
      <c r="D131" t="s">
        <v>285</v>
      </c>
      <c r="E131" t="s">
        <v>16</v>
      </c>
      <c r="F131" t="s">
        <v>175</v>
      </c>
      <c r="G131">
        <v>0</v>
      </c>
      <c r="H131">
        <v>0</v>
      </c>
      <c r="I131">
        <v>0</v>
      </c>
    </row>
    <row r="132" spans="1:15" x14ac:dyDescent="0.3">
      <c r="A132">
        <v>244</v>
      </c>
      <c r="B132" t="s">
        <v>286</v>
      </c>
      <c r="C132" t="s">
        <v>126</v>
      </c>
      <c r="D132" t="s">
        <v>287</v>
      </c>
      <c r="E132" t="s">
        <v>16</v>
      </c>
      <c r="F132" t="s">
        <v>175</v>
      </c>
      <c r="G132">
        <v>0</v>
      </c>
      <c r="H132">
        <v>0</v>
      </c>
      <c r="I132">
        <v>0</v>
      </c>
      <c r="J132">
        <v>0</v>
      </c>
      <c r="K132">
        <v>0</v>
      </c>
    </row>
    <row r="133" spans="1:15" x14ac:dyDescent="0.3">
      <c r="A133">
        <v>245</v>
      </c>
      <c r="B133" t="s">
        <v>288</v>
      </c>
      <c r="C133" t="s">
        <v>126</v>
      </c>
      <c r="D133" t="s">
        <v>289</v>
      </c>
      <c r="E133" t="s">
        <v>16</v>
      </c>
    </row>
    <row r="134" spans="1:15" x14ac:dyDescent="0.3">
      <c r="A134">
        <v>246</v>
      </c>
      <c r="B134" t="s">
        <v>290</v>
      </c>
      <c r="C134" t="s">
        <v>14</v>
      </c>
      <c r="D134" t="s">
        <v>291</v>
      </c>
      <c r="E134" t="s">
        <v>16</v>
      </c>
      <c r="F134" t="s">
        <v>194</v>
      </c>
      <c r="G134">
        <v>79</v>
      </c>
      <c r="H134">
        <v>79</v>
      </c>
      <c r="I134">
        <v>0</v>
      </c>
      <c r="J134">
        <v>65</v>
      </c>
      <c r="K134">
        <v>1</v>
      </c>
      <c r="L134">
        <v>0</v>
      </c>
      <c r="M134">
        <v>0</v>
      </c>
    </row>
    <row r="135" spans="1:15" x14ac:dyDescent="0.3">
      <c r="A135">
        <v>247</v>
      </c>
      <c r="B135" t="s">
        <v>292</v>
      </c>
      <c r="C135" t="s">
        <v>126</v>
      </c>
      <c r="D135" t="s">
        <v>293</v>
      </c>
      <c r="E135" t="s">
        <v>16</v>
      </c>
      <c r="F135" t="s">
        <v>194</v>
      </c>
      <c r="G135">
        <v>4</v>
      </c>
      <c r="H135">
        <v>0</v>
      </c>
      <c r="I135">
        <v>0</v>
      </c>
    </row>
    <row r="136" spans="1:15" x14ac:dyDescent="0.3">
      <c r="A136">
        <v>248</v>
      </c>
      <c r="B136" t="s">
        <v>294</v>
      </c>
      <c r="C136" t="s">
        <v>126</v>
      </c>
      <c r="D136" t="s">
        <v>295</v>
      </c>
      <c r="E136" t="s">
        <v>16</v>
      </c>
    </row>
    <row r="137" spans="1:15" x14ac:dyDescent="0.3">
      <c r="A137">
        <v>249</v>
      </c>
      <c r="B137" t="s">
        <v>296</v>
      </c>
      <c r="C137" t="s">
        <v>14</v>
      </c>
      <c r="D137" t="s">
        <v>297</v>
      </c>
      <c r="E137" t="s">
        <v>16</v>
      </c>
      <c r="F137" t="s">
        <v>199</v>
      </c>
      <c r="G137">
        <v>200</v>
      </c>
      <c r="H137">
        <v>10</v>
      </c>
      <c r="I137">
        <v>200</v>
      </c>
      <c r="J137">
        <v>20</v>
      </c>
      <c r="K137">
        <v>15</v>
      </c>
      <c r="L137">
        <v>5</v>
      </c>
      <c r="M137">
        <v>20</v>
      </c>
    </row>
    <row r="138" spans="1:15" x14ac:dyDescent="0.3">
      <c r="A138">
        <v>250</v>
      </c>
      <c r="B138" t="s">
        <v>298</v>
      </c>
      <c r="C138" t="s">
        <v>14</v>
      </c>
      <c r="D138" t="s">
        <v>299</v>
      </c>
      <c r="E138" t="s">
        <v>16</v>
      </c>
    </row>
    <row r="139" spans="1:15" x14ac:dyDescent="0.3">
      <c r="A139">
        <v>252</v>
      </c>
      <c r="B139" t="s">
        <v>1200</v>
      </c>
      <c r="C139" t="s">
        <v>14</v>
      </c>
      <c r="D139" t="s">
        <v>1201</v>
      </c>
      <c r="E139" t="s">
        <v>16</v>
      </c>
      <c r="F139" t="s">
        <v>194</v>
      </c>
      <c r="G139">
        <v>28</v>
      </c>
      <c r="H139">
        <v>11</v>
      </c>
      <c r="I139">
        <v>17</v>
      </c>
      <c r="J139">
        <v>4</v>
      </c>
      <c r="K139">
        <v>7</v>
      </c>
      <c r="L139">
        <v>7</v>
      </c>
      <c r="M139">
        <v>9</v>
      </c>
    </row>
    <row r="140" spans="1:15" x14ac:dyDescent="0.3">
      <c r="A140">
        <v>253</v>
      </c>
      <c r="B140" t="s">
        <v>224</v>
      </c>
      <c r="C140" t="s">
        <v>126</v>
      </c>
      <c r="D140" t="s">
        <v>225</v>
      </c>
      <c r="E140" t="s">
        <v>16</v>
      </c>
    </row>
    <row r="141" spans="1:15" x14ac:dyDescent="0.3">
      <c r="A141">
        <v>254</v>
      </c>
      <c r="B141" t="s">
        <v>1202</v>
      </c>
      <c r="C141" t="s">
        <v>14</v>
      </c>
      <c r="D141" t="s">
        <v>1203</v>
      </c>
      <c r="E141" t="s">
        <v>16</v>
      </c>
      <c r="F141" t="s">
        <v>199</v>
      </c>
      <c r="G141">
        <v>63</v>
      </c>
      <c r="H141">
        <v>15</v>
      </c>
      <c r="I141">
        <v>40</v>
      </c>
      <c r="J141">
        <v>16</v>
      </c>
      <c r="K141">
        <v>47</v>
      </c>
      <c r="L141">
        <v>5</v>
      </c>
      <c r="M141">
        <v>9</v>
      </c>
      <c r="N141">
        <v>8</v>
      </c>
      <c r="O141">
        <v>2</v>
      </c>
    </row>
    <row r="142" spans="1:15" x14ac:dyDescent="0.3">
      <c r="A142">
        <v>255</v>
      </c>
      <c r="B142" t="s">
        <v>1204</v>
      </c>
      <c r="C142" t="s">
        <v>14</v>
      </c>
      <c r="D142" t="s">
        <v>1205</v>
      </c>
      <c r="E142" t="s">
        <v>16</v>
      </c>
      <c r="F142" t="s">
        <v>20</v>
      </c>
      <c r="G142">
        <v>166</v>
      </c>
      <c r="H142">
        <v>20</v>
      </c>
      <c r="I142">
        <v>5</v>
      </c>
      <c r="J142">
        <v>20</v>
      </c>
      <c r="K142">
        <v>50</v>
      </c>
      <c r="L142">
        <v>4</v>
      </c>
      <c r="M142">
        <v>0</v>
      </c>
      <c r="N142">
        <v>141</v>
      </c>
      <c r="O142">
        <v>16</v>
      </c>
    </row>
    <row r="143" spans="1:15" x14ac:dyDescent="0.3">
      <c r="A143">
        <v>256</v>
      </c>
      <c r="B143" t="s">
        <v>1206</v>
      </c>
      <c r="C143" t="s">
        <v>14</v>
      </c>
      <c r="D143" t="s">
        <v>1207</v>
      </c>
      <c r="E143" t="s">
        <v>16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127C7-90EA-41ED-9823-0CB0B1EF3845}">
  <sheetPr codeName="Sheet32">
    <tabColor rgb="FFF2F0F5"/>
  </sheetPr>
  <dimension ref="A1:O1177"/>
  <sheetViews>
    <sheetView topLeftCell="A580" workbookViewId="0">
      <selection activeCell="F581" sqref="F581"/>
    </sheetView>
  </sheetViews>
  <sheetFormatPr defaultRowHeight="14.4" x14ac:dyDescent="0.3"/>
  <cols>
    <col min="1" max="1" width="14.77734375" customWidth="1"/>
    <col min="2" max="2" width="18.21875" customWidth="1"/>
    <col min="3" max="3" width="15.88671875" customWidth="1"/>
    <col min="4" max="4" width="19.109375" customWidth="1"/>
    <col min="5" max="5" width="14.5546875" customWidth="1"/>
    <col min="6" max="6" width="17.77734375" customWidth="1"/>
    <col min="7" max="7" width="25.77734375" customWidth="1"/>
    <col min="8" max="8" width="10.77734375" customWidth="1"/>
    <col min="9" max="9" width="11.5546875" customWidth="1"/>
    <col min="10" max="11" width="11.109375" customWidth="1"/>
    <col min="12" max="12" width="15.5546875" customWidth="1"/>
    <col min="13" max="13" width="10.88671875" customWidth="1"/>
    <col min="14" max="14" width="31.88671875" customWidth="1"/>
    <col min="15" max="15" width="31.77734375" customWidth="1"/>
  </cols>
  <sheetData>
    <row r="1" spans="1:15" x14ac:dyDescent="0.3">
      <c r="A1" t="s">
        <v>300</v>
      </c>
      <c r="B1" t="s">
        <v>301</v>
      </c>
      <c r="C1" t="s">
        <v>0</v>
      </c>
      <c r="D1" t="s">
        <v>1</v>
      </c>
      <c r="E1" t="s">
        <v>302</v>
      </c>
      <c r="F1" t="s">
        <v>303</v>
      </c>
      <c r="G1" t="s">
        <v>17967</v>
      </c>
      <c r="H1" t="s">
        <v>304</v>
      </c>
      <c r="I1" t="s">
        <v>305</v>
      </c>
      <c r="J1" t="s">
        <v>306</v>
      </c>
      <c r="K1" t="s">
        <v>307</v>
      </c>
      <c r="L1" t="s">
        <v>308</v>
      </c>
      <c r="M1" t="s">
        <v>309</v>
      </c>
      <c r="N1" t="s">
        <v>310</v>
      </c>
      <c r="O1" t="s">
        <v>311</v>
      </c>
    </row>
    <row r="2" spans="1:15" x14ac:dyDescent="0.3">
      <c r="A2">
        <v>427</v>
      </c>
      <c r="B2" t="s">
        <v>323</v>
      </c>
      <c r="C2">
        <v>107</v>
      </c>
      <c r="D2" t="s">
        <v>13</v>
      </c>
      <c r="E2">
        <v>1561</v>
      </c>
      <c r="F2" t="s">
        <v>314</v>
      </c>
      <c r="G2">
        <v>6</v>
      </c>
      <c r="H2">
        <v>0</v>
      </c>
      <c r="I2">
        <v>2</v>
      </c>
      <c r="J2">
        <v>2</v>
      </c>
      <c r="K2">
        <v>1</v>
      </c>
      <c r="L2">
        <v>1</v>
      </c>
      <c r="M2">
        <v>0</v>
      </c>
      <c r="N2" t="s">
        <v>333</v>
      </c>
      <c r="O2" t="s">
        <v>348</v>
      </c>
    </row>
    <row r="3" spans="1:15" x14ac:dyDescent="0.3">
      <c r="A3">
        <v>427</v>
      </c>
      <c r="B3" t="s">
        <v>323</v>
      </c>
      <c r="C3">
        <v>107</v>
      </c>
      <c r="D3" t="s">
        <v>13</v>
      </c>
      <c r="E3">
        <v>1562</v>
      </c>
      <c r="F3" t="s">
        <v>315</v>
      </c>
      <c r="G3">
        <v>8</v>
      </c>
      <c r="H3">
        <v>1</v>
      </c>
      <c r="I3">
        <v>4</v>
      </c>
      <c r="J3">
        <v>0</v>
      </c>
      <c r="K3">
        <v>1</v>
      </c>
      <c r="L3">
        <v>1</v>
      </c>
      <c r="M3">
        <v>1</v>
      </c>
      <c r="N3" t="s">
        <v>333</v>
      </c>
      <c r="O3" t="s">
        <v>336</v>
      </c>
    </row>
    <row r="4" spans="1:15" x14ac:dyDescent="0.3">
      <c r="A4">
        <v>427</v>
      </c>
      <c r="B4" t="s">
        <v>323</v>
      </c>
      <c r="C4">
        <v>107</v>
      </c>
      <c r="D4" t="s">
        <v>13</v>
      </c>
      <c r="E4">
        <v>1565</v>
      </c>
      <c r="F4" t="s">
        <v>318</v>
      </c>
      <c r="G4">
        <v>4</v>
      </c>
      <c r="H4">
        <v>0</v>
      </c>
      <c r="I4">
        <v>0</v>
      </c>
      <c r="J4">
        <v>1</v>
      </c>
      <c r="K4">
        <v>0</v>
      </c>
      <c r="L4">
        <v>1</v>
      </c>
      <c r="M4">
        <v>2</v>
      </c>
      <c r="N4" t="s">
        <v>333</v>
      </c>
      <c r="O4" t="s">
        <v>336</v>
      </c>
    </row>
    <row r="5" spans="1:15" x14ac:dyDescent="0.3">
      <c r="A5">
        <v>427</v>
      </c>
      <c r="B5" t="s">
        <v>323</v>
      </c>
      <c r="C5">
        <v>107</v>
      </c>
      <c r="D5" t="s">
        <v>13</v>
      </c>
      <c r="E5">
        <v>1566</v>
      </c>
      <c r="F5" t="s">
        <v>319</v>
      </c>
      <c r="G5">
        <v>3</v>
      </c>
      <c r="H5">
        <v>0</v>
      </c>
      <c r="I5">
        <v>1</v>
      </c>
      <c r="J5">
        <v>1</v>
      </c>
      <c r="K5">
        <v>0</v>
      </c>
      <c r="L5">
        <v>1</v>
      </c>
      <c r="M5">
        <v>0</v>
      </c>
      <c r="N5" t="s">
        <v>333</v>
      </c>
      <c r="O5" t="s">
        <v>336</v>
      </c>
    </row>
    <row r="6" spans="1:15" x14ac:dyDescent="0.3">
      <c r="A6">
        <v>427</v>
      </c>
      <c r="B6" t="s">
        <v>323</v>
      </c>
      <c r="C6">
        <v>107</v>
      </c>
      <c r="D6" t="s">
        <v>13</v>
      </c>
      <c r="E6">
        <v>1567</v>
      </c>
      <c r="F6" t="s">
        <v>320</v>
      </c>
      <c r="G6">
        <v>8</v>
      </c>
      <c r="H6">
        <v>0</v>
      </c>
      <c r="I6">
        <v>3</v>
      </c>
      <c r="J6">
        <v>2</v>
      </c>
      <c r="K6">
        <v>1</v>
      </c>
      <c r="L6">
        <v>1</v>
      </c>
      <c r="M6">
        <v>1</v>
      </c>
      <c r="N6" t="s">
        <v>410</v>
      </c>
      <c r="O6" t="s">
        <v>329</v>
      </c>
    </row>
    <row r="7" spans="1:15" x14ac:dyDescent="0.3">
      <c r="A7">
        <v>427</v>
      </c>
      <c r="B7" t="s">
        <v>323</v>
      </c>
      <c r="C7">
        <v>107</v>
      </c>
      <c r="D7" t="s">
        <v>13</v>
      </c>
      <c r="E7">
        <v>1569</v>
      </c>
      <c r="F7" t="s">
        <v>322</v>
      </c>
      <c r="G7">
        <v>6</v>
      </c>
      <c r="H7">
        <v>1</v>
      </c>
      <c r="I7">
        <v>2</v>
      </c>
      <c r="J7">
        <v>1</v>
      </c>
      <c r="K7">
        <v>0</v>
      </c>
      <c r="L7">
        <v>2</v>
      </c>
      <c r="M7">
        <v>0</v>
      </c>
      <c r="N7" t="s">
        <v>325</v>
      </c>
      <c r="O7" t="s">
        <v>336</v>
      </c>
    </row>
    <row r="8" spans="1:15" x14ac:dyDescent="0.3">
      <c r="A8">
        <v>427</v>
      </c>
      <c r="B8" t="s">
        <v>323</v>
      </c>
      <c r="C8">
        <v>107</v>
      </c>
      <c r="D8" t="s">
        <v>13</v>
      </c>
      <c r="E8">
        <v>1916</v>
      </c>
      <c r="F8" t="s">
        <v>1208</v>
      </c>
      <c r="G8">
        <v>5</v>
      </c>
      <c r="H8">
        <v>0</v>
      </c>
      <c r="I8">
        <v>2</v>
      </c>
      <c r="J8">
        <v>1</v>
      </c>
      <c r="K8">
        <v>1</v>
      </c>
      <c r="L8">
        <v>1</v>
      </c>
      <c r="M8">
        <v>0</v>
      </c>
      <c r="N8" t="s">
        <v>333</v>
      </c>
      <c r="O8" t="s">
        <v>336</v>
      </c>
    </row>
    <row r="9" spans="1:15" x14ac:dyDescent="0.3">
      <c r="A9">
        <v>428</v>
      </c>
      <c r="B9" t="s">
        <v>323</v>
      </c>
      <c r="C9">
        <v>108</v>
      </c>
      <c r="D9" t="s">
        <v>18</v>
      </c>
      <c r="E9">
        <v>1599</v>
      </c>
      <c r="F9" t="s">
        <v>324</v>
      </c>
      <c r="G9">
        <v>6</v>
      </c>
      <c r="H9">
        <v>1</v>
      </c>
      <c r="I9">
        <v>0</v>
      </c>
      <c r="J9">
        <v>1</v>
      </c>
      <c r="K9">
        <v>3</v>
      </c>
      <c r="L9">
        <v>1</v>
      </c>
      <c r="M9">
        <v>0</v>
      </c>
      <c r="N9" t="s">
        <v>325</v>
      </c>
      <c r="O9" t="s">
        <v>326</v>
      </c>
    </row>
    <row r="10" spans="1:15" x14ac:dyDescent="0.3">
      <c r="A10">
        <v>428</v>
      </c>
      <c r="B10" t="s">
        <v>323</v>
      </c>
      <c r="C10">
        <v>108</v>
      </c>
      <c r="D10" t="s">
        <v>18</v>
      </c>
      <c r="E10">
        <v>1600</v>
      </c>
      <c r="F10" t="s">
        <v>328</v>
      </c>
      <c r="G10">
        <v>4</v>
      </c>
      <c r="H10">
        <v>2</v>
      </c>
      <c r="I10">
        <v>0</v>
      </c>
      <c r="J10">
        <v>0</v>
      </c>
      <c r="K10">
        <v>1</v>
      </c>
      <c r="L10">
        <v>1</v>
      </c>
      <c r="M10">
        <v>0</v>
      </c>
      <c r="N10" t="s">
        <v>325</v>
      </c>
      <c r="O10" t="s">
        <v>329</v>
      </c>
    </row>
    <row r="11" spans="1:15" x14ac:dyDescent="0.3">
      <c r="A11">
        <v>428</v>
      </c>
      <c r="B11" t="s">
        <v>323</v>
      </c>
      <c r="C11">
        <v>108</v>
      </c>
      <c r="D11" t="s">
        <v>18</v>
      </c>
      <c r="E11">
        <v>1601</v>
      </c>
      <c r="F11" t="s">
        <v>331</v>
      </c>
      <c r="G11">
        <v>6</v>
      </c>
      <c r="H11">
        <v>0</v>
      </c>
      <c r="I11">
        <v>1</v>
      </c>
      <c r="J11">
        <v>2</v>
      </c>
      <c r="K11">
        <v>0</v>
      </c>
      <c r="L11">
        <v>2</v>
      </c>
      <c r="M11">
        <v>1</v>
      </c>
      <c r="N11" t="s">
        <v>325</v>
      </c>
      <c r="O11" t="s">
        <v>326</v>
      </c>
    </row>
    <row r="12" spans="1:15" x14ac:dyDescent="0.3">
      <c r="A12">
        <v>428</v>
      </c>
      <c r="B12" t="s">
        <v>323</v>
      </c>
      <c r="C12">
        <v>108</v>
      </c>
      <c r="D12" t="s">
        <v>18</v>
      </c>
      <c r="E12">
        <v>1602</v>
      </c>
      <c r="F12" t="s">
        <v>332</v>
      </c>
      <c r="G12">
        <v>3</v>
      </c>
      <c r="H12">
        <v>0</v>
      </c>
      <c r="I12">
        <v>0</v>
      </c>
      <c r="J12">
        <v>0</v>
      </c>
      <c r="K12">
        <v>2</v>
      </c>
      <c r="L12">
        <v>1</v>
      </c>
      <c r="M12">
        <v>0</v>
      </c>
      <c r="N12" t="s">
        <v>333</v>
      </c>
      <c r="O12" t="s">
        <v>326</v>
      </c>
    </row>
    <row r="13" spans="1:15" x14ac:dyDescent="0.3">
      <c r="A13">
        <v>428</v>
      </c>
      <c r="B13" t="s">
        <v>323</v>
      </c>
      <c r="C13">
        <v>108</v>
      </c>
      <c r="D13" t="s">
        <v>18</v>
      </c>
      <c r="E13">
        <v>1604</v>
      </c>
      <c r="F13" t="s">
        <v>335</v>
      </c>
      <c r="G13">
        <v>6</v>
      </c>
      <c r="H13">
        <v>2</v>
      </c>
      <c r="I13">
        <v>2</v>
      </c>
      <c r="J13">
        <v>2</v>
      </c>
      <c r="K13">
        <v>0</v>
      </c>
      <c r="L13">
        <v>0</v>
      </c>
      <c r="M13">
        <v>0</v>
      </c>
      <c r="N13" t="s">
        <v>410</v>
      </c>
      <c r="O13" t="s">
        <v>329</v>
      </c>
    </row>
    <row r="14" spans="1:15" x14ac:dyDescent="0.3">
      <c r="A14">
        <v>428</v>
      </c>
      <c r="B14" t="s">
        <v>323</v>
      </c>
      <c r="C14">
        <v>108</v>
      </c>
      <c r="D14" t="s">
        <v>18</v>
      </c>
      <c r="E14">
        <v>1605</v>
      </c>
      <c r="F14" t="s">
        <v>337</v>
      </c>
      <c r="G14">
        <v>6</v>
      </c>
      <c r="H14">
        <v>2</v>
      </c>
      <c r="I14">
        <v>0</v>
      </c>
      <c r="J14">
        <v>0</v>
      </c>
      <c r="K14">
        <v>2</v>
      </c>
      <c r="L14">
        <v>2</v>
      </c>
      <c r="M14">
        <v>0</v>
      </c>
      <c r="N14" t="s">
        <v>410</v>
      </c>
      <c r="O14" t="s">
        <v>329</v>
      </c>
    </row>
    <row r="15" spans="1:15" x14ac:dyDescent="0.3">
      <c r="A15">
        <v>428</v>
      </c>
      <c r="B15" t="s">
        <v>323</v>
      </c>
      <c r="C15">
        <v>108</v>
      </c>
      <c r="D15" t="s">
        <v>18</v>
      </c>
      <c r="E15">
        <v>1606</v>
      </c>
      <c r="F15" t="s">
        <v>339</v>
      </c>
      <c r="G15">
        <v>6</v>
      </c>
      <c r="H15">
        <v>2</v>
      </c>
      <c r="I15">
        <v>0</v>
      </c>
      <c r="J15">
        <v>0</v>
      </c>
      <c r="K15">
        <v>2</v>
      </c>
      <c r="L15">
        <v>2</v>
      </c>
      <c r="M15">
        <v>0</v>
      </c>
      <c r="N15" t="s">
        <v>325</v>
      </c>
      <c r="O15" t="s">
        <v>326</v>
      </c>
    </row>
    <row r="16" spans="1:15" x14ac:dyDescent="0.3">
      <c r="A16">
        <v>428</v>
      </c>
      <c r="B16" t="s">
        <v>323</v>
      </c>
      <c r="C16">
        <v>108</v>
      </c>
      <c r="D16" t="s">
        <v>18</v>
      </c>
      <c r="E16">
        <v>1607</v>
      </c>
      <c r="F16" t="s">
        <v>341</v>
      </c>
      <c r="G16">
        <v>5</v>
      </c>
      <c r="H16">
        <v>0</v>
      </c>
      <c r="I16">
        <v>2</v>
      </c>
      <c r="J16">
        <v>1</v>
      </c>
      <c r="K16">
        <v>2</v>
      </c>
      <c r="L16">
        <v>0</v>
      </c>
      <c r="M16">
        <v>0</v>
      </c>
      <c r="N16" t="s">
        <v>325</v>
      </c>
      <c r="O16" t="s">
        <v>329</v>
      </c>
    </row>
    <row r="17" spans="1:15" x14ac:dyDescent="0.3">
      <c r="A17">
        <v>428</v>
      </c>
      <c r="B17" t="s">
        <v>323</v>
      </c>
      <c r="C17">
        <v>108</v>
      </c>
      <c r="D17" t="s">
        <v>18</v>
      </c>
      <c r="E17">
        <v>1608</v>
      </c>
      <c r="F17" t="s">
        <v>342</v>
      </c>
      <c r="G17">
        <v>8</v>
      </c>
      <c r="H17">
        <v>2</v>
      </c>
      <c r="I17">
        <v>0</v>
      </c>
      <c r="J17">
        <v>2</v>
      </c>
      <c r="K17">
        <v>3</v>
      </c>
      <c r="L17">
        <v>1</v>
      </c>
      <c r="M17">
        <v>0</v>
      </c>
      <c r="N17" t="s">
        <v>325</v>
      </c>
      <c r="O17" t="s">
        <v>348</v>
      </c>
    </row>
    <row r="18" spans="1:15" x14ac:dyDescent="0.3">
      <c r="A18">
        <v>428</v>
      </c>
      <c r="B18" t="s">
        <v>323</v>
      </c>
      <c r="C18">
        <v>108</v>
      </c>
      <c r="D18" t="s">
        <v>18</v>
      </c>
      <c r="E18">
        <v>1610</v>
      </c>
      <c r="F18" t="s">
        <v>345</v>
      </c>
      <c r="G18">
        <v>3</v>
      </c>
      <c r="H18">
        <v>0</v>
      </c>
      <c r="I18">
        <v>0</v>
      </c>
      <c r="J18">
        <v>1</v>
      </c>
      <c r="K18">
        <v>1</v>
      </c>
      <c r="L18">
        <v>1</v>
      </c>
      <c r="M18">
        <v>0</v>
      </c>
      <c r="N18" t="s">
        <v>333</v>
      </c>
      <c r="O18" t="s">
        <v>326</v>
      </c>
    </row>
    <row r="19" spans="1:15" x14ac:dyDescent="0.3">
      <c r="A19">
        <v>428</v>
      </c>
      <c r="B19" t="s">
        <v>323</v>
      </c>
      <c r="C19">
        <v>108</v>
      </c>
      <c r="D19" t="s">
        <v>18</v>
      </c>
      <c r="E19">
        <v>1611</v>
      </c>
      <c r="F19" t="s">
        <v>346</v>
      </c>
      <c r="G19">
        <v>2</v>
      </c>
      <c r="H19">
        <v>0</v>
      </c>
      <c r="I19">
        <v>1</v>
      </c>
      <c r="J19">
        <v>0</v>
      </c>
      <c r="K19">
        <v>1</v>
      </c>
      <c r="L19">
        <v>0</v>
      </c>
      <c r="M19">
        <v>0</v>
      </c>
      <c r="N19" t="s">
        <v>333</v>
      </c>
      <c r="O19" t="s">
        <v>348</v>
      </c>
    </row>
    <row r="20" spans="1:15" x14ac:dyDescent="0.3">
      <c r="A20">
        <v>428</v>
      </c>
      <c r="B20" t="s">
        <v>323</v>
      </c>
      <c r="C20">
        <v>108</v>
      </c>
      <c r="D20" t="s">
        <v>18</v>
      </c>
      <c r="E20">
        <v>1612</v>
      </c>
      <c r="F20" t="s">
        <v>347</v>
      </c>
      <c r="G20">
        <v>5</v>
      </c>
      <c r="H20">
        <v>2</v>
      </c>
      <c r="I20">
        <v>2</v>
      </c>
      <c r="J20">
        <v>0</v>
      </c>
      <c r="K20">
        <v>1</v>
      </c>
      <c r="L20">
        <v>0</v>
      </c>
      <c r="M20">
        <v>0</v>
      </c>
      <c r="N20" t="s">
        <v>325</v>
      </c>
      <c r="O20" t="s">
        <v>348</v>
      </c>
    </row>
    <row r="21" spans="1:15" x14ac:dyDescent="0.3">
      <c r="A21">
        <v>428</v>
      </c>
      <c r="B21" t="s">
        <v>323</v>
      </c>
      <c r="C21">
        <v>108</v>
      </c>
      <c r="D21" t="s">
        <v>18</v>
      </c>
      <c r="E21">
        <v>2128</v>
      </c>
      <c r="F21" t="s">
        <v>17968</v>
      </c>
      <c r="G21">
        <v>5</v>
      </c>
      <c r="H21">
        <v>3</v>
      </c>
      <c r="I21">
        <v>1</v>
      </c>
      <c r="J21">
        <v>1</v>
      </c>
      <c r="K21">
        <v>0</v>
      </c>
      <c r="L21">
        <v>0</v>
      </c>
      <c r="M21">
        <v>0</v>
      </c>
      <c r="N21" t="s">
        <v>333</v>
      </c>
      <c r="O21" t="s">
        <v>348</v>
      </c>
    </row>
    <row r="22" spans="1:15" x14ac:dyDescent="0.3">
      <c r="A22">
        <v>428</v>
      </c>
      <c r="B22" t="s">
        <v>323</v>
      </c>
      <c r="C22">
        <v>108</v>
      </c>
      <c r="D22" t="s">
        <v>18</v>
      </c>
      <c r="E22">
        <v>2129</v>
      </c>
      <c r="F22" t="s">
        <v>17969</v>
      </c>
      <c r="G22">
        <v>4</v>
      </c>
      <c r="H22">
        <v>1</v>
      </c>
      <c r="I22">
        <v>0</v>
      </c>
      <c r="J22">
        <v>1</v>
      </c>
      <c r="K22">
        <v>0</v>
      </c>
      <c r="L22">
        <v>2</v>
      </c>
      <c r="M22">
        <v>0</v>
      </c>
      <c r="N22" t="s">
        <v>325</v>
      </c>
      <c r="O22" t="s">
        <v>329</v>
      </c>
    </row>
    <row r="23" spans="1:15" x14ac:dyDescent="0.3">
      <c r="A23">
        <v>428</v>
      </c>
      <c r="B23" t="s">
        <v>323</v>
      </c>
      <c r="C23">
        <v>108</v>
      </c>
      <c r="D23" t="s">
        <v>18</v>
      </c>
      <c r="E23">
        <v>2130</v>
      </c>
      <c r="F23" t="s">
        <v>17970</v>
      </c>
      <c r="G23">
        <v>4</v>
      </c>
      <c r="H23">
        <v>2</v>
      </c>
      <c r="I23">
        <v>0</v>
      </c>
      <c r="J23">
        <v>1</v>
      </c>
      <c r="K23">
        <v>1</v>
      </c>
      <c r="L23">
        <v>0</v>
      </c>
      <c r="M23">
        <v>0</v>
      </c>
      <c r="N23" t="s">
        <v>333</v>
      </c>
      <c r="O23" t="s">
        <v>326</v>
      </c>
    </row>
    <row r="24" spans="1:15" x14ac:dyDescent="0.3">
      <c r="A24">
        <v>428</v>
      </c>
      <c r="B24" t="s">
        <v>323</v>
      </c>
      <c r="C24">
        <v>108</v>
      </c>
      <c r="D24" t="s">
        <v>18</v>
      </c>
      <c r="E24">
        <v>2131</v>
      </c>
      <c r="F24" t="s">
        <v>17971</v>
      </c>
      <c r="G24">
        <v>4</v>
      </c>
      <c r="H24">
        <v>0</v>
      </c>
      <c r="I24">
        <v>0</v>
      </c>
      <c r="J24">
        <v>0</v>
      </c>
      <c r="K24">
        <v>2</v>
      </c>
      <c r="L24">
        <v>1</v>
      </c>
      <c r="M24">
        <v>1</v>
      </c>
      <c r="N24" t="s">
        <v>333</v>
      </c>
      <c r="O24" t="s">
        <v>326</v>
      </c>
    </row>
    <row r="25" spans="1:15" x14ac:dyDescent="0.3">
      <c r="A25">
        <v>428</v>
      </c>
      <c r="B25" t="s">
        <v>323</v>
      </c>
      <c r="C25">
        <v>108</v>
      </c>
      <c r="D25" t="s">
        <v>18</v>
      </c>
      <c r="E25">
        <v>2132</v>
      </c>
      <c r="F25" t="s">
        <v>17972</v>
      </c>
      <c r="G25">
        <v>4</v>
      </c>
      <c r="H25">
        <v>1</v>
      </c>
      <c r="I25">
        <v>0</v>
      </c>
      <c r="J25">
        <v>1</v>
      </c>
      <c r="K25">
        <v>1</v>
      </c>
      <c r="L25">
        <v>0</v>
      </c>
      <c r="M25">
        <v>1</v>
      </c>
      <c r="N25" t="s">
        <v>325</v>
      </c>
      <c r="O25" t="s">
        <v>348</v>
      </c>
    </row>
    <row r="26" spans="1:15" x14ac:dyDescent="0.3">
      <c r="A26">
        <v>429</v>
      </c>
      <c r="B26" t="s">
        <v>323</v>
      </c>
      <c r="C26">
        <v>110</v>
      </c>
      <c r="D26" t="s">
        <v>21</v>
      </c>
      <c r="E26">
        <v>604</v>
      </c>
      <c r="F26" t="s">
        <v>349</v>
      </c>
      <c r="G26">
        <v>4</v>
      </c>
      <c r="H26">
        <v>0</v>
      </c>
      <c r="I26">
        <v>2</v>
      </c>
      <c r="J26">
        <v>0</v>
      </c>
      <c r="K26">
        <v>1</v>
      </c>
      <c r="L26">
        <v>1</v>
      </c>
      <c r="M26">
        <v>0</v>
      </c>
      <c r="N26" t="s">
        <v>410</v>
      </c>
      <c r="O26" t="s">
        <v>336</v>
      </c>
    </row>
    <row r="27" spans="1:15" x14ac:dyDescent="0.3">
      <c r="A27">
        <v>429</v>
      </c>
      <c r="B27" t="s">
        <v>323</v>
      </c>
      <c r="C27">
        <v>110</v>
      </c>
      <c r="D27" t="s">
        <v>21</v>
      </c>
      <c r="E27">
        <v>605</v>
      </c>
      <c r="F27" t="s">
        <v>640</v>
      </c>
      <c r="G27">
        <v>4</v>
      </c>
      <c r="H27">
        <v>0</v>
      </c>
      <c r="I27">
        <v>0</v>
      </c>
      <c r="J27">
        <v>1</v>
      </c>
      <c r="K27">
        <v>1</v>
      </c>
      <c r="L27">
        <v>2</v>
      </c>
      <c r="M27">
        <v>0</v>
      </c>
      <c r="N27" t="s">
        <v>333</v>
      </c>
      <c r="O27" t="s">
        <v>336</v>
      </c>
    </row>
    <row r="28" spans="1:15" x14ac:dyDescent="0.3">
      <c r="A28">
        <v>429</v>
      </c>
      <c r="B28" t="s">
        <v>323</v>
      </c>
      <c r="C28">
        <v>110</v>
      </c>
      <c r="D28" t="s">
        <v>21</v>
      </c>
      <c r="E28">
        <v>608</v>
      </c>
      <c r="F28" t="s">
        <v>17973</v>
      </c>
      <c r="G28">
        <v>3</v>
      </c>
      <c r="H28">
        <v>0</v>
      </c>
      <c r="I28">
        <v>1</v>
      </c>
      <c r="J28">
        <v>1</v>
      </c>
      <c r="K28">
        <v>1</v>
      </c>
      <c r="L28">
        <v>0</v>
      </c>
      <c r="M28">
        <v>0</v>
      </c>
      <c r="N28" t="s">
        <v>333</v>
      </c>
      <c r="O28" t="s">
        <v>484</v>
      </c>
    </row>
    <row r="29" spans="1:15" x14ac:dyDescent="0.3">
      <c r="A29">
        <v>429</v>
      </c>
      <c r="B29" t="s">
        <v>323</v>
      </c>
      <c r="C29">
        <v>110</v>
      </c>
      <c r="D29" t="s">
        <v>21</v>
      </c>
      <c r="E29">
        <v>609</v>
      </c>
      <c r="F29" t="s">
        <v>17974</v>
      </c>
      <c r="G29">
        <v>6</v>
      </c>
      <c r="H29">
        <v>0</v>
      </c>
      <c r="I29">
        <v>0</v>
      </c>
      <c r="J29">
        <v>1</v>
      </c>
      <c r="K29">
        <v>2</v>
      </c>
      <c r="L29">
        <v>3</v>
      </c>
      <c r="M29">
        <v>0</v>
      </c>
      <c r="N29" t="s">
        <v>333</v>
      </c>
      <c r="O29" t="s">
        <v>484</v>
      </c>
    </row>
    <row r="30" spans="1:15" x14ac:dyDescent="0.3">
      <c r="A30">
        <v>429</v>
      </c>
      <c r="B30" t="s">
        <v>323</v>
      </c>
      <c r="C30">
        <v>110</v>
      </c>
      <c r="D30" t="s">
        <v>21</v>
      </c>
      <c r="E30">
        <v>610</v>
      </c>
      <c r="F30" t="s">
        <v>17975</v>
      </c>
      <c r="G30">
        <v>1</v>
      </c>
      <c r="H30">
        <v>0</v>
      </c>
      <c r="I30">
        <v>0</v>
      </c>
      <c r="J30">
        <v>0</v>
      </c>
      <c r="K30">
        <v>1</v>
      </c>
      <c r="L30">
        <v>0</v>
      </c>
      <c r="M30">
        <v>0</v>
      </c>
      <c r="N30" t="s">
        <v>333</v>
      </c>
      <c r="O30" t="s">
        <v>484</v>
      </c>
    </row>
    <row r="31" spans="1:15" x14ac:dyDescent="0.3">
      <c r="A31">
        <v>429</v>
      </c>
      <c r="B31" t="s">
        <v>323</v>
      </c>
      <c r="C31">
        <v>110</v>
      </c>
      <c r="D31" t="s">
        <v>21</v>
      </c>
      <c r="E31">
        <v>611</v>
      </c>
      <c r="F31" t="s">
        <v>17976</v>
      </c>
      <c r="G31">
        <v>5</v>
      </c>
      <c r="H31">
        <v>0</v>
      </c>
      <c r="I31">
        <v>1</v>
      </c>
      <c r="J31">
        <v>2</v>
      </c>
      <c r="K31">
        <v>1</v>
      </c>
      <c r="L31">
        <v>1</v>
      </c>
      <c r="M31">
        <v>0</v>
      </c>
      <c r="N31" t="s">
        <v>333</v>
      </c>
      <c r="O31" t="s">
        <v>484</v>
      </c>
    </row>
    <row r="32" spans="1:15" x14ac:dyDescent="0.3">
      <c r="A32">
        <v>429</v>
      </c>
      <c r="B32" t="s">
        <v>323</v>
      </c>
      <c r="C32">
        <v>110</v>
      </c>
      <c r="D32" t="s">
        <v>21</v>
      </c>
      <c r="E32">
        <v>612</v>
      </c>
      <c r="F32" t="s">
        <v>331</v>
      </c>
      <c r="G32">
        <v>4</v>
      </c>
      <c r="H32">
        <v>0</v>
      </c>
      <c r="I32">
        <v>0</v>
      </c>
      <c r="J32">
        <v>1</v>
      </c>
      <c r="K32">
        <v>3</v>
      </c>
      <c r="L32">
        <v>0</v>
      </c>
      <c r="M32">
        <v>0</v>
      </c>
      <c r="N32" t="s">
        <v>333</v>
      </c>
      <c r="O32" t="s">
        <v>484</v>
      </c>
    </row>
    <row r="33" spans="1:15" x14ac:dyDescent="0.3">
      <c r="A33">
        <v>429</v>
      </c>
      <c r="B33" t="s">
        <v>323</v>
      </c>
      <c r="C33">
        <v>110</v>
      </c>
      <c r="D33" t="s">
        <v>21</v>
      </c>
      <c r="E33">
        <v>613</v>
      </c>
      <c r="F33" t="s">
        <v>376</v>
      </c>
      <c r="G33">
        <v>3</v>
      </c>
      <c r="H33">
        <v>0</v>
      </c>
      <c r="I33">
        <v>0</v>
      </c>
      <c r="J33">
        <v>0</v>
      </c>
      <c r="K33">
        <v>2</v>
      </c>
      <c r="L33">
        <v>1</v>
      </c>
      <c r="M33">
        <v>0</v>
      </c>
      <c r="N33" t="s">
        <v>333</v>
      </c>
      <c r="O33" t="s">
        <v>336</v>
      </c>
    </row>
    <row r="34" spans="1:15" x14ac:dyDescent="0.3">
      <c r="A34">
        <v>429</v>
      </c>
      <c r="B34" t="s">
        <v>323</v>
      </c>
      <c r="C34">
        <v>110</v>
      </c>
      <c r="D34" t="s">
        <v>21</v>
      </c>
      <c r="E34">
        <v>614</v>
      </c>
      <c r="F34" t="s">
        <v>17977</v>
      </c>
      <c r="G34">
        <v>5</v>
      </c>
      <c r="H34">
        <v>0</v>
      </c>
      <c r="I34">
        <v>1</v>
      </c>
      <c r="J34">
        <v>1</v>
      </c>
      <c r="K34">
        <v>1</v>
      </c>
      <c r="L34">
        <v>2</v>
      </c>
      <c r="M34">
        <v>0</v>
      </c>
      <c r="N34" t="s">
        <v>333</v>
      </c>
      <c r="O34" t="s">
        <v>484</v>
      </c>
    </row>
    <row r="35" spans="1:15" x14ac:dyDescent="0.3">
      <c r="A35">
        <v>429</v>
      </c>
      <c r="B35" t="s">
        <v>323</v>
      </c>
      <c r="C35">
        <v>110</v>
      </c>
      <c r="D35" t="s">
        <v>21</v>
      </c>
      <c r="E35">
        <v>2254</v>
      </c>
      <c r="F35" t="s">
        <v>17978</v>
      </c>
      <c r="G35">
        <v>6</v>
      </c>
      <c r="H35">
        <v>0</v>
      </c>
      <c r="I35">
        <v>1</v>
      </c>
      <c r="J35">
        <v>1</v>
      </c>
      <c r="K35">
        <v>2</v>
      </c>
      <c r="L35">
        <v>2</v>
      </c>
      <c r="M35">
        <v>0</v>
      </c>
      <c r="N35" t="s">
        <v>333</v>
      </c>
      <c r="O35" t="s">
        <v>484</v>
      </c>
    </row>
    <row r="36" spans="1:15" x14ac:dyDescent="0.3">
      <c r="A36">
        <v>429</v>
      </c>
      <c r="B36" t="s">
        <v>323</v>
      </c>
      <c r="C36">
        <v>110</v>
      </c>
      <c r="D36" t="s">
        <v>21</v>
      </c>
      <c r="E36">
        <v>2255</v>
      </c>
      <c r="F36" t="s">
        <v>432</v>
      </c>
      <c r="G36">
        <v>3</v>
      </c>
      <c r="H36">
        <v>0</v>
      </c>
      <c r="I36">
        <v>0</v>
      </c>
      <c r="J36">
        <v>0</v>
      </c>
      <c r="K36">
        <v>2</v>
      </c>
      <c r="L36">
        <v>1</v>
      </c>
      <c r="M36">
        <v>0</v>
      </c>
      <c r="N36" t="s">
        <v>333</v>
      </c>
      <c r="O36" t="s">
        <v>348</v>
      </c>
    </row>
    <row r="37" spans="1:15" x14ac:dyDescent="0.3">
      <c r="A37">
        <v>429</v>
      </c>
      <c r="B37" t="s">
        <v>323</v>
      </c>
      <c r="C37">
        <v>110</v>
      </c>
      <c r="D37" t="s">
        <v>21</v>
      </c>
      <c r="E37">
        <v>2256</v>
      </c>
      <c r="F37" t="s">
        <v>17979</v>
      </c>
      <c r="G37">
        <v>5</v>
      </c>
      <c r="H37">
        <v>0</v>
      </c>
      <c r="I37">
        <v>1</v>
      </c>
      <c r="J37">
        <v>1</v>
      </c>
      <c r="K37">
        <v>2</v>
      </c>
      <c r="L37">
        <v>1</v>
      </c>
      <c r="M37">
        <v>0</v>
      </c>
      <c r="N37" t="s">
        <v>333</v>
      </c>
      <c r="O37" t="s">
        <v>484</v>
      </c>
    </row>
    <row r="38" spans="1:15" x14ac:dyDescent="0.3">
      <c r="A38">
        <v>429</v>
      </c>
      <c r="B38" t="s">
        <v>323</v>
      </c>
      <c r="C38">
        <v>110</v>
      </c>
      <c r="D38" t="s">
        <v>21</v>
      </c>
      <c r="E38">
        <v>2257</v>
      </c>
      <c r="F38" t="s">
        <v>17980</v>
      </c>
      <c r="G38">
        <v>7</v>
      </c>
      <c r="H38">
        <v>0</v>
      </c>
      <c r="I38">
        <v>2</v>
      </c>
      <c r="J38">
        <v>2</v>
      </c>
      <c r="K38">
        <v>2</v>
      </c>
      <c r="L38">
        <v>1</v>
      </c>
      <c r="M38">
        <v>0</v>
      </c>
      <c r="N38" t="s">
        <v>333</v>
      </c>
      <c r="O38" t="s">
        <v>484</v>
      </c>
    </row>
    <row r="39" spans="1:15" x14ac:dyDescent="0.3">
      <c r="A39">
        <v>429</v>
      </c>
      <c r="B39" t="s">
        <v>323</v>
      </c>
      <c r="C39">
        <v>110</v>
      </c>
      <c r="D39" t="s">
        <v>21</v>
      </c>
      <c r="E39">
        <v>2258</v>
      </c>
      <c r="F39" t="s">
        <v>398</v>
      </c>
      <c r="G39">
        <v>2</v>
      </c>
      <c r="H39">
        <v>0</v>
      </c>
      <c r="I39">
        <v>0</v>
      </c>
      <c r="J39">
        <v>1</v>
      </c>
      <c r="K39">
        <v>0</v>
      </c>
      <c r="L39">
        <v>1</v>
      </c>
      <c r="M39">
        <v>0</v>
      </c>
      <c r="N39" t="s">
        <v>333</v>
      </c>
      <c r="O39" t="s">
        <v>343</v>
      </c>
    </row>
    <row r="40" spans="1:15" x14ac:dyDescent="0.3">
      <c r="A40">
        <v>430</v>
      </c>
      <c r="B40" t="s">
        <v>323</v>
      </c>
      <c r="C40">
        <v>111</v>
      </c>
      <c r="D40" t="s">
        <v>23</v>
      </c>
      <c r="E40">
        <v>1423</v>
      </c>
      <c r="F40" t="s">
        <v>349</v>
      </c>
      <c r="G40">
        <v>5</v>
      </c>
      <c r="H40">
        <v>0</v>
      </c>
      <c r="I40">
        <v>2</v>
      </c>
      <c r="J40">
        <v>3</v>
      </c>
      <c r="K40">
        <v>0</v>
      </c>
      <c r="L40">
        <v>0</v>
      </c>
      <c r="M40">
        <v>0</v>
      </c>
      <c r="N40" t="s">
        <v>410</v>
      </c>
      <c r="O40" t="s">
        <v>336</v>
      </c>
    </row>
    <row r="41" spans="1:15" x14ac:dyDescent="0.3">
      <c r="A41">
        <v>430</v>
      </c>
      <c r="B41" t="s">
        <v>323</v>
      </c>
      <c r="C41">
        <v>111</v>
      </c>
      <c r="D41" t="s">
        <v>23</v>
      </c>
      <c r="E41">
        <v>1424</v>
      </c>
      <c r="F41" t="s">
        <v>350</v>
      </c>
      <c r="G41">
        <v>8</v>
      </c>
      <c r="H41">
        <v>0</v>
      </c>
      <c r="I41">
        <v>0</v>
      </c>
      <c r="J41">
        <v>2</v>
      </c>
      <c r="K41">
        <v>1</v>
      </c>
      <c r="L41">
        <v>5</v>
      </c>
      <c r="M41">
        <v>0</v>
      </c>
      <c r="N41" t="s">
        <v>333</v>
      </c>
      <c r="O41" t="s">
        <v>326</v>
      </c>
    </row>
    <row r="42" spans="1:15" x14ac:dyDescent="0.3">
      <c r="A42">
        <v>430</v>
      </c>
      <c r="B42" t="s">
        <v>323</v>
      </c>
      <c r="C42">
        <v>111</v>
      </c>
      <c r="D42" t="s">
        <v>23</v>
      </c>
      <c r="E42">
        <v>1425</v>
      </c>
      <c r="F42" t="s">
        <v>351</v>
      </c>
      <c r="G42">
        <v>6</v>
      </c>
      <c r="H42">
        <v>1</v>
      </c>
      <c r="I42">
        <v>0</v>
      </c>
      <c r="J42">
        <v>0</v>
      </c>
      <c r="K42">
        <v>0</v>
      </c>
      <c r="L42">
        <v>5</v>
      </c>
      <c r="M42">
        <v>0</v>
      </c>
      <c r="N42" t="s">
        <v>325</v>
      </c>
      <c r="O42" t="s">
        <v>484</v>
      </c>
    </row>
    <row r="43" spans="1:15" x14ac:dyDescent="0.3">
      <c r="A43">
        <v>430</v>
      </c>
      <c r="B43" t="s">
        <v>323</v>
      </c>
      <c r="C43">
        <v>111</v>
      </c>
      <c r="D43" t="s">
        <v>23</v>
      </c>
      <c r="E43">
        <v>1426</v>
      </c>
      <c r="F43" t="s">
        <v>353</v>
      </c>
      <c r="G43">
        <v>2</v>
      </c>
      <c r="H43">
        <v>0</v>
      </c>
      <c r="I43">
        <v>0</v>
      </c>
      <c r="J43">
        <v>0</v>
      </c>
      <c r="K43">
        <v>1</v>
      </c>
      <c r="L43">
        <v>1</v>
      </c>
      <c r="M43">
        <v>0</v>
      </c>
      <c r="N43" t="s">
        <v>333</v>
      </c>
      <c r="O43" t="s">
        <v>326</v>
      </c>
    </row>
    <row r="44" spans="1:15" x14ac:dyDescent="0.3">
      <c r="A44">
        <v>430</v>
      </c>
      <c r="B44" t="s">
        <v>323</v>
      </c>
      <c r="C44">
        <v>111</v>
      </c>
      <c r="D44" t="s">
        <v>23</v>
      </c>
      <c r="E44">
        <v>1427</v>
      </c>
      <c r="F44" t="s">
        <v>354</v>
      </c>
      <c r="G44">
        <v>6</v>
      </c>
      <c r="H44">
        <v>0</v>
      </c>
      <c r="I44">
        <v>1</v>
      </c>
      <c r="J44">
        <v>3</v>
      </c>
      <c r="K44">
        <v>1</v>
      </c>
      <c r="L44">
        <v>1</v>
      </c>
      <c r="M44">
        <v>0</v>
      </c>
      <c r="N44" t="s">
        <v>325</v>
      </c>
      <c r="O44" t="s">
        <v>484</v>
      </c>
    </row>
    <row r="45" spans="1:15" x14ac:dyDescent="0.3">
      <c r="A45">
        <v>430</v>
      </c>
      <c r="B45" t="s">
        <v>323</v>
      </c>
      <c r="C45">
        <v>111</v>
      </c>
      <c r="D45" t="s">
        <v>23</v>
      </c>
      <c r="E45">
        <v>1428</v>
      </c>
      <c r="F45" t="s">
        <v>355</v>
      </c>
      <c r="G45">
        <v>6</v>
      </c>
      <c r="H45">
        <v>0</v>
      </c>
      <c r="I45">
        <v>0</v>
      </c>
      <c r="J45">
        <v>2</v>
      </c>
      <c r="K45">
        <v>2</v>
      </c>
      <c r="L45">
        <v>2</v>
      </c>
      <c r="M45">
        <v>0</v>
      </c>
      <c r="N45" t="s">
        <v>333</v>
      </c>
      <c r="O45" t="s">
        <v>484</v>
      </c>
    </row>
    <row r="46" spans="1:15" x14ac:dyDescent="0.3">
      <c r="A46">
        <v>430</v>
      </c>
      <c r="B46" t="s">
        <v>323</v>
      </c>
      <c r="C46">
        <v>111</v>
      </c>
      <c r="D46" t="s">
        <v>23</v>
      </c>
      <c r="E46">
        <v>1429</v>
      </c>
      <c r="F46" t="s">
        <v>356</v>
      </c>
      <c r="G46">
        <v>4</v>
      </c>
      <c r="H46">
        <v>0</v>
      </c>
      <c r="I46">
        <v>0</v>
      </c>
      <c r="J46">
        <v>2</v>
      </c>
      <c r="K46">
        <v>2</v>
      </c>
      <c r="L46">
        <v>0</v>
      </c>
      <c r="M46">
        <v>0</v>
      </c>
      <c r="N46" t="s">
        <v>333</v>
      </c>
      <c r="O46" t="s">
        <v>484</v>
      </c>
    </row>
    <row r="47" spans="1:15" x14ac:dyDescent="0.3">
      <c r="A47">
        <v>430</v>
      </c>
      <c r="B47" t="s">
        <v>323</v>
      </c>
      <c r="C47">
        <v>111</v>
      </c>
      <c r="D47" t="s">
        <v>23</v>
      </c>
      <c r="E47">
        <v>1430</v>
      </c>
      <c r="F47" t="s">
        <v>357</v>
      </c>
      <c r="G47">
        <v>8</v>
      </c>
      <c r="H47">
        <v>0</v>
      </c>
      <c r="I47">
        <v>2</v>
      </c>
      <c r="J47">
        <v>3</v>
      </c>
      <c r="K47">
        <v>1</v>
      </c>
      <c r="L47">
        <v>2</v>
      </c>
      <c r="M47">
        <v>0</v>
      </c>
      <c r="N47" t="s">
        <v>325</v>
      </c>
      <c r="O47" t="s">
        <v>329</v>
      </c>
    </row>
    <row r="48" spans="1:15" x14ac:dyDescent="0.3">
      <c r="A48">
        <v>430</v>
      </c>
      <c r="B48" t="s">
        <v>323</v>
      </c>
      <c r="C48">
        <v>111</v>
      </c>
      <c r="D48" t="s">
        <v>23</v>
      </c>
      <c r="E48">
        <v>1431</v>
      </c>
      <c r="F48" t="s">
        <v>358</v>
      </c>
      <c r="G48">
        <v>6</v>
      </c>
      <c r="H48">
        <v>0</v>
      </c>
      <c r="I48">
        <v>1</v>
      </c>
      <c r="J48">
        <v>2</v>
      </c>
      <c r="K48">
        <v>2</v>
      </c>
      <c r="L48">
        <v>1</v>
      </c>
      <c r="M48">
        <v>0</v>
      </c>
      <c r="N48" t="s">
        <v>325</v>
      </c>
      <c r="O48" t="s">
        <v>348</v>
      </c>
    </row>
    <row r="49" spans="1:15" x14ac:dyDescent="0.3">
      <c r="A49">
        <v>430</v>
      </c>
      <c r="B49" t="s">
        <v>323</v>
      </c>
      <c r="C49">
        <v>111</v>
      </c>
      <c r="D49" t="s">
        <v>23</v>
      </c>
      <c r="E49">
        <v>1432</v>
      </c>
      <c r="F49" t="s">
        <v>359</v>
      </c>
      <c r="G49">
        <v>2</v>
      </c>
      <c r="H49">
        <v>0</v>
      </c>
      <c r="I49">
        <v>1</v>
      </c>
      <c r="J49">
        <v>0</v>
      </c>
      <c r="K49">
        <v>0</v>
      </c>
      <c r="L49">
        <v>1</v>
      </c>
      <c r="M49">
        <v>0</v>
      </c>
      <c r="N49" t="s">
        <v>410</v>
      </c>
      <c r="O49" t="s">
        <v>329</v>
      </c>
    </row>
    <row r="50" spans="1:15" x14ac:dyDescent="0.3">
      <c r="A50">
        <v>430</v>
      </c>
      <c r="B50" t="s">
        <v>323</v>
      </c>
      <c r="C50">
        <v>111</v>
      </c>
      <c r="D50" t="s">
        <v>23</v>
      </c>
      <c r="E50">
        <v>1433</v>
      </c>
      <c r="F50" t="s">
        <v>360</v>
      </c>
      <c r="G50">
        <v>7</v>
      </c>
      <c r="H50">
        <v>1</v>
      </c>
      <c r="I50">
        <v>1</v>
      </c>
      <c r="J50">
        <v>2</v>
      </c>
      <c r="K50">
        <v>1</v>
      </c>
      <c r="L50">
        <v>2</v>
      </c>
      <c r="M50">
        <v>0</v>
      </c>
      <c r="N50" t="s">
        <v>333</v>
      </c>
      <c r="O50" t="s">
        <v>348</v>
      </c>
    </row>
    <row r="51" spans="1:15" x14ac:dyDescent="0.3">
      <c r="A51">
        <v>430</v>
      </c>
      <c r="B51" t="s">
        <v>323</v>
      </c>
      <c r="C51">
        <v>111</v>
      </c>
      <c r="D51" t="s">
        <v>23</v>
      </c>
      <c r="E51">
        <v>1434</v>
      </c>
      <c r="F51" t="s">
        <v>361</v>
      </c>
      <c r="G51">
        <v>5</v>
      </c>
      <c r="H51">
        <v>0</v>
      </c>
      <c r="I51">
        <v>1</v>
      </c>
      <c r="J51">
        <v>1</v>
      </c>
      <c r="K51">
        <v>1</v>
      </c>
      <c r="L51">
        <v>2</v>
      </c>
      <c r="M51">
        <v>0</v>
      </c>
      <c r="N51" t="s">
        <v>333</v>
      </c>
      <c r="O51" t="s">
        <v>484</v>
      </c>
    </row>
    <row r="52" spans="1:15" x14ac:dyDescent="0.3">
      <c r="A52">
        <v>430</v>
      </c>
      <c r="B52" t="s">
        <v>323</v>
      </c>
      <c r="C52">
        <v>111</v>
      </c>
      <c r="D52" t="s">
        <v>23</v>
      </c>
      <c r="E52">
        <v>1436</v>
      </c>
      <c r="F52" t="s">
        <v>363</v>
      </c>
      <c r="G52">
        <v>6</v>
      </c>
      <c r="H52">
        <v>0</v>
      </c>
      <c r="I52">
        <v>0</v>
      </c>
      <c r="J52">
        <v>1</v>
      </c>
      <c r="K52">
        <v>2</v>
      </c>
      <c r="L52">
        <v>3</v>
      </c>
      <c r="M52">
        <v>0</v>
      </c>
      <c r="N52" t="s">
        <v>325</v>
      </c>
      <c r="O52" t="s">
        <v>343</v>
      </c>
    </row>
    <row r="53" spans="1:15" x14ac:dyDescent="0.3">
      <c r="A53">
        <v>430</v>
      </c>
      <c r="B53" t="s">
        <v>323</v>
      </c>
      <c r="C53">
        <v>111</v>
      </c>
      <c r="D53" t="s">
        <v>23</v>
      </c>
      <c r="E53">
        <v>1437</v>
      </c>
      <c r="F53" t="s">
        <v>364</v>
      </c>
      <c r="G53">
        <v>3</v>
      </c>
      <c r="H53">
        <v>0</v>
      </c>
      <c r="I53">
        <v>0</v>
      </c>
      <c r="J53">
        <v>1</v>
      </c>
      <c r="K53">
        <v>0</v>
      </c>
      <c r="L53">
        <v>2</v>
      </c>
      <c r="M53">
        <v>0</v>
      </c>
      <c r="N53" t="s">
        <v>333</v>
      </c>
      <c r="O53" t="s">
        <v>484</v>
      </c>
    </row>
    <row r="54" spans="1:15" x14ac:dyDescent="0.3">
      <c r="A54">
        <v>432</v>
      </c>
      <c r="B54" t="s">
        <v>323</v>
      </c>
      <c r="C54">
        <v>113</v>
      </c>
      <c r="D54" t="s">
        <v>27</v>
      </c>
      <c r="E54">
        <v>615</v>
      </c>
      <c r="F54" t="s">
        <v>391</v>
      </c>
      <c r="G54">
        <v>3</v>
      </c>
      <c r="H54">
        <v>0</v>
      </c>
      <c r="I54">
        <v>0</v>
      </c>
      <c r="J54">
        <v>0</v>
      </c>
      <c r="K54">
        <v>1</v>
      </c>
      <c r="L54">
        <v>2</v>
      </c>
      <c r="M54">
        <v>0</v>
      </c>
      <c r="N54" t="s">
        <v>333</v>
      </c>
      <c r="O54" t="s">
        <v>326</v>
      </c>
    </row>
    <row r="55" spans="1:15" x14ac:dyDescent="0.3">
      <c r="A55">
        <v>432</v>
      </c>
      <c r="B55" t="s">
        <v>323</v>
      </c>
      <c r="C55">
        <v>113</v>
      </c>
      <c r="D55" t="s">
        <v>27</v>
      </c>
      <c r="E55">
        <v>618</v>
      </c>
      <c r="F55" t="s">
        <v>376</v>
      </c>
      <c r="G55">
        <v>4</v>
      </c>
      <c r="H55">
        <v>0</v>
      </c>
      <c r="I55">
        <v>0</v>
      </c>
      <c r="J55">
        <v>0</v>
      </c>
      <c r="K55">
        <v>0</v>
      </c>
      <c r="L55">
        <v>4</v>
      </c>
      <c r="M55">
        <v>0</v>
      </c>
      <c r="N55" t="s">
        <v>333</v>
      </c>
      <c r="O55" t="s">
        <v>336</v>
      </c>
    </row>
    <row r="56" spans="1:15" x14ac:dyDescent="0.3">
      <c r="A56">
        <v>432</v>
      </c>
      <c r="B56" t="s">
        <v>323</v>
      </c>
      <c r="C56">
        <v>113</v>
      </c>
      <c r="D56" t="s">
        <v>27</v>
      </c>
      <c r="E56">
        <v>619</v>
      </c>
      <c r="F56" t="s">
        <v>393</v>
      </c>
      <c r="G56">
        <v>3</v>
      </c>
      <c r="H56">
        <v>0</v>
      </c>
      <c r="I56">
        <v>3</v>
      </c>
      <c r="J56">
        <v>0</v>
      </c>
      <c r="K56">
        <v>0</v>
      </c>
      <c r="L56">
        <v>0</v>
      </c>
      <c r="M56">
        <v>0</v>
      </c>
      <c r="N56" t="s">
        <v>325</v>
      </c>
      <c r="O56" t="s">
        <v>336</v>
      </c>
    </row>
    <row r="57" spans="1:15" x14ac:dyDescent="0.3">
      <c r="A57">
        <v>432</v>
      </c>
      <c r="B57" t="s">
        <v>323</v>
      </c>
      <c r="C57">
        <v>113</v>
      </c>
      <c r="D57" t="s">
        <v>27</v>
      </c>
      <c r="E57">
        <v>620</v>
      </c>
      <c r="F57" t="s">
        <v>351</v>
      </c>
      <c r="G57">
        <v>4</v>
      </c>
      <c r="H57">
        <v>0</v>
      </c>
      <c r="I57">
        <v>0</v>
      </c>
      <c r="J57">
        <v>2</v>
      </c>
      <c r="K57">
        <v>2</v>
      </c>
      <c r="L57">
        <v>0</v>
      </c>
      <c r="M57">
        <v>0</v>
      </c>
      <c r="N57" t="s">
        <v>325</v>
      </c>
      <c r="O57" t="s">
        <v>343</v>
      </c>
    </row>
    <row r="58" spans="1:15" x14ac:dyDescent="0.3">
      <c r="A58">
        <v>432</v>
      </c>
      <c r="B58" t="s">
        <v>323</v>
      </c>
      <c r="C58">
        <v>113</v>
      </c>
      <c r="D58" t="s">
        <v>27</v>
      </c>
      <c r="E58">
        <v>621</v>
      </c>
      <c r="F58" t="s">
        <v>394</v>
      </c>
      <c r="G58">
        <v>4</v>
      </c>
      <c r="H58">
        <v>0</v>
      </c>
      <c r="I58">
        <v>0</v>
      </c>
      <c r="J58">
        <v>0</v>
      </c>
      <c r="K58">
        <v>0</v>
      </c>
      <c r="L58">
        <v>4</v>
      </c>
      <c r="M58">
        <v>0</v>
      </c>
      <c r="N58" t="s">
        <v>333</v>
      </c>
      <c r="O58" t="s">
        <v>326</v>
      </c>
    </row>
    <row r="59" spans="1:15" x14ac:dyDescent="0.3">
      <c r="A59">
        <v>432</v>
      </c>
      <c r="B59" t="s">
        <v>323</v>
      </c>
      <c r="C59">
        <v>113</v>
      </c>
      <c r="D59" t="s">
        <v>27</v>
      </c>
      <c r="E59">
        <v>1559</v>
      </c>
      <c r="F59" t="s">
        <v>395</v>
      </c>
      <c r="G59">
        <v>4</v>
      </c>
      <c r="H59">
        <v>0</v>
      </c>
      <c r="I59">
        <v>1</v>
      </c>
      <c r="J59">
        <v>0</v>
      </c>
      <c r="K59">
        <v>1</v>
      </c>
      <c r="L59">
        <v>2</v>
      </c>
      <c r="M59">
        <v>0</v>
      </c>
      <c r="N59" t="s">
        <v>333</v>
      </c>
      <c r="O59" t="s">
        <v>336</v>
      </c>
    </row>
    <row r="60" spans="1:15" x14ac:dyDescent="0.3">
      <c r="A60">
        <v>433</v>
      </c>
      <c r="B60" t="s">
        <v>313</v>
      </c>
      <c r="C60">
        <v>114</v>
      </c>
      <c r="D60" t="s">
        <v>29</v>
      </c>
      <c r="E60">
        <v>354</v>
      </c>
      <c r="F60" t="s">
        <v>339</v>
      </c>
    </row>
    <row r="61" spans="1:15" x14ac:dyDescent="0.3">
      <c r="A61">
        <v>433</v>
      </c>
      <c r="B61" t="s">
        <v>313</v>
      </c>
      <c r="C61">
        <v>114</v>
      </c>
      <c r="D61" t="s">
        <v>29</v>
      </c>
      <c r="E61">
        <v>355</v>
      </c>
      <c r="F61" t="s">
        <v>396</v>
      </c>
    </row>
    <row r="62" spans="1:15" x14ac:dyDescent="0.3">
      <c r="A62">
        <v>433</v>
      </c>
      <c r="B62" t="s">
        <v>313</v>
      </c>
      <c r="C62">
        <v>114</v>
      </c>
      <c r="D62" t="s">
        <v>29</v>
      </c>
      <c r="E62">
        <v>356</v>
      </c>
      <c r="F62" t="s">
        <v>397</v>
      </c>
    </row>
    <row r="63" spans="1:15" x14ac:dyDescent="0.3">
      <c r="A63">
        <v>433</v>
      </c>
      <c r="B63" t="s">
        <v>313</v>
      </c>
      <c r="C63">
        <v>114</v>
      </c>
      <c r="D63" t="s">
        <v>29</v>
      </c>
      <c r="E63">
        <v>357</v>
      </c>
      <c r="F63" t="s">
        <v>398</v>
      </c>
    </row>
    <row r="64" spans="1:15" x14ac:dyDescent="0.3">
      <c r="A64">
        <v>433</v>
      </c>
      <c r="B64" t="s">
        <v>313</v>
      </c>
      <c r="C64">
        <v>114</v>
      </c>
      <c r="D64" t="s">
        <v>29</v>
      </c>
      <c r="E64">
        <v>359</v>
      </c>
      <c r="F64" t="s">
        <v>376</v>
      </c>
    </row>
    <row r="65" spans="1:15" x14ac:dyDescent="0.3">
      <c r="A65">
        <v>433</v>
      </c>
      <c r="B65" t="s">
        <v>313</v>
      </c>
      <c r="C65">
        <v>114</v>
      </c>
      <c r="D65" t="s">
        <v>29</v>
      </c>
      <c r="E65">
        <v>360</v>
      </c>
      <c r="F65" t="s">
        <v>399</v>
      </c>
    </row>
    <row r="66" spans="1:15" x14ac:dyDescent="0.3">
      <c r="A66">
        <v>433</v>
      </c>
      <c r="B66" t="s">
        <v>313</v>
      </c>
      <c r="C66">
        <v>114</v>
      </c>
      <c r="D66" t="s">
        <v>29</v>
      </c>
      <c r="E66">
        <v>361</v>
      </c>
      <c r="F66" t="s">
        <v>400</v>
      </c>
    </row>
    <row r="67" spans="1:15" x14ac:dyDescent="0.3">
      <c r="A67">
        <v>433</v>
      </c>
      <c r="B67" t="s">
        <v>313</v>
      </c>
      <c r="C67">
        <v>114</v>
      </c>
      <c r="D67" t="s">
        <v>29</v>
      </c>
      <c r="E67">
        <v>362</v>
      </c>
      <c r="F67" t="s">
        <v>401</v>
      </c>
    </row>
    <row r="68" spans="1:15" x14ac:dyDescent="0.3">
      <c r="A68">
        <v>433</v>
      </c>
      <c r="B68" t="s">
        <v>313</v>
      </c>
      <c r="C68">
        <v>114</v>
      </c>
      <c r="D68" t="s">
        <v>29</v>
      </c>
      <c r="E68">
        <v>363</v>
      </c>
      <c r="F68" t="s">
        <v>402</v>
      </c>
    </row>
    <row r="69" spans="1:15" x14ac:dyDescent="0.3">
      <c r="A69">
        <v>433</v>
      </c>
      <c r="B69" t="s">
        <v>313</v>
      </c>
      <c r="C69">
        <v>114</v>
      </c>
      <c r="D69" t="s">
        <v>29</v>
      </c>
      <c r="E69">
        <v>364</v>
      </c>
      <c r="F69" t="s">
        <v>390</v>
      </c>
    </row>
    <row r="70" spans="1:15" x14ac:dyDescent="0.3">
      <c r="A70">
        <v>433</v>
      </c>
      <c r="B70" t="s">
        <v>313</v>
      </c>
      <c r="C70">
        <v>114</v>
      </c>
      <c r="D70" t="s">
        <v>29</v>
      </c>
      <c r="E70">
        <v>365</v>
      </c>
      <c r="F70" t="s">
        <v>403</v>
      </c>
    </row>
    <row r="71" spans="1:15" x14ac:dyDescent="0.3">
      <c r="A71">
        <v>433</v>
      </c>
      <c r="B71" t="s">
        <v>313</v>
      </c>
      <c r="C71">
        <v>114</v>
      </c>
      <c r="D71" t="s">
        <v>29</v>
      </c>
      <c r="E71">
        <v>366</v>
      </c>
      <c r="F71" t="s">
        <v>404</v>
      </c>
    </row>
    <row r="72" spans="1:15" x14ac:dyDescent="0.3">
      <c r="A72">
        <v>433</v>
      </c>
      <c r="B72" t="s">
        <v>313</v>
      </c>
      <c r="C72">
        <v>114</v>
      </c>
      <c r="D72" t="s">
        <v>29</v>
      </c>
      <c r="E72">
        <v>368</v>
      </c>
      <c r="F72" t="s">
        <v>405</v>
      </c>
    </row>
    <row r="73" spans="1:15" x14ac:dyDescent="0.3">
      <c r="A73">
        <v>433</v>
      </c>
      <c r="B73" t="s">
        <v>313</v>
      </c>
      <c r="C73">
        <v>114</v>
      </c>
      <c r="D73" t="s">
        <v>29</v>
      </c>
      <c r="E73">
        <v>369</v>
      </c>
      <c r="F73" t="s">
        <v>406</v>
      </c>
    </row>
    <row r="74" spans="1:15" x14ac:dyDescent="0.3">
      <c r="A74">
        <v>433</v>
      </c>
      <c r="B74" t="s">
        <v>313</v>
      </c>
      <c r="C74">
        <v>114</v>
      </c>
      <c r="D74" t="s">
        <v>29</v>
      </c>
      <c r="E74">
        <v>370</v>
      </c>
      <c r="F74" t="s">
        <v>407</v>
      </c>
    </row>
    <row r="75" spans="1:15" x14ac:dyDescent="0.3">
      <c r="A75">
        <v>433</v>
      </c>
      <c r="B75" t="s">
        <v>313</v>
      </c>
      <c r="C75">
        <v>114</v>
      </c>
      <c r="D75" t="s">
        <v>29</v>
      </c>
      <c r="E75">
        <v>371</v>
      </c>
      <c r="F75" t="s">
        <v>408</v>
      </c>
    </row>
    <row r="76" spans="1:15" x14ac:dyDescent="0.3">
      <c r="A76">
        <v>433</v>
      </c>
      <c r="B76" t="s">
        <v>313</v>
      </c>
      <c r="C76">
        <v>114</v>
      </c>
      <c r="D76" t="s">
        <v>29</v>
      </c>
      <c r="E76">
        <v>1385</v>
      </c>
      <c r="F76" t="s">
        <v>409</v>
      </c>
    </row>
    <row r="77" spans="1:15" x14ac:dyDescent="0.3">
      <c r="A77">
        <v>433</v>
      </c>
      <c r="B77" t="s">
        <v>313</v>
      </c>
      <c r="C77">
        <v>114</v>
      </c>
      <c r="D77" t="s">
        <v>29</v>
      </c>
      <c r="E77">
        <v>1891</v>
      </c>
      <c r="F77" t="s">
        <v>1212</v>
      </c>
    </row>
    <row r="78" spans="1:15" x14ac:dyDescent="0.3">
      <c r="A78">
        <v>433</v>
      </c>
      <c r="B78" t="s">
        <v>313</v>
      </c>
      <c r="C78">
        <v>114</v>
      </c>
      <c r="D78" t="s">
        <v>29</v>
      </c>
      <c r="E78">
        <v>2090</v>
      </c>
      <c r="F78" t="s">
        <v>17981</v>
      </c>
    </row>
    <row r="79" spans="1:15" x14ac:dyDescent="0.3">
      <c r="A79">
        <v>434</v>
      </c>
      <c r="B79" t="s">
        <v>323</v>
      </c>
      <c r="C79">
        <v>115</v>
      </c>
      <c r="D79" t="s">
        <v>31</v>
      </c>
      <c r="E79">
        <v>284</v>
      </c>
      <c r="F79" t="s">
        <v>1213</v>
      </c>
      <c r="G79">
        <v>6</v>
      </c>
      <c r="H79">
        <v>0</v>
      </c>
      <c r="I79">
        <v>0</v>
      </c>
      <c r="J79">
        <v>0</v>
      </c>
      <c r="K79">
        <v>0</v>
      </c>
      <c r="L79">
        <v>0</v>
      </c>
      <c r="M79">
        <v>6</v>
      </c>
      <c r="N79" t="s">
        <v>325</v>
      </c>
      <c r="O79" t="s">
        <v>336</v>
      </c>
    </row>
    <row r="80" spans="1:15" x14ac:dyDescent="0.3">
      <c r="A80">
        <v>434</v>
      </c>
      <c r="B80" t="s">
        <v>323</v>
      </c>
      <c r="C80">
        <v>115</v>
      </c>
      <c r="D80" t="s">
        <v>31</v>
      </c>
      <c r="E80">
        <v>285</v>
      </c>
      <c r="F80" t="s">
        <v>1214</v>
      </c>
      <c r="G80">
        <v>4</v>
      </c>
      <c r="H80">
        <v>0</v>
      </c>
      <c r="I80">
        <v>0</v>
      </c>
      <c r="J80">
        <v>0</v>
      </c>
      <c r="K80">
        <v>0</v>
      </c>
      <c r="L80">
        <v>0</v>
      </c>
      <c r="M80">
        <v>4</v>
      </c>
      <c r="N80" t="s">
        <v>333</v>
      </c>
      <c r="O80" t="s">
        <v>336</v>
      </c>
    </row>
    <row r="81" spans="1:15" x14ac:dyDescent="0.3">
      <c r="A81">
        <v>434</v>
      </c>
      <c r="B81" t="s">
        <v>323</v>
      </c>
      <c r="C81">
        <v>115</v>
      </c>
      <c r="D81" t="s">
        <v>31</v>
      </c>
      <c r="E81">
        <v>286</v>
      </c>
      <c r="F81" t="s">
        <v>523</v>
      </c>
      <c r="G81">
        <v>3</v>
      </c>
      <c r="H81">
        <v>0</v>
      </c>
      <c r="I81">
        <v>0</v>
      </c>
      <c r="J81">
        <v>0</v>
      </c>
      <c r="K81">
        <v>0</v>
      </c>
      <c r="L81">
        <v>0</v>
      </c>
      <c r="M81">
        <v>3</v>
      </c>
      <c r="N81" t="s">
        <v>333</v>
      </c>
      <c r="O81" t="s">
        <v>336</v>
      </c>
    </row>
    <row r="82" spans="1:15" x14ac:dyDescent="0.3">
      <c r="A82">
        <v>434</v>
      </c>
      <c r="B82" t="s">
        <v>323</v>
      </c>
      <c r="C82">
        <v>115</v>
      </c>
      <c r="D82" t="s">
        <v>31</v>
      </c>
      <c r="E82">
        <v>287</v>
      </c>
      <c r="F82" t="s">
        <v>1215</v>
      </c>
      <c r="G82">
        <v>6</v>
      </c>
      <c r="H82">
        <v>0</v>
      </c>
      <c r="I82">
        <v>0</v>
      </c>
      <c r="J82">
        <v>0</v>
      </c>
      <c r="K82">
        <v>0</v>
      </c>
      <c r="L82">
        <v>0</v>
      </c>
      <c r="M82">
        <v>6</v>
      </c>
      <c r="N82" t="s">
        <v>325</v>
      </c>
      <c r="O82" t="s">
        <v>336</v>
      </c>
    </row>
    <row r="83" spans="1:15" x14ac:dyDescent="0.3">
      <c r="A83">
        <v>434</v>
      </c>
      <c r="B83" t="s">
        <v>323</v>
      </c>
      <c r="C83">
        <v>115</v>
      </c>
      <c r="D83" t="s">
        <v>31</v>
      </c>
      <c r="E83">
        <v>288</v>
      </c>
      <c r="F83" t="s">
        <v>1216</v>
      </c>
      <c r="G83">
        <v>4</v>
      </c>
      <c r="H83">
        <v>0</v>
      </c>
      <c r="I83">
        <v>0</v>
      </c>
      <c r="J83">
        <v>0</v>
      </c>
      <c r="K83">
        <v>0</v>
      </c>
      <c r="L83">
        <v>0</v>
      </c>
      <c r="M83">
        <v>4</v>
      </c>
      <c r="N83" t="s">
        <v>333</v>
      </c>
      <c r="O83" t="s">
        <v>336</v>
      </c>
    </row>
    <row r="84" spans="1:15" x14ac:dyDescent="0.3">
      <c r="A84">
        <v>434</v>
      </c>
      <c r="B84" t="s">
        <v>323</v>
      </c>
      <c r="C84">
        <v>115</v>
      </c>
      <c r="D84" t="s">
        <v>31</v>
      </c>
      <c r="E84">
        <v>289</v>
      </c>
      <c r="F84" t="s">
        <v>1217</v>
      </c>
      <c r="G84">
        <v>3</v>
      </c>
      <c r="H84">
        <v>0</v>
      </c>
      <c r="I84">
        <v>0</v>
      </c>
      <c r="J84">
        <v>0</v>
      </c>
      <c r="K84">
        <v>0</v>
      </c>
      <c r="L84">
        <v>0</v>
      </c>
      <c r="M84">
        <v>3</v>
      </c>
      <c r="N84" t="s">
        <v>325</v>
      </c>
      <c r="O84" t="s">
        <v>336</v>
      </c>
    </row>
    <row r="85" spans="1:15" x14ac:dyDescent="0.3">
      <c r="A85">
        <v>434</v>
      </c>
      <c r="B85" t="s">
        <v>323</v>
      </c>
      <c r="C85">
        <v>115</v>
      </c>
      <c r="D85" t="s">
        <v>31</v>
      </c>
      <c r="E85">
        <v>290</v>
      </c>
      <c r="F85" t="s">
        <v>1218</v>
      </c>
      <c r="G85">
        <v>4</v>
      </c>
      <c r="H85">
        <v>0</v>
      </c>
      <c r="I85">
        <v>0</v>
      </c>
      <c r="J85">
        <v>0</v>
      </c>
      <c r="K85">
        <v>0</v>
      </c>
      <c r="L85">
        <v>0</v>
      </c>
      <c r="M85">
        <v>4</v>
      </c>
      <c r="N85" t="s">
        <v>333</v>
      </c>
      <c r="O85" t="s">
        <v>336</v>
      </c>
    </row>
    <row r="86" spans="1:15" x14ac:dyDescent="0.3">
      <c r="A86">
        <v>434</v>
      </c>
      <c r="B86" t="s">
        <v>323</v>
      </c>
      <c r="C86">
        <v>115</v>
      </c>
      <c r="D86" t="s">
        <v>31</v>
      </c>
      <c r="E86">
        <v>291</v>
      </c>
      <c r="F86" t="s">
        <v>1219</v>
      </c>
      <c r="G86">
        <v>5</v>
      </c>
      <c r="H86">
        <v>0</v>
      </c>
      <c r="I86">
        <v>0</v>
      </c>
      <c r="J86">
        <v>0</v>
      </c>
      <c r="K86">
        <v>0</v>
      </c>
      <c r="L86">
        <v>0</v>
      </c>
      <c r="M86">
        <v>5</v>
      </c>
      <c r="N86" t="s">
        <v>325</v>
      </c>
      <c r="O86" t="s">
        <v>336</v>
      </c>
    </row>
    <row r="87" spans="1:15" x14ac:dyDescent="0.3">
      <c r="A87">
        <v>434</v>
      </c>
      <c r="B87" t="s">
        <v>323</v>
      </c>
      <c r="C87">
        <v>115</v>
      </c>
      <c r="D87" t="s">
        <v>31</v>
      </c>
      <c r="E87">
        <v>292</v>
      </c>
      <c r="F87" t="s">
        <v>1220</v>
      </c>
      <c r="G87">
        <v>7</v>
      </c>
      <c r="H87">
        <v>0</v>
      </c>
      <c r="I87">
        <v>0</v>
      </c>
      <c r="J87">
        <v>0</v>
      </c>
      <c r="K87">
        <v>0</v>
      </c>
      <c r="L87">
        <v>0</v>
      </c>
      <c r="M87">
        <v>7</v>
      </c>
      <c r="N87" t="s">
        <v>333</v>
      </c>
      <c r="O87" t="s">
        <v>336</v>
      </c>
    </row>
    <row r="88" spans="1:15" x14ac:dyDescent="0.3">
      <c r="A88">
        <v>434</v>
      </c>
      <c r="B88" t="s">
        <v>323</v>
      </c>
      <c r="C88">
        <v>115</v>
      </c>
      <c r="D88" t="s">
        <v>31</v>
      </c>
      <c r="E88">
        <v>1801</v>
      </c>
      <c r="F88" t="s">
        <v>1222</v>
      </c>
      <c r="G88">
        <v>2</v>
      </c>
      <c r="H88">
        <v>0</v>
      </c>
      <c r="I88">
        <v>0</v>
      </c>
      <c r="J88">
        <v>0</v>
      </c>
      <c r="K88">
        <v>0</v>
      </c>
      <c r="L88">
        <v>0</v>
      </c>
      <c r="M88">
        <v>2</v>
      </c>
      <c r="N88" t="s">
        <v>333</v>
      </c>
      <c r="O88" t="s">
        <v>336</v>
      </c>
    </row>
    <row r="89" spans="1:15" x14ac:dyDescent="0.3">
      <c r="A89">
        <v>434</v>
      </c>
      <c r="B89" t="s">
        <v>323</v>
      </c>
      <c r="C89">
        <v>115</v>
      </c>
      <c r="D89" t="s">
        <v>31</v>
      </c>
      <c r="E89">
        <v>1802</v>
      </c>
      <c r="F89" t="s">
        <v>1223</v>
      </c>
      <c r="G89">
        <v>3</v>
      </c>
      <c r="H89">
        <v>0</v>
      </c>
      <c r="I89">
        <v>0</v>
      </c>
      <c r="J89">
        <v>0</v>
      </c>
      <c r="K89">
        <v>0</v>
      </c>
      <c r="L89">
        <v>0</v>
      </c>
      <c r="M89">
        <v>3</v>
      </c>
      <c r="N89" t="s">
        <v>333</v>
      </c>
      <c r="O89" t="s">
        <v>336</v>
      </c>
    </row>
    <row r="90" spans="1:15" x14ac:dyDescent="0.3">
      <c r="A90">
        <v>435</v>
      </c>
      <c r="B90" t="s">
        <v>323</v>
      </c>
      <c r="C90">
        <v>116</v>
      </c>
      <c r="D90" t="s">
        <v>33</v>
      </c>
      <c r="E90">
        <v>1038</v>
      </c>
      <c r="F90" t="s">
        <v>393</v>
      </c>
      <c r="G90">
        <v>4</v>
      </c>
      <c r="H90">
        <v>0</v>
      </c>
      <c r="I90">
        <v>2</v>
      </c>
      <c r="J90">
        <v>2</v>
      </c>
      <c r="K90">
        <v>0</v>
      </c>
      <c r="L90">
        <v>0</v>
      </c>
      <c r="M90">
        <v>0</v>
      </c>
      <c r="N90" t="s">
        <v>410</v>
      </c>
      <c r="O90" t="s">
        <v>336</v>
      </c>
    </row>
    <row r="91" spans="1:15" x14ac:dyDescent="0.3">
      <c r="A91">
        <v>435</v>
      </c>
      <c r="B91" t="s">
        <v>323</v>
      </c>
      <c r="C91">
        <v>116</v>
      </c>
      <c r="D91" t="s">
        <v>33</v>
      </c>
      <c r="E91">
        <v>1039</v>
      </c>
      <c r="F91" t="s">
        <v>572</v>
      </c>
      <c r="G91">
        <v>3</v>
      </c>
      <c r="H91">
        <v>0</v>
      </c>
      <c r="I91">
        <v>0</v>
      </c>
      <c r="J91">
        <v>0</v>
      </c>
      <c r="K91">
        <v>0</v>
      </c>
      <c r="L91">
        <v>0</v>
      </c>
      <c r="M91">
        <v>3</v>
      </c>
      <c r="N91" t="s">
        <v>333</v>
      </c>
      <c r="O91" t="s">
        <v>326</v>
      </c>
    </row>
    <row r="92" spans="1:15" x14ac:dyDescent="0.3">
      <c r="A92">
        <v>435</v>
      </c>
      <c r="B92" t="s">
        <v>323</v>
      </c>
      <c r="C92">
        <v>116</v>
      </c>
      <c r="D92" t="s">
        <v>33</v>
      </c>
      <c r="E92">
        <v>1040</v>
      </c>
      <c r="F92" t="s">
        <v>660</v>
      </c>
      <c r="G92">
        <v>4</v>
      </c>
      <c r="H92">
        <v>0</v>
      </c>
      <c r="I92">
        <v>0</v>
      </c>
      <c r="J92">
        <v>1</v>
      </c>
      <c r="K92">
        <v>0</v>
      </c>
      <c r="L92">
        <v>0</v>
      </c>
      <c r="M92">
        <v>3</v>
      </c>
      <c r="N92" t="s">
        <v>325</v>
      </c>
      <c r="O92" t="s">
        <v>336</v>
      </c>
    </row>
    <row r="93" spans="1:15" x14ac:dyDescent="0.3">
      <c r="A93">
        <v>435</v>
      </c>
      <c r="B93" t="s">
        <v>323</v>
      </c>
      <c r="C93">
        <v>116</v>
      </c>
      <c r="D93" t="s">
        <v>33</v>
      </c>
      <c r="E93">
        <v>1041</v>
      </c>
      <c r="F93" t="s">
        <v>17982</v>
      </c>
      <c r="G93">
        <v>6</v>
      </c>
      <c r="H93">
        <v>0</v>
      </c>
      <c r="I93">
        <v>0</v>
      </c>
      <c r="J93">
        <v>4</v>
      </c>
      <c r="K93">
        <v>0</v>
      </c>
      <c r="L93">
        <v>0</v>
      </c>
      <c r="M93">
        <v>2</v>
      </c>
      <c r="N93" t="s">
        <v>325</v>
      </c>
      <c r="O93" t="s">
        <v>336</v>
      </c>
    </row>
    <row r="94" spans="1:15" x14ac:dyDescent="0.3">
      <c r="A94">
        <v>435</v>
      </c>
      <c r="B94" t="s">
        <v>323</v>
      </c>
      <c r="C94">
        <v>116</v>
      </c>
      <c r="D94" t="s">
        <v>33</v>
      </c>
      <c r="E94">
        <v>1042</v>
      </c>
      <c r="F94" t="s">
        <v>17983</v>
      </c>
      <c r="G94">
        <v>3</v>
      </c>
      <c r="H94">
        <v>0</v>
      </c>
      <c r="I94">
        <v>1</v>
      </c>
      <c r="J94">
        <v>1</v>
      </c>
      <c r="K94">
        <v>0</v>
      </c>
      <c r="L94">
        <v>1</v>
      </c>
      <c r="M94">
        <v>0</v>
      </c>
      <c r="N94" t="s">
        <v>410</v>
      </c>
      <c r="O94" t="s">
        <v>336</v>
      </c>
    </row>
    <row r="95" spans="1:15" x14ac:dyDescent="0.3">
      <c r="A95">
        <v>435</v>
      </c>
      <c r="B95" t="s">
        <v>323</v>
      </c>
      <c r="C95">
        <v>116</v>
      </c>
      <c r="D95" t="s">
        <v>33</v>
      </c>
      <c r="E95">
        <v>1043</v>
      </c>
      <c r="F95" t="s">
        <v>546</v>
      </c>
      <c r="G95">
        <v>5</v>
      </c>
      <c r="H95">
        <v>0</v>
      </c>
      <c r="I95">
        <v>0</v>
      </c>
      <c r="J95">
        <v>2</v>
      </c>
      <c r="K95">
        <v>0</v>
      </c>
      <c r="L95">
        <v>1</v>
      </c>
      <c r="M95">
        <v>2</v>
      </c>
      <c r="N95" t="s">
        <v>325</v>
      </c>
      <c r="O95" t="s">
        <v>336</v>
      </c>
    </row>
    <row r="96" spans="1:15" x14ac:dyDescent="0.3">
      <c r="A96">
        <v>435</v>
      </c>
      <c r="B96" t="s">
        <v>323</v>
      </c>
      <c r="C96">
        <v>116</v>
      </c>
      <c r="D96" t="s">
        <v>33</v>
      </c>
      <c r="E96">
        <v>1044</v>
      </c>
      <c r="F96" t="s">
        <v>17984</v>
      </c>
      <c r="G96">
        <v>2</v>
      </c>
      <c r="H96">
        <v>0</v>
      </c>
      <c r="I96">
        <v>0</v>
      </c>
      <c r="J96">
        <v>0</v>
      </c>
      <c r="K96">
        <v>1</v>
      </c>
      <c r="L96">
        <v>1</v>
      </c>
      <c r="M96">
        <v>0</v>
      </c>
      <c r="N96" t="s">
        <v>325</v>
      </c>
      <c r="O96" t="s">
        <v>336</v>
      </c>
    </row>
    <row r="97" spans="1:15" x14ac:dyDescent="0.3">
      <c r="A97">
        <v>435</v>
      </c>
      <c r="B97" t="s">
        <v>323</v>
      </c>
      <c r="C97">
        <v>116</v>
      </c>
      <c r="D97" t="s">
        <v>33</v>
      </c>
      <c r="E97">
        <v>2232</v>
      </c>
      <c r="F97" t="s">
        <v>17985</v>
      </c>
      <c r="G97">
        <v>4</v>
      </c>
      <c r="H97">
        <v>0</v>
      </c>
      <c r="I97">
        <v>0</v>
      </c>
      <c r="J97">
        <v>3</v>
      </c>
      <c r="K97">
        <v>1</v>
      </c>
      <c r="L97">
        <v>0</v>
      </c>
      <c r="M97">
        <v>0</v>
      </c>
      <c r="N97" t="s">
        <v>325</v>
      </c>
      <c r="O97" t="s">
        <v>336</v>
      </c>
    </row>
    <row r="98" spans="1:15" x14ac:dyDescent="0.3">
      <c r="A98">
        <v>435</v>
      </c>
      <c r="B98" t="s">
        <v>323</v>
      </c>
      <c r="C98">
        <v>116</v>
      </c>
      <c r="D98" t="s">
        <v>33</v>
      </c>
      <c r="E98">
        <v>2234</v>
      </c>
      <c r="F98" t="s">
        <v>17986</v>
      </c>
      <c r="G98">
        <v>3</v>
      </c>
      <c r="H98">
        <v>0</v>
      </c>
      <c r="I98">
        <v>0</v>
      </c>
      <c r="J98">
        <v>2</v>
      </c>
      <c r="K98">
        <v>0</v>
      </c>
      <c r="L98">
        <v>0</v>
      </c>
      <c r="M98">
        <v>1</v>
      </c>
      <c r="N98" t="s">
        <v>325</v>
      </c>
      <c r="O98" t="s">
        <v>336</v>
      </c>
    </row>
    <row r="99" spans="1:15" x14ac:dyDescent="0.3">
      <c r="A99">
        <v>435</v>
      </c>
      <c r="B99" t="s">
        <v>323</v>
      </c>
      <c r="C99">
        <v>116</v>
      </c>
      <c r="D99" t="s">
        <v>33</v>
      </c>
      <c r="E99">
        <v>2236</v>
      </c>
      <c r="F99" t="s">
        <v>17987</v>
      </c>
      <c r="G99">
        <v>6</v>
      </c>
      <c r="H99">
        <v>0</v>
      </c>
      <c r="I99">
        <v>0</v>
      </c>
      <c r="J99">
        <v>4</v>
      </c>
      <c r="K99">
        <v>1</v>
      </c>
      <c r="L99">
        <v>0</v>
      </c>
      <c r="M99">
        <v>1</v>
      </c>
      <c r="N99" t="s">
        <v>410</v>
      </c>
      <c r="O99" t="s">
        <v>348</v>
      </c>
    </row>
    <row r="100" spans="1:15" x14ac:dyDescent="0.3">
      <c r="A100">
        <v>436</v>
      </c>
      <c r="B100" t="s">
        <v>323</v>
      </c>
      <c r="C100">
        <v>117</v>
      </c>
      <c r="D100" t="s">
        <v>35</v>
      </c>
      <c r="E100">
        <v>333</v>
      </c>
      <c r="F100" t="s">
        <v>393</v>
      </c>
      <c r="G100">
        <v>3</v>
      </c>
      <c r="H100">
        <v>0</v>
      </c>
      <c r="I100">
        <v>1</v>
      </c>
      <c r="J100">
        <v>0</v>
      </c>
      <c r="K100">
        <v>2</v>
      </c>
      <c r="L100">
        <v>0</v>
      </c>
      <c r="M100">
        <v>0</v>
      </c>
      <c r="N100" t="s">
        <v>325</v>
      </c>
      <c r="O100" t="s">
        <v>326</v>
      </c>
    </row>
    <row r="101" spans="1:15" x14ac:dyDescent="0.3">
      <c r="A101">
        <v>436</v>
      </c>
      <c r="B101" t="s">
        <v>323</v>
      </c>
      <c r="C101">
        <v>117</v>
      </c>
      <c r="D101" t="s">
        <v>35</v>
      </c>
      <c r="E101">
        <v>334</v>
      </c>
      <c r="F101" t="s">
        <v>354</v>
      </c>
      <c r="G101">
        <v>5</v>
      </c>
      <c r="H101">
        <v>0</v>
      </c>
      <c r="I101">
        <v>2</v>
      </c>
      <c r="J101">
        <v>0</v>
      </c>
      <c r="K101">
        <v>0</v>
      </c>
      <c r="L101">
        <v>3</v>
      </c>
      <c r="M101">
        <v>0</v>
      </c>
      <c r="N101" t="s">
        <v>325</v>
      </c>
      <c r="O101" t="s">
        <v>326</v>
      </c>
    </row>
    <row r="102" spans="1:15" x14ac:dyDescent="0.3">
      <c r="A102">
        <v>436</v>
      </c>
      <c r="B102" t="s">
        <v>323</v>
      </c>
      <c r="C102">
        <v>117</v>
      </c>
      <c r="D102" t="s">
        <v>35</v>
      </c>
      <c r="E102">
        <v>335</v>
      </c>
      <c r="F102" t="s">
        <v>411</v>
      </c>
      <c r="G102">
        <v>4</v>
      </c>
      <c r="H102">
        <v>0</v>
      </c>
      <c r="I102">
        <v>0</v>
      </c>
      <c r="J102">
        <v>2</v>
      </c>
      <c r="K102">
        <v>1</v>
      </c>
      <c r="L102">
        <v>1</v>
      </c>
      <c r="M102">
        <v>0</v>
      </c>
      <c r="N102" t="s">
        <v>333</v>
      </c>
      <c r="O102" t="s">
        <v>326</v>
      </c>
    </row>
    <row r="103" spans="1:15" x14ac:dyDescent="0.3">
      <c r="A103">
        <v>436</v>
      </c>
      <c r="B103" t="s">
        <v>323</v>
      </c>
      <c r="C103">
        <v>117</v>
      </c>
      <c r="D103" t="s">
        <v>35</v>
      </c>
      <c r="E103">
        <v>336</v>
      </c>
      <c r="F103" t="s">
        <v>412</v>
      </c>
      <c r="G103">
        <v>3</v>
      </c>
      <c r="H103">
        <v>0</v>
      </c>
      <c r="I103">
        <v>0</v>
      </c>
      <c r="J103">
        <v>2</v>
      </c>
      <c r="K103">
        <v>1</v>
      </c>
      <c r="L103">
        <v>0</v>
      </c>
      <c r="M103">
        <v>0</v>
      </c>
      <c r="N103" t="s">
        <v>325</v>
      </c>
      <c r="O103" t="s">
        <v>326</v>
      </c>
    </row>
    <row r="104" spans="1:15" x14ac:dyDescent="0.3">
      <c r="A104">
        <v>436</v>
      </c>
      <c r="B104" t="s">
        <v>323</v>
      </c>
      <c r="C104">
        <v>117</v>
      </c>
      <c r="D104" t="s">
        <v>35</v>
      </c>
      <c r="E104">
        <v>337</v>
      </c>
      <c r="F104" t="s">
        <v>413</v>
      </c>
      <c r="G104">
        <v>5</v>
      </c>
      <c r="H104">
        <v>0</v>
      </c>
      <c r="I104">
        <v>0</v>
      </c>
      <c r="J104">
        <v>0</v>
      </c>
      <c r="K104">
        <v>1</v>
      </c>
      <c r="L104">
        <v>4</v>
      </c>
      <c r="M104">
        <v>0</v>
      </c>
      <c r="N104" t="s">
        <v>325</v>
      </c>
      <c r="O104" t="s">
        <v>326</v>
      </c>
    </row>
    <row r="105" spans="1:15" x14ac:dyDescent="0.3">
      <c r="A105">
        <v>436</v>
      </c>
      <c r="B105" t="s">
        <v>323</v>
      </c>
      <c r="C105">
        <v>117</v>
      </c>
      <c r="D105" t="s">
        <v>35</v>
      </c>
      <c r="E105">
        <v>338</v>
      </c>
      <c r="F105" t="s">
        <v>376</v>
      </c>
      <c r="G105">
        <v>3</v>
      </c>
      <c r="H105">
        <v>0</v>
      </c>
      <c r="I105">
        <v>0</v>
      </c>
      <c r="J105">
        <v>0</v>
      </c>
      <c r="K105">
        <v>0</v>
      </c>
      <c r="L105">
        <v>3</v>
      </c>
      <c r="M105">
        <v>0</v>
      </c>
      <c r="N105" t="s">
        <v>333</v>
      </c>
      <c r="O105" t="s">
        <v>326</v>
      </c>
    </row>
    <row r="106" spans="1:15" x14ac:dyDescent="0.3">
      <c r="A106">
        <v>436</v>
      </c>
      <c r="B106" t="s">
        <v>323</v>
      </c>
      <c r="C106">
        <v>117</v>
      </c>
      <c r="D106" t="s">
        <v>35</v>
      </c>
      <c r="E106">
        <v>2081</v>
      </c>
      <c r="F106" t="s">
        <v>363</v>
      </c>
      <c r="G106">
        <v>5</v>
      </c>
      <c r="H106">
        <v>0</v>
      </c>
      <c r="I106">
        <v>1</v>
      </c>
      <c r="J106">
        <v>3</v>
      </c>
      <c r="K106">
        <v>1</v>
      </c>
      <c r="L106">
        <v>0</v>
      </c>
      <c r="M106">
        <v>0</v>
      </c>
      <c r="N106" t="s">
        <v>325</v>
      </c>
      <c r="O106" t="s">
        <v>336</v>
      </c>
    </row>
    <row r="107" spans="1:15" x14ac:dyDescent="0.3">
      <c r="A107">
        <v>437</v>
      </c>
      <c r="B107" t="s">
        <v>323</v>
      </c>
      <c r="C107">
        <v>118</v>
      </c>
      <c r="D107" t="s">
        <v>37</v>
      </c>
      <c r="E107">
        <v>1573</v>
      </c>
      <c r="F107" t="s">
        <v>349</v>
      </c>
      <c r="G107">
        <v>7</v>
      </c>
      <c r="H107">
        <v>0</v>
      </c>
      <c r="I107">
        <v>2</v>
      </c>
      <c r="J107">
        <v>2</v>
      </c>
      <c r="K107">
        <v>2</v>
      </c>
      <c r="L107">
        <v>0</v>
      </c>
      <c r="M107">
        <v>1</v>
      </c>
      <c r="N107" t="s">
        <v>416</v>
      </c>
      <c r="O107" t="s">
        <v>336</v>
      </c>
    </row>
    <row r="108" spans="1:15" x14ac:dyDescent="0.3">
      <c r="A108">
        <v>437</v>
      </c>
      <c r="B108" t="s">
        <v>323</v>
      </c>
      <c r="C108">
        <v>118</v>
      </c>
      <c r="D108" t="s">
        <v>37</v>
      </c>
      <c r="E108">
        <v>1574</v>
      </c>
      <c r="F108" t="s">
        <v>415</v>
      </c>
      <c r="G108">
        <v>3</v>
      </c>
      <c r="H108">
        <v>1</v>
      </c>
      <c r="I108">
        <v>1</v>
      </c>
      <c r="J108">
        <v>1</v>
      </c>
      <c r="K108">
        <v>0</v>
      </c>
      <c r="L108">
        <v>0</v>
      </c>
      <c r="M108">
        <v>0</v>
      </c>
      <c r="N108" t="s">
        <v>416</v>
      </c>
      <c r="O108" t="s">
        <v>336</v>
      </c>
    </row>
    <row r="109" spans="1:15" x14ac:dyDescent="0.3">
      <c r="A109">
        <v>437</v>
      </c>
      <c r="B109" t="s">
        <v>323</v>
      </c>
      <c r="C109">
        <v>118</v>
      </c>
      <c r="D109" t="s">
        <v>37</v>
      </c>
      <c r="E109">
        <v>1575</v>
      </c>
      <c r="F109" t="s">
        <v>417</v>
      </c>
      <c r="G109">
        <v>6</v>
      </c>
      <c r="H109">
        <v>0</v>
      </c>
      <c r="I109">
        <v>0</v>
      </c>
      <c r="J109">
        <v>2</v>
      </c>
      <c r="K109">
        <v>0</v>
      </c>
      <c r="L109">
        <v>4</v>
      </c>
      <c r="M109">
        <v>0</v>
      </c>
      <c r="N109" t="s">
        <v>325</v>
      </c>
      <c r="O109" t="s">
        <v>326</v>
      </c>
    </row>
    <row r="110" spans="1:15" x14ac:dyDescent="0.3">
      <c r="A110">
        <v>437</v>
      </c>
      <c r="B110" t="s">
        <v>323</v>
      </c>
      <c r="C110">
        <v>118</v>
      </c>
      <c r="D110" t="s">
        <v>37</v>
      </c>
      <c r="E110">
        <v>1576</v>
      </c>
      <c r="F110" t="s">
        <v>418</v>
      </c>
      <c r="G110">
        <v>7</v>
      </c>
      <c r="H110">
        <v>2</v>
      </c>
      <c r="I110">
        <v>2</v>
      </c>
      <c r="J110">
        <v>3</v>
      </c>
      <c r="K110">
        <v>0</v>
      </c>
      <c r="L110">
        <v>0</v>
      </c>
      <c r="M110">
        <v>0</v>
      </c>
      <c r="N110" t="s">
        <v>410</v>
      </c>
      <c r="O110" t="s">
        <v>348</v>
      </c>
    </row>
    <row r="111" spans="1:15" x14ac:dyDescent="0.3">
      <c r="A111">
        <v>437</v>
      </c>
      <c r="B111" t="s">
        <v>323</v>
      </c>
      <c r="C111">
        <v>118</v>
      </c>
      <c r="D111" t="s">
        <v>37</v>
      </c>
      <c r="E111">
        <v>1577</v>
      </c>
      <c r="F111" t="s">
        <v>419</v>
      </c>
      <c r="G111">
        <v>8</v>
      </c>
      <c r="H111">
        <v>3</v>
      </c>
      <c r="I111">
        <v>2</v>
      </c>
      <c r="J111">
        <v>3</v>
      </c>
      <c r="K111">
        <v>0</v>
      </c>
      <c r="L111">
        <v>0</v>
      </c>
      <c r="M111">
        <v>0</v>
      </c>
      <c r="N111" t="s">
        <v>410</v>
      </c>
      <c r="O111" t="s">
        <v>348</v>
      </c>
    </row>
    <row r="112" spans="1:15" x14ac:dyDescent="0.3">
      <c r="A112">
        <v>437</v>
      </c>
      <c r="B112" t="s">
        <v>323</v>
      </c>
      <c r="C112">
        <v>118</v>
      </c>
      <c r="D112" t="s">
        <v>37</v>
      </c>
      <c r="E112">
        <v>1578</v>
      </c>
      <c r="F112" t="s">
        <v>420</v>
      </c>
      <c r="G112">
        <v>7</v>
      </c>
      <c r="H112">
        <v>0</v>
      </c>
      <c r="I112">
        <v>1</v>
      </c>
      <c r="J112">
        <v>2</v>
      </c>
      <c r="K112">
        <v>1</v>
      </c>
      <c r="L112">
        <v>2</v>
      </c>
      <c r="M112">
        <v>1</v>
      </c>
      <c r="N112" t="s">
        <v>333</v>
      </c>
      <c r="O112" t="s">
        <v>326</v>
      </c>
    </row>
    <row r="113" spans="1:15" x14ac:dyDescent="0.3">
      <c r="A113">
        <v>437</v>
      </c>
      <c r="B113" t="s">
        <v>323</v>
      </c>
      <c r="C113">
        <v>118</v>
      </c>
      <c r="D113" t="s">
        <v>37</v>
      </c>
      <c r="E113">
        <v>1579</v>
      </c>
      <c r="F113" t="s">
        <v>421</v>
      </c>
      <c r="G113">
        <v>4</v>
      </c>
      <c r="H113">
        <v>1</v>
      </c>
      <c r="I113">
        <v>1</v>
      </c>
      <c r="J113">
        <v>1</v>
      </c>
      <c r="K113">
        <v>1</v>
      </c>
      <c r="L113">
        <v>0</v>
      </c>
      <c r="M113">
        <v>0</v>
      </c>
      <c r="N113" t="s">
        <v>325</v>
      </c>
      <c r="O113" t="s">
        <v>326</v>
      </c>
    </row>
    <row r="114" spans="1:15" x14ac:dyDescent="0.3">
      <c r="A114">
        <v>437</v>
      </c>
      <c r="B114" t="s">
        <v>323</v>
      </c>
      <c r="C114">
        <v>118</v>
      </c>
      <c r="D114" t="s">
        <v>37</v>
      </c>
      <c r="E114">
        <v>1580</v>
      </c>
      <c r="F114" t="s">
        <v>422</v>
      </c>
      <c r="G114">
        <v>8</v>
      </c>
      <c r="H114">
        <v>0</v>
      </c>
      <c r="I114">
        <v>0</v>
      </c>
      <c r="J114">
        <v>1</v>
      </c>
      <c r="K114">
        <v>3</v>
      </c>
      <c r="L114">
        <v>4</v>
      </c>
      <c r="M114">
        <v>0</v>
      </c>
      <c r="N114" t="s">
        <v>333</v>
      </c>
      <c r="O114" t="s">
        <v>326</v>
      </c>
    </row>
    <row r="115" spans="1:15" x14ac:dyDescent="0.3">
      <c r="A115">
        <v>437</v>
      </c>
      <c r="B115" t="s">
        <v>323</v>
      </c>
      <c r="C115">
        <v>118</v>
      </c>
      <c r="D115" t="s">
        <v>37</v>
      </c>
      <c r="E115">
        <v>1581</v>
      </c>
      <c r="F115" t="s">
        <v>423</v>
      </c>
      <c r="G115">
        <v>7</v>
      </c>
      <c r="H115">
        <v>0</v>
      </c>
      <c r="I115">
        <v>1</v>
      </c>
      <c r="J115">
        <v>3</v>
      </c>
      <c r="K115">
        <v>2</v>
      </c>
      <c r="L115">
        <v>1</v>
      </c>
      <c r="M115">
        <v>0</v>
      </c>
      <c r="N115" t="s">
        <v>325</v>
      </c>
      <c r="O115" t="s">
        <v>329</v>
      </c>
    </row>
    <row r="116" spans="1:15" x14ac:dyDescent="0.3">
      <c r="A116">
        <v>437</v>
      </c>
      <c r="B116" t="s">
        <v>323</v>
      </c>
      <c r="C116">
        <v>118</v>
      </c>
      <c r="D116" t="s">
        <v>37</v>
      </c>
      <c r="E116">
        <v>1583</v>
      </c>
      <c r="F116" t="s">
        <v>424</v>
      </c>
      <c r="G116">
        <v>8</v>
      </c>
      <c r="H116">
        <v>1</v>
      </c>
      <c r="I116">
        <v>2</v>
      </c>
      <c r="J116">
        <v>3</v>
      </c>
      <c r="K116">
        <v>1</v>
      </c>
      <c r="L116">
        <v>1</v>
      </c>
      <c r="M116">
        <v>0</v>
      </c>
      <c r="N116" t="s">
        <v>325</v>
      </c>
      <c r="O116" t="s">
        <v>326</v>
      </c>
    </row>
    <row r="117" spans="1:15" x14ac:dyDescent="0.3">
      <c r="A117">
        <v>437</v>
      </c>
      <c r="B117" t="s">
        <v>323</v>
      </c>
      <c r="C117">
        <v>118</v>
      </c>
      <c r="D117" t="s">
        <v>37</v>
      </c>
      <c r="E117">
        <v>1584</v>
      </c>
      <c r="F117" t="s">
        <v>425</v>
      </c>
      <c r="G117">
        <v>9</v>
      </c>
      <c r="H117">
        <v>9</v>
      </c>
      <c r="I117">
        <v>0</v>
      </c>
      <c r="J117">
        <v>0</v>
      </c>
      <c r="K117">
        <v>0</v>
      </c>
      <c r="L117">
        <v>0</v>
      </c>
      <c r="M117">
        <v>0</v>
      </c>
      <c r="N117" t="s">
        <v>325</v>
      </c>
      <c r="O117" t="s">
        <v>348</v>
      </c>
    </row>
    <row r="118" spans="1:15" x14ac:dyDescent="0.3">
      <c r="A118">
        <v>437</v>
      </c>
      <c r="B118" t="s">
        <v>323</v>
      </c>
      <c r="C118">
        <v>118</v>
      </c>
      <c r="D118" t="s">
        <v>37</v>
      </c>
      <c r="E118">
        <v>1585</v>
      </c>
      <c r="F118" t="s">
        <v>426</v>
      </c>
      <c r="G118">
        <v>5</v>
      </c>
      <c r="H118">
        <v>0</v>
      </c>
      <c r="I118">
        <v>0</v>
      </c>
      <c r="J118">
        <v>2</v>
      </c>
      <c r="K118">
        <v>1</v>
      </c>
      <c r="L118">
        <v>2</v>
      </c>
      <c r="M118">
        <v>0</v>
      </c>
      <c r="N118" t="s">
        <v>333</v>
      </c>
      <c r="O118" t="s">
        <v>326</v>
      </c>
    </row>
    <row r="119" spans="1:15" x14ac:dyDescent="0.3">
      <c r="A119">
        <v>437</v>
      </c>
      <c r="B119" t="s">
        <v>323</v>
      </c>
      <c r="C119">
        <v>118</v>
      </c>
      <c r="D119" t="s">
        <v>37</v>
      </c>
      <c r="E119">
        <v>1586</v>
      </c>
      <c r="F119" t="s">
        <v>427</v>
      </c>
      <c r="G119">
        <v>6</v>
      </c>
      <c r="H119">
        <v>0</v>
      </c>
      <c r="I119">
        <v>1</v>
      </c>
      <c r="J119">
        <v>2</v>
      </c>
      <c r="K119">
        <v>1</v>
      </c>
      <c r="L119">
        <v>2</v>
      </c>
      <c r="M119">
        <v>0</v>
      </c>
      <c r="N119" t="s">
        <v>333</v>
      </c>
      <c r="O119" t="s">
        <v>326</v>
      </c>
    </row>
    <row r="120" spans="1:15" x14ac:dyDescent="0.3">
      <c r="A120">
        <v>437</v>
      </c>
      <c r="B120" t="s">
        <v>323</v>
      </c>
      <c r="C120">
        <v>118</v>
      </c>
      <c r="D120" t="s">
        <v>37</v>
      </c>
      <c r="E120">
        <v>1588</v>
      </c>
      <c r="F120" t="s">
        <v>353</v>
      </c>
      <c r="G120">
        <v>4</v>
      </c>
      <c r="H120">
        <v>0</v>
      </c>
      <c r="I120">
        <v>0</v>
      </c>
      <c r="J120">
        <v>2</v>
      </c>
      <c r="K120">
        <v>0</v>
      </c>
      <c r="L120">
        <v>2</v>
      </c>
      <c r="M120">
        <v>0</v>
      </c>
      <c r="N120" t="s">
        <v>325</v>
      </c>
      <c r="O120" t="s">
        <v>326</v>
      </c>
    </row>
    <row r="121" spans="1:15" x14ac:dyDescent="0.3">
      <c r="A121">
        <v>437</v>
      </c>
      <c r="B121" t="s">
        <v>323</v>
      </c>
      <c r="C121">
        <v>118</v>
      </c>
      <c r="D121" t="s">
        <v>37</v>
      </c>
      <c r="E121">
        <v>1593</v>
      </c>
      <c r="F121" t="s">
        <v>430</v>
      </c>
      <c r="G121">
        <v>8</v>
      </c>
      <c r="H121">
        <v>0</v>
      </c>
      <c r="I121">
        <v>1</v>
      </c>
      <c r="J121">
        <v>3</v>
      </c>
      <c r="K121">
        <v>1</v>
      </c>
      <c r="L121">
        <v>3</v>
      </c>
      <c r="M121">
        <v>0</v>
      </c>
      <c r="N121" t="s">
        <v>325</v>
      </c>
      <c r="O121" t="s">
        <v>326</v>
      </c>
    </row>
    <row r="122" spans="1:15" x14ac:dyDescent="0.3">
      <c r="A122">
        <v>437</v>
      </c>
      <c r="B122" t="s">
        <v>323</v>
      </c>
      <c r="C122">
        <v>118</v>
      </c>
      <c r="D122" t="s">
        <v>37</v>
      </c>
      <c r="E122">
        <v>1950</v>
      </c>
      <c r="F122" t="s">
        <v>450</v>
      </c>
      <c r="G122">
        <v>5</v>
      </c>
      <c r="H122">
        <v>0</v>
      </c>
      <c r="I122">
        <v>0</v>
      </c>
      <c r="J122">
        <v>2</v>
      </c>
      <c r="K122">
        <v>2</v>
      </c>
      <c r="L122">
        <v>0</v>
      </c>
      <c r="M122">
        <v>1</v>
      </c>
      <c r="N122" t="s">
        <v>325</v>
      </c>
      <c r="O122" t="s">
        <v>348</v>
      </c>
    </row>
    <row r="123" spans="1:15" x14ac:dyDescent="0.3">
      <c r="A123">
        <v>437</v>
      </c>
      <c r="B123" t="s">
        <v>323</v>
      </c>
      <c r="C123">
        <v>118</v>
      </c>
      <c r="D123" t="s">
        <v>37</v>
      </c>
      <c r="E123">
        <v>1951</v>
      </c>
      <c r="F123" t="s">
        <v>1226</v>
      </c>
      <c r="G123">
        <v>12</v>
      </c>
      <c r="H123">
        <v>1</v>
      </c>
      <c r="I123">
        <v>2</v>
      </c>
      <c r="J123">
        <v>3</v>
      </c>
      <c r="K123">
        <v>4</v>
      </c>
      <c r="L123">
        <v>2</v>
      </c>
      <c r="M123">
        <v>0</v>
      </c>
      <c r="N123" t="s">
        <v>333</v>
      </c>
      <c r="O123" t="s">
        <v>326</v>
      </c>
    </row>
    <row r="124" spans="1:15" x14ac:dyDescent="0.3">
      <c r="A124">
        <v>437</v>
      </c>
      <c r="B124" t="s">
        <v>323</v>
      </c>
      <c r="C124">
        <v>118</v>
      </c>
      <c r="D124" t="s">
        <v>37</v>
      </c>
      <c r="E124">
        <v>1952</v>
      </c>
      <c r="F124" t="s">
        <v>1227</v>
      </c>
      <c r="G124">
        <v>6</v>
      </c>
      <c r="H124">
        <v>1</v>
      </c>
      <c r="I124">
        <v>2</v>
      </c>
      <c r="J124">
        <v>1</v>
      </c>
      <c r="K124">
        <v>1</v>
      </c>
      <c r="L124">
        <v>0</v>
      </c>
      <c r="M124">
        <v>1</v>
      </c>
      <c r="N124" t="s">
        <v>325</v>
      </c>
      <c r="O124" t="s">
        <v>348</v>
      </c>
    </row>
    <row r="125" spans="1:15" x14ac:dyDescent="0.3">
      <c r="A125">
        <v>437</v>
      </c>
      <c r="B125" t="s">
        <v>323</v>
      </c>
      <c r="C125">
        <v>118</v>
      </c>
      <c r="D125" t="s">
        <v>37</v>
      </c>
      <c r="E125">
        <v>2228</v>
      </c>
      <c r="F125" t="s">
        <v>17988</v>
      </c>
      <c r="G125">
        <v>6</v>
      </c>
      <c r="H125">
        <v>0</v>
      </c>
      <c r="I125">
        <v>0</v>
      </c>
      <c r="J125">
        <v>1</v>
      </c>
      <c r="K125">
        <v>3</v>
      </c>
      <c r="L125">
        <v>2</v>
      </c>
      <c r="M125">
        <v>0</v>
      </c>
      <c r="N125" t="s">
        <v>325</v>
      </c>
      <c r="O125" t="s">
        <v>484</v>
      </c>
    </row>
    <row r="126" spans="1:15" x14ac:dyDescent="0.3">
      <c r="A126">
        <v>437</v>
      </c>
      <c r="B126" t="s">
        <v>323</v>
      </c>
      <c r="C126">
        <v>118</v>
      </c>
      <c r="D126" t="s">
        <v>37</v>
      </c>
      <c r="E126">
        <v>2229</v>
      </c>
      <c r="F126" t="s">
        <v>17989</v>
      </c>
      <c r="G126">
        <v>5</v>
      </c>
      <c r="H126">
        <v>0</v>
      </c>
      <c r="I126">
        <v>1</v>
      </c>
      <c r="J126">
        <v>2</v>
      </c>
      <c r="K126">
        <v>1</v>
      </c>
      <c r="L126">
        <v>1</v>
      </c>
      <c r="M126">
        <v>0</v>
      </c>
      <c r="N126" t="s">
        <v>325</v>
      </c>
      <c r="O126" t="s">
        <v>343</v>
      </c>
    </row>
    <row r="127" spans="1:15" x14ac:dyDescent="0.3">
      <c r="A127">
        <v>437</v>
      </c>
      <c r="B127" t="s">
        <v>323</v>
      </c>
      <c r="C127">
        <v>118</v>
      </c>
      <c r="D127" t="s">
        <v>37</v>
      </c>
      <c r="E127">
        <v>2230</v>
      </c>
      <c r="F127" t="s">
        <v>17990</v>
      </c>
      <c r="G127">
        <v>3</v>
      </c>
      <c r="H127">
        <v>0</v>
      </c>
      <c r="I127">
        <v>0</v>
      </c>
      <c r="J127">
        <v>0</v>
      </c>
      <c r="K127">
        <v>0</v>
      </c>
      <c r="L127">
        <v>0</v>
      </c>
      <c r="M127">
        <v>3</v>
      </c>
      <c r="N127" t="s">
        <v>325</v>
      </c>
      <c r="O127" t="s">
        <v>348</v>
      </c>
    </row>
    <row r="128" spans="1:15" x14ac:dyDescent="0.3">
      <c r="A128">
        <v>439</v>
      </c>
      <c r="B128" t="s">
        <v>323</v>
      </c>
      <c r="C128">
        <v>120</v>
      </c>
      <c r="D128" t="s">
        <v>41</v>
      </c>
      <c r="E128">
        <v>1045</v>
      </c>
      <c r="F128" t="s">
        <v>431</v>
      </c>
      <c r="G128">
        <v>8</v>
      </c>
      <c r="H128">
        <v>0</v>
      </c>
      <c r="I128">
        <v>2</v>
      </c>
      <c r="J128">
        <v>1</v>
      </c>
      <c r="K128">
        <v>1</v>
      </c>
      <c r="L128">
        <v>1</v>
      </c>
      <c r="M128">
        <v>3</v>
      </c>
      <c r="N128" t="s">
        <v>325</v>
      </c>
      <c r="O128" t="s">
        <v>326</v>
      </c>
    </row>
    <row r="129" spans="1:15" x14ac:dyDescent="0.3">
      <c r="A129">
        <v>439</v>
      </c>
      <c r="B129" t="s">
        <v>323</v>
      </c>
      <c r="C129">
        <v>120</v>
      </c>
      <c r="D129" t="s">
        <v>41</v>
      </c>
      <c r="E129">
        <v>1046</v>
      </c>
      <c r="F129" t="s">
        <v>432</v>
      </c>
      <c r="G129">
        <v>5</v>
      </c>
      <c r="H129">
        <v>0</v>
      </c>
      <c r="I129">
        <v>3</v>
      </c>
      <c r="J129">
        <v>2</v>
      </c>
      <c r="K129">
        <v>0</v>
      </c>
      <c r="L129">
        <v>0</v>
      </c>
      <c r="M129">
        <v>0</v>
      </c>
      <c r="N129" t="s">
        <v>333</v>
      </c>
      <c r="O129" t="s">
        <v>348</v>
      </c>
    </row>
    <row r="130" spans="1:15" x14ac:dyDescent="0.3">
      <c r="A130">
        <v>439</v>
      </c>
      <c r="B130" t="s">
        <v>323</v>
      </c>
      <c r="C130">
        <v>120</v>
      </c>
      <c r="D130" t="s">
        <v>41</v>
      </c>
      <c r="E130">
        <v>1047</v>
      </c>
      <c r="F130" t="s">
        <v>433</v>
      </c>
      <c r="G130">
        <v>11</v>
      </c>
      <c r="H130">
        <v>0</v>
      </c>
      <c r="I130">
        <v>3</v>
      </c>
      <c r="J130">
        <v>5</v>
      </c>
      <c r="K130">
        <v>3</v>
      </c>
      <c r="L130">
        <v>0</v>
      </c>
      <c r="M130">
        <v>0</v>
      </c>
      <c r="N130" t="s">
        <v>410</v>
      </c>
      <c r="O130" t="s">
        <v>484</v>
      </c>
    </row>
    <row r="131" spans="1:15" x14ac:dyDescent="0.3">
      <c r="A131">
        <v>439</v>
      </c>
      <c r="B131" t="s">
        <v>323</v>
      </c>
      <c r="C131">
        <v>120</v>
      </c>
      <c r="D131" t="s">
        <v>41</v>
      </c>
      <c r="E131">
        <v>1048</v>
      </c>
      <c r="F131" t="s">
        <v>434</v>
      </c>
      <c r="G131">
        <v>16</v>
      </c>
      <c r="H131">
        <v>1</v>
      </c>
      <c r="I131">
        <v>6</v>
      </c>
      <c r="J131">
        <v>7</v>
      </c>
      <c r="K131">
        <v>1</v>
      </c>
      <c r="L131">
        <v>0</v>
      </c>
      <c r="M131">
        <v>1</v>
      </c>
      <c r="N131" t="s">
        <v>333</v>
      </c>
      <c r="O131" t="s">
        <v>484</v>
      </c>
    </row>
    <row r="132" spans="1:15" x14ac:dyDescent="0.3">
      <c r="A132">
        <v>439</v>
      </c>
      <c r="B132" t="s">
        <v>323</v>
      </c>
      <c r="C132">
        <v>120</v>
      </c>
      <c r="D132" t="s">
        <v>41</v>
      </c>
      <c r="E132">
        <v>1049</v>
      </c>
      <c r="F132" t="s">
        <v>435</v>
      </c>
      <c r="G132">
        <v>9</v>
      </c>
      <c r="H132">
        <v>0</v>
      </c>
      <c r="I132">
        <v>5</v>
      </c>
      <c r="J132">
        <v>2</v>
      </c>
      <c r="K132">
        <v>0</v>
      </c>
      <c r="L132">
        <v>2</v>
      </c>
      <c r="M132">
        <v>0</v>
      </c>
      <c r="N132" t="s">
        <v>410</v>
      </c>
      <c r="O132" t="s">
        <v>343</v>
      </c>
    </row>
    <row r="133" spans="1:15" x14ac:dyDescent="0.3">
      <c r="A133">
        <v>439</v>
      </c>
      <c r="B133" t="s">
        <v>323</v>
      </c>
      <c r="C133">
        <v>120</v>
      </c>
      <c r="D133" t="s">
        <v>41</v>
      </c>
      <c r="E133">
        <v>1050</v>
      </c>
      <c r="F133" t="s">
        <v>436</v>
      </c>
      <c r="G133">
        <v>13</v>
      </c>
      <c r="H133">
        <v>0</v>
      </c>
      <c r="I133">
        <v>1</v>
      </c>
      <c r="J133">
        <v>3</v>
      </c>
      <c r="K133">
        <v>4</v>
      </c>
      <c r="L133">
        <v>5</v>
      </c>
      <c r="M133">
        <v>0</v>
      </c>
      <c r="N133" t="s">
        <v>325</v>
      </c>
      <c r="O133" t="s">
        <v>326</v>
      </c>
    </row>
    <row r="134" spans="1:15" x14ac:dyDescent="0.3">
      <c r="A134">
        <v>439</v>
      </c>
      <c r="B134" t="s">
        <v>323</v>
      </c>
      <c r="C134">
        <v>120</v>
      </c>
      <c r="D134" t="s">
        <v>41</v>
      </c>
      <c r="E134">
        <v>1051</v>
      </c>
      <c r="F134" t="s">
        <v>437</v>
      </c>
      <c r="G134">
        <v>9</v>
      </c>
      <c r="H134">
        <v>0</v>
      </c>
      <c r="I134">
        <v>2</v>
      </c>
      <c r="J134">
        <v>3</v>
      </c>
      <c r="K134">
        <v>2</v>
      </c>
      <c r="L134">
        <v>1</v>
      </c>
      <c r="M134">
        <v>1</v>
      </c>
      <c r="N134" t="s">
        <v>333</v>
      </c>
      <c r="O134" t="s">
        <v>326</v>
      </c>
    </row>
    <row r="135" spans="1:15" x14ac:dyDescent="0.3">
      <c r="A135">
        <v>439</v>
      </c>
      <c r="B135" t="s">
        <v>323</v>
      </c>
      <c r="C135">
        <v>120</v>
      </c>
      <c r="D135" t="s">
        <v>41</v>
      </c>
      <c r="E135">
        <v>1052</v>
      </c>
      <c r="F135" t="s">
        <v>438</v>
      </c>
      <c r="G135">
        <v>8</v>
      </c>
      <c r="H135">
        <v>2</v>
      </c>
      <c r="I135">
        <v>4</v>
      </c>
      <c r="J135">
        <v>1</v>
      </c>
      <c r="K135">
        <v>1</v>
      </c>
      <c r="L135">
        <v>0</v>
      </c>
      <c r="M135">
        <v>0</v>
      </c>
      <c r="N135" t="s">
        <v>325</v>
      </c>
      <c r="O135" t="s">
        <v>484</v>
      </c>
    </row>
    <row r="136" spans="1:15" x14ac:dyDescent="0.3">
      <c r="A136">
        <v>439</v>
      </c>
      <c r="B136" t="s">
        <v>323</v>
      </c>
      <c r="C136">
        <v>120</v>
      </c>
      <c r="D136" t="s">
        <v>41</v>
      </c>
      <c r="E136">
        <v>1053</v>
      </c>
      <c r="F136" t="s">
        <v>439</v>
      </c>
      <c r="G136">
        <v>12</v>
      </c>
      <c r="H136">
        <v>0</v>
      </c>
      <c r="I136">
        <v>4</v>
      </c>
      <c r="J136">
        <v>2</v>
      </c>
      <c r="K136">
        <v>1</v>
      </c>
      <c r="L136">
        <v>3</v>
      </c>
      <c r="M136">
        <v>2</v>
      </c>
      <c r="N136" t="s">
        <v>333</v>
      </c>
      <c r="O136" t="s">
        <v>326</v>
      </c>
    </row>
    <row r="137" spans="1:15" x14ac:dyDescent="0.3">
      <c r="A137">
        <v>439</v>
      </c>
      <c r="B137" t="s">
        <v>323</v>
      </c>
      <c r="C137">
        <v>120</v>
      </c>
      <c r="D137" t="s">
        <v>41</v>
      </c>
      <c r="E137">
        <v>1054</v>
      </c>
      <c r="F137" t="s">
        <v>398</v>
      </c>
      <c r="G137">
        <v>8</v>
      </c>
      <c r="H137">
        <v>0</v>
      </c>
      <c r="I137">
        <v>4</v>
      </c>
      <c r="J137">
        <v>2</v>
      </c>
      <c r="K137">
        <v>2</v>
      </c>
      <c r="L137">
        <v>0</v>
      </c>
      <c r="M137">
        <v>0</v>
      </c>
      <c r="N137" t="s">
        <v>333</v>
      </c>
      <c r="O137" t="s">
        <v>348</v>
      </c>
    </row>
    <row r="138" spans="1:15" x14ac:dyDescent="0.3">
      <c r="A138">
        <v>439</v>
      </c>
      <c r="B138" t="s">
        <v>323</v>
      </c>
      <c r="C138">
        <v>120</v>
      </c>
      <c r="D138" t="s">
        <v>41</v>
      </c>
      <c r="E138">
        <v>1055</v>
      </c>
      <c r="F138" t="s">
        <v>440</v>
      </c>
      <c r="G138">
        <v>14</v>
      </c>
      <c r="H138">
        <v>6</v>
      </c>
      <c r="I138">
        <v>3</v>
      </c>
      <c r="J138">
        <v>1</v>
      </c>
      <c r="K138">
        <v>4</v>
      </c>
      <c r="L138">
        <v>0</v>
      </c>
      <c r="M138">
        <v>0</v>
      </c>
      <c r="N138" t="s">
        <v>325</v>
      </c>
      <c r="O138" t="s">
        <v>348</v>
      </c>
    </row>
    <row r="139" spans="1:15" x14ac:dyDescent="0.3">
      <c r="A139">
        <v>439</v>
      </c>
      <c r="B139" t="s">
        <v>323</v>
      </c>
      <c r="C139">
        <v>120</v>
      </c>
      <c r="D139" t="s">
        <v>41</v>
      </c>
      <c r="E139">
        <v>1056</v>
      </c>
      <c r="F139" t="s">
        <v>441</v>
      </c>
      <c r="G139">
        <v>6</v>
      </c>
      <c r="H139">
        <v>0</v>
      </c>
      <c r="I139">
        <v>0</v>
      </c>
      <c r="J139">
        <v>2</v>
      </c>
      <c r="K139">
        <v>0</v>
      </c>
      <c r="L139">
        <v>4</v>
      </c>
      <c r="M139">
        <v>0</v>
      </c>
      <c r="N139" t="s">
        <v>325</v>
      </c>
      <c r="O139" t="s">
        <v>326</v>
      </c>
    </row>
    <row r="140" spans="1:15" x14ac:dyDescent="0.3">
      <c r="A140">
        <v>439</v>
      </c>
      <c r="B140" t="s">
        <v>323</v>
      </c>
      <c r="C140">
        <v>120</v>
      </c>
      <c r="D140" t="s">
        <v>41</v>
      </c>
      <c r="E140">
        <v>1057</v>
      </c>
      <c r="F140" t="s">
        <v>442</v>
      </c>
      <c r="G140">
        <v>14</v>
      </c>
      <c r="H140">
        <v>1</v>
      </c>
      <c r="I140">
        <v>4</v>
      </c>
      <c r="J140">
        <v>5</v>
      </c>
      <c r="K140">
        <v>2</v>
      </c>
      <c r="L140">
        <v>2</v>
      </c>
      <c r="M140">
        <v>0</v>
      </c>
      <c r="N140" t="s">
        <v>325</v>
      </c>
      <c r="O140" t="s">
        <v>326</v>
      </c>
    </row>
    <row r="141" spans="1:15" x14ac:dyDescent="0.3">
      <c r="A141">
        <v>439</v>
      </c>
      <c r="B141" t="s">
        <v>323</v>
      </c>
      <c r="C141">
        <v>120</v>
      </c>
      <c r="D141" t="s">
        <v>41</v>
      </c>
      <c r="E141">
        <v>1059</v>
      </c>
      <c r="F141" t="s">
        <v>443</v>
      </c>
      <c r="G141">
        <v>8</v>
      </c>
      <c r="H141">
        <v>3</v>
      </c>
      <c r="I141">
        <v>0</v>
      </c>
      <c r="J141">
        <v>1</v>
      </c>
      <c r="K141">
        <v>1</v>
      </c>
      <c r="L141">
        <v>3</v>
      </c>
      <c r="M141">
        <v>0</v>
      </c>
      <c r="N141" t="s">
        <v>325</v>
      </c>
      <c r="O141" t="s">
        <v>326</v>
      </c>
    </row>
    <row r="142" spans="1:15" x14ac:dyDescent="0.3">
      <c r="A142">
        <v>439</v>
      </c>
      <c r="B142" t="s">
        <v>323</v>
      </c>
      <c r="C142">
        <v>120</v>
      </c>
      <c r="D142" t="s">
        <v>41</v>
      </c>
      <c r="E142">
        <v>1060</v>
      </c>
      <c r="F142" t="s">
        <v>444</v>
      </c>
      <c r="G142">
        <v>9</v>
      </c>
      <c r="H142">
        <v>2</v>
      </c>
      <c r="I142">
        <v>0</v>
      </c>
      <c r="J142">
        <v>4</v>
      </c>
      <c r="K142">
        <v>1</v>
      </c>
      <c r="L142">
        <v>1</v>
      </c>
      <c r="M142">
        <v>1</v>
      </c>
      <c r="N142" t="s">
        <v>333</v>
      </c>
      <c r="O142" t="s">
        <v>326</v>
      </c>
    </row>
    <row r="143" spans="1:15" x14ac:dyDescent="0.3">
      <c r="A143">
        <v>439</v>
      </c>
      <c r="B143" t="s">
        <v>323</v>
      </c>
      <c r="C143">
        <v>120</v>
      </c>
      <c r="D143" t="s">
        <v>41</v>
      </c>
      <c r="E143">
        <v>1061</v>
      </c>
      <c r="F143" t="s">
        <v>445</v>
      </c>
      <c r="G143">
        <v>10</v>
      </c>
      <c r="H143">
        <v>0</v>
      </c>
      <c r="I143">
        <v>3</v>
      </c>
      <c r="J143">
        <v>5</v>
      </c>
      <c r="K143">
        <v>1</v>
      </c>
      <c r="L143">
        <v>0</v>
      </c>
      <c r="M143">
        <v>1</v>
      </c>
      <c r="N143" t="s">
        <v>410</v>
      </c>
      <c r="O143" t="s">
        <v>343</v>
      </c>
    </row>
    <row r="144" spans="1:15" x14ac:dyDescent="0.3">
      <c r="A144">
        <v>439</v>
      </c>
      <c r="B144" t="s">
        <v>323</v>
      </c>
      <c r="C144">
        <v>120</v>
      </c>
      <c r="D144" t="s">
        <v>41</v>
      </c>
      <c r="E144">
        <v>1062</v>
      </c>
      <c r="F144" t="s">
        <v>446</v>
      </c>
      <c r="G144">
        <v>4</v>
      </c>
      <c r="H144">
        <v>0</v>
      </c>
      <c r="I144">
        <v>4</v>
      </c>
      <c r="J144">
        <v>0</v>
      </c>
      <c r="K144">
        <v>0</v>
      </c>
      <c r="L144">
        <v>0</v>
      </c>
      <c r="M144">
        <v>0</v>
      </c>
      <c r="N144" t="s">
        <v>333</v>
      </c>
      <c r="O144" t="s">
        <v>329</v>
      </c>
    </row>
    <row r="145" spans="1:15" x14ac:dyDescent="0.3">
      <c r="A145">
        <v>439</v>
      </c>
      <c r="B145" t="s">
        <v>323</v>
      </c>
      <c r="C145">
        <v>120</v>
      </c>
      <c r="D145" t="s">
        <v>41</v>
      </c>
      <c r="E145">
        <v>1063</v>
      </c>
      <c r="F145" t="s">
        <v>447</v>
      </c>
      <c r="G145">
        <v>7</v>
      </c>
      <c r="H145">
        <v>0</v>
      </c>
      <c r="I145">
        <v>0</v>
      </c>
      <c r="J145">
        <v>2</v>
      </c>
      <c r="K145">
        <v>1</v>
      </c>
      <c r="L145">
        <v>4</v>
      </c>
      <c r="M145">
        <v>0</v>
      </c>
      <c r="N145" t="s">
        <v>325</v>
      </c>
      <c r="O145" t="s">
        <v>326</v>
      </c>
    </row>
    <row r="146" spans="1:15" x14ac:dyDescent="0.3">
      <c r="A146">
        <v>439</v>
      </c>
      <c r="B146" t="s">
        <v>323</v>
      </c>
      <c r="C146">
        <v>120</v>
      </c>
      <c r="D146" t="s">
        <v>41</v>
      </c>
      <c r="E146">
        <v>1064</v>
      </c>
      <c r="F146" t="s">
        <v>448</v>
      </c>
      <c r="G146">
        <v>10</v>
      </c>
      <c r="H146">
        <v>1</v>
      </c>
      <c r="I146">
        <v>3</v>
      </c>
      <c r="J146">
        <v>3</v>
      </c>
      <c r="K146">
        <v>2</v>
      </c>
      <c r="L146">
        <v>0</v>
      </c>
      <c r="M146">
        <v>1</v>
      </c>
      <c r="N146" t="s">
        <v>410</v>
      </c>
      <c r="O146" t="s">
        <v>343</v>
      </c>
    </row>
    <row r="147" spans="1:15" x14ac:dyDescent="0.3">
      <c r="A147">
        <v>439</v>
      </c>
      <c r="B147" t="s">
        <v>323</v>
      </c>
      <c r="C147">
        <v>120</v>
      </c>
      <c r="D147" t="s">
        <v>41</v>
      </c>
      <c r="E147">
        <v>1065</v>
      </c>
      <c r="F147" t="s">
        <v>449</v>
      </c>
      <c r="G147">
        <v>12</v>
      </c>
      <c r="H147">
        <v>0</v>
      </c>
      <c r="I147">
        <v>1</v>
      </c>
      <c r="J147">
        <v>4</v>
      </c>
      <c r="K147">
        <v>3</v>
      </c>
      <c r="L147">
        <v>4</v>
      </c>
      <c r="M147">
        <v>0</v>
      </c>
      <c r="N147" t="s">
        <v>325</v>
      </c>
      <c r="O147" t="s">
        <v>326</v>
      </c>
    </row>
    <row r="148" spans="1:15" x14ac:dyDescent="0.3">
      <c r="A148">
        <v>439</v>
      </c>
      <c r="B148" t="s">
        <v>323</v>
      </c>
      <c r="C148">
        <v>120</v>
      </c>
      <c r="D148" t="s">
        <v>41</v>
      </c>
      <c r="E148">
        <v>1066</v>
      </c>
      <c r="F148" t="s">
        <v>450</v>
      </c>
      <c r="G148">
        <v>7</v>
      </c>
      <c r="H148">
        <v>1</v>
      </c>
      <c r="I148">
        <v>3</v>
      </c>
      <c r="J148">
        <v>1</v>
      </c>
      <c r="K148">
        <v>2</v>
      </c>
      <c r="L148">
        <v>0</v>
      </c>
      <c r="M148">
        <v>0</v>
      </c>
      <c r="N148" t="s">
        <v>333</v>
      </c>
      <c r="O148" t="s">
        <v>484</v>
      </c>
    </row>
    <row r="149" spans="1:15" x14ac:dyDescent="0.3">
      <c r="A149">
        <v>439</v>
      </c>
      <c r="B149" t="s">
        <v>323</v>
      </c>
      <c r="C149">
        <v>120</v>
      </c>
      <c r="D149" t="s">
        <v>41</v>
      </c>
      <c r="E149">
        <v>1067</v>
      </c>
      <c r="F149" t="s">
        <v>451</v>
      </c>
      <c r="G149">
        <v>3</v>
      </c>
      <c r="H149">
        <v>0</v>
      </c>
      <c r="I149">
        <v>0</v>
      </c>
      <c r="J149">
        <v>0</v>
      </c>
      <c r="K149">
        <v>1</v>
      </c>
      <c r="L149">
        <v>2</v>
      </c>
      <c r="M149">
        <v>0</v>
      </c>
      <c r="N149" t="s">
        <v>325</v>
      </c>
      <c r="O149" t="s">
        <v>326</v>
      </c>
    </row>
    <row r="150" spans="1:15" x14ac:dyDescent="0.3">
      <c r="A150">
        <v>439</v>
      </c>
      <c r="B150" t="s">
        <v>323</v>
      </c>
      <c r="C150">
        <v>120</v>
      </c>
      <c r="D150" t="s">
        <v>41</v>
      </c>
      <c r="E150">
        <v>1068</v>
      </c>
      <c r="F150" t="s">
        <v>452</v>
      </c>
      <c r="G150">
        <v>3</v>
      </c>
      <c r="H150">
        <v>0</v>
      </c>
      <c r="I150">
        <v>0</v>
      </c>
      <c r="J150">
        <v>1</v>
      </c>
      <c r="K150">
        <v>0</v>
      </c>
      <c r="L150">
        <v>1</v>
      </c>
      <c r="M150">
        <v>1</v>
      </c>
      <c r="N150" t="s">
        <v>333</v>
      </c>
      <c r="O150" t="s">
        <v>348</v>
      </c>
    </row>
    <row r="151" spans="1:15" x14ac:dyDescent="0.3">
      <c r="A151">
        <v>439</v>
      </c>
      <c r="B151" t="s">
        <v>323</v>
      </c>
      <c r="C151">
        <v>120</v>
      </c>
      <c r="D151" t="s">
        <v>41</v>
      </c>
      <c r="E151">
        <v>1069</v>
      </c>
      <c r="F151" t="s">
        <v>453</v>
      </c>
      <c r="G151">
        <v>6</v>
      </c>
      <c r="H151">
        <v>0</v>
      </c>
      <c r="I151">
        <v>0</v>
      </c>
      <c r="J151">
        <v>3</v>
      </c>
      <c r="K151">
        <v>3</v>
      </c>
      <c r="L151">
        <v>0</v>
      </c>
      <c r="M151">
        <v>0</v>
      </c>
      <c r="N151" t="s">
        <v>325</v>
      </c>
      <c r="O151" t="s">
        <v>348</v>
      </c>
    </row>
    <row r="152" spans="1:15" x14ac:dyDescent="0.3">
      <c r="A152">
        <v>439</v>
      </c>
      <c r="B152" t="s">
        <v>323</v>
      </c>
      <c r="C152">
        <v>120</v>
      </c>
      <c r="D152" t="s">
        <v>41</v>
      </c>
      <c r="E152">
        <v>1070</v>
      </c>
      <c r="F152" t="s">
        <v>381</v>
      </c>
      <c r="G152">
        <v>8</v>
      </c>
      <c r="H152">
        <v>0</v>
      </c>
      <c r="I152">
        <v>0</v>
      </c>
      <c r="J152">
        <v>2</v>
      </c>
      <c r="K152">
        <v>2</v>
      </c>
      <c r="L152">
        <v>4</v>
      </c>
      <c r="M152">
        <v>0</v>
      </c>
      <c r="N152" t="s">
        <v>333</v>
      </c>
      <c r="O152" t="s">
        <v>326</v>
      </c>
    </row>
    <row r="153" spans="1:15" x14ac:dyDescent="0.3">
      <c r="A153">
        <v>439</v>
      </c>
      <c r="B153" t="s">
        <v>323</v>
      </c>
      <c r="C153">
        <v>120</v>
      </c>
      <c r="D153" t="s">
        <v>41</v>
      </c>
      <c r="E153">
        <v>1071</v>
      </c>
      <c r="F153" t="s">
        <v>454</v>
      </c>
      <c r="G153">
        <v>11</v>
      </c>
      <c r="H153">
        <v>0</v>
      </c>
      <c r="I153">
        <v>5</v>
      </c>
      <c r="J153">
        <v>3</v>
      </c>
      <c r="K153">
        <v>0</v>
      </c>
      <c r="L153">
        <v>2</v>
      </c>
      <c r="M153">
        <v>1</v>
      </c>
      <c r="N153" t="s">
        <v>333</v>
      </c>
      <c r="O153" t="s">
        <v>326</v>
      </c>
    </row>
    <row r="154" spans="1:15" x14ac:dyDescent="0.3">
      <c r="A154">
        <v>439</v>
      </c>
      <c r="B154" t="s">
        <v>323</v>
      </c>
      <c r="C154">
        <v>120</v>
      </c>
      <c r="D154" t="s">
        <v>41</v>
      </c>
      <c r="E154">
        <v>1072</v>
      </c>
      <c r="F154" t="s">
        <v>455</v>
      </c>
      <c r="G154">
        <v>12</v>
      </c>
      <c r="H154">
        <v>4</v>
      </c>
      <c r="I154">
        <v>0</v>
      </c>
      <c r="J154">
        <v>3</v>
      </c>
      <c r="K154">
        <v>2</v>
      </c>
      <c r="L154">
        <v>3</v>
      </c>
      <c r="M154">
        <v>0</v>
      </c>
      <c r="N154" t="s">
        <v>333</v>
      </c>
      <c r="O154" t="s">
        <v>326</v>
      </c>
    </row>
    <row r="155" spans="1:15" x14ac:dyDescent="0.3">
      <c r="A155">
        <v>439</v>
      </c>
      <c r="B155" t="s">
        <v>323</v>
      </c>
      <c r="C155">
        <v>120</v>
      </c>
      <c r="D155" t="s">
        <v>41</v>
      </c>
      <c r="E155">
        <v>1073</v>
      </c>
      <c r="F155" t="s">
        <v>456</v>
      </c>
      <c r="G155">
        <v>4</v>
      </c>
      <c r="H155">
        <v>0</v>
      </c>
      <c r="I155">
        <v>0</v>
      </c>
      <c r="J155">
        <v>4</v>
      </c>
      <c r="K155">
        <v>0</v>
      </c>
      <c r="L155">
        <v>0</v>
      </c>
      <c r="M155">
        <v>0</v>
      </c>
      <c r="N155" t="s">
        <v>325</v>
      </c>
      <c r="O155" t="s">
        <v>326</v>
      </c>
    </row>
    <row r="156" spans="1:15" x14ac:dyDescent="0.3">
      <c r="A156">
        <v>439</v>
      </c>
      <c r="B156" t="s">
        <v>323</v>
      </c>
      <c r="C156">
        <v>120</v>
      </c>
      <c r="D156" t="s">
        <v>41</v>
      </c>
      <c r="E156">
        <v>1074</v>
      </c>
      <c r="F156" t="s">
        <v>457</v>
      </c>
      <c r="G156">
        <v>6</v>
      </c>
      <c r="H156">
        <v>0</v>
      </c>
      <c r="I156">
        <v>1</v>
      </c>
      <c r="J156">
        <v>3</v>
      </c>
      <c r="K156">
        <v>1</v>
      </c>
      <c r="L156">
        <v>1</v>
      </c>
      <c r="M156">
        <v>0</v>
      </c>
      <c r="N156" t="s">
        <v>333</v>
      </c>
      <c r="O156" t="s">
        <v>326</v>
      </c>
    </row>
    <row r="157" spans="1:15" x14ac:dyDescent="0.3">
      <c r="A157">
        <v>439</v>
      </c>
      <c r="B157" t="s">
        <v>323</v>
      </c>
      <c r="C157">
        <v>120</v>
      </c>
      <c r="D157" t="s">
        <v>41</v>
      </c>
      <c r="E157">
        <v>1075</v>
      </c>
      <c r="F157" t="s">
        <v>458</v>
      </c>
      <c r="G157">
        <v>10</v>
      </c>
      <c r="H157">
        <v>0</v>
      </c>
      <c r="I157">
        <v>1</v>
      </c>
      <c r="J157">
        <v>4</v>
      </c>
      <c r="K157">
        <v>3</v>
      </c>
      <c r="L157">
        <v>2</v>
      </c>
      <c r="M157">
        <v>0</v>
      </c>
      <c r="N157" t="s">
        <v>325</v>
      </c>
      <c r="O157" t="s">
        <v>326</v>
      </c>
    </row>
    <row r="158" spans="1:15" x14ac:dyDescent="0.3">
      <c r="A158">
        <v>439</v>
      </c>
      <c r="B158" t="s">
        <v>323</v>
      </c>
      <c r="C158">
        <v>120</v>
      </c>
      <c r="D158" t="s">
        <v>41</v>
      </c>
      <c r="E158">
        <v>1076</v>
      </c>
      <c r="F158" t="s">
        <v>459</v>
      </c>
      <c r="G158">
        <v>0</v>
      </c>
      <c r="H158">
        <v>0</v>
      </c>
      <c r="I158">
        <v>0</v>
      </c>
      <c r="J158">
        <v>0</v>
      </c>
      <c r="K158">
        <v>0</v>
      </c>
      <c r="L158">
        <v>0</v>
      </c>
      <c r="M158">
        <v>0</v>
      </c>
      <c r="N158" t="s">
        <v>410</v>
      </c>
      <c r="O158" t="s">
        <v>336</v>
      </c>
    </row>
    <row r="159" spans="1:15" x14ac:dyDescent="0.3">
      <c r="A159">
        <v>439</v>
      </c>
      <c r="B159" t="s">
        <v>323</v>
      </c>
      <c r="C159">
        <v>120</v>
      </c>
      <c r="D159" t="s">
        <v>41</v>
      </c>
      <c r="E159">
        <v>1077</v>
      </c>
      <c r="F159" t="s">
        <v>460</v>
      </c>
      <c r="G159">
        <v>9</v>
      </c>
      <c r="H159">
        <v>0</v>
      </c>
      <c r="I159">
        <v>2</v>
      </c>
      <c r="J159">
        <v>1</v>
      </c>
      <c r="K159">
        <v>5</v>
      </c>
      <c r="L159">
        <v>1</v>
      </c>
      <c r="M159">
        <v>0</v>
      </c>
      <c r="N159" t="s">
        <v>325</v>
      </c>
      <c r="O159" t="s">
        <v>348</v>
      </c>
    </row>
    <row r="160" spans="1:15" x14ac:dyDescent="0.3">
      <c r="A160">
        <v>439</v>
      </c>
      <c r="B160" t="s">
        <v>323</v>
      </c>
      <c r="C160">
        <v>120</v>
      </c>
      <c r="D160" t="s">
        <v>41</v>
      </c>
      <c r="E160">
        <v>1079</v>
      </c>
      <c r="F160" t="s">
        <v>461</v>
      </c>
      <c r="G160">
        <v>3</v>
      </c>
      <c r="H160">
        <v>0</v>
      </c>
      <c r="I160">
        <v>0</v>
      </c>
      <c r="J160">
        <v>0</v>
      </c>
      <c r="K160">
        <v>0</v>
      </c>
      <c r="L160">
        <v>3</v>
      </c>
      <c r="M160">
        <v>0</v>
      </c>
      <c r="N160" t="s">
        <v>333</v>
      </c>
      <c r="O160" t="s">
        <v>326</v>
      </c>
    </row>
    <row r="161" spans="1:15" x14ac:dyDescent="0.3">
      <c r="A161">
        <v>439</v>
      </c>
      <c r="B161" t="s">
        <v>323</v>
      </c>
      <c r="C161">
        <v>120</v>
      </c>
      <c r="D161" t="s">
        <v>41</v>
      </c>
      <c r="E161">
        <v>1657</v>
      </c>
      <c r="F161" t="s">
        <v>462</v>
      </c>
      <c r="G161">
        <v>6</v>
      </c>
      <c r="H161">
        <v>0</v>
      </c>
      <c r="I161">
        <v>4</v>
      </c>
      <c r="J161">
        <v>0</v>
      </c>
      <c r="K161">
        <v>1</v>
      </c>
      <c r="L161">
        <v>0</v>
      </c>
      <c r="M161">
        <v>1</v>
      </c>
      <c r="N161" t="s">
        <v>333</v>
      </c>
      <c r="O161" t="s">
        <v>326</v>
      </c>
    </row>
    <row r="162" spans="1:15" x14ac:dyDescent="0.3">
      <c r="A162">
        <v>439</v>
      </c>
      <c r="B162" t="s">
        <v>323</v>
      </c>
      <c r="C162">
        <v>120</v>
      </c>
      <c r="D162" t="s">
        <v>41</v>
      </c>
      <c r="E162">
        <v>1658</v>
      </c>
      <c r="F162" t="s">
        <v>463</v>
      </c>
      <c r="G162">
        <v>8</v>
      </c>
      <c r="H162">
        <v>0</v>
      </c>
      <c r="I162">
        <v>0</v>
      </c>
      <c r="J162">
        <v>0</v>
      </c>
      <c r="K162">
        <v>6</v>
      </c>
      <c r="L162">
        <v>2</v>
      </c>
      <c r="M162">
        <v>0</v>
      </c>
      <c r="N162" t="s">
        <v>333</v>
      </c>
      <c r="O162" t="s">
        <v>326</v>
      </c>
    </row>
    <row r="163" spans="1:15" x14ac:dyDescent="0.3">
      <c r="A163">
        <v>439</v>
      </c>
      <c r="B163" t="s">
        <v>323</v>
      </c>
      <c r="C163">
        <v>120</v>
      </c>
      <c r="D163" t="s">
        <v>41</v>
      </c>
      <c r="E163">
        <v>1659</v>
      </c>
      <c r="F163" t="s">
        <v>464</v>
      </c>
      <c r="G163">
        <v>7</v>
      </c>
      <c r="H163">
        <v>0</v>
      </c>
      <c r="I163">
        <v>0</v>
      </c>
      <c r="J163">
        <v>0</v>
      </c>
      <c r="K163">
        <v>3</v>
      </c>
      <c r="L163">
        <v>4</v>
      </c>
      <c r="M163">
        <v>0</v>
      </c>
      <c r="N163" t="s">
        <v>333</v>
      </c>
      <c r="O163" t="s">
        <v>326</v>
      </c>
    </row>
    <row r="164" spans="1:15" x14ac:dyDescent="0.3">
      <c r="A164">
        <v>439</v>
      </c>
      <c r="B164" t="s">
        <v>323</v>
      </c>
      <c r="C164">
        <v>120</v>
      </c>
      <c r="D164" t="s">
        <v>41</v>
      </c>
      <c r="E164">
        <v>1681</v>
      </c>
      <c r="F164" t="s">
        <v>1228</v>
      </c>
      <c r="G164">
        <v>7</v>
      </c>
      <c r="H164">
        <v>5</v>
      </c>
      <c r="I164">
        <v>2</v>
      </c>
      <c r="J164">
        <v>0</v>
      </c>
      <c r="K164">
        <v>0</v>
      </c>
      <c r="L164">
        <v>0</v>
      </c>
      <c r="M164">
        <v>0</v>
      </c>
      <c r="N164" t="s">
        <v>333</v>
      </c>
      <c r="O164" t="s">
        <v>336</v>
      </c>
    </row>
    <row r="165" spans="1:15" x14ac:dyDescent="0.3">
      <c r="A165">
        <v>439</v>
      </c>
      <c r="B165" t="s">
        <v>323</v>
      </c>
      <c r="C165">
        <v>120</v>
      </c>
      <c r="D165" t="s">
        <v>41</v>
      </c>
      <c r="E165">
        <v>1682</v>
      </c>
      <c r="F165" t="s">
        <v>1229</v>
      </c>
      <c r="G165">
        <v>2</v>
      </c>
      <c r="H165">
        <v>0</v>
      </c>
      <c r="I165">
        <v>0</v>
      </c>
      <c r="J165">
        <v>0</v>
      </c>
      <c r="K165">
        <v>0</v>
      </c>
      <c r="L165">
        <v>0</v>
      </c>
      <c r="M165">
        <v>2</v>
      </c>
      <c r="N165" t="s">
        <v>333</v>
      </c>
      <c r="O165" t="s">
        <v>329</v>
      </c>
    </row>
    <row r="166" spans="1:15" x14ac:dyDescent="0.3">
      <c r="A166">
        <v>439</v>
      </c>
      <c r="B166" t="s">
        <v>323</v>
      </c>
      <c r="C166">
        <v>120</v>
      </c>
      <c r="D166" t="s">
        <v>41</v>
      </c>
      <c r="E166">
        <v>1683</v>
      </c>
      <c r="F166" t="s">
        <v>1230</v>
      </c>
      <c r="G166">
        <v>2</v>
      </c>
      <c r="H166">
        <v>0</v>
      </c>
      <c r="I166">
        <v>0</v>
      </c>
      <c r="J166">
        <v>0</v>
      </c>
      <c r="K166">
        <v>0</v>
      </c>
      <c r="L166">
        <v>0</v>
      </c>
      <c r="M166">
        <v>2</v>
      </c>
      <c r="N166" t="s">
        <v>333</v>
      </c>
      <c r="O166" t="s">
        <v>329</v>
      </c>
    </row>
    <row r="167" spans="1:15" x14ac:dyDescent="0.3">
      <c r="A167">
        <v>439</v>
      </c>
      <c r="B167" t="s">
        <v>323</v>
      </c>
      <c r="C167">
        <v>120</v>
      </c>
      <c r="D167" t="s">
        <v>41</v>
      </c>
      <c r="E167">
        <v>2125</v>
      </c>
      <c r="F167" t="s">
        <v>17991</v>
      </c>
      <c r="G167">
        <v>7</v>
      </c>
      <c r="H167">
        <v>1</v>
      </c>
      <c r="I167">
        <v>2</v>
      </c>
      <c r="J167">
        <v>0</v>
      </c>
      <c r="K167">
        <v>1</v>
      </c>
      <c r="L167">
        <v>2</v>
      </c>
      <c r="M167">
        <v>1</v>
      </c>
      <c r="N167" t="s">
        <v>333</v>
      </c>
      <c r="O167" t="s">
        <v>326</v>
      </c>
    </row>
    <row r="168" spans="1:15" x14ac:dyDescent="0.3">
      <c r="A168">
        <v>439</v>
      </c>
      <c r="B168" t="s">
        <v>323</v>
      </c>
      <c r="C168">
        <v>120</v>
      </c>
      <c r="D168" t="s">
        <v>41</v>
      </c>
      <c r="E168">
        <v>2126</v>
      </c>
      <c r="F168" t="s">
        <v>17992</v>
      </c>
      <c r="G168">
        <v>6</v>
      </c>
      <c r="H168">
        <v>0</v>
      </c>
      <c r="I168">
        <v>5</v>
      </c>
      <c r="J168">
        <v>1</v>
      </c>
      <c r="K168">
        <v>0</v>
      </c>
      <c r="L168">
        <v>0</v>
      </c>
      <c r="M168">
        <v>0</v>
      </c>
      <c r="N168" t="s">
        <v>325</v>
      </c>
      <c r="O168" t="s">
        <v>329</v>
      </c>
    </row>
    <row r="169" spans="1:15" x14ac:dyDescent="0.3">
      <c r="A169">
        <v>439</v>
      </c>
      <c r="B169" t="s">
        <v>323</v>
      </c>
      <c r="C169">
        <v>120</v>
      </c>
      <c r="D169" t="s">
        <v>41</v>
      </c>
      <c r="E169">
        <v>2127</v>
      </c>
      <c r="F169" t="s">
        <v>17993</v>
      </c>
      <c r="G169">
        <v>6</v>
      </c>
      <c r="H169">
        <v>2</v>
      </c>
      <c r="I169">
        <v>3</v>
      </c>
      <c r="J169">
        <v>0</v>
      </c>
      <c r="K169">
        <v>0</v>
      </c>
      <c r="L169">
        <v>0</v>
      </c>
      <c r="M169">
        <v>1</v>
      </c>
      <c r="N169" t="s">
        <v>333</v>
      </c>
      <c r="O169" t="s">
        <v>329</v>
      </c>
    </row>
    <row r="170" spans="1:15" x14ac:dyDescent="0.3">
      <c r="A170">
        <v>440</v>
      </c>
      <c r="B170" t="s">
        <v>323</v>
      </c>
      <c r="C170">
        <v>121</v>
      </c>
      <c r="D170" t="s">
        <v>43</v>
      </c>
      <c r="E170">
        <v>1903</v>
      </c>
      <c r="F170" t="s">
        <v>1232</v>
      </c>
      <c r="G170">
        <v>1</v>
      </c>
      <c r="H170">
        <v>0</v>
      </c>
      <c r="I170">
        <v>0</v>
      </c>
      <c r="J170">
        <v>0</v>
      </c>
      <c r="K170">
        <v>0</v>
      </c>
      <c r="L170">
        <v>1</v>
      </c>
      <c r="M170">
        <v>0</v>
      </c>
      <c r="N170" t="s">
        <v>333</v>
      </c>
      <c r="O170" t="s">
        <v>336</v>
      </c>
    </row>
    <row r="171" spans="1:15" x14ac:dyDescent="0.3">
      <c r="A171">
        <v>440</v>
      </c>
      <c r="B171" t="s">
        <v>323</v>
      </c>
      <c r="C171">
        <v>121</v>
      </c>
      <c r="D171" t="s">
        <v>43</v>
      </c>
      <c r="E171">
        <v>1904</v>
      </c>
      <c r="F171" t="s">
        <v>1233</v>
      </c>
      <c r="G171">
        <v>4</v>
      </c>
      <c r="H171">
        <v>2</v>
      </c>
      <c r="I171">
        <v>1</v>
      </c>
      <c r="J171">
        <v>1</v>
      </c>
      <c r="K171">
        <v>0</v>
      </c>
      <c r="L171">
        <v>0</v>
      </c>
      <c r="M171">
        <v>0</v>
      </c>
      <c r="N171" t="s">
        <v>325</v>
      </c>
      <c r="O171" t="s">
        <v>484</v>
      </c>
    </row>
    <row r="172" spans="1:15" x14ac:dyDescent="0.3">
      <c r="A172">
        <v>440</v>
      </c>
      <c r="B172" t="s">
        <v>323</v>
      </c>
      <c r="C172">
        <v>121</v>
      </c>
      <c r="D172" t="s">
        <v>43</v>
      </c>
      <c r="E172">
        <v>1905</v>
      </c>
      <c r="F172" t="s">
        <v>1234</v>
      </c>
      <c r="G172">
        <v>3</v>
      </c>
      <c r="H172">
        <v>0</v>
      </c>
      <c r="I172">
        <v>0</v>
      </c>
      <c r="J172">
        <v>0</v>
      </c>
      <c r="K172">
        <v>0</v>
      </c>
      <c r="L172">
        <v>3</v>
      </c>
      <c r="M172">
        <v>0</v>
      </c>
      <c r="N172" t="s">
        <v>325</v>
      </c>
      <c r="O172" t="s">
        <v>484</v>
      </c>
    </row>
    <row r="173" spans="1:15" x14ac:dyDescent="0.3">
      <c r="A173">
        <v>440</v>
      </c>
      <c r="B173" t="s">
        <v>323</v>
      </c>
      <c r="C173">
        <v>121</v>
      </c>
      <c r="D173" t="s">
        <v>43</v>
      </c>
      <c r="E173">
        <v>1906</v>
      </c>
      <c r="F173" t="s">
        <v>1063</v>
      </c>
      <c r="G173">
        <v>2</v>
      </c>
      <c r="H173">
        <v>0</v>
      </c>
      <c r="I173">
        <v>0</v>
      </c>
      <c r="J173">
        <v>0</v>
      </c>
      <c r="K173">
        <v>0</v>
      </c>
      <c r="L173">
        <v>2</v>
      </c>
      <c r="M173">
        <v>0</v>
      </c>
      <c r="N173" t="s">
        <v>333</v>
      </c>
      <c r="O173" t="s">
        <v>348</v>
      </c>
    </row>
    <row r="174" spans="1:15" x14ac:dyDescent="0.3">
      <c r="A174">
        <v>440</v>
      </c>
      <c r="B174" t="s">
        <v>323</v>
      </c>
      <c r="C174">
        <v>121</v>
      </c>
      <c r="D174" t="s">
        <v>43</v>
      </c>
      <c r="E174">
        <v>1907</v>
      </c>
      <c r="F174" t="s">
        <v>660</v>
      </c>
      <c r="G174">
        <v>1</v>
      </c>
      <c r="H174">
        <v>0</v>
      </c>
      <c r="I174">
        <v>0</v>
      </c>
      <c r="J174">
        <v>0</v>
      </c>
      <c r="K174">
        <v>0</v>
      </c>
      <c r="L174">
        <v>1</v>
      </c>
      <c r="M174">
        <v>0</v>
      </c>
      <c r="N174" t="s">
        <v>410</v>
      </c>
      <c r="O174" t="s">
        <v>336</v>
      </c>
    </row>
    <row r="175" spans="1:15" x14ac:dyDescent="0.3">
      <c r="A175">
        <v>440</v>
      </c>
      <c r="B175" t="s">
        <v>323</v>
      </c>
      <c r="C175">
        <v>121</v>
      </c>
      <c r="D175" t="s">
        <v>43</v>
      </c>
      <c r="E175">
        <v>1908</v>
      </c>
      <c r="F175" t="s">
        <v>1235</v>
      </c>
      <c r="G175">
        <v>3</v>
      </c>
      <c r="H175">
        <v>0</v>
      </c>
      <c r="I175">
        <v>0</v>
      </c>
      <c r="J175">
        <v>0</v>
      </c>
      <c r="K175">
        <v>0</v>
      </c>
      <c r="L175">
        <v>3</v>
      </c>
      <c r="M175">
        <v>0</v>
      </c>
      <c r="N175" t="s">
        <v>333</v>
      </c>
      <c r="O175" t="s">
        <v>336</v>
      </c>
    </row>
    <row r="176" spans="1:15" x14ac:dyDescent="0.3">
      <c r="A176">
        <v>440</v>
      </c>
      <c r="B176" t="s">
        <v>323</v>
      </c>
      <c r="C176">
        <v>121</v>
      </c>
      <c r="D176" t="s">
        <v>43</v>
      </c>
      <c r="E176">
        <v>1909</v>
      </c>
      <c r="F176" t="s">
        <v>1236</v>
      </c>
      <c r="G176">
        <v>2</v>
      </c>
      <c r="H176">
        <v>0</v>
      </c>
      <c r="I176">
        <v>0</v>
      </c>
      <c r="J176">
        <v>0</v>
      </c>
      <c r="K176">
        <v>0</v>
      </c>
      <c r="L176">
        <v>2</v>
      </c>
      <c r="M176">
        <v>0</v>
      </c>
      <c r="N176" t="s">
        <v>333</v>
      </c>
      <c r="O176" t="s">
        <v>336</v>
      </c>
    </row>
    <row r="177" spans="1:15" x14ac:dyDescent="0.3">
      <c r="A177">
        <v>440</v>
      </c>
      <c r="B177" t="s">
        <v>323</v>
      </c>
      <c r="C177">
        <v>121</v>
      </c>
      <c r="D177" t="s">
        <v>43</v>
      </c>
      <c r="E177">
        <v>1910</v>
      </c>
      <c r="F177" t="s">
        <v>1237</v>
      </c>
      <c r="G177">
        <v>4</v>
      </c>
      <c r="H177">
        <v>0</v>
      </c>
      <c r="I177">
        <v>0</v>
      </c>
      <c r="J177">
        <v>1</v>
      </c>
      <c r="K177">
        <v>1</v>
      </c>
      <c r="L177">
        <v>2</v>
      </c>
      <c r="M177">
        <v>0</v>
      </c>
      <c r="N177" t="s">
        <v>325</v>
      </c>
      <c r="O177" t="s">
        <v>348</v>
      </c>
    </row>
    <row r="178" spans="1:15" x14ac:dyDescent="0.3">
      <c r="A178">
        <v>441</v>
      </c>
      <c r="B178" t="s">
        <v>323</v>
      </c>
      <c r="C178">
        <v>122</v>
      </c>
      <c r="D178" t="s">
        <v>45</v>
      </c>
      <c r="E178">
        <v>746</v>
      </c>
      <c r="F178" t="s">
        <v>495</v>
      </c>
      <c r="G178">
        <v>5</v>
      </c>
      <c r="H178">
        <v>1</v>
      </c>
      <c r="I178">
        <v>2</v>
      </c>
      <c r="J178">
        <v>1</v>
      </c>
      <c r="K178">
        <v>1</v>
      </c>
      <c r="L178">
        <v>0</v>
      </c>
      <c r="M178">
        <v>0</v>
      </c>
      <c r="N178" t="s">
        <v>333</v>
      </c>
      <c r="O178" t="s">
        <v>343</v>
      </c>
    </row>
    <row r="179" spans="1:15" x14ac:dyDescent="0.3">
      <c r="A179">
        <v>441</v>
      </c>
      <c r="B179" t="s">
        <v>323</v>
      </c>
      <c r="C179">
        <v>122</v>
      </c>
      <c r="D179" t="s">
        <v>45</v>
      </c>
      <c r="E179">
        <v>747</v>
      </c>
      <c r="F179" t="s">
        <v>1238</v>
      </c>
      <c r="G179">
        <v>7</v>
      </c>
      <c r="H179">
        <v>1</v>
      </c>
      <c r="I179">
        <v>2</v>
      </c>
      <c r="J179">
        <v>3</v>
      </c>
      <c r="K179">
        <v>0</v>
      </c>
      <c r="L179">
        <v>0</v>
      </c>
      <c r="M179">
        <v>1</v>
      </c>
      <c r="N179" t="s">
        <v>325</v>
      </c>
      <c r="O179" t="s">
        <v>348</v>
      </c>
    </row>
    <row r="180" spans="1:15" x14ac:dyDescent="0.3">
      <c r="A180">
        <v>441</v>
      </c>
      <c r="B180" t="s">
        <v>323</v>
      </c>
      <c r="C180">
        <v>122</v>
      </c>
      <c r="D180" t="s">
        <v>45</v>
      </c>
      <c r="E180">
        <v>748</v>
      </c>
      <c r="F180" t="s">
        <v>1239</v>
      </c>
      <c r="G180">
        <v>7</v>
      </c>
      <c r="H180">
        <v>1</v>
      </c>
      <c r="I180">
        <v>1</v>
      </c>
      <c r="J180">
        <v>3</v>
      </c>
      <c r="K180">
        <v>0</v>
      </c>
      <c r="L180">
        <v>0</v>
      </c>
      <c r="M180">
        <v>2</v>
      </c>
      <c r="N180" t="s">
        <v>333</v>
      </c>
      <c r="O180" t="s">
        <v>348</v>
      </c>
    </row>
    <row r="181" spans="1:15" x14ac:dyDescent="0.3">
      <c r="A181">
        <v>441</v>
      </c>
      <c r="B181" t="s">
        <v>323</v>
      </c>
      <c r="C181">
        <v>122</v>
      </c>
      <c r="D181" t="s">
        <v>45</v>
      </c>
      <c r="E181">
        <v>749</v>
      </c>
      <c r="F181" t="s">
        <v>353</v>
      </c>
      <c r="G181">
        <v>3</v>
      </c>
      <c r="H181">
        <v>0</v>
      </c>
      <c r="I181">
        <v>0</v>
      </c>
      <c r="J181">
        <v>0</v>
      </c>
      <c r="K181">
        <v>0</v>
      </c>
      <c r="L181">
        <v>0</v>
      </c>
      <c r="M181">
        <v>3</v>
      </c>
      <c r="N181" t="s">
        <v>333</v>
      </c>
      <c r="O181" t="s">
        <v>326</v>
      </c>
    </row>
    <row r="182" spans="1:15" x14ac:dyDescent="0.3">
      <c r="A182">
        <v>441</v>
      </c>
      <c r="B182" t="s">
        <v>323</v>
      </c>
      <c r="C182">
        <v>122</v>
      </c>
      <c r="D182" t="s">
        <v>45</v>
      </c>
      <c r="E182">
        <v>750</v>
      </c>
      <c r="F182" t="s">
        <v>1240</v>
      </c>
      <c r="G182">
        <v>9</v>
      </c>
      <c r="H182">
        <v>0</v>
      </c>
      <c r="I182">
        <v>1</v>
      </c>
      <c r="J182">
        <v>7</v>
      </c>
      <c r="K182">
        <v>0</v>
      </c>
      <c r="L182">
        <v>0</v>
      </c>
      <c r="M182">
        <v>1</v>
      </c>
      <c r="N182" t="s">
        <v>325</v>
      </c>
      <c r="O182" t="s">
        <v>348</v>
      </c>
    </row>
    <row r="183" spans="1:15" x14ac:dyDescent="0.3">
      <c r="A183">
        <v>441</v>
      </c>
      <c r="B183" t="s">
        <v>323</v>
      </c>
      <c r="C183">
        <v>122</v>
      </c>
      <c r="D183" t="s">
        <v>45</v>
      </c>
      <c r="E183">
        <v>751</v>
      </c>
      <c r="F183" t="s">
        <v>1241</v>
      </c>
      <c r="G183">
        <v>4</v>
      </c>
      <c r="H183">
        <v>0</v>
      </c>
      <c r="I183">
        <v>0</v>
      </c>
      <c r="J183">
        <v>0</v>
      </c>
      <c r="K183">
        <v>0</v>
      </c>
      <c r="L183">
        <v>0</v>
      </c>
      <c r="M183">
        <v>4</v>
      </c>
      <c r="N183" t="s">
        <v>333</v>
      </c>
      <c r="O183" t="s">
        <v>329</v>
      </c>
    </row>
    <row r="184" spans="1:15" x14ac:dyDescent="0.3">
      <c r="A184">
        <v>441</v>
      </c>
      <c r="B184" t="s">
        <v>323</v>
      </c>
      <c r="C184">
        <v>122</v>
      </c>
      <c r="D184" t="s">
        <v>45</v>
      </c>
      <c r="E184">
        <v>752</v>
      </c>
      <c r="F184" t="s">
        <v>1242</v>
      </c>
      <c r="G184">
        <v>10</v>
      </c>
      <c r="H184">
        <v>1</v>
      </c>
      <c r="I184">
        <v>2</v>
      </c>
      <c r="J184">
        <v>3</v>
      </c>
      <c r="K184">
        <v>2</v>
      </c>
      <c r="L184">
        <v>0</v>
      </c>
      <c r="M184">
        <v>2</v>
      </c>
      <c r="N184" t="s">
        <v>333</v>
      </c>
      <c r="O184" t="s">
        <v>326</v>
      </c>
    </row>
    <row r="185" spans="1:15" x14ac:dyDescent="0.3">
      <c r="A185">
        <v>441</v>
      </c>
      <c r="B185" t="s">
        <v>323</v>
      </c>
      <c r="C185">
        <v>122</v>
      </c>
      <c r="D185" t="s">
        <v>45</v>
      </c>
      <c r="E185">
        <v>753</v>
      </c>
      <c r="F185" t="s">
        <v>1243</v>
      </c>
      <c r="G185">
        <v>8</v>
      </c>
      <c r="H185">
        <v>1</v>
      </c>
      <c r="I185">
        <v>0</v>
      </c>
      <c r="J185">
        <v>6</v>
      </c>
      <c r="K185">
        <v>0</v>
      </c>
      <c r="L185">
        <v>0</v>
      </c>
      <c r="M185">
        <v>1</v>
      </c>
      <c r="N185" t="s">
        <v>333</v>
      </c>
      <c r="O185" t="s">
        <v>326</v>
      </c>
    </row>
    <row r="186" spans="1:15" x14ac:dyDescent="0.3">
      <c r="A186">
        <v>441</v>
      </c>
      <c r="B186" t="s">
        <v>323</v>
      </c>
      <c r="C186">
        <v>122</v>
      </c>
      <c r="D186" t="s">
        <v>45</v>
      </c>
      <c r="E186">
        <v>754</v>
      </c>
      <c r="F186" t="s">
        <v>640</v>
      </c>
      <c r="G186">
        <v>4</v>
      </c>
      <c r="H186">
        <v>0</v>
      </c>
      <c r="I186">
        <v>0</v>
      </c>
      <c r="J186">
        <v>1</v>
      </c>
      <c r="K186">
        <v>1</v>
      </c>
      <c r="L186">
        <v>1</v>
      </c>
      <c r="M186">
        <v>1</v>
      </c>
      <c r="N186" t="s">
        <v>333</v>
      </c>
      <c r="O186" t="s">
        <v>326</v>
      </c>
    </row>
    <row r="187" spans="1:15" x14ac:dyDescent="0.3">
      <c r="A187">
        <v>441</v>
      </c>
      <c r="B187" t="s">
        <v>323</v>
      </c>
      <c r="C187">
        <v>122</v>
      </c>
      <c r="D187" t="s">
        <v>45</v>
      </c>
      <c r="E187">
        <v>755</v>
      </c>
      <c r="F187" t="s">
        <v>393</v>
      </c>
      <c r="G187">
        <v>5</v>
      </c>
      <c r="H187">
        <v>4</v>
      </c>
      <c r="I187">
        <v>1</v>
      </c>
      <c r="J187">
        <v>0</v>
      </c>
      <c r="K187">
        <v>0</v>
      </c>
      <c r="L187">
        <v>0</v>
      </c>
      <c r="M187">
        <v>0</v>
      </c>
      <c r="N187" t="s">
        <v>414</v>
      </c>
      <c r="O187" t="s">
        <v>326</v>
      </c>
    </row>
    <row r="188" spans="1:15" x14ac:dyDescent="0.3">
      <c r="A188">
        <v>441</v>
      </c>
      <c r="B188" t="s">
        <v>323</v>
      </c>
      <c r="C188">
        <v>122</v>
      </c>
      <c r="D188" t="s">
        <v>45</v>
      </c>
      <c r="E188">
        <v>756</v>
      </c>
      <c r="F188" t="s">
        <v>1244</v>
      </c>
      <c r="G188">
        <v>7</v>
      </c>
      <c r="H188">
        <v>1</v>
      </c>
      <c r="I188">
        <v>1</v>
      </c>
      <c r="J188">
        <v>3</v>
      </c>
      <c r="K188">
        <v>0</v>
      </c>
      <c r="L188">
        <v>0</v>
      </c>
      <c r="M188">
        <v>2</v>
      </c>
      <c r="N188" t="s">
        <v>410</v>
      </c>
      <c r="O188" t="s">
        <v>336</v>
      </c>
    </row>
    <row r="189" spans="1:15" x14ac:dyDescent="0.3">
      <c r="A189">
        <v>441</v>
      </c>
      <c r="B189" t="s">
        <v>323</v>
      </c>
      <c r="C189">
        <v>122</v>
      </c>
      <c r="D189" t="s">
        <v>45</v>
      </c>
      <c r="E189">
        <v>757</v>
      </c>
      <c r="F189" t="s">
        <v>1245</v>
      </c>
      <c r="G189">
        <v>15</v>
      </c>
      <c r="H189">
        <v>0</v>
      </c>
      <c r="I189">
        <v>2</v>
      </c>
      <c r="J189">
        <v>6</v>
      </c>
      <c r="K189">
        <v>6</v>
      </c>
      <c r="L189">
        <v>1</v>
      </c>
      <c r="M189">
        <v>0</v>
      </c>
      <c r="N189" t="s">
        <v>333</v>
      </c>
      <c r="O189" t="s">
        <v>326</v>
      </c>
    </row>
    <row r="190" spans="1:15" x14ac:dyDescent="0.3">
      <c r="A190">
        <v>441</v>
      </c>
      <c r="B190" t="s">
        <v>323</v>
      </c>
      <c r="C190">
        <v>122</v>
      </c>
      <c r="D190" t="s">
        <v>45</v>
      </c>
      <c r="E190">
        <v>758</v>
      </c>
      <c r="F190" t="s">
        <v>1246</v>
      </c>
      <c r="G190">
        <v>5</v>
      </c>
      <c r="H190">
        <v>1</v>
      </c>
      <c r="I190">
        <v>1</v>
      </c>
      <c r="J190">
        <v>3</v>
      </c>
      <c r="K190">
        <v>0</v>
      </c>
      <c r="L190">
        <v>0</v>
      </c>
      <c r="M190">
        <v>0</v>
      </c>
      <c r="N190" t="s">
        <v>333</v>
      </c>
      <c r="O190" t="s">
        <v>348</v>
      </c>
    </row>
    <row r="191" spans="1:15" x14ac:dyDescent="0.3">
      <c r="A191">
        <v>441</v>
      </c>
      <c r="B191" t="s">
        <v>323</v>
      </c>
      <c r="C191">
        <v>122</v>
      </c>
      <c r="D191" t="s">
        <v>45</v>
      </c>
      <c r="E191">
        <v>759</v>
      </c>
      <c r="F191" t="s">
        <v>529</v>
      </c>
      <c r="G191">
        <v>10</v>
      </c>
      <c r="H191">
        <v>1</v>
      </c>
      <c r="I191">
        <v>0</v>
      </c>
      <c r="J191">
        <v>4</v>
      </c>
      <c r="K191">
        <v>2</v>
      </c>
      <c r="L191">
        <v>1</v>
      </c>
      <c r="M191">
        <v>2</v>
      </c>
      <c r="N191" t="s">
        <v>333</v>
      </c>
      <c r="O191" t="s">
        <v>326</v>
      </c>
    </row>
    <row r="192" spans="1:15" x14ac:dyDescent="0.3">
      <c r="A192">
        <v>441</v>
      </c>
      <c r="B192" t="s">
        <v>323</v>
      </c>
      <c r="C192">
        <v>122</v>
      </c>
      <c r="D192" t="s">
        <v>45</v>
      </c>
      <c r="E192">
        <v>1842</v>
      </c>
      <c r="F192" t="s">
        <v>1247</v>
      </c>
      <c r="G192">
        <v>7</v>
      </c>
      <c r="H192">
        <v>0</v>
      </c>
      <c r="I192">
        <v>0</v>
      </c>
      <c r="J192">
        <v>0</v>
      </c>
      <c r="K192">
        <v>0</v>
      </c>
      <c r="L192">
        <v>6</v>
      </c>
      <c r="M192">
        <v>1</v>
      </c>
      <c r="N192" t="s">
        <v>333</v>
      </c>
      <c r="O192" t="s">
        <v>348</v>
      </c>
    </row>
    <row r="193" spans="1:15" x14ac:dyDescent="0.3">
      <c r="A193">
        <v>441</v>
      </c>
      <c r="B193" t="s">
        <v>323</v>
      </c>
      <c r="C193">
        <v>122</v>
      </c>
      <c r="D193" t="s">
        <v>45</v>
      </c>
      <c r="E193">
        <v>1843</v>
      </c>
      <c r="F193" t="s">
        <v>1248</v>
      </c>
      <c r="G193">
        <v>5</v>
      </c>
      <c r="H193">
        <v>0</v>
      </c>
      <c r="I193">
        <v>0</v>
      </c>
      <c r="J193">
        <v>2</v>
      </c>
      <c r="K193">
        <v>1</v>
      </c>
      <c r="L193">
        <v>2</v>
      </c>
      <c r="M193">
        <v>0</v>
      </c>
      <c r="N193" t="s">
        <v>333</v>
      </c>
      <c r="O193" t="s">
        <v>326</v>
      </c>
    </row>
    <row r="194" spans="1:15" x14ac:dyDescent="0.3">
      <c r="A194">
        <v>442</v>
      </c>
      <c r="B194" t="s">
        <v>323</v>
      </c>
      <c r="C194">
        <v>123</v>
      </c>
      <c r="D194" t="s">
        <v>47</v>
      </c>
      <c r="E194">
        <v>863</v>
      </c>
      <c r="F194" t="s">
        <v>381</v>
      </c>
      <c r="G194">
        <v>3</v>
      </c>
      <c r="H194">
        <v>0</v>
      </c>
      <c r="I194">
        <v>0</v>
      </c>
      <c r="J194">
        <v>0</v>
      </c>
      <c r="K194">
        <v>1</v>
      </c>
      <c r="L194">
        <v>2</v>
      </c>
      <c r="M194">
        <v>0</v>
      </c>
      <c r="N194" t="s">
        <v>325</v>
      </c>
      <c r="O194" t="s">
        <v>336</v>
      </c>
    </row>
    <row r="195" spans="1:15" x14ac:dyDescent="0.3">
      <c r="A195">
        <v>442</v>
      </c>
      <c r="B195" t="s">
        <v>323</v>
      </c>
      <c r="C195">
        <v>123</v>
      </c>
      <c r="D195" t="s">
        <v>47</v>
      </c>
      <c r="E195">
        <v>865</v>
      </c>
      <c r="F195" t="s">
        <v>466</v>
      </c>
      <c r="G195">
        <v>3</v>
      </c>
      <c r="H195">
        <v>3</v>
      </c>
      <c r="I195">
        <v>0</v>
      </c>
      <c r="J195">
        <v>0</v>
      </c>
      <c r="K195">
        <v>0</v>
      </c>
      <c r="L195">
        <v>0</v>
      </c>
      <c r="M195">
        <v>0</v>
      </c>
      <c r="N195" t="s">
        <v>333</v>
      </c>
      <c r="O195" t="s">
        <v>484</v>
      </c>
    </row>
    <row r="196" spans="1:15" x14ac:dyDescent="0.3">
      <c r="A196">
        <v>442</v>
      </c>
      <c r="B196" t="s">
        <v>323</v>
      </c>
      <c r="C196">
        <v>123</v>
      </c>
      <c r="D196" t="s">
        <v>47</v>
      </c>
      <c r="E196">
        <v>867</v>
      </c>
      <c r="F196" t="s">
        <v>467</v>
      </c>
      <c r="G196">
        <v>5</v>
      </c>
      <c r="H196">
        <v>0</v>
      </c>
      <c r="I196">
        <v>1</v>
      </c>
      <c r="J196">
        <v>1</v>
      </c>
      <c r="K196">
        <v>1</v>
      </c>
      <c r="L196">
        <v>1</v>
      </c>
      <c r="M196">
        <v>1</v>
      </c>
      <c r="N196" t="s">
        <v>325</v>
      </c>
      <c r="O196" t="s">
        <v>326</v>
      </c>
    </row>
    <row r="197" spans="1:15" x14ac:dyDescent="0.3">
      <c r="A197">
        <v>442</v>
      </c>
      <c r="B197" t="s">
        <v>323</v>
      </c>
      <c r="C197">
        <v>123</v>
      </c>
      <c r="D197" t="s">
        <v>47</v>
      </c>
      <c r="E197">
        <v>870</v>
      </c>
      <c r="F197" t="s">
        <v>468</v>
      </c>
      <c r="G197">
        <v>4</v>
      </c>
      <c r="H197">
        <v>0</v>
      </c>
      <c r="I197">
        <v>0</v>
      </c>
      <c r="J197">
        <v>1</v>
      </c>
      <c r="K197">
        <v>0</v>
      </c>
      <c r="L197">
        <v>3</v>
      </c>
      <c r="M197">
        <v>0</v>
      </c>
      <c r="N197" t="s">
        <v>325</v>
      </c>
      <c r="O197" t="s">
        <v>326</v>
      </c>
    </row>
    <row r="198" spans="1:15" x14ac:dyDescent="0.3">
      <c r="A198">
        <v>442</v>
      </c>
      <c r="B198" t="s">
        <v>323</v>
      </c>
      <c r="C198">
        <v>123</v>
      </c>
      <c r="D198" t="s">
        <v>47</v>
      </c>
      <c r="E198">
        <v>872</v>
      </c>
      <c r="F198" t="s">
        <v>469</v>
      </c>
      <c r="G198">
        <v>4</v>
      </c>
      <c r="H198">
        <v>0</v>
      </c>
      <c r="I198">
        <v>1</v>
      </c>
      <c r="J198">
        <v>2</v>
      </c>
      <c r="K198">
        <v>0</v>
      </c>
      <c r="L198">
        <v>0</v>
      </c>
      <c r="M198">
        <v>1</v>
      </c>
      <c r="N198" t="s">
        <v>410</v>
      </c>
      <c r="O198" t="s">
        <v>348</v>
      </c>
    </row>
    <row r="199" spans="1:15" x14ac:dyDescent="0.3">
      <c r="A199">
        <v>442</v>
      </c>
      <c r="B199" t="s">
        <v>323</v>
      </c>
      <c r="C199">
        <v>123</v>
      </c>
      <c r="D199" t="s">
        <v>47</v>
      </c>
      <c r="E199">
        <v>873</v>
      </c>
      <c r="F199" t="s">
        <v>470</v>
      </c>
      <c r="G199">
        <v>3</v>
      </c>
      <c r="H199">
        <v>0</v>
      </c>
      <c r="I199">
        <v>1</v>
      </c>
      <c r="J199">
        <v>1</v>
      </c>
      <c r="K199">
        <v>0</v>
      </c>
      <c r="L199">
        <v>1</v>
      </c>
      <c r="M199">
        <v>0</v>
      </c>
      <c r="N199" t="s">
        <v>333</v>
      </c>
      <c r="O199" t="s">
        <v>348</v>
      </c>
    </row>
    <row r="200" spans="1:15" x14ac:dyDescent="0.3">
      <c r="A200">
        <v>442</v>
      </c>
      <c r="B200" t="s">
        <v>323</v>
      </c>
      <c r="C200">
        <v>123</v>
      </c>
      <c r="D200" t="s">
        <v>47</v>
      </c>
      <c r="E200">
        <v>875</v>
      </c>
      <c r="F200" t="s">
        <v>471</v>
      </c>
      <c r="G200">
        <v>6</v>
      </c>
      <c r="H200">
        <v>1</v>
      </c>
      <c r="I200">
        <v>4</v>
      </c>
      <c r="J200">
        <v>1</v>
      </c>
      <c r="K200">
        <v>0</v>
      </c>
      <c r="L200">
        <v>0</v>
      </c>
      <c r="M200">
        <v>0</v>
      </c>
      <c r="N200" t="s">
        <v>325</v>
      </c>
      <c r="O200" t="s">
        <v>326</v>
      </c>
    </row>
    <row r="201" spans="1:15" x14ac:dyDescent="0.3">
      <c r="A201">
        <v>442</v>
      </c>
      <c r="B201" t="s">
        <v>323</v>
      </c>
      <c r="C201">
        <v>123</v>
      </c>
      <c r="D201" t="s">
        <v>47</v>
      </c>
      <c r="E201">
        <v>877</v>
      </c>
      <c r="F201" t="s">
        <v>473</v>
      </c>
      <c r="G201">
        <v>12</v>
      </c>
      <c r="H201">
        <v>0</v>
      </c>
      <c r="I201">
        <v>5</v>
      </c>
      <c r="J201">
        <v>2</v>
      </c>
      <c r="K201">
        <v>2</v>
      </c>
      <c r="L201">
        <v>2</v>
      </c>
      <c r="M201">
        <v>1</v>
      </c>
      <c r="N201" t="s">
        <v>325</v>
      </c>
      <c r="O201" t="s">
        <v>326</v>
      </c>
    </row>
    <row r="202" spans="1:15" x14ac:dyDescent="0.3">
      <c r="A202">
        <v>442</v>
      </c>
      <c r="B202" t="s">
        <v>323</v>
      </c>
      <c r="C202">
        <v>123</v>
      </c>
      <c r="D202" t="s">
        <v>47</v>
      </c>
      <c r="E202">
        <v>878</v>
      </c>
      <c r="F202" t="s">
        <v>349</v>
      </c>
      <c r="G202">
        <v>6</v>
      </c>
      <c r="H202">
        <v>0</v>
      </c>
      <c r="I202">
        <v>4</v>
      </c>
      <c r="J202">
        <v>2</v>
      </c>
      <c r="K202">
        <v>0</v>
      </c>
      <c r="L202">
        <v>0</v>
      </c>
      <c r="M202">
        <v>0</v>
      </c>
      <c r="N202" t="s">
        <v>416</v>
      </c>
      <c r="O202" t="s">
        <v>336</v>
      </c>
    </row>
    <row r="203" spans="1:15" x14ac:dyDescent="0.3">
      <c r="A203">
        <v>442</v>
      </c>
      <c r="B203" t="s">
        <v>323</v>
      </c>
      <c r="C203">
        <v>123</v>
      </c>
      <c r="D203" t="s">
        <v>47</v>
      </c>
      <c r="E203">
        <v>1486</v>
      </c>
      <c r="F203" t="s">
        <v>359</v>
      </c>
      <c r="G203">
        <v>7</v>
      </c>
      <c r="H203">
        <v>0</v>
      </c>
      <c r="I203">
        <v>5</v>
      </c>
      <c r="J203">
        <v>1</v>
      </c>
      <c r="K203">
        <v>0</v>
      </c>
      <c r="L203">
        <v>1</v>
      </c>
      <c r="M203">
        <v>0</v>
      </c>
      <c r="N203" t="s">
        <v>414</v>
      </c>
      <c r="O203" t="s">
        <v>329</v>
      </c>
    </row>
    <row r="204" spans="1:15" x14ac:dyDescent="0.3">
      <c r="A204">
        <v>442</v>
      </c>
      <c r="B204" t="s">
        <v>323</v>
      </c>
      <c r="C204">
        <v>123</v>
      </c>
      <c r="D204" t="s">
        <v>47</v>
      </c>
      <c r="E204">
        <v>1487</v>
      </c>
      <c r="F204" t="s">
        <v>474</v>
      </c>
      <c r="G204">
        <v>8</v>
      </c>
      <c r="H204">
        <v>0</v>
      </c>
      <c r="I204">
        <v>2</v>
      </c>
      <c r="J204">
        <v>3</v>
      </c>
      <c r="K204">
        <v>1</v>
      </c>
      <c r="L204">
        <v>1</v>
      </c>
      <c r="M204">
        <v>1</v>
      </c>
      <c r="N204" t="s">
        <v>325</v>
      </c>
      <c r="O204" t="s">
        <v>326</v>
      </c>
    </row>
    <row r="205" spans="1:15" x14ac:dyDescent="0.3">
      <c r="A205">
        <v>442</v>
      </c>
      <c r="B205" t="s">
        <v>323</v>
      </c>
      <c r="C205">
        <v>123</v>
      </c>
      <c r="D205" t="s">
        <v>47</v>
      </c>
      <c r="E205">
        <v>2008</v>
      </c>
      <c r="F205" t="s">
        <v>1249</v>
      </c>
      <c r="G205">
        <v>6</v>
      </c>
      <c r="H205">
        <v>1</v>
      </c>
      <c r="I205">
        <v>2</v>
      </c>
      <c r="J205">
        <v>1</v>
      </c>
      <c r="K205">
        <v>0</v>
      </c>
      <c r="L205">
        <v>1</v>
      </c>
      <c r="M205">
        <v>1</v>
      </c>
      <c r="N205" t="s">
        <v>410</v>
      </c>
      <c r="O205" t="s">
        <v>348</v>
      </c>
    </row>
    <row r="206" spans="1:15" x14ac:dyDescent="0.3">
      <c r="A206">
        <v>442</v>
      </c>
      <c r="B206" t="s">
        <v>323</v>
      </c>
      <c r="C206">
        <v>123</v>
      </c>
      <c r="D206" t="s">
        <v>47</v>
      </c>
      <c r="E206">
        <v>2009</v>
      </c>
      <c r="F206" t="s">
        <v>398</v>
      </c>
      <c r="G206">
        <v>4</v>
      </c>
      <c r="H206">
        <v>0</v>
      </c>
      <c r="I206">
        <v>3</v>
      </c>
      <c r="J206">
        <v>0</v>
      </c>
      <c r="K206">
        <v>0</v>
      </c>
      <c r="L206">
        <v>1</v>
      </c>
      <c r="M206">
        <v>0</v>
      </c>
      <c r="N206" t="s">
        <v>410</v>
      </c>
      <c r="O206" t="s">
        <v>329</v>
      </c>
    </row>
    <row r="207" spans="1:15" x14ac:dyDescent="0.3">
      <c r="A207">
        <v>442</v>
      </c>
      <c r="B207" t="s">
        <v>323</v>
      </c>
      <c r="C207">
        <v>123</v>
      </c>
      <c r="D207" t="s">
        <v>47</v>
      </c>
      <c r="E207">
        <v>2062</v>
      </c>
      <c r="F207" t="s">
        <v>377</v>
      </c>
      <c r="G207">
        <v>4</v>
      </c>
      <c r="H207">
        <v>0</v>
      </c>
      <c r="I207">
        <v>4</v>
      </c>
      <c r="J207">
        <v>0</v>
      </c>
      <c r="K207">
        <v>0</v>
      </c>
      <c r="L207">
        <v>0</v>
      </c>
      <c r="M207">
        <v>0</v>
      </c>
      <c r="N207" t="s">
        <v>410</v>
      </c>
      <c r="O207" t="s">
        <v>329</v>
      </c>
    </row>
    <row r="208" spans="1:15" x14ac:dyDescent="0.3">
      <c r="A208">
        <v>442</v>
      </c>
      <c r="B208" t="s">
        <v>323</v>
      </c>
      <c r="C208">
        <v>123</v>
      </c>
      <c r="D208" t="s">
        <v>47</v>
      </c>
      <c r="E208">
        <v>2063</v>
      </c>
      <c r="F208" t="s">
        <v>17994</v>
      </c>
      <c r="G208">
        <v>6</v>
      </c>
      <c r="H208">
        <v>1</v>
      </c>
      <c r="I208">
        <v>4</v>
      </c>
      <c r="J208">
        <v>0</v>
      </c>
      <c r="K208">
        <v>0</v>
      </c>
      <c r="L208">
        <v>1</v>
      </c>
      <c r="M208">
        <v>0</v>
      </c>
      <c r="N208" t="s">
        <v>410</v>
      </c>
      <c r="O208" t="s">
        <v>348</v>
      </c>
    </row>
    <row r="209" spans="1:15" x14ac:dyDescent="0.3">
      <c r="A209">
        <v>442</v>
      </c>
      <c r="B209" t="s">
        <v>323</v>
      </c>
      <c r="C209">
        <v>123</v>
      </c>
      <c r="D209" t="s">
        <v>47</v>
      </c>
      <c r="E209">
        <v>2064</v>
      </c>
      <c r="F209" t="s">
        <v>17995</v>
      </c>
      <c r="G209">
        <v>6</v>
      </c>
      <c r="H209">
        <v>0</v>
      </c>
      <c r="I209">
        <v>1</v>
      </c>
      <c r="J209">
        <v>2</v>
      </c>
      <c r="K209">
        <v>0</v>
      </c>
      <c r="L209">
        <v>1</v>
      </c>
      <c r="M209">
        <v>2</v>
      </c>
      <c r="N209" t="s">
        <v>410</v>
      </c>
      <c r="O209" t="s">
        <v>343</v>
      </c>
    </row>
    <row r="210" spans="1:15" x14ac:dyDescent="0.3">
      <c r="A210">
        <v>442</v>
      </c>
      <c r="B210" t="s">
        <v>323</v>
      </c>
      <c r="C210">
        <v>123</v>
      </c>
      <c r="D210" t="s">
        <v>47</v>
      </c>
      <c r="E210">
        <v>2065</v>
      </c>
      <c r="F210" t="s">
        <v>17996</v>
      </c>
      <c r="G210">
        <v>4</v>
      </c>
      <c r="H210">
        <v>0</v>
      </c>
      <c r="I210">
        <v>0</v>
      </c>
      <c r="J210">
        <v>1</v>
      </c>
      <c r="K210">
        <v>0</v>
      </c>
      <c r="L210">
        <v>2</v>
      </c>
      <c r="M210">
        <v>1</v>
      </c>
      <c r="N210" t="s">
        <v>410</v>
      </c>
      <c r="O210" t="s">
        <v>326</v>
      </c>
    </row>
    <row r="211" spans="1:15" x14ac:dyDescent="0.3">
      <c r="A211">
        <v>442</v>
      </c>
      <c r="B211" t="s">
        <v>323</v>
      </c>
      <c r="C211">
        <v>123</v>
      </c>
      <c r="D211" t="s">
        <v>47</v>
      </c>
      <c r="E211">
        <v>2066</v>
      </c>
      <c r="F211" t="s">
        <v>17997</v>
      </c>
      <c r="G211">
        <v>7</v>
      </c>
      <c r="H211">
        <v>0</v>
      </c>
      <c r="I211">
        <v>3</v>
      </c>
      <c r="J211">
        <v>0</v>
      </c>
      <c r="K211">
        <v>1</v>
      </c>
      <c r="L211">
        <v>2</v>
      </c>
      <c r="M211">
        <v>1</v>
      </c>
      <c r="N211" t="s">
        <v>410</v>
      </c>
      <c r="O211" t="s">
        <v>326</v>
      </c>
    </row>
    <row r="212" spans="1:15" x14ac:dyDescent="0.3">
      <c r="A212">
        <v>442</v>
      </c>
      <c r="B212" t="s">
        <v>323</v>
      </c>
      <c r="C212">
        <v>123</v>
      </c>
      <c r="D212" t="s">
        <v>47</v>
      </c>
      <c r="E212">
        <v>2068</v>
      </c>
      <c r="F212" t="s">
        <v>17998</v>
      </c>
      <c r="G212">
        <v>2</v>
      </c>
      <c r="H212">
        <v>0</v>
      </c>
      <c r="I212">
        <v>0</v>
      </c>
      <c r="J212">
        <v>1</v>
      </c>
      <c r="K212">
        <v>0</v>
      </c>
      <c r="L212">
        <v>1</v>
      </c>
      <c r="M212">
        <v>0</v>
      </c>
      <c r="N212" t="s">
        <v>325</v>
      </c>
      <c r="O212" t="s">
        <v>329</v>
      </c>
    </row>
    <row r="213" spans="1:15" x14ac:dyDescent="0.3">
      <c r="A213">
        <v>442</v>
      </c>
      <c r="B213" t="s">
        <v>323</v>
      </c>
      <c r="C213">
        <v>123</v>
      </c>
      <c r="D213" t="s">
        <v>47</v>
      </c>
      <c r="E213">
        <v>2069</v>
      </c>
      <c r="F213" t="s">
        <v>17999</v>
      </c>
      <c r="G213">
        <v>6</v>
      </c>
      <c r="H213">
        <v>0</v>
      </c>
      <c r="I213">
        <v>3</v>
      </c>
      <c r="J213">
        <v>1</v>
      </c>
      <c r="K213">
        <v>1</v>
      </c>
      <c r="L213">
        <v>1</v>
      </c>
      <c r="M213">
        <v>0</v>
      </c>
      <c r="N213" t="s">
        <v>410</v>
      </c>
      <c r="O213" t="s">
        <v>326</v>
      </c>
    </row>
    <row r="214" spans="1:15" x14ac:dyDescent="0.3">
      <c r="A214">
        <v>443</v>
      </c>
      <c r="B214" t="s">
        <v>323</v>
      </c>
      <c r="C214">
        <v>124</v>
      </c>
      <c r="D214" t="s">
        <v>49</v>
      </c>
      <c r="E214">
        <v>322</v>
      </c>
      <c r="F214" t="s">
        <v>393</v>
      </c>
      <c r="G214">
        <v>3</v>
      </c>
      <c r="H214">
        <v>0</v>
      </c>
      <c r="I214">
        <v>3</v>
      </c>
      <c r="J214">
        <v>0</v>
      </c>
      <c r="K214">
        <v>0</v>
      </c>
      <c r="L214">
        <v>0</v>
      </c>
      <c r="M214">
        <v>0</v>
      </c>
      <c r="N214" t="s">
        <v>410</v>
      </c>
      <c r="O214" t="s">
        <v>326</v>
      </c>
    </row>
    <row r="215" spans="1:15" x14ac:dyDescent="0.3">
      <c r="A215">
        <v>443</v>
      </c>
      <c r="B215" t="s">
        <v>323</v>
      </c>
      <c r="C215">
        <v>124</v>
      </c>
      <c r="D215" t="s">
        <v>49</v>
      </c>
      <c r="E215">
        <v>323</v>
      </c>
      <c r="F215" t="s">
        <v>476</v>
      </c>
      <c r="G215">
        <v>5</v>
      </c>
      <c r="H215">
        <v>0</v>
      </c>
      <c r="I215">
        <v>2</v>
      </c>
      <c r="J215">
        <v>2</v>
      </c>
      <c r="K215">
        <v>0</v>
      </c>
      <c r="L215">
        <v>1</v>
      </c>
      <c r="M215">
        <v>0</v>
      </c>
      <c r="N215" t="s">
        <v>325</v>
      </c>
      <c r="O215" t="s">
        <v>348</v>
      </c>
    </row>
    <row r="216" spans="1:15" x14ac:dyDescent="0.3">
      <c r="A216">
        <v>443</v>
      </c>
      <c r="B216" t="s">
        <v>323</v>
      </c>
      <c r="C216">
        <v>124</v>
      </c>
      <c r="D216" t="s">
        <v>49</v>
      </c>
      <c r="E216">
        <v>324</v>
      </c>
      <c r="F216" t="s">
        <v>477</v>
      </c>
      <c r="G216">
        <v>3</v>
      </c>
      <c r="H216">
        <v>1</v>
      </c>
      <c r="I216">
        <v>0</v>
      </c>
      <c r="J216">
        <v>1</v>
      </c>
      <c r="K216">
        <v>1</v>
      </c>
      <c r="L216">
        <v>0</v>
      </c>
      <c r="M216">
        <v>0</v>
      </c>
      <c r="N216" t="s">
        <v>333</v>
      </c>
      <c r="O216" t="s">
        <v>329</v>
      </c>
    </row>
    <row r="217" spans="1:15" x14ac:dyDescent="0.3">
      <c r="A217">
        <v>443</v>
      </c>
      <c r="B217" t="s">
        <v>323</v>
      </c>
      <c r="C217">
        <v>124</v>
      </c>
      <c r="D217" t="s">
        <v>49</v>
      </c>
      <c r="E217">
        <v>325</v>
      </c>
      <c r="F217" t="s">
        <v>351</v>
      </c>
      <c r="G217">
        <v>3</v>
      </c>
      <c r="H217">
        <v>0</v>
      </c>
      <c r="I217">
        <v>0</v>
      </c>
      <c r="J217">
        <v>0</v>
      </c>
      <c r="K217">
        <v>2</v>
      </c>
      <c r="L217">
        <v>0</v>
      </c>
      <c r="M217">
        <v>1</v>
      </c>
      <c r="N217" t="s">
        <v>333</v>
      </c>
      <c r="O217" t="s">
        <v>336</v>
      </c>
    </row>
    <row r="218" spans="1:15" x14ac:dyDescent="0.3">
      <c r="A218">
        <v>443</v>
      </c>
      <c r="B218" t="s">
        <v>323</v>
      </c>
      <c r="C218">
        <v>124</v>
      </c>
      <c r="D218" t="s">
        <v>49</v>
      </c>
      <c r="E218">
        <v>326</v>
      </c>
      <c r="F218" t="s">
        <v>478</v>
      </c>
      <c r="G218">
        <v>4</v>
      </c>
      <c r="H218">
        <v>0</v>
      </c>
      <c r="I218">
        <v>1</v>
      </c>
      <c r="J218">
        <v>0</v>
      </c>
      <c r="K218">
        <v>2</v>
      </c>
      <c r="L218">
        <v>0</v>
      </c>
      <c r="M218">
        <v>1</v>
      </c>
      <c r="N218" t="s">
        <v>333</v>
      </c>
      <c r="O218" t="s">
        <v>348</v>
      </c>
    </row>
    <row r="219" spans="1:15" x14ac:dyDescent="0.3">
      <c r="A219">
        <v>443</v>
      </c>
      <c r="B219" t="s">
        <v>323</v>
      </c>
      <c r="C219">
        <v>124</v>
      </c>
      <c r="D219" t="s">
        <v>49</v>
      </c>
      <c r="E219">
        <v>327</v>
      </c>
      <c r="F219" t="s">
        <v>479</v>
      </c>
      <c r="G219">
        <v>3</v>
      </c>
      <c r="H219">
        <v>0</v>
      </c>
      <c r="I219">
        <v>2</v>
      </c>
      <c r="J219">
        <v>1</v>
      </c>
      <c r="K219">
        <v>0</v>
      </c>
      <c r="L219">
        <v>0</v>
      </c>
      <c r="M219">
        <v>0</v>
      </c>
      <c r="N219" t="s">
        <v>333</v>
      </c>
      <c r="O219" t="s">
        <v>329</v>
      </c>
    </row>
    <row r="220" spans="1:15" x14ac:dyDescent="0.3">
      <c r="A220">
        <v>443</v>
      </c>
      <c r="B220" t="s">
        <v>323</v>
      </c>
      <c r="C220">
        <v>124</v>
      </c>
      <c r="D220" t="s">
        <v>49</v>
      </c>
      <c r="E220">
        <v>328</v>
      </c>
      <c r="F220" t="s">
        <v>480</v>
      </c>
      <c r="G220">
        <v>8</v>
      </c>
      <c r="H220">
        <v>1</v>
      </c>
      <c r="I220">
        <v>2</v>
      </c>
      <c r="J220">
        <v>1</v>
      </c>
      <c r="K220">
        <v>1</v>
      </c>
      <c r="L220">
        <v>1</v>
      </c>
      <c r="M220">
        <v>2</v>
      </c>
      <c r="N220" t="s">
        <v>333</v>
      </c>
      <c r="O220" t="s">
        <v>336</v>
      </c>
    </row>
    <row r="221" spans="1:15" x14ac:dyDescent="0.3">
      <c r="A221">
        <v>443</v>
      </c>
      <c r="B221" t="s">
        <v>323</v>
      </c>
      <c r="C221">
        <v>124</v>
      </c>
      <c r="D221" t="s">
        <v>49</v>
      </c>
      <c r="E221">
        <v>1646</v>
      </c>
      <c r="F221" t="s">
        <v>481</v>
      </c>
      <c r="G221">
        <v>2</v>
      </c>
      <c r="H221">
        <v>0</v>
      </c>
      <c r="I221">
        <v>0</v>
      </c>
      <c r="J221">
        <v>0</v>
      </c>
      <c r="K221">
        <v>1</v>
      </c>
      <c r="L221">
        <v>0</v>
      </c>
      <c r="M221">
        <v>1</v>
      </c>
      <c r="N221" t="s">
        <v>333</v>
      </c>
      <c r="O221" t="s">
        <v>336</v>
      </c>
    </row>
    <row r="222" spans="1:15" x14ac:dyDescent="0.3">
      <c r="A222">
        <v>443</v>
      </c>
      <c r="B222" t="s">
        <v>323</v>
      </c>
      <c r="C222">
        <v>124</v>
      </c>
      <c r="D222" t="s">
        <v>49</v>
      </c>
      <c r="E222">
        <v>1647</v>
      </c>
      <c r="F222" t="s">
        <v>482</v>
      </c>
      <c r="G222">
        <v>5</v>
      </c>
      <c r="H222">
        <v>0</v>
      </c>
      <c r="I222">
        <v>1</v>
      </c>
      <c r="J222">
        <v>3</v>
      </c>
      <c r="K222">
        <v>0</v>
      </c>
      <c r="L222">
        <v>0</v>
      </c>
      <c r="M222">
        <v>1</v>
      </c>
      <c r="N222" t="s">
        <v>333</v>
      </c>
      <c r="O222" t="s">
        <v>336</v>
      </c>
    </row>
    <row r="223" spans="1:15" x14ac:dyDescent="0.3">
      <c r="A223">
        <v>443</v>
      </c>
      <c r="B223" t="s">
        <v>323</v>
      </c>
      <c r="C223">
        <v>124</v>
      </c>
      <c r="D223" t="s">
        <v>49</v>
      </c>
      <c r="E223">
        <v>1920</v>
      </c>
      <c r="F223" t="s">
        <v>1250</v>
      </c>
      <c r="G223">
        <v>10</v>
      </c>
      <c r="H223">
        <v>0</v>
      </c>
      <c r="I223">
        <v>2</v>
      </c>
      <c r="J223">
        <v>4</v>
      </c>
      <c r="K223">
        <v>2</v>
      </c>
      <c r="L223">
        <v>0</v>
      </c>
      <c r="M223">
        <v>2</v>
      </c>
      <c r="N223" t="s">
        <v>333</v>
      </c>
      <c r="O223" t="s">
        <v>329</v>
      </c>
    </row>
    <row r="224" spans="1:15" x14ac:dyDescent="0.3">
      <c r="A224">
        <v>443</v>
      </c>
      <c r="B224" t="s">
        <v>323</v>
      </c>
      <c r="C224">
        <v>124</v>
      </c>
      <c r="D224" t="s">
        <v>49</v>
      </c>
      <c r="E224">
        <v>1921</v>
      </c>
      <c r="F224" t="s">
        <v>1251</v>
      </c>
      <c r="G224">
        <v>6</v>
      </c>
      <c r="H224">
        <v>0</v>
      </c>
      <c r="I224">
        <v>1</v>
      </c>
      <c r="J224">
        <v>1</v>
      </c>
      <c r="K224">
        <v>2</v>
      </c>
      <c r="L224">
        <v>0</v>
      </c>
      <c r="M224">
        <v>2</v>
      </c>
      <c r="N224" t="s">
        <v>325</v>
      </c>
      <c r="O224" t="s">
        <v>484</v>
      </c>
    </row>
    <row r="225" spans="1:15" x14ac:dyDescent="0.3">
      <c r="A225">
        <v>443</v>
      </c>
      <c r="B225" t="s">
        <v>323</v>
      </c>
      <c r="C225">
        <v>124</v>
      </c>
      <c r="D225" t="s">
        <v>49</v>
      </c>
      <c r="E225">
        <v>1922</v>
      </c>
      <c r="F225" t="s">
        <v>1252</v>
      </c>
      <c r="G225">
        <v>4</v>
      </c>
      <c r="H225">
        <v>0</v>
      </c>
      <c r="I225">
        <v>2</v>
      </c>
      <c r="J225">
        <v>2</v>
      </c>
      <c r="K225">
        <v>0</v>
      </c>
      <c r="L225">
        <v>0</v>
      </c>
      <c r="M225">
        <v>0</v>
      </c>
      <c r="N225" t="s">
        <v>333</v>
      </c>
      <c r="O225" t="s">
        <v>484</v>
      </c>
    </row>
    <row r="226" spans="1:15" x14ac:dyDescent="0.3">
      <c r="A226">
        <v>443</v>
      </c>
      <c r="B226" t="s">
        <v>323</v>
      </c>
      <c r="C226">
        <v>124</v>
      </c>
      <c r="D226" t="s">
        <v>49</v>
      </c>
      <c r="E226">
        <v>1923</v>
      </c>
      <c r="F226" t="s">
        <v>1253</v>
      </c>
      <c r="G226">
        <v>3</v>
      </c>
      <c r="H226">
        <v>0</v>
      </c>
      <c r="I226">
        <v>1</v>
      </c>
      <c r="J226">
        <v>2</v>
      </c>
      <c r="K226">
        <v>0</v>
      </c>
      <c r="L226">
        <v>0</v>
      </c>
      <c r="M226">
        <v>0</v>
      </c>
      <c r="N226" t="s">
        <v>333</v>
      </c>
      <c r="O226" t="s">
        <v>336</v>
      </c>
    </row>
    <row r="227" spans="1:15" x14ac:dyDescent="0.3">
      <c r="A227">
        <v>443</v>
      </c>
      <c r="B227" t="s">
        <v>323</v>
      </c>
      <c r="C227">
        <v>124</v>
      </c>
      <c r="D227" t="s">
        <v>49</v>
      </c>
      <c r="E227">
        <v>2086</v>
      </c>
      <c r="F227" t="s">
        <v>18000</v>
      </c>
      <c r="G227">
        <v>3</v>
      </c>
      <c r="H227">
        <v>0</v>
      </c>
      <c r="I227">
        <v>0</v>
      </c>
      <c r="J227">
        <v>1</v>
      </c>
      <c r="K227">
        <v>0</v>
      </c>
      <c r="L227">
        <v>0</v>
      </c>
      <c r="M227">
        <v>2</v>
      </c>
      <c r="N227" t="s">
        <v>333</v>
      </c>
      <c r="O227" t="s">
        <v>343</v>
      </c>
    </row>
    <row r="228" spans="1:15" x14ac:dyDescent="0.3">
      <c r="A228">
        <v>445</v>
      </c>
      <c r="B228" t="s">
        <v>323</v>
      </c>
      <c r="C228">
        <v>126</v>
      </c>
      <c r="D228" t="s">
        <v>53</v>
      </c>
      <c r="E228">
        <v>1502</v>
      </c>
      <c r="F228" t="s">
        <v>488</v>
      </c>
      <c r="G228">
        <v>3</v>
      </c>
      <c r="H228">
        <v>0</v>
      </c>
      <c r="I228">
        <v>3</v>
      </c>
      <c r="J228">
        <v>0</v>
      </c>
      <c r="K228">
        <v>0</v>
      </c>
      <c r="L228">
        <v>0</v>
      </c>
      <c r="M228">
        <v>0</v>
      </c>
      <c r="N228" t="s">
        <v>325</v>
      </c>
      <c r="O228" t="s">
        <v>336</v>
      </c>
    </row>
    <row r="229" spans="1:15" x14ac:dyDescent="0.3">
      <c r="A229">
        <v>445</v>
      </c>
      <c r="B229" t="s">
        <v>323</v>
      </c>
      <c r="C229">
        <v>126</v>
      </c>
      <c r="D229" t="s">
        <v>53</v>
      </c>
      <c r="E229">
        <v>1513</v>
      </c>
      <c r="F229" t="s">
        <v>489</v>
      </c>
      <c r="G229">
        <v>7</v>
      </c>
      <c r="H229">
        <v>0</v>
      </c>
      <c r="I229">
        <v>0</v>
      </c>
      <c r="J229">
        <v>2</v>
      </c>
      <c r="K229">
        <v>1</v>
      </c>
      <c r="L229">
        <v>3</v>
      </c>
      <c r="M229">
        <v>1</v>
      </c>
      <c r="N229" t="s">
        <v>325</v>
      </c>
      <c r="O229" t="s">
        <v>484</v>
      </c>
    </row>
    <row r="230" spans="1:15" x14ac:dyDescent="0.3">
      <c r="A230">
        <v>445</v>
      </c>
      <c r="B230" t="s">
        <v>323</v>
      </c>
      <c r="C230">
        <v>126</v>
      </c>
      <c r="D230" t="s">
        <v>53</v>
      </c>
      <c r="E230">
        <v>1516</v>
      </c>
      <c r="F230" t="s">
        <v>490</v>
      </c>
      <c r="G230">
        <v>7</v>
      </c>
      <c r="H230">
        <v>0</v>
      </c>
      <c r="I230">
        <v>2</v>
      </c>
      <c r="J230">
        <v>1</v>
      </c>
      <c r="K230">
        <v>1</v>
      </c>
      <c r="L230">
        <v>3</v>
      </c>
      <c r="M230">
        <v>0</v>
      </c>
      <c r="N230" t="s">
        <v>333</v>
      </c>
      <c r="O230" t="s">
        <v>329</v>
      </c>
    </row>
    <row r="231" spans="1:15" x14ac:dyDescent="0.3">
      <c r="A231">
        <v>445</v>
      </c>
      <c r="B231" t="s">
        <v>323</v>
      </c>
      <c r="C231">
        <v>126</v>
      </c>
      <c r="D231" t="s">
        <v>53</v>
      </c>
      <c r="E231">
        <v>1518</v>
      </c>
      <c r="F231" t="s">
        <v>491</v>
      </c>
      <c r="G231">
        <v>5</v>
      </c>
      <c r="H231">
        <v>0</v>
      </c>
      <c r="I231">
        <v>1</v>
      </c>
      <c r="J231">
        <v>3</v>
      </c>
      <c r="K231">
        <v>0</v>
      </c>
      <c r="L231">
        <v>0</v>
      </c>
      <c r="M231">
        <v>1</v>
      </c>
      <c r="N231" t="s">
        <v>333</v>
      </c>
      <c r="O231" t="s">
        <v>484</v>
      </c>
    </row>
    <row r="232" spans="1:15" x14ac:dyDescent="0.3">
      <c r="A232">
        <v>445</v>
      </c>
      <c r="B232" t="s">
        <v>323</v>
      </c>
      <c r="C232">
        <v>126</v>
      </c>
      <c r="D232" t="s">
        <v>53</v>
      </c>
      <c r="E232">
        <v>1957</v>
      </c>
      <c r="F232" t="s">
        <v>1258</v>
      </c>
      <c r="G232">
        <v>3</v>
      </c>
      <c r="H232">
        <v>0</v>
      </c>
      <c r="I232">
        <v>1</v>
      </c>
      <c r="J232">
        <v>0</v>
      </c>
      <c r="K232">
        <v>1</v>
      </c>
      <c r="L232">
        <v>0</v>
      </c>
      <c r="M232">
        <v>1</v>
      </c>
      <c r="N232" t="s">
        <v>333</v>
      </c>
      <c r="O232" t="s">
        <v>329</v>
      </c>
    </row>
    <row r="233" spans="1:15" x14ac:dyDescent="0.3">
      <c r="A233">
        <v>445</v>
      </c>
      <c r="B233" t="s">
        <v>323</v>
      </c>
      <c r="C233">
        <v>126</v>
      </c>
      <c r="D233" t="s">
        <v>53</v>
      </c>
      <c r="E233">
        <v>1958</v>
      </c>
      <c r="F233" t="s">
        <v>1259</v>
      </c>
      <c r="G233">
        <v>3</v>
      </c>
      <c r="H233">
        <v>0</v>
      </c>
      <c r="I233">
        <v>1</v>
      </c>
      <c r="J233">
        <v>0</v>
      </c>
      <c r="K233">
        <v>0</v>
      </c>
      <c r="L233">
        <v>1</v>
      </c>
      <c r="M233">
        <v>1</v>
      </c>
      <c r="N233" t="s">
        <v>333</v>
      </c>
      <c r="O233" t="s">
        <v>484</v>
      </c>
    </row>
    <row r="234" spans="1:15" x14ac:dyDescent="0.3">
      <c r="A234">
        <v>445</v>
      </c>
      <c r="B234" t="s">
        <v>323</v>
      </c>
      <c r="C234">
        <v>126</v>
      </c>
      <c r="D234" t="s">
        <v>53</v>
      </c>
      <c r="E234">
        <v>1959</v>
      </c>
      <c r="F234" t="s">
        <v>515</v>
      </c>
      <c r="G234">
        <v>3</v>
      </c>
      <c r="H234">
        <v>0</v>
      </c>
      <c r="I234">
        <v>1</v>
      </c>
      <c r="J234">
        <v>0</v>
      </c>
      <c r="K234">
        <v>1</v>
      </c>
      <c r="L234">
        <v>0</v>
      </c>
      <c r="M234">
        <v>1</v>
      </c>
      <c r="N234" t="s">
        <v>333</v>
      </c>
      <c r="O234" t="s">
        <v>484</v>
      </c>
    </row>
    <row r="235" spans="1:15" x14ac:dyDescent="0.3">
      <c r="A235">
        <v>445</v>
      </c>
      <c r="B235" t="s">
        <v>323</v>
      </c>
      <c r="C235">
        <v>126</v>
      </c>
      <c r="D235" t="s">
        <v>53</v>
      </c>
      <c r="E235">
        <v>1960</v>
      </c>
      <c r="F235" t="s">
        <v>1260</v>
      </c>
      <c r="G235">
        <v>3</v>
      </c>
      <c r="H235">
        <v>0</v>
      </c>
      <c r="I235">
        <v>1</v>
      </c>
      <c r="J235">
        <v>0</v>
      </c>
      <c r="K235">
        <v>0</v>
      </c>
      <c r="L235">
        <v>2</v>
      </c>
      <c r="M235">
        <v>0</v>
      </c>
      <c r="N235" t="s">
        <v>333</v>
      </c>
      <c r="O235" t="s">
        <v>348</v>
      </c>
    </row>
    <row r="236" spans="1:15" x14ac:dyDescent="0.3">
      <c r="A236">
        <v>445</v>
      </c>
      <c r="B236" t="s">
        <v>323</v>
      </c>
      <c r="C236">
        <v>126</v>
      </c>
      <c r="D236" t="s">
        <v>53</v>
      </c>
      <c r="E236">
        <v>1961</v>
      </c>
      <c r="F236" t="s">
        <v>1261</v>
      </c>
      <c r="G236">
        <v>4</v>
      </c>
      <c r="H236">
        <v>0</v>
      </c>
      <c r="I236">
        <v>3</v>
      </c>
      <c r="J236">
        <v>0</v>
      </c>
      <c r="K236">
        <v>0</v>
      </c>
      <c r="L236">
        <v>0</v>
      </c>
      <c r="M236">
        <v>1</v>
      </c>
      <c r="N236" t="s">
        <v>333</v>
      </c>
      <c r="O236" t="s">
        <v>329</v>
      </c>
    </row>
    <row r="237" spans="1:15" x14ac:dyDescent="0.3">
      <c r="A237">
        <v>445</v>
      </c>
      <c r="B237" t="s">
        <v>323</v>
      </c>
      <c r="C237">
        <v>126</v>
      </c>
      <c r="D237" t="s">
        <v>53</v>
      </c>
      <c r="E237">
        <v>1962</v>
      </c>
      <c r="F237" t="s">
        <v>381</v>
      </c>
      <c r="G237">
        <v>5</v>
      </c>
      <c r="H237">
        <v>0</v>
      </c>
      <c r="I237">
        <v>0</v>
      </c>
      <c r="J237">
        <v>0</v>
      </c>
      <c r="K237">
        <v>1</v>
      </c>
      <c r="L237">
        <v>4</v>
      </c>
      <c r="M237">
        <v>0</v>
      </c>
      <c r="N237" t="s">
        <v>333</v>
      </c>
      <c r="O237" t="s">
        <v>329</v>
      </c>
    </row>
    <row r="238" spans="1:15" x14ac:dyDescent="0.3">
      <c r="A238">
        <v>445</v>
      </c>
      <c r="B238" t="s">
        <v>323</v>
      </c>
      <c r="C238">
        <v>126</v>
      </c>
      <c r="D238" t="s">
        <v>53</v>
      </c>
      <c r="E238">
        <v>1963</v>
      </c>
      <c r="F238" t="s">
        <v>1262</v>
      </c>
      <c r="G238">
        <v>6</v>
      </c>
      <c r="H238">
        <v>0</v>
      </c>
      <c r="I238">
        <v>3</v>
      </c>
      <c r="J238">
        <v>0</v>
      </c>
      <c r="K238">
        <v>0</v>
      </c>
      <c r="L238">
        <v>0</v>
      </c>
      <c r="M238">
        <v>3</v>
      </c>
      <c r="N238" t="s">
        <v>333</v>
      </c>
      <c r="O238" t="s">
        <v>329</v>
      </c>
    </row>
    <row r="239" spans="1:15" x14ac:dyDescent="0.3">
      <c r="A239">
        <v>445</v>
      </c>
      <c r="B239" t="s">
        <v>323</v>
      </c>
      <c r="C239">
        <v>126</v>
      </c>
      <c r="D239" t="s">
        <v>53</v>
      </c>
      <c r="E239">
        <v>1964</v>
      </c>
      <c r="F239" t="s">
        <v>660</v>
      </c>
      <c r="G239">
        <v>5</v>
      </c>
      <c r="H239">
        <v>0</v>
      </c>
      <c r="I239">
        <v>1</v>
      </c>
      <c r="J239">
        <v>2</v>
      </c>
      <c r="K239">
        <v>0</v>
      </c>
      <c r="L239">
        <v>2</v>
      </c>
      <c r="M239">
        <v>0</v>
      </c>
      <c r="N239" t="s">
        <v>333</v>
      </c>
      <c r="O239" t="s">
        <v>336</v>
      </c>
    </row>
    <row r="240" spans="1:15" x14ac:dyDescent="0.3">
      <c r="A240">
        <v>446</v>
      </c>
      <c r="B240" t="s">
        <v>323</v>
      </c>
      <c r="C240">
        <v>127</v>
      </c>
      <c r="D240" t="s">
        <v>55</v>
      </c>
      <c r="E240">
        <v>330</v>
      </c>
      <c r="F240" t="s">
        <v>492</v>
      </c>
      <c r="G240">
        <v>16</v>
      </c>
      <c r="H240">
        <v>1</v>
      </c>
      <c r="I240">
        <v>4</v>
      </c>
      <c r="J240">
        <v>1</v>
      </c>
      <c r="K240">
        <v>1</v>
      </c>
      <c r="L240">
        <v>0</v>
      </c>
      <c r="M240">
        <v>9</v>
      </c>
      <c r="N240" t="s">
        <v>333</v>
      </c>
      <c r="O240" t="s">
        <v>336</v>
      </c>
    </row>
    <row r="241" spans="1:15" x14ac:dyDescent="0.3">
      <c r="A241">
        <v>446</v>
      </c>
      <c r="B241" t="s">
        <v>323</v>
      </c>
      <c r="C241">
        <v>127</v>
      </c>
      <c r="D241" t="s">
        <v>55</v>
      </c>
      <c r="E241">
        <v>331</v>
      </c>
      <c r="F241" t="s">
        <v>493</v>
      </c>
      <c r="G241">
        <v>3</v>
      </c>
      <c r="H241">
        <v>0</v>
      </c>
      <c r="I241">
        <v>1</v>
      </c>
      <c r="J241">
        <v>1</v>
      </c>
      <c r="K241">
        <v>0</v>
      </c>
      <c r="L241">
        <v>0</v>
      </c>
      <c r="M241">
        <v>1</v>
      </c>
      <c r="N241" t="s">
        <v>333</v>
      </c>
      <c r="O241" t="s">
        <v>326</v>
      </c>
    </row>
    <row r="242" spans="1:15" x14ac:dyDescent="0.3">
      <c r="A242">
        <v>446</v>
      </c>
      <c r="B242" t="s">
        <v>323</v>
      </c>
      <c r="C242">
        <v>127</v>
      </c>
      <c r="D242" t="s">
        <v>55</v>
      </c>
      <c r="E242">
        <v>332</v>
      </c>
      <c r="F242" t="s">
        <v>494</v>
      </c>
      <c r="G242">
        <v>0</v>
      </c>
      <c r="H242">
        <v>0</v>
      </c>
      <c r="I242">
        <v>0</v>
      </c>
      <c r="J242">
        <v>0</v>
      </c>
      <c r="K242">
        <v>0</v>
      </c>
      <c r="L242">
        <v>0</v>
      </c>
      <c r="M242">
        <v>0</v>
      </c>
      <c r="N242" t="s">
        <v>325</v>
      </c>
      <c r="O242" t="s">
        <v>343</v>
      </c>
    </row>
    <row r="243" spans="1:15" x14ac:dyDescent="0.3">
      <c r="A243">
        <v>446</v>
      </c>
      <c r="B243" t="s">
        <v>323</v>
      </c>
      <c r="C243">
        <v>127</v>
      </c>
      <c r="D243" t="s">
        <v>55</v>
      </c>
      <c r="E243">
        <v>339</v>
      </c>
      <c r="F243" t="s">
        <v>495</v>
      </c>
      <c r="G243">
        <v>4</v>
      </c>
      <c r="H243">
        <v>0</v>
      </c>
      <c r="I243">
        <v>0</v>
      </c>
      <c r="J243">
        <v>0</v>
      </c>
      <c r="K243">
        <v>0</v>
      </c>
      <c r="L243">
        <v>0</v>
      </c>
      <c r="M243">
        <v>4</v>
      </c>
      <c r="N243" t="s">
        <v>333</v>
      </c>
      <c r="O243" t="s">
        <v>329</v>
      </c>
    </row>
    <row r="244" spans="1:15" x14ac:dyDescent="0.3">
      <c r="A244">
        <v>446</v>
      </c>
      <c r="B244" t="s">
        <v>323</v>
      </c>
      <c r="C244">
        <v>127</v>
      </c>
      <c r="D244" t="s">
        <v>55</v>
      </c>
      <c r="E244">
        <v>341</v>
      </c>
      <c r="F244" t="s">
        <v>497</v>
      </c>
      <c r="G244">
        <v>4</v>
      </c>
      <c r="H244">
        <v>1</v>
      </c>
      <c r="I244">
        <v>2</v>
      </c>
      <c r="J244">
        <v>0</v>
      </c>
      <c r="K244">
        <v>0</v>
      </c>
      <c r="L244">
        <v>0</v>
      </c>
      <c r="M244">
        <v>1</v>
      </c>
      <c r="N244" t="s">
        <v>333</v>
      </c>
      <c r="O244" t="s">
        <v>484</v>
      </c>
    </row>
    <row r="245" spans="1:15" x14ac:dyDescent="0.3">
      <c r="A245">
        <v>446</v>
      </c>
      <c r="B245" t="s">
        <v>323</v>
      </c>
      <c r="C245">
        <v>127</v>
      </c>
      <c r="D245" t="s">
        <v>55</v>
      </c>
      <c r="E245">
        <v>342</v>
      </c>
      <c r="F245" t="s">
        <v>498</v>
      </c>
      <c r="G245">
        <v>3</v>
      </c>
      <c r="H245">
        <v>0</v>
      </c>
      <c r="I245">
        <v>0</v>
      </c>
      <c r="J245">
        <v>1</v>
      </c>
      <c r="K245">
        <v>1</v>
      </c>
      <c r="L245">
        <v>0</v>
      </c>
      <c r="M245">
        <v>1</v>
      </c>
      <c r="N245" t="s">
        <v>325</v>
      </c>
      <c r="O245" t="s">
        <v>329</v>
      </c>
    </row>
    <row r="246" spans="1:15" x14ac:dyDescent="0.3">
      <c r="A246">
        <v>446</v>
      </c>
      <c r="B246" t="s">
        <v>323</v>
      </c>
      <c r="C246">
        <v>127</v>
      </c>
      <c r="D246" t="s">
        <v>55</v>
      </c>
      <c r="E246">
        <v>343</v>
      </c>
      <c r="F246" t="s">
        <v>499</v>
      </c>
      <c r="G246">
        <v>5</v>
      </c>
      <c r="H246">
        <v>3</v>
      </c>
      <c r="I246">
        <v>0</v>
      </c>
      <c r="J246">
        <v>1</v>
      </c>
      <c r="K246">
        <v>1</v>
      </c>
      <c r="L246">
        <v>0</v>
      </c>
      <c r="M246">
        <v>0</v>
      </c>
      <c r="N246" t="s">
        <v>325</v>
      </c>
      <c r="O246" t="s">
        <v>336</v>
      </c>
    </row>
    <row r="247" spans="1:15" x14ac:dyDescent="0.3">
      <c r="A247">
        <v>446</v>
      </c>
      <c r="B247" t="s">
        <v>323</v>
      </c>
      <c r="C247">
        <v>127</v>
      </c>
      <c r="D247" t="s">
        <v>55</v>
      </c>
      <c r="E247">
        <v>344</v>
      </c>
      <c r="F247" t="s">
        <v>500</v>
      </c>
      <c r="G247">
        <v>5</v>
      </c>
      <c r="H247">
        <v>0</v>
      </c>
      <c r="I247">
        <v>0</v>
      </c>
      <c r="J247">
        <v>0</v>
      </c>
      <c r="K247">
        <v>0</v>
      </c>
      <c r="L247">
        <v>0</v>
      </c>
      <c r="M247">
        <v>5</v>
      </c>
      <c r="N247" t="s">
        <v>325</v>
      </c>
      <c r="O247" t="s">
        <v>348</v>
      </c>
    </row>
    <row r="248" spans="1:15" x14ac:dyDescent="0.3">
      <c r="A248">
        <v>446</v>
      </c>
      <c r="B248" t="s">
        <v>323</v>
      </c>
      <c r="C248">
        <v>127</v>
      </c>
      <c r="D248" t="s">
        <v>55</v>
      </c>
      <c r="E248">
        <v>1418</v>
      </c>
      <c r="F248" t="s">
        <v>359</v>
      </c>
      <c r="G248">
        <v>5</v>
      </c>
      <c r="H248">
        <v>1</v>
      </c>
      <c r="I248">
        <v>0</v>
      </c>
      <c r="J248">
        <v>2</v>
      </c>
      <c r="K248">
        <v>0</v>
      </c>
      <c r="L248">
        <v>0</v>
      </c>
      <c r="M248">
        <v>2</v>
      </c>
      <c r="N248" t="s">
        <v>325</v>
      </c>
      <c r="O248" t="s">
        <v>329</v>
      </c>
    </row>
    <row r="249" spans="1:15" x14ac:dyDescent="0.3">
      <c r="A249">
        <v>446</v>
      </c>
      <c r="B249" t="s">
        <v>323</v>
      </c>
      <c r="C249">
        <v>127</v>
      </c>
      <c r="D249" t="s">
        <v>55</v>
      </c>
      <c r="E249">
        <v>1419</v>
      </c>
      <c r="F249" t="s">
        <v>502</v>
      </c>
      <c r="G249">
        <v>4</v>
      </c>
      <c r="H249">
        <v>0</v>
      </c>
      <c r="I249">
        <v>1</v>
      </c>
      <c r="J249">
        <v>2</v>
      </c>
      <c r="K249">
        <v>0</v>
      </c>
      <c r="L249">
        <v>1</v>
      </c>
      <c r="M249">
        <v>0</v>
      </c>
      <c r="N249" t="s">
        <v>325</v>
      </c>
      <c r="O249" t="s">
        <v>329</v>
      </c>
    </row>
    <row r="250" spans="1:15" x14ac:dyDescent="0.3">
      <c r="A250">
        <v>446</v>
      </c>
      <c r="B250" t="s">
        <v>323</v>
      </c>
      <c r="C250">
        <v>127</v>
      </c>
      <c r="D250" t="s">
        <v>55</v>
      </c>
      <c r="E250">
        <v>2012</v>
      </c>
      <c r="F250" t="s">
        <v>1263</v>
      </c>
      <c r="G250">
        <v>4</v>
      </c>
      <c r="H250">
        <v>0</v>
      </c>
      <c r="I250">
        <v>0</v>
      </c>
      <c r="J250">
        <v>1</v>
      </c>
      <c r="K250">
        <v>1</v>
      </c>
      <c r="L250">
        <v>0</v>
      </c>
      <c r="M250">
        <v>2</v>
      </c>
      <c r="N250" t="s">
        <v>333</v>
      </c>
      <c r="O250" t="s">
        <v>484</v>
      </c>
    </row>
    <row r="251" spans="1:15" x14ac:dyDescent="0.3">
      <c r="A251">
        <v>446</v>
      </c>
      <c r="B251" t="s">
        <v>323</v>
      </c>
      <c r="C251">
        <v>127</v>
      </c>
      <c r="D251" t="s">
        <v>55</v>
      </c>
      <c r="E251">
        <v>2013</v>
      </c>
      <c r="F251" t="s">
        <v>1264</v>
      </c>
      <c r="G251">
        <v>5</v>
      </c>
      <c r="H251">
        <v>0</v>
      </c>
      <c r="I251">
        <v>1</v>
      </c>
      <c r="J251">
        <v>2</v>
      </c>
      <c r="K251">
        <v>0</v>
      </c>
      <c r="L251">
        <v>0</v>
      </c>
      <c r="M251">
        <v>2</v>
      </c>
      <c r="N251" t="s">
        <v>325</v>
      </c>
      <c r="O251" t="s">
        <v>329</v>
      </c>
    </row>
    <row r="252" spans="1:15" x14ac:dyDescent="0.3">
      <c r="A252">
        <v>446</v>
      </c>
      <c r="B252" t="s">
        <v>323</v>
      </c>
      <c r="C252">
        <v>127</v>
      </c>
      <c r="D252" t="s">
        <v>55</v>
      </c>
      <c r="E252">
        <v>2014</v>
      </c>
      <c r="F252" t="s">
        <v>1265</v>
      </c>
      <c r="G252">
        <v>4</v>
      </c>
      <c r="H252">
        <v>4</v>
      </c>
      <c r="I252">
        <v>0</v>
      </c>
      <c r="J252">
        <v>0</v>
      </c>
      <c r="K252">
        <v>0</v>
      </c>
      <c r="L252">
        <v>0</v>
      </c>
      <c r="M252">
        <v>0</v>
      </c>
      <c r="N252" t="s">
        <v>333</v>
      </c>
      <c r="O252" t="s">
        <v>329</v>
      </c>
    </row>
    <row r="253" spans="1:15" x14ac:dyDescent="0.3">
      <c r="A253">
        <v>446</v>
      </c>
      <c r="B253" t="s">
        <v>323</v>
      </c>
      <c r="C253">
        <v>127</v>
      </c>
      <c r="D253" t="s">
        <v>55</v>
      </c>
      <c r="E253">
        <v>2015</v>
      </c>
      <c r="F253" t="s">
        <v>1219</v>
      </c>
      <c r="G253">
        <v>6</v>
      </c>
      <c r="H253">
        <v>0</v>
      </c>
      <c r="I253">
        <v>4</v>
      </c>
      <c r="J253">
        <v>1</v>
      </c>
      <c r="K253">
        <v>1</v>
      </c>
      <c r="L253">
        <v>0</v>
      </c>
      <c r="M253">
        <v>0</v>
      </c>
      <c r="N253" t="s">
        <v>325</v>
      </c>
      <c r="O253" t="s">
        <v>343</v>
      </c>
    </row>
    <row r="254" spans="1:15" x14ac:dyDescent="0.3">
      <c r="A254">
        <v>447</v>
      </c>
      <c r="B254" t="s">
        <v>323</v>
      </c>
      <c r="C254">
        <v>128</v>
      </c>
      <c r="D254" t="s">
        <v>57</v>
      </c>
      <c r="E254">
        <v>441</v>
      </c>
      <c r="F254" t="s">
        <v>1266</v>
      </c>
      <c r="G254">
        <v>2</v>
      </c>
      <c r="H254">
        <v>0</v>
      </c>
      <c r="I254">
        <v>0</v>
      </c>
      <c r="J254">
        <v>0</v>
      </c>
      <c r="K254">
        <v>1</v>
      </c>
      <c r="L254">
        <v>1</v>
      </c>
      <c r="M254">
        <v>0</v>
      </c>
      <c r="N254" t="s">
        <v>325</v>
      </c>
      <c r="O254" t="s">
        <v>326</v>
      </c>
    </row>
    <row r="255" spans="1:15" x14ac:dyDescent="0.3">
      <c r="A255">
        <v>447</v>
      </c>
      <c r="B255" t="s">
        <v>323</v>
      </c>
      <c r="C255">
        <v>128</v>
      </c>
      <c r="D255" t="s">
        <v>57</v>
      </c>
      <c r="E255">
        <v>443</v>
      </c>
      <c r="F255" t="s">
        <v>317</v>
      </c>
      <c r="G255">
        <v>0</v>
      </c>
      <c r="H255">
        <v>0</v>
      </c>
      <c r="I255">
        <v>0</v>
      </c>
      <c r="J255">
        <v>0</v>
      </c>
      <c r="K255">
        <v>0</v>
      </c>
      <c r="L255">
        <v>0</v>
      </c>
      <c r="M255">
        <v>0</v>
      </c>
      <c r="N255" t="s">
        <v>333</v>
      </c>
      <c r="O255" t="s">
        <v>326</v>
      </c>
    </row>
    <row r="256" spans="1:15" x14ac:dyDescent="0.3">
      <c r="A256">
        <v>447</v>
      </c>
      <c r="B256" t="s">
        <v>323</v>
      </c>
      <c r="C256">
        <v>128</v>
      </c>
      <c r="D256" t="s">
        <v>57</v>
      </c>
      <c r="E256">
        <v>445</v>
      </c>
      <c r="F256" t="s">
        <v>640</v>
      </c>
      <c r="G256">
        <v>0</v>
      </c>
      <c r="H256">
        <v>0</v>
      </c>
      <c r="I256">
        <v>0</v>
      </c>
      <c r="J256">
        <v>0</v>
      </c>
      <c r="K256">
        <v>0</v>
      </c>
      <c r="L256">
        <v>0</v>
      </c>
      <c r="M256">
        <v>0</v>
      </c>
      <c r="N256" t="s">
        <v>333</v>
      </c>
      <c r="O256" t="s">
        <v>336</v>
      </c>
    </row>
    <row r="257" spans="1:15" x14ac:dyDescent="0.3">
      <c r="A257">
        <v>447</v>
      </c>
      <c r="B257" t="s">
        <v>323</v>
      </c>
      <c r="C257">
        <v>128</v>
      </c>
      <c r="D257" t="s">
        <v>57</v>
      </c>
      <c r="E257">
        <v>446</v>
      </c>
      <c r="F257" t="s">
        <v>1232</v>
      </c>
      <c r="G257">
        <v>1</v>
      </c>
      <c r="H257">
        <v>0</v>
      </c>
      <c r="I257">
        <v>0</v>
      </c>
      <c r="J257">
        <v>0</v>
      </c>
      <c r="K257">
        <v>0</v>
      </c>
      <c r="L257">
        <v>1</v>
      </c>
      <c r="M257">
        <v>0</v>
      </c>
      <c r="N257" t="s">
        <v>333</v>
      </c>
      <c r="O257" t="s">
        <v>326</v>
      </c>
    </row>
    <row r="258" spans="1:15" x14ac:dyDescent="0.3">
      <c r="A258">
        <v>447</v>
      </c>
      <c r="B258" t="s">
        <v>323</v>
      </c>
      <c r="C258">
        <v>128</v>
      </c>
      <c r="D258" t="s">
        <v>57</v>
      </c>
      <c r="E258">
        <v>447</v>
      </c>
      <c r="F258" t="s">
        <v>1267</v>
      </c>
      <c r="G258">
        <v>0</v>
      </c>
      <c r="H258">
        <v>0</v>
      </c>
      <c r="I258">
        <v>0</v>
      </c>
      <c r="J258">
        <v>0</v>
      </c>
      <c r="K258">
        <v>0</v>
      </c>
      <c r="L258">
        <v>0</v>
      </c>
      <c r="M258">
        <v>0</v>
      </c>
      <c r="N258" t="s">
        <v>410</v>
      </c>
      <c r="O258" t="s">
        <v>348</v>
      </c>
    </row>
    <row r="259" spans="1:15" x14ac:dyDescent="0.3">
      <c r="A259">
        <v>447</v>
      </c>
      <c r="B259" t="s">
        <v>323</v>
      </c>
      <c r="C259">
        <v>128</v>
      </c>
      <c r="D259" t="s">
        <v>57</v>
      </c>
      <c r="E259">
        <v>448</v>
      </c>
      <c r="F259" t="s">
        <v>1268</v>
      </c>
      <c r="G259">
        <v>7</v>
      </c>
      <c r="H259">
        <v>2</v>
      </c>
      <c r="I259">
        <v>0</v>
      </c>
      <c r="J259">
        <v>1</v>
      </c>
      <c r="K259">
        <v>2</v>
      </c>
      <c r="L259">
        <v>1</v>
      </c>
      <c r="M259">
        <v>1</v>
      </c>
      <c r="N259" t="s">
        <v>333</v>
      </c>
      <c r="O259" t="s">
        <v>329</v>
      </c>
    </row>
    <row r="260" spans="1:15" x14ac:dyDescent="0.3">
      <c r="A260">
        <v>449</v>
      </c>
      <c r="B260" t="s">
        <v>323</v>
      </c>
      <c r="C260">
        <v>130</v>
      </c>
      <c r="D260" t="s">
        <v>61</v>
      </c>
      <c r="E260">
        <v>761</v>
      </c>
      <c r="F260" t="s">
        <v>503</v>
      </c>
      <c r="G260">
        <v>5</v>
      </c>
      <c r="H260">
        <v>0</v>
      </c>
      <c r="I260">
        <v>1</v>
      </c>
      <c r="J260">
        <v>3</v>
      </c>
      <c r="K260">
        <v>1</v>
      </c>
      <c r="L260">
        <v>0</v>
      </c>
      <c r="M260">
        <v>0</v>
      </c>
      <c r="N260" t="s">
        <v>325</v>
      </c>
      <c r="O260" t="s">
        <v>336</v>
      </c>
    </row>
    <row r="261" spans="1:15" x14ac:dyDescent="0.3">
      <c r="A261">
        <v>449</v>
      </c>
      <c r="B261" t="s">
        <v>323</v>
      </c>
      <c r="C261">
        <v>130</v>
      </c>
      <c r="D261" t="s">
        <v>61</v>
      </c>
      <c r="E261">
        <v>762</v>
      </c>
      <c r="F261" t="s">
        <v>504</v>
      </c>
      <c r="G261">
        <v>3</v>
      </c>
      <c r="H261">
        <v>1</v>
      </c>
      <c r="I261">
        <v>1</v>
      </c>
      <c r="J261">
        <v>0</v>
      </c>
      <c r="K261">
        <v>0</v>
      </c>
      <c r="L261">
        <v>1</v>
      </c>
      <c r="M261">
        <v>0</v>
      </c>
      <c r="N261" t="s">
        <v>333</v>
      </c>
      <c r="O261" t="s">
        <v>348</v>
      </c>
    </row>
    <row r="262" spans="1:15" x14ac:dyDescent="0.3">
      <c r="A262">
        <v>449</v>
      </c>
      <c r="B262" t="s">
        <v>323</v>
      </c>
      <c r="C262">
        <v>130</v>
      </c>
      <c r="D262" t="s">
        <v>61</v>
      </c>
      <c r="E262">
        <v>763</v>
      </c>
      <c r="F262" t="s">
        <v>505</v>
      </c>
      <c r="G262">
        <v>5</v>
      </c>
      <c r="H262">
        <v>0</v>
      </c>
      <c r="I262">
        <v>0</v>
      </c>
      <c r="J262">
        <v>3</v>
      </c>
      <c r="K262">
        <v>0</v>
      </c>
      <c r="L262">
        <v>2</v>
      </c>
      <c r="M262">
        <v>0</v>
      </c>
      <c r="N262" t="s">
        <v>333</v>
      </c>
      <c r="O262" t="s">
        <v>336</v>
      </c>
    </row>
    <row r="263" spans="1:15" x14ac:dyDescent="0.3">
      <c r="A263">
        <v>449</v>
      </c>
      <c r="B263" t="s">
        <v>323</v>
      </c>
      <c r="C263">
        <v>130</v>
      </c>
      <c r="D263" t="s">
        <v>61</v>
      </c>
      <c r="E263">
        <v>765</v>
      </c>
      <c r="F263" t="s">
        <v>506</v>
      </c>
      <c r="G263">
        <v>0</v>
      </c>
      <c r="H263">
        <v>0</v>
      </c>
      <c r="I263">
        <v>0</v>
      </c>
      <c r="J263">
        <v>0</v>
      </c>
      <c r="K263">
        <v>0</v>
      </c>
      <c r="L263">
        <v>0</v>
      </c>
      <c r="M263">
        <v>0</v>
      </c>
      <c r="N263" t="s">
        <v>333</v>
      </c>
      <c r="O263" t="s">
        <v>336</v>
      </c>
    </row>
    <row r="264" spans="1:15" x14ac:dyDescent="0.3">
      <c r="A264">
        <v>449</v>
      </c>
      <c r="B264" t="s">
        <v>323</v>
      </c>
      <c r="C264">
        <v>130</v>
      </c>
      <c r="D264" t="s">
        <v>61</v>
      </c>
      <c r="E264">
        <v>766</v>
      </c>
      <c r="F264" t="s">
        <v>507</v>
      </c>
      <c r="G264">
        <v>0</v>
      </c>
      <c r="H264">
        <v>0</v>
      </c>
      <c r="I264">
        <v>0</v>
      </c>
      <c r="J264">
        <v>0</v>
      </c>
      <c r="K264">
        <v>0</v>
      </c>
      <c r="L264">
        <v>0</v>
      </c>
      <c r="M264">
        <v>0</v>
      </c>
      <c r="N264" t="s">
        <v>333</v>
      </c>
      <c r="O264" t="s">
        <v>348</v>
      </c>
    </row>
    <row r="265" spans="1:15" x14ac:dyDescent="0.3">
      <c r="A265">
        <v>449</v>
      </c>
      <c r="B265" t="s">
        <v>323</v>
      </c>
      <c r="C265">
        <v>130</v>
      </c>
      <c r="D265" t="s">
        <v>61</v>
      </c>
      <c r="E265">
        <v>767</v>
      </c>
      <c r="F265" t="s">
        <v>508</v>
      </c>
      <c r="G265">
        <v>2</v>
      </c>
      <c r="H265">
        <v>0</v>
      </c>
      <c r="I265">
        <v>0</v>
      </c>
      <c r="J265">
        <v>1</v>
      </c>
      <c r="K265">
        <v>0</v>
      </c>
      <c r="L265">
        <v>1</v>
      </c>
      <c r="M265">
        <v>0</v>
      </c>
      <c r="N265" t="s">
        <v>333</v>
      </c>
      <c r="O265" t="s">
        <v>336</v>
      </c>
    </row>
    <row r="266" spans="1:15" x14ac:dyDescent="0.3">
      <c r="A266">
        <v>449</v>
      </c>
      <c r="B266" t="s">
        <v>323</v>
      </c>
      <c r="C266">
        <v>130</v>
      </c>
      <c r="D266" t="s">
        <v>61</v>
      </c>
      <c r="E266">
        <v>769</v>
      </c>
      <c r="F266" t="s">
        <v>510</v>
      </c>
      <c r="G266">
        <v>3</v>
      </c>
      <c r="H266">
        <v>0</v>
      </c>
      <c r="I266">
        <v>0</v>
      </c>
      <c r="J266">
        <v>2</v>
      </c>
      <c r="K266">
        <v>0</v>
      </c>
      <c r="L266">
        <v>1</v>
      </c>
      <c r="M266">
        <v>0</v>
      </c>
      <c r="N266" t="s">
        <v>333</v>
      </c>
      <c r="O266" t="s">
        <v>336</v>
      </c>
    </row>
    <row r="267" spans="1:15" x14ac:dyDescent="0.3">
      <c r="A267">
        <v>449</v>
      </c>
      <c r="B267" t="s">
        <v>323</v>
      </c>
      <c r="C267">
        <v>130</v>
      </c>
      <c r="D267" t="s">
        <v>61</v>
      </c>
      <c r="E267">
        <v>770</v>
      </c>
      <c r="F267" t="s">
        <v>511</v>
      </c>
      <c r="G267">
        <v>4</v>
      </c>
      <c r="H267">
        <v>2</v>
      </c>
      <c r="I267">
        <v>0</v>
      </c>
      <c r="J267">
        <v>1</v>
      </c>
      <c r="K267">
        <v>0</v>
      </c>
      <c r="L267">
        <v>1</v>
      </c>
      <c r="M267">
        <v>0</v>
      </c>
      <c r="N267" t="s">
        <v>325</v>
      </c>
      <c r="O267" t="s">
        <v>484</v>
      </c>
    </row>
    <row r="268" spans="1:15" x14ac:dyDescent="0.3">
      <c r="A268">
        <v>449</v>
      </c>
      <c r="B268" t="s">
        <v>323</v>
      </c>
      <c r="C268">
        <v>130</v>
      </c>
      <c r="D268" t="s">
        <v>61</v>
      </c>
      <c r="E268">
        <v>773</v>
      </c>
      <c r="F268" t="s">
        <v>376</v>
      </c>
      <c r="G268">
        <v>3</v>
      </c>
      <c r="H268">
        <v>0</v>
      </c>
      <c r="I268">
        <v>0</v>
      </c>
      <c r="J268">
        <v>1</v>
      </c>
      <c r="K268">
        <v>0</v>
      </c>
      <c r="L268">
        <v>2</v>
      </c>
      <c r="M268">
        <v>0</v>
      </c>
      <c r="N268" t="s">
        <v>333</v>
      </c>
      <c r="O268" t="s">
        <v>336</v>
      </c>
    </row>
    <row r="269" spans="1:15" x14ac:dyDescent="0.3">
      <c r="A269">
        <v>449</v>
      </c>
      <c r="B269" t="s">
        <v>323</v>
      </c>
      <c r="C269">
        <v>130</v>
      </c>
      <c r="D269" t="s">
        <v>61</v>
      </c>
      <c r="E269">
        <v>1470</v>
      </c>
      <c r="F269" t="s">
        <v>512</v>
      </c>
      <c r="G269">
        <v>4</v>
      </c>
      <c r="H269">
        <v>0</v>
      </c>
      <c r="I269">
        <v>3</v>
      </c>
      <c r="J269">
        <v>0</v>
      </c>
      <c r="K269">
        <v>0</v>
      </c>
      <c r="L269">
        <v>1</v>
      </c>
      <c r="M269">
        <v>0</v>
      </c>
      <c r="N269" t="s">
        <v>325</v>
      </c>
      <c r="O269" t="s">
        <v>336</v>
      </c>
    </row>
    <row r="270" spans="1:15" x14ac:dyDescent="0.3">
      <c r="A270">
        <v>449</v>
      </c>
      <c r="B270" t="s">
        <v>323</v>
      </c>
      <c r="C270">
        <v>130</v>
      </c>
      <c r="D270" t="s">
        <v>61</v>
      </c>
      <c r="E270">
        <v>1471</v>
      </c>
      <c r="F270" t="s">
        <v>513</v>
      </c>
      <c r="G270">
        <v>5</v>
      </c>
      <c r="H270">
        <v>0</v>
      </c>
      <c r="I270">
        <v>2</v>
      </c>
      <c r="J270">
        <v>1</v>
      </c>
      <c r="K270">
        <v>0</v>
      </c>
      <c r="L270">
        <v>2</v>
      </c>
      <c r="M270">
        <v>0</v>
      </c>
      <c r="N270" t="s">
        <v>333</v>
      </c>
      <c r="O270" t="s">
        <v>336</v>
      </c>
    </row>
    <row r="271" spans="1:15" x14ac:dyDescent="0.3">
      <c r="A271">
        <v>449</v>
      </c>
      <c r="B271" t="s">
        <v>323</v>
      </c>
      <c r="C271">
        <v>130</v>
      </c>
      <c r="D271" t="s">
        <v>61</v>
      </c>
      <c r="E271">
        <v>1741</v>
      </c>
      <c r="F271" t="s">
        <v>355</v>
      </c>
      <c r="G271">
        <v>1</v>
      </c>
      <c r="H271">
        <v>0</v>
      </c>
      <c r="I271">
        <v>0</v>
      </c>
      <c r="J271">
        <v>1</v>
      </c>
      <c r="K271">
        <v>0</v>
      </c>
      <c r="L271">
        <v>0</v>
      </c>
      <c r="M271">
        <v>0</v>
      </c>
      <c r="N271" t="s">
        <v>333</v>
      </c>
      <c r="O271" t="s">
        <v>484</v>
      </c>
    </row>
    <row r="272" spans="1:15" x14ac:dyDescent="0.3">
      <c r="A272">
        <v>449</v>
      </c>
      <c r="B272" t="s">
        <v>323</v>
      </c>
      <c r="C272">
        <v>130</v>
      </c>
      <c r="D272" t="s">
        <v>61</v>
      </c>
      <c r="E272">
        <v>1742</v>
      </c>
      <c r="F272" t="s">
        <v>1272</v>
      </c>
      <c r="G272">
        <v>1</v>
      </c>
      <c r="H272">
        <v>0</v>
      </c>
      <c r="I272">
        <v>0</v>
      </c>
      <c r="J272">
        <v>1</v>
      </c>
      <c r="K272">
        <v>0</v>
      </c>
      <c r="L272">
        <v>0</v>
      </c>
      <c r="M272">
        <v>0</v>
      </c>
      <c r="N272" t="s">
        <v>333</v>
      </c>
      <c r="O272" t="s">
        <v>484</v>
      </c>
    </row>
    <row r="273" spans="1:15" x14ac:dyDescent="0.3">
      <c r="A273">
        <v>449</v>
      </c>
      <c r="B273" t="s">
        <v>323</v>
      </c>
      <c r="C273">
        <v>130</v>
      </c>
      <c r="D273" t="s">
        <v>61</v>
      </c>
      <c r="E273">
        <v>1743</v>
      </c>
      <c r="F273" t="s">
        <v>1273</v>
      </c>
      <c r="G273">
        <v>4</v>
      </c>
      <c r="H273">
        <v>0</v>
      </c>
      <c r="I273">
        <v>0</v>
      </c>
      <c r="J273">
        <v>0</v>
      </c>
      <c r="K273">
        <v>1</v>
      </c>
      <c r="L273">
        <v>3</v>
      </c>
      <c r="M273">
        <v>0</v>
      </c>
      <c r="N273" t="s">
        <v>333</v>
      </c>
      <c r="O273" t="s">
        <v>336</v>
      </c>
    </row>
    <row r="274" spans="1:15" x14ac:dyDescent="0.3">
      <c r="A274">
        <v>449</v>
      </c>
      <c r="B274" t="s">
        <v>323</v>
      </c>
      <c r="C274">
        <v>130</v>
      </c>
      <c r="D274" t="s">
        <v>61</v>
      </c>
      <c r="E274">
        <v>1744</v>
      </c>
      <c r="F274" t="s">
        <v>1274</v>
      </c>
      <c r="G274">
        <v>4</v>
      </c>
      <c r="H274">
        <v>0</v>
      </c>
      <c r="I274">
        <v>1</v>
      </c>
      <c r="J274">
        <v>0</v>
      </c>
      <c r="K274">
        <v>1</v>
      </c>
      <c r="L274">
        <v>2</v>
      </c>
      <c r="M274">
        <v>0</v>
      </c>
      <c r="N274" t="s">
        <v>333</v>
      </c>
      <c r="O274" t="s">
        <v>336</v>
      </c>
    </row>
    <row r="275" spans="1:15" x14ac:dyDescent="0.3">
      <c r="A275">
        <v>449</v>
      </c>
      <c r="B275" t="s">
        <v>323</v>
      </c>
      <c r="C275">
        <v>130</v>
      </c>
      <c r="D275" t="s">
        <v>61</v>
      </c>
      <c r="E275">
        <v>1745</v>
      </c>
      <c r="F275" t="s">
        <v>1275</v>
      </c>
      <c r="G275">
        <v>4</v>
      </c>
      <c r="H275">
        <v>0</v>
      </c>
      <c r="I275">
        <v>0</v>
      </c>
      <c r="J275">
        <v>2</v>
      </c>
      <c r="K275">
        <v>1</v>
      </c>
      <c r="L275">
        <v>1</v>
      </c>
      <c r="M275">
        <v>0</v>
      </c>
      <c r="N275" t="s">
        <v>333</v>
      </c>
      <c r="O275" t="s">
        <v>336</v>
      </c>
    </row>
    <row r="276" spans="1:15" x14ac:dyDescent="0.3">
      <c r="A276">
        <v>450</v>
      </c>
      <c r="B276" t="s">
        <v>323</v>
      </c>
      <c r="C276">
        <v>131</v>
      </c>
      <c r="D276" t="s">
        <v>63</v>
      </c>
      <c r="E276">
        <v>625</v>
      </c>
      <c r="F276" t="s">
        <v>393</v>
      </c>
      <c r="G276">
        <v>3</v>
      </c>
      <c r="H276">
        <v>0</v>
      </c>
      <c r="I276">
        <v>1</v>
      </c>
      <c r="J276">
        <v>2</v>
      </c>
      <c r="K276">
        <v>0</v>
      </c>
      <c r="L276">
        <v>0</v>
      </c>
      <c r="M276">
        <v>0</v>
      </c>
      <c r="N276" t="s">
        <v>410</v>
      </c>
      <c r="O276" t="s">
        <v>336</v>
      </c>
    </row>
    <row r="277" spans="1:15" x14ac:dyDescent="0.3">
      <c r="A277">
        <v>450</v>
      </c>
      <c r="B277" t="s">
        <v>323</v>
      </c>
      <c r="C277">
        <v>131</v>
      </c>
      <c r="D277" t="s">
        <v>63</v>
      </c>
      <c r="E277">
        <v>626</v>
      </c>
      <c r="F277" t="s">
        <v>514</v>
      </c>
      <c r="G277">
        <v>5</v>
      </c>
      <c r="H277">
        <v>0</v>
      </c>
      <c r="I277">
        <v>2</v>
      </c>
      <c r="J277">
        <v>2</v>
      </c>
      <c r="K277">
        <v>0</v>
      </c>
      <c r="L277">
        <v>0</v>
      </c>
      <c r="M277">
        <v>1</v>
      </c>
      <c r="N277" t="s">
        <v>333</v>
      </c>
      <c r="O277" t="s">
        <v>484</v>
      </c>
    </row>
    <row r="278" spans="1:15" x14ac:dyDescent="0.3">
      <c r="A278">
        <v>450</v>
      </c>
      <c r="B278" t="s">
        <v>323</v>
      </c>
      <c r="C278">
        <v>131</v>
      </c>
      <c r="D278" t="s">
        <v>63</v>
      </c>
      <c r="E278">
        <v>627</v>
      </c>
      <c r="F278" t="s">
        <v>515</v>
      </c>
      <c r="G278">
        <v>6</v>
      </c>
      <c r="H278">
        <v>1</v>
      </c>
      <c r="I278">
        <v>1</v>
      </c>
      <c r="J278">
        <v>2</v>
      </c>
      <c r="K278">
        <v>0</v>
      </c>
      <c r="L278">
        <v>1</v>
      </c>
      <c r="M278">
        <v>1</v>
      </c>
      <c r="N278" t="s">
        <v>333</v>
      </c>
      <c r="O278" t="s">
        <v>484</v>
      </c>
    </row>
    <row r="279" spans="1:15" x14ac:dyDescent="0.3">
      <c r="A279">
        <v>450</v>
      </c>
      <c r="B279" t="s">
        <v>323</v>
      </c>
      <c r="C279">
        <v>131</v>
      </c>
      <c r="D279" t="s">
        <v>63</v>
      </c>
      <c r="E279">
        <v>628</v>
      </c>
      <c r="F279" t="s">
        <v>516</v>
      </c>
      <c r="G279">
        <v>1</v>
      </c>
      <c r="H279">
        <v>0</v>
      </c>
      <c r="I279">
        <v>0</v>
      </c>
      <c r="J279">
        <v>1</v>
      </c>
      <c r="K279">
        <v>0</v>
      </c>
      <c r="L279">
        <v>0</v>
      </c>
      <c r="M279">
        <v>0</v>
      </c>
      <c r="N279" t="s">
        <v>333</v>
      </c>
      <c r="O279" t="s">
        <v>336</v>
      </c>
    </row>
    <row r="280" spans="1:15" x14ac:dyDescent="0.3">
      <c r="A280">
        <v>450</v>
      </c>
      <c r="B280" t="s">
        <v>323</v>
      </c>
      <c r="C280">
        <v>131</v>
      </c>
      <c r="D280" t="s">
        <v>63</v>
      </c>
      <c r="E280">
        <v>632</v>
      </c>
      <c r="F280" t="s">
        <v>518</v>
      </c>
      <c r="G280">
        <v>0</v>
      </c>
      <c r="H280">
        <v>0</v>
      </c>
      <c r="I280">
        <v>0</v>
      </c>
      <c r="J280">
        <v>0</v>
      </c>
      <c r="K280">
        <v>0</v>
      </c>
      <c r="L280">
        <v>0</v>
      </c>
      <c r="M280">
        <v>0</v>
      </c>
      <c r="N280" t="s">
        <v>325</v>
      </c>
      <c r="O280" t="s">
        <v>348</v>
      </c>
    </row>
    <row r="281" spans="1:15" x14ac:dyDescent="0.3">
      <c r="A281">
        <v>450</v>
      </c>
      <c r="B281" t="s">
        <v>323</v>
      </c>
      <c r="C281">
        <v>131</v>
      </c>
      <c r="D281" t="s">
        <v>63</v>
      </c>
      <c r="E281">
        <v>633</v>
      </c>
      <c r="F281" t="s">
        <v>350</v>
      </c>
      <c r="G281">
        <v>0</v>
      </c>
      <c r="H281">
        <v>0</v>
      </c>
      <c r="I281">
        <v>0</v>
      </c>
      <c r="J281">
        <v>0</v>
      </c>
      <c r="K281">
        <v>0</v>
      </c>
      <c r="L281">
        <v>0</v>
      </c>
      <c r="M281">
        <v>0</v>
      </c>
      <c r="N281" t="s">
        <v>333</v>
      </c>
      <c r="O281" t="s">
        <v>336</v>
      </c>
    </row>
    <row r="282" spans="1:15" x14ac:dyDescent="0.3">
      <c r="A282">
        <v>450</v>
      </c>
      <c r="B282" t="s">
        <v>323</v>
      </c>
      <c r="C282">
        <v>131</v>
      </c>
      <c r="D282" t="s">
        <v>63</v>
      </c>
      <c r="E282">
        <v>1840</v>
      </c>
      <c r="F282" t="s">
        <v>1276</v>
      </c>
      <c r="G282">
        <v>2</v>
      </c>
      <c r="H282">
        <v>0</v>
      </c>
      <c r="I282">
        <v>2</v>
      </c>
      <c r="J282">
        <v>0</v>
      </c>
      <c r="K282">
        <v>0</v>
      </c>
      <c r="L282">
        <v>0</v>
      </c>
      <c r="M282">
        <v>0</v>
      </c>
      <c r="N282" t="s">
        <v>333</v>
      </c>
      <c r="O282" t="s">
        <v>484</v>
      </c>
    </row>
    <row r="283" spans="1:15" x14ac:dyDescent="0.3">
      <c r="A283">
        <v>450</v>
      </c>
      <c r="B283" t="s">
        <v>323</v>
      </c>
      <c r="C283">
        <v>131</v>
      </c>
      <c r="D283" t="s">
        <v>63</v>
      </c>
      <c r="E283">
        <v>1841</v>
      </c>
      <c r="F283" t="s">
        <v>1277</v>
      </c>
      <c r="G283">
        <v>2</v>
      </c>
      <c r="H283">
        <v>0</v>
      </c>
      <c r="I283">
        <v>2</v>
      </c>
      <c r="J283">
        <v>0</v>
      </c>
      <c r="K283">
        <v>0</v>
      </c>
      <c r="L283">
        <v>0</v>
      </c>
      <c r="M283">
        <v>0</v>
      </c>
      <c r="N283" t="s">
        <v>333</v>
      </c>
      <c r="O283" t="s">
        <v>329</v>
      </c>
    </row>
    <row r="284" spans="1:15" x14ac:dyDescent="0.3">
      <c r="A284">
        <v>452</v>
      </c>
      <c r="B284" t="s">
        <v>323</v>
      </c>
      <c r="C284">
        <v>133</v>
      </c>
      <c r="D284" t="s">
        <v>1199</v>
      </c>
      <c r="E284">
        <v>1865</v>
      </c>
      <c r="F284" t="s">
        <v>1278</v>
      </c>
      <c r="G284">
        <v>3</v>
      </c>
      <c r="H284">
        <v>0</v>
      </c>
      <c r="I284">
        <v>0</v>
      </c>
      <c r="J284">
        <v>0</v>
      </c>
      <c r="K284">
        <v>1</v>
      </c>
      <c r="L284">
        <v>2</v>
      </c>
      <c r="M284">
        <v>0</v>
      </c>
      <c r="N284" t="s">
        <v>333</v>
      </c>
      <c r="O284" t="s">
        <v>326</v>
      </c>
    </row>
    <row r="285" spans="1:15" x14ac:dyDescent="0.3">
      <c r="A285">
        <v>452</v>
      </c>
      <c r="B285" t="s">
        <v>323</v>
      </c>
      <c r="C285">
        <v>133</v>
      </c>
      <c r="D285" t="s">
        <v>1199</v>
      </c>
      <c r="E285">
        <v>1866</v>
      </c>
      <c r="F285" t="s">
        <v>393</v>
      </c>
      <c r="G285">
        <v>4</v>
      </c>
      <c r="H285">
        <v>0</v>
      </c>
      <c r="I285">
        <v>0</v>
      </c>
      <c r="J285">
        <v>3</v>
      </c>
      <c r="K285">
        <v>0</v>
      </c>
      <c r="L285">
        <v>0</v>
      </c>
      <c r="M285">
        <v>1</v>
      </c>
      <c r="N285" t="s">
        <v>325</v>
      </c>
      <c r="O285" t="s">
        <v>336</v>
      </c>
    </row>
    <row r="286" spans="1:15" x14ac:dyDescent="0.3">
      <c r="A286">
        <v>452</v>
      </c>
      <c r="B286" t="s">
        <v>323</v>
      </c>
      <c r="C286">
        <v>133</v>
      </c>
      <c r="D286" t="s">
        <v>1199</v>
      </c>
      <c r="E286">
        <v>1867</v>
      </c>
      <c r="F286" t="s">
        <v>1279</v>
      </c>
      <c r="G286">
        <v>5</v>
      </c>
      <c r="H286">
        <v>0</v>
      </c>
      <c r="I286">
        <v>2</v>
      </c>
      <c r="J286">
        <v>3</v>
      </c>
      <c r="K286">
        <v>0</v>
      </c>
      <c r="L286">
        <v>0</v>
      </c>
      <c r="M286">
        <v>0</v>
      </c>
      <c r="N286" t="s">
        <v>325</v>
      </c>
      <c r="O286" t="s">
        <v>336</v>
      </c>
    </row>
    <row r="287" spans="1:15" x14ac:dyDescent="0.3">
      <c r="A287">
        <v>452</v>
      </c>
      <c r="B287" t="s">
        <v>323</v>
      </c>
      <c r="C287">
        <v>133</v>
      </c>
      <c r="D287" t="s">
        <v>1199</v>
      </c>
      <c r="E287">
        <v>1868</v>
      </c>
      <c r="F287" t="s">
        <v>1277</v>
      </c>
      <c r="G287">
        <v>6</v>
      </c>
      <c r="H287">
        <v>2</v>
      </c>
      <c r="I287">
        <v>0</v>
      </c>
      <c r="J287">
        <v>2</v>
      </c>
      <c r="K287">
        <v>2</v>
      </c>
      <c r="L287">
        <v>0</v>
      </c>
      <c r="M287">
        <v>0</v>
      </c>
      <c r="N287" t="s">
        <v>325</v>
      </c>
      <c r="O287" t="s">
        <v>348</v>
      </c>
    </row>
    <row r="288" spans="1:15" x14ac:dyDescent="0.3">
      <c r="A288">
        <v>452</v>
      </c>
      <c r="B288" t="s">
        <v>323</v>
      </c>
      <c r="C288">
        <v>133</v>
      </c>
      <c r="D288" t="s">
        <v>1199</v>
      </c>
      <c r="E288">
        <v>1869</v>
      </c>
      <c r="F288" t="s">
        <v>1280</v>
      </c>
      <c r="G288">
        <v>4</v>
      </c>
      <c r="H288">
        <v>0</v>
      </c>
      <c r="I288">
        <v>3</v>
      </c>
      <c r="J288">
        <v>0</v>
      </c>
      <c r="K288">
        <v>1</v>
      </c>
      <c r="L288">
        <v>0</v>
      </c>
      <c r="M288">
        <v>0</v>
      </c>
      <c r="N288" t="s">
        <v>325</v>
      </c>
      <c r="O288" t="s">
        <v>329</v>
      </c>
    </row>
    <row r="289" spans="1:15" x14ac:dyDescent="0.3">
      <c r="A289">
        <v>452</v>
      </c>
      <c r="B289" t="s">
        <v>323</v>
      </c>
      <c r="C289">
        <v>133</v>
      </c>
      <c r="D289" t="s">
        <v>1199</v>
      </c>
      <c r="E289">
        <v>1870</v>
      </c>
      <c r="F289" t="s">
        <v>1234</v>
      </c>
      <c r="G289">
        <v>3</v>
      </c>
      <c r="H289">
        <v>0</v>
      </c>
      <c r="I289">
        <v>0</v>
      </c>
      <c r="J289">
        <v>0</v>
      </c>
      <c r="K289">
        <v>2</v>
      </c>
      <c r="L289">
        <v>1</v>
      </c>
      <c r="M289">
        <v>0</v>
      </c>
      <c r="N289" t="s">
        <v>325</v>
      </c>
      <c r="O289" t="s">
        <v>326</v>
      </c>
    </row>
    <row r="290" spans="1:15" x14ac:dyDescent="0.3">
      <c r="A290">
        <v>453</v>
      </c>
      <c r="B290" t="s">
        <v>323</v>
      </c>
      <c r="C290">
        <v>134</v>
      </c>
      <c r="D290" t="s">
        <v>69</v>
      </c>
      <c r="E290">
        <v>784</v>
      </c>
      <c r="F290" t="s">
        <v>1281</v>
      </c>
      <c r="G290">
        <v>6</v>
      </c>
      <c r="H290">
        <v>0</v>
      </c>
      <c r="I290">
        <v>0</v>
      </c>
      <c r="J290">
        <v>0</v>
      </c>
      <c r="K290">
        <v>0</v>
      </c>
      <c r="L290">
        <v>0</v>
      </c>
      <c r="M290">
        <v>6</v>
      </c>
      <c r="N290" t="s">
        <v>333</v>
      </c>
      <c r="O290" t="s">
        <v>343</v>
      </c>
    </row>
    <row r="291" spans="1:15" x14ac:dyDescent="0.3">
      <c r="A291">
        <v>453</v>
      </c>
      <c r="B291" t="s">
        <v>323</v>
      </c>
      <c r="C291">
        <v>134</v>
      </c>
      <c r="D291" t="s">
        <v>69</v>
      </c>
      <c r="E291">
        <v>785</v>
      </c>
      <c r="F291" t="s">
        <v>1282</v>
      </c>
      <c r="G291">
        <v>8</v>
      </c>
      <c r="H291">
        <v>0</v>
      </c>
      <c r="I291">
        <v>0</v>
      </c>
      <c r="J291">
        <v>0</v>
      </c>
      <c r="K291">
        <v>0</v>
      </c>
      <c r="L291">
        <v>0</v>
      </c>
      <c r="M291">
        <v>8</v>
      </c>
      <c r="N291" t="s">
        <v>325</v>
      </c>
      <c r="O291" t="s">
        <v>336</v>
      </c>
    </row>
    <row r="292" spans="1:15" x14ac:dyDescent="0.3">
      <c r="A292">
        <v>453</v>
      </c>
      <c r="B292" t="s">
        <v>323</v>
      </c>
      <c r="C292">
        <v>134</v>
      </c>
      <c r="D292" t="s">
        <v>69</v>
      </c>
      <c r="E292">
        <v>786</v>
      </c>
      <c r="F292" t="s">
        <v>1283</v>
      </c>
      <c r="G292">
        <v>5</v>
      </c>
      <c r="H292">
        <v>0</v>
      </c>
      <c r="I292">
        <v>0</v>
      </c>
      <c r="J292">
        <v>0</v>
      </c>
      <c r="K292">
        <v>0</v>
      </c>
      <c r="L292">
        <v>0</v>
      </c>
      <c r="M292">
        <v>5</v>
      </c>
      <c r="N292" t="s">
        <v>325</v>
      </c>
      <c r="O292" t="s">
        <v>336</v>
      </c>
    </row>
    <row r="293" spans="1:15" x14ac:dyDescent="0.3">
      <c r="A293">
        <v>453</v>
      </c>
      <c r="B293" t="s">
        <v>323</v>
      </c>
      <c r="C293">
        <v>134</v>
      </c>
      <c r="D293" t="s">
        <v>69</v>
      </c>
      <c r="E293">
        <v>790</v>
      </c>
      <c r="F293" t="s">
        <v>1213</v>
      </c>
      <c r="G293">
        <v>12</v>
      </c>
      <c r="H293">
        <v>0</v>
      </c>
      <c r="I293">
        <v>0</v>
      </c>
      <c r="J293">
        <v>0</v>
      </c>
      <c r="K293">
        <v>0</v>
      </c>
      <c r="L293">
        <v>0</v>
      </c>
      <c r="M293">
        <v>12</v>
      </c>
      <c r="N293" t="s">
        <v>333</v>
      </c>
      <c r="O293" t="s">
        <v>336</v>
      </c>
    </row>
    <row r="294" spans="1:15" x14ac:dyDescent="0.3">
      <c r="A294">
        <v>453</v>
      </c>
      <c r="B294" t="s">
        <v>323</v>
      </c>
      <c r="C294">
        <v>134</v>
      </c>
      <c r="D294" t="s">
        <v>69</v>
      </c>
      <c r="E294">
        <v>791</v>
      </c>
      <c r="F294" t="s">
        <v>1274</v>
      </c>
      <c r="G294">
        <v>10</v>
      </c>
      <c r="H294">
        <v>0</v>
      </c>
      <c r="I294">
        <v>0</v>
      </c>
      <c r="J294">
        <v>0</v>
      </c>
      <c r="K294">
        <v>0</v>
      </c>
      <c r="L294">
        <v>0</v>
      </c>
      <c r="M294">
        <v>10</v>
      </c>
      <c r="N294" t="s">
        <v>325</v>
      </c>
      <c r="O294" t="s">
        <v>336</v>
      </c>
    </row>
    <row r="295" spans="1:15" x14ac:dyDescent="0.3">
      <c r="A295">
        <v>453</v>
      </c>
      <c r="B295" t="s">
        <v>323</v>
      </c>
      <c r="C295">
        <v>134</v>
      </c>
      <c r="D295" t="s">
        <v>69</v>
      </c>
      <c r="E295">
        <v>792</v>
      </c>
      <c r="F295" t="s">
        <v>1217</v>
      </c>
      <c r="G295">
        <v>8</v>
      </c>
      <c r="H295">
        <v>0</v>
      </c>
      <c r="I295">
        <v>0</v>
      </c>
      <c r="J295">
        <v>0</v>
      </c>
      <c r="K295">
        <v>0</v>
      </c>
      <c r="L295">
        <v>0</v>
      </c>
      <c r="M295">
        <v>8</v>
      </c>
      <c r="N295" t="s">
        <v>325</v>
      </c>
      <c r="O295" t="s">
        <v>336</v>
      </c>
    </row>
    <row r="296" spans="1:15" x14ac:dyDescent="0.3">
      <c r="A296">
        <v>453</v>
      </c>
      <c r="B296" t="s">
        <v>323</v>
      </c>
      <c r="C296">
        <v>134</v>
      </c>
      <c r="D296" t="s">
        <v>69</v>
      </c>
      <c r="E296">
        <v>793</v>
      </c>
      <c r="F296" t="s">
        <v>1284</v>
      </c>
      <c r="G296">
        <v>6</v>
      </c>
      <c r="H296">
        <v>0</v>
      </c>
      <c r="I296">
        <v>0</v>
      </c>
      <c r="J296">
        <v>0</v>
      </c>
      <c r="K296">
        <v>0</v>
      </c>
      <c r="L296">
        <v>0</v>
      </c>
      <c r="M296">
        <v>6</v>
      </c>
      <c r="N296" t="s">
        <v>333</v>
      </c>
      <c r="O296" t="s">
        <v>336</v>
      </c>
    </row>
    <row r="297" spans="1:15" x14ac:dyDescent="0.3">
      <c r="A297">
        <v>453</v>
      </c>
      <c r="B297" t="s">
        <v>323</v>
      </c>
      <c r="C297">
        <v>134</v>
      </c>
      <c r="D297" t="s">
        <v>69</v>
      </c>
      <c r="E297">
        <v>794</v>
      </c>
      <c r="F297" t="s">
        <v>1285</v>
      </c>
      <c r="G297">
        <v>6</v>
      </c>
      <c r="H297">
        <v>0</v>
      </c>
      <c r="I297">
        <v>0</v>
      </c>
      <c r="J297">
        <v>0</v>
      </c>
      <c r="K297">
        <v>0</v>
      </c>
      <c r="L297">
        <v>0</v>
      </c>
      <c r="M297">
        <v>6</v>
      </c>
      <c r="N297" t="s">
        <v>325</v>
      </c>
      <c r="O297" t="s">
        <v>336</v>
      </c>
    </row>
    <row r="298" spans="1:15" x14ac:dyDescent="0.3">
      <c r="A298">
        <v>453</v>
      </c>
      <c r="B298" t="s">
        <v>323</v>
      </c>
      <c r="C298">
        <v>134</v>
      </c>
      <c r="D298" t="s">
        <v>69</v>
      </c>
      <c r="E298">
        <v>795</v>
      </c>
      <c r="F298" t="s">
        <v>1286</v>
      </c>
      <c r="G298">
        <v>12</v>
      </c>
      <c r="H298">
        <v>0</v>
      </c>
      <c r="I298">
        <v>0</v>
      </c>
      <c r="J298">
        <v>0</v>
      </c>
      <c r="K298">
        <v>0</v>
      </c>
      <c r="L298">
        <v>0</v>
      </c>
      <c r="M298">
        <v>12</v>
      </c>
      <c r="N298" t="s">
        <v>333</v>
      </c>
      <c r="O298" t="s">
        <v>336</v>
      </c>
    </row>
    <row r="299" spans="1:15" x14ac:dyDescent="0.3">
      <c r="A299">
        <v>453</v>
      </c>
      <c r="B299" t="s">
        <v>323</v>
      </c>
      <c r="C299">
        <v>134</v>
      </c>
      <c r="D299" t="s">
        <v>69</v>
      </c>
      <c r="E299">
        <v>797</v>
      </c>
      <c r="F299" t="s">
        <v>1287</v>
      </c>
      <c r="G299">
        <v>6</v>
      </c>
      <c r="H299">
        <v>0</v>
      </c>
      <c r="I299">
        <v>0</v>
      </c>
      <c r="J299">
        <v>0</v>
      </c>
      <c r="K299">
        <v>0</v>
      </c>
      <c r="L299">
        <v>0</v>
      </c>
      <c r="M299">
        <v>6</v>
      </c>
      <c r="N299" t="s">
        <v>325</v>
      </c>
      <c r="O299" t="s">
        <v>336</v>
      </c>
    </row>
    <row r="300" spans="1:15" x14ac:dyDescent="0.3">
      <c r="A300">
        <v>453</v>
      </c>
      <c r="B300" t="s">
        <v>323</v>
      </c>
      <c r="C300">
        <v>134</v>
      </c>
      <c r="D300" t="s">
        <v>69</v>
      </c>
      <c r="E300">
        <v>798</v>
      </c>
      <c r="F300" t="s">
        <v>1288</v>
      </c>
      <c r="G300">
        <v>6</v>
      </c>
      <c r="H300">
        <v>0</v>
      </c>
      <c r="I300">
        <v>0</v>
      </c>
      <c r="J300">
        <v>0</v>
      </c>
      <c r="K300">
        <v>0</v>
      </c>
      <c r="L300">
        <v>0</v>
      </c>
      <c r="M300">
        <v>6</v>
      </c>
      <c r="N300" t="s">
        <v>333</v>
      </c>
      <c r="O300" t="s">
        <v>343</v>
      </c>
    </row>
    <row r="301" spans="1:15" x14ac:dyDescent="0.3">
      <c r="A301">
        <v>453</v>
      </c>
      <c r="B301" t="s">
        <v>323</v>
      </c>
      <c r="C301">
        <v>134</v>
      </c>
      <c r="D301" t="s">
        <v>69</v>
      </c>
      <c r="E301">
        <v>799</v>
      </c>
      <c r="F301" t="s">
        <v>1289</v>
      </c>
      <c r="G301">
        <v>15</v>
      </c>
      <c r="H301">
        <v>0</v>
      </c>
      <c r="I301">
        <v>0</v>
      </c>
      <c r="J301">
        <v>0</v>
      </c>
      <c r="K301">
        <v>0</v>
      </c>
      <c r="L301">
        <v>0</v>
      </c>
      <c r="M301">
        <v>15</v>
      </c>
      <c r="N301" t="s">
        <v>325</v>
      </c>
      <c r="O301" t="s">
        <v>336</v>
      </c>
    </row>
    <row r="302" spans="1:15" x14ac:dyDescent="0.3">
      <c r="A302">
        <v>453</v>
      </c>
      <c r="B302" t="s">
        <v>323</v>
      </c>
      <c r="C302">
        <v>134</v>
      </c>
      <c r="D302" t="s">
        <v>69</v>
      </c>
      <c r="E302">
        <v>1876</v>
      </c>
      <c r="F302" t="s">
        <v>1290</v>
      </c>
      <c r="G302">
        <v>5</v>
      </c>
      <c r="H302">
        <v>0</v>
      </c>
      <c r="I302">
        <v>0</v>
      </c>
      <c r="J302">
        <v>0</v>
      </c>
      <c r="K302">
        <v>0</v>
      </c>
      <c r="L302">
        <v>0</v>
      </c>
      <c r="M302">
        <v>5</v>
      </c>
      <c r="N302" t="s">
        <v>333</v>
      </c>
      <c r="O302" t="s">
        <v>343</v>
      </c>
    </row>
    <row r="303" spans="1:15" x14ac:dyDescent="0.3">
      <c r="A303">
        <v>453</v>
      </c>
      <c r="B303" t="s">
        <v>323</v>
      </c>
      <c r="C303">
        <v>134</v>
      </c>
      <c r="D303" t="s">
        <v>69</v>
      </c>
      <c r="E303">
        <v>1877</v>
      </c>
      <c r="F303" t="s">
        <v>1291</v>
      </c>
      <c r="G303">
        <v>8</v>
      </c>
      <c r="H303">
        <v>0</v>
      </c>
      <c r="I303">
        <v>0</v>
      </c>
      <c r="J303">
        <v>0</v>
      </c>
      <c r="K303">
        <v>0</v>
      </c>
      <c r="L303">
        <v>0</v>
      </c>
      <c r="M303">
        <v>8</v>
      </c>
      <c r="N303" t="s">
        <v>333</v>
      </c>
      <c r="O303" t="s">
        <v>336</v>
      </c>
    </row>
    <row r="304" spans="1:15" x14ac:dyDescent="0.3">
      <c r="A304">
        <v>453</v>
      </c>
      <c r="B304" t="s">
        <v>323</v>
      </c>
      <c r="C304">
        <v>134</v>
      </c>
      <c r="D304" t="s">
        <v>69</v>
      </c>
      <c r="E304">
        <v>1878</v>
      </c>
      <c r="F304" t="s">
        <v>1292</v>
      </c>
      <c r="G304">
        <v>6</v>
      </c>
      <c r="H304">
        <v>0</v>
      </c>
      <c r="I304">
        <v>0</v>
      </c>
      <c r="J304">
        <v>0</v>
      </c>
      <c r="K304">
        <v>0</v>
      </c>
      <c r="L304">
        <v>0</v>
      </c>
      <c r="M304">
        <v>6</v>
      </c>
      <c r="N304" t="s">
        <v>333</v>
      </c>
      <c r="O304" t="s">
        <v>336</v>
      </c>
    </row>
    <row r="305" spans="1:15" x14ac:dyDescent="0.3">
      <c r="A305">
        <v>453</v>
      </c>
      <c r="B305" t="s">
        <v>323</v>
      </c>
      <c r="C305">
        <v>134</v>
      </c>
      <c r="D305" t="s">
        <v>69</v>
      </c>
      <c r="E305">
        <v>1879</v>
      </c>
      <c r="F305" t="s">
        <v>1293</v>
      </c>
      <c r="G305">
        <v>5</v>
      </c>
      <c r="H305">
        <v>0</v>
      </c>
      <c r="I305">
        <v>0</v>
      </c>
      <c r="J305">
        <v>0</v>
      </c>
      <c r="K305">
        <v>0</v>
      </c>
      <c r="L305">
        <v>0</v>
      </c>
      <c r="M305">
        <v>5</v>
      </c>
      <c r="N305" t="s">
        <v>325</v>
      </c>
      <c r="O305" t="s">
        <v>336</v>
      </c>
    </row>
    <row r="306" spans="1:15" x14ac:dyDescent="0.3">
      <c r="A306">
        <v>453</v>
      </c>
      <c r="B306" t="s">
        <v>323</v>
      </c>
      <c r="C306">
        <v>134</v>
      </c>
      <c r="D306" t="s">
        <v>69</v>
      </c>
      <c r="E306">
        <v>1880</v>
      </c>
      <c r="F306" t="s">
        <v>1294</v>
      </c>
      <c r="G306">
        <v>6</v>
      </c>
      <c r="H306">
        <v>0</v>
      </c>
      <c r="I306">
        <v>0</v>
      </c>
      <c r="J306">
        <v>0</v>
      </c>
      <c r="K306">
        <v>0</v>
      </c>
      <c r="L306">
        <v>0</v>
      </c>
      <c r="M306">
        <v>6</v>
      </c>
      <c r="N306" t="s">
        <v>333</v>
      </c>
      <c r="O306" t="s">
        <v>336</v>
      </c>
    </row>
    <row r="307" spans="1:15" x14ac:dyDescent="0.3">
      <c r="A307">
        <v>453</v>
      </c>
      <c r="B307" t="s">
        <v>323</v>
      </c>
      <c r="C307">
        <v>134</v>
      </c>
      <c r="D307" t="s">
        <v>69</v>
      </c>
      <c r="E307">
        <v>1881</v>
      </c>
      <c r="F307" t="s">
        <v>1295</v>
      </c>
      <c r="G307">
        <v>8</v>
      </c>
      <c r="H307">
        <v>0</v>
      </c>
      <c r="I307">
        <v>0</v>
      </c>
      <c r="J307">
        <v>0</v>
      </c>
      <c r="K307">
        <v>0</v>
      </c>
      <c r="L307">
        <v>0</v>
      </c>
      <c r="M307">
        <v>8</v>
      </c>
      <c r="N307" t="s">
        <v>333</v>
      </c>
      <c r="O307" t="s">
        <v>336</v>
      </c>
    </row>
    <row r="308" spans="1:15" x14ac:dyDescent="0.3">
      <c r="A308">
        <v>453</v>
      </c>
      <c r="B308" t="s">
        <v>323</v>
      </c>
      <c r="C308">
        <v>134</v>
      </c>
      <c r="D308" t="s">
        <v>69</v>
      </c>
      <c r="E308">
        <v>1882</v>
      </c>
      <c r="F308" t="s">
        <v>1296</v>
      </c>
      <c r="G308">
        <v>6</v>
      </c>
      <c r="H308">
        <v>0</v>
      </c>
      <c r="I308">
        <v>0</v>
      </c>
      <c r="J308">
        <v>0</v>
      </c>
      <c r="K308">
        <v>0</v>
      </c>
      <c r="L308">
        <v>0</v>
      </c>
      <c r="M308">
        <v>6</v>
      </c>
      <c r="N308" t="s">
        <v>333</v>
      </c>
      <c r="O308" t="s">
        <v>336</v>
      </c>
    </row>
    <row r="309" spans="1:15" x14ac:dyDescent="0.3">
      <c r="A309">
        <v>453</v>
      </c>
      <c r="B309" t="s">
        <v>323</v>
      </c>
      <c r="C309">
        <v>134</v>
      </c>
      <c r="D309" t="s">
        <v>69</v>
      </c>
      <c r="E309">
        <v>1883</v>
      </c>
      <c r="F309" t="s">
        <v>1297</v>
      </c>
      <c r="G309">
        <v>5</v>
      </c>
      <c r="H309">
        <v>0</v>
      </c>
      <c r="I309">
        <v>0</v>
      </c>
      <c r="J309">
        <v>0</v>
      </c>
      <c r="K309">
        <v>0</v>
      </c>
      <c r="L309">
        <v>0</v>
      </c>
      <c r="M309">
        <v>5</v>
      </c>
      <c r="N309" t="s">
        <v>333</v>
      </c>
      <c r="O309" t="s">
        <v>336</v>
      </c>
    </row>
    <row r="310" spans="1:15" x14ac:dyDescent="0.3">
      <c r="A310">
        <v>453</v>
      </c>
      <c r="B310" t="s">
        <v>323</v>
      </c>
      <c r="C310">
        <v>134</v>
      </c>
      <c r="D310" t="s">
        <v>69</v>
      </c>
      <c r="E310">
        <v>1884</v>
      </c>
      <c r="F310" t="s">
        <v>885</v>
      </c>
      <c r="G310">
        <v>6</v>
      </c>
      <c r="H310">
        <v>0</v>
      </c>
      <c r="I310">
        <v>0</v>
      </c>
      <c r="J310">
        <v>0</v>
      </c>
      <c r="K310">
        <v>0</v>
      </c>
      <c r="L310">
        <v>0</v>
      </c>
      <c r="M310">
        <v>6</v>
      </c>
      <c r="N310" t="s">
        <v>333</v>
      </c>
      <c r="O310" t="s">
        <v>336</v>
      </c>
    </row>
    <row r="311" spans="1:15" x14ac:dyDescent="0.3">
      <c r="A311">
        <v>453</v>
      </c>
      <c r="B311" t="s">
        <v>323</v>
      </c>
      <c r="C311">
        <v>134</v>
      </c>
      <c r="D311" t="s">
        <v>69</v>
      </c>
      <c r="E311">
        <v>1885</v>
      </c>
      <c r="F311" t="s">
        <v>1298</v>
      </c>
      <c r="G311">
        <v>6</v>
      </c>
      <c r="H311">
        <v>0</v>
      </c>
      <c r="I311">
        <v>0</v>
      </c>
      <c r="J311">
        <v>0</v>
      </c>
      <c r="K311">
        <v>0</v>
      </c>
      <c r="L311">
        <v>0</v>
      </c>
      <c r="M311">
        <v>6</v>
      </c>
      <c r="N311" t="s">
        <v>333</v>
      </c>
      <c r="O311" t="s">
        <v>336</v>
      </c>
    </row>
    <row r="312" spans="1:15" x14ac:dyDescent="0.3">
      <c r="A312">
        <v>454</v>
      </c>
      <c r="B312" t="s">
        <v>323</v>
      </c>
      <c r="C312">
        <v>135</v>
      </c>
      <c r="D312" t="s">
        <v>71</v>
      </c>
      <c r="E312">
        <v>950</v>
      </c>
      <c r="F312" t="s">
        <v>519</v>
      </c>
      <c r="G312">
        <v>9</v>
      </c>
      <c r="H312">
        <v>0</v>
      </c>
      <c r="I312">
        <v>1</v>
      </c>
      <c r="J312">
        <v>7</v>
      </c>
      <c r="K312">
        <v>1</v>
      </c>
      <c r="L312">
        <v>0</v>
      </c>
      <c r="M312">
        <v>0</v>
      </c>
      <c r="N312" t="s">
        <v>325</v>
      </c>
      <c r="O312" t="s">
        <v>484</v>
      </c>
    </row>
    <row r="313" spans="1:15" x14ac:dyDescent="0.3">
      <c r="A313">
        <v>454</v>
      </c>
      <c r="B313" t="s">
        <v>323</v>
      </c>
      <c r="C313">
        <v>135</v>
      </c>
      <c r="D313" t="s">
        <v>71</v>
      </c>
      <c r="E313">
        <v>951</v>
      </c>
      <c r="F313" t="s">
        <v>520</v>
      </c>
      <c r="G313">
        <v>5</v>
      </c>
      <c r="H313">
        <v>2</v>
      </c>
      <c r="I313">
        <v>0</v>
      </c>
      <c r="J313">
        <v>1</v>
      </c>
      <c r="K313">
        <v>2</v>
      </c>
      <c r="L313">
        <v>0</v>
      </c>
      <c r="M313">
        <v>0</v>
      </c>
      <c r="N313" t="s">
        <v>333</v>
      </c>
      <c r="O313" t="s">
        <v>484</v>
      </c>
    </row>
    <row r="314" spans="1:15" x14ac:dyDescent="0.3">
      <c r="A314">
        <v>454</v>
      </c>
      <c r="B314" t="s">
        <v>323</v>
      </c>
      <c r="C314">
        <v>135</v>
      </c>
      <c r="D314" t="s">
        <v>71</v>
      </c>
      <c r="E314">
        <v>952</v>
      </c>
      <c r="F314" t="s">
        <v>521</v>
      </c>
      <c r="G314">
        <v>6</v>
      </c>
      <c r="H314">
        <v>0</v>
      </c>
      <c r="I314">
        <v>2</v>
      </c>
      <c r="J314">
        <v>2</v>
      </c>
      <c r="K314">
        <v>2</v>
      </c>
      <c r="L314">
        <v>0</v>
      </c>
      <c r="M314">
        <v>0</v>
      </c>
      <c r="N314" t="s">
        <v>325</v>
      </c>
      <c r="O314" t="s">
        <v>484</v>
      </c>
    </row>
    <row r="315" spans="1:15" x14ac:dyDescent="0.3">
      <c r="A315">
        <v>454</v>
      </c>
      <c r="B315" t="s">
        <v>323</v>
      </c>
      <c r="C315">
        <v>135</v>
      </c>
      <c r="D315" t="s">
        <v>71</v>
      </c>
      <c r="E315">
        <v>953</v>
      </c>
      <c r="F315" t="s">
        <v>522</v>
      </c>
      <c r="G315">
        <v>7</v>
      </c>
      <c r="H315">
        <v>0</v>
      </c>
      <c r="I315">
        <v>0</v>
      </c>
      <c r="J315">
        <v>1</v>
      </c>
      <c r="K315">
        <v>0</v>
      </c>
      <c r="L315">
        <v>4</v>
      </c>
      <c r="M315">
        <v>2</v>
      </c>
      <c r="N315" t="s">
        <v>325</v>
      </c>
      <c r="O315" t="s">
        <v>336</v>
      </c>
    </row>
    <row r="316" spans="1:15" x14ac:dyDescent="0.3">
      <c r="A316">
        <v>454</v>
      </c>
      <c r="B316" t="s">
        <v>323</v>
      </c>
      <c r="C316">
        <v>135</v>
      </c>
      <c r="D316" t="s">
        <v>71</v>
      </c>
      <c r="E316">
        <v>954</v>
      </c>
      <c r="F316" t="s">
        <v>523</v>
      </c>
      <c r="G316">
        <v>4</v>
      </c>
      <c r="H316">
        <v>0</v>
      </c>
      <c r="I316">
        <v>0</v>
      </c>
      <c r="J316">
        <v>1</v>
      </c>
      <c r="K316">
        <v>0</v>
      </c>
      <c r="L316">
        <v>3</v>
      </c>
      <c r="M316">
        <v>0</v>
      </c>
      <c r="N316" t="s">
        <v>325</v>
      </c>
      <c r="O316" t="s">
        <v>329</v>
      </c>
    </row>
    <row r="317" spans="1:15" x14ac:dyDescent="0.3">
      <c r="A317">
        <v>454</v>
      </c>
      <c r="B317" t="s">
        <v>323</v>
      </c>
      <c r="C317">
        <v>135</v>
      </c>
      <c r="D317" t="s">
        <v>71</v>
      </c>
      <c r="E317">
        <v>955</v>
      </c>
      <c r="F317" t="s">
        <v>524</v>
      </c>
      <c r="G317">
        <v>6</v>
      </c>
      <c r="H317">
        <v>0</v>
      </c>
      <c r="I317">
        <v>1</v>
      </c>
      <c r="J317">
        <v>2</v>
      </c>
      <c r="K317">
        <v>0</v>
      </c>
      <c r="L317">
        <v>3</v>
      </c>
      <c r="M317">
        <v>0</v>
      </c>
      <c r="N317" t="s">
        <v>325</v>
      </c>
      <c r="O317" t="s">
        <v>336</v>
      </c>
    </row>
    <row r="318" spans="1:15" x14ac:dyDescent="0.3">
      <c r="A318">
        <v>454</v>
      </c>
      <c r="B318" t="s">
        <v>323</v>
      </c>
      <c r="C318">
        <v>135</v>
      </c>
      <c r="D318" t="s">
        <v>71</v>
      </c>
      <c r="E318">
        <v>956</v>
      </c>
      <c r="F318" t="s">
        <v>525</v>
      </c>
      <c r="G318">
        <v>8</v>
      </c>
      <c r="H318">
        <v>4</v>
      </c>
      <c r="I318">
        <v>2</v>
      </c>
      <c r="J318">
        <v>2</v>
      </c>
      <c r="K318">
        <v>0</v>
      </c>
      <c r="L318">
        <v>0</v>
      </c>
      <c r="M318">
        <v>0</v>
      </c>
      <c r="N318" t="s">
        <v>325</v>
      </c>
      <c r="O318" t="s">
        <v>484</v>
      </c>
    </row>
    <row r="319" spans="1:15" x14ac:dyDescent="0.3">
      <c r="A319">
        <v>454</v>
      </c>
      <c r="B319" t="s">
        <v>323</v>
      </c>
      <c r="C319">
        <v>135</v>
      </c>
      <c r="D319" t="s">
        <v>71</v>
      </c>
      <c r="E319">
        <v>957</v>
      </c>
      <c r="F319" t="s">
        <v>505</v>
      </c>
      <c r="G319">
        <v>6</v>
      </c>
      <c r="H319">
        <v>0</v>
      </c>
      <c r="I319">
        <v>0</v>
      </c>
      <c r="J319">
        <v>0</v>
      </c>
      <c r="K319">
        <v>0</v>
      </c>
      <c r="L319">
        <v>6</v>
      </c>
      <c r="M319">
        <v>0</v>
      </c>
      <c r="N319" t="s">
        <v>325</v>
      </c>
      <c r="O319" t="s">
        <v>336</v>
      </c>
    </row>
    <row r="320" spans="1:15" x14ac:dyDescent="0.3">
      <c r="A320">
        <v>454</v>
      </c>
      <c r="B320" t="s">
        <v>323</v>
      </c>
      <c r="C320">
        <v>135</v>
      </c>
      <c r="D320" t="s">
        <v>71</v>
      </c>
      <c r="E320">
        <v>958</v>
      </c>
      <c r="F320" t="s">
        <v>526</v>
      </c>
      <c r="G320">
        <v>5</v>
      </c>
      <c r="H320">
        <v>1</v>
      </c>
      <c r="I320">
        <v>0</v>
      </c>
      <c r="J320">
        <v>0</v>
      </c>
      <c r="K320">
        <v>2</v>
      </c>
      <c r="L320">
        <v>2</v>
      </c>
      <c r="M320">
        <v>0</v>
      </c>
      <c r="N320" t="s">
        <v>325</v>
      </c>
      <c r="O320" t="s">
        <v>484</v>
      </c>
    </row>
    <row r="321" spans="1:15" x14ac:dyDescent="0.3">
      <c r="A321">
        <v>454</v>
      </c>
      <c r="B321" t="s">
        <v>323</v>
      </c>
      <c r="C321">
        <v>135</v>
      </c>
      <c r="D321" t="s">
        <v>71</v>
      </c>
      <c r="E321">
        <v>959</v>
      </c>
      <c r="F321" t="s">
        <v>527</v>
      </c>
      <c r="G321">
        <v>10</v>
      </c>
      <c r="H321">
        <v>0</v>
      </c>
      <c r="I321">
        <v>1</v>
      </c>
      <c r="J321">
        <v>3</v>
      </c>
      <c r="K321">
        <v>0</v>
      </c>
      <c r="L321">
        <v>6</v>
      </c>
      <c r="M321">
        <v>0</v>
      </c>
      <c r="N321" t="s">
        <v>325</v>
      </c>
      <c r="O321" t="s">
        <v>484</v>
      </c>
    </row>
    <row r="322" spans="1:15" x14ac:dyDescent="0.3">
      <c r="A322">
        <v>454</v>
      </c>
      <c r="B322" t="s">
        <v>323</v>
      </c>
      <c r="C322">
        <v>135</v>
      </c>
      <c r="D322" t="s">
        <v>71</v>
      </c>
      <c r="E322">
        <v>960</v>
      </c>
      <c r="F322" t="s">
        <v>528</v>
      </c>
      <c r="G322">
        <v>1</v>
      </c>
      <c r="H322">
        <v>0</v>
      </c>
      <c r="I322">
        <v>0</v>
      </c>
      <c r="J322">
        <v>0</v>
      </c>
      <c r="K322">
        <v>0</v>
      </c>
      <c r="L322">
        <v>0</v>
      </c>
      <c r="M322">
        <v>1</v>
      </c>
      <c r="N322" t="s">
        <v>325</v>
      </c>
      <c r="O322" t="s">
        <v>336</v>
      </c>
    </row>
    <row r="323" spans="1:15" x14ac:dyDescent="0.3">
      <c r="A323">
        <v>456</v>
      </c>
      <c r="B323" t="s">
        <v>323</v>
      </c>
      <c r="C323">
        <v>137</v>
      </c>
      <c r="D323" t="s">
        <v>75</v>
      </c>
      <c r="E323">
        <v>879</v>
      </c>
      <c r="F323" t="s">
        <v>534</v>
      </c>
      <c r="G323">
        <v>2</v>
      </c>
      <c r="H323">
        <v>0</v>
      </c>
      <c r="I323">
        <v>1</v>
      </c>
      <c r="J323">
        <v>0</v>
      </c>
      <c r="K323">
        <v>0</v>
      </c>
      <c r="L323">
        <v>1</v>
      </c>
      <c r="M323">
        <v>0</v>
      </c>
      <c r="N323" t="s">
        <v>333</v>
      </c>
      <c r="O323" t="s">
        <v>336</v>
      </c>
    </row>
    <row r="324" spans="1:15" x14ac:dyDescent="0.3">
      <c r="A324">
        <v>456</v>
      </c>
      <c r="B324" t="s">
        <v>323</v>
      </c>
      <c r="C324">
        <v>137</v>
      </c>
      <c r="D324" t="s">
        <v>75</v>
      </c>
      <c r="E324">
        <v>880</v>
      </c>
      <c r="F324" t="s">
        <v>535</v>
      </c>
      <c r="G324">
        <v>4</v>
      </c>
      <c r="H324">
        <v>2</v>
      </c>
      <c r="I324">
        <v>0</v>
      </c>
      <c r="J324">
        <v>0</v>
      </c>
      <c r="K324">
        <v>1</v>
      </c>
      <c r="L324">
        <v>1</v>
      </c>
      <c r="M324">
        <v>0</v>
      </c>
      <c r="N324" t="s">
        <v>325</v>
      </c>
      <c r="O324" t="s">
        <v>348</v>
      </c>
    </row>
    <row r="325" spans="1:15" x14ac:dyDescent="0.3">
      <c r="A325">
        <v>456</v>
      </c>
      <c r="B325" t="s">
        <v>323</v>
      </c>
      <c r="C325">
        <v>137</v>
      </c>
      <c r="D325" t="s">
        <v>75</v>
      </c>
      <c r="E325">
        <v>881</v>
      </c>
      <c r="F325" t="s">
        <v>536</v>
      </c>
      <c r="G325">
        <v>1</v>
      </c>
      <c r="H325">
        <v>0</v>
      </c>
      <c r="I325">
        <v>0</v>
      </c>
      <c r="J325">
        <v>0</v>
      </c>
      <c r="K325">
        <v>1</v>
      </c>
      <c r="L325">
        <v>0</v>
      </c>
      <c r="M325">
        <v>0</v>
      </c>
      <c r="N325" t="s">
        <v>325</v>
      </c>
      <c r="O325" t="s">
        <v>336</v>
      </c>
    </row>
    <row r="326" spans="1:15" x14ac:dyDescent="0.3">
      <c r="A326">
        <v>456</v>
      </c>
      <c r="B326" t="s">
        <v>323</v>
      </c>
      <c r="C326">
        <v>137</v>
      </c>
      <c r="D326" t="s">
        <v>75</v>
      </c>
      <c r="E326">
        <v>882</v>
      </c>
      <c r="F326" t="s">
        <v>537</v>
      </c>
      <c r="G326">
        <v>1</v>
      </c>
      <c r="H326">
        <v>0</v>
      </c>
      <c r="I326">
        <v>0</v>
      </c>
      <c r="J326">
        <v>0</v>
      </c>
      <c r="K326">
        <v>0</v>
      </c>
      <c r="L326">
        <v>1</v>
      </c>
      <c r="M326">
        <v>0</v>
      </c>
      <c r="N326" t="s">
        <v>325</v>
      </c>
      <c r="O326" t="s">
        <v>336</v>
      </c>
    </row>
    <row r="327" spans="1:15" x14ac:dyDescent="0.3">
      <c r="A327">
        <v>456</v>
      </c>
      <c r="B327" t="s">
        <v>323</v>
      </c>
      <c r="C327">
        <v>137</v>
      </c>
      <c r="D327" t="s">
        <v>75</v>
      </c>
      <c r="E327">
        <v>884</v>
      </c>
      <c r="F327" t="s">
        <v>538</v>
      </c>
      <c r="G327">
        <v>4</v>
      </c>
      <c r="H327">
        <v>0</v>
      </c>
      <c r="I327">
        <v>0</v>
      </c>
      <c r="J327">
        <v>0</v>
      </c>
      <c r="K327">
        <v>1</v>
      </c>
      <c r="L327">
        <v>2</v>
      </c>
      <c r="M327">
        <v>1</v>
      </c>
      <c r="N327" t="s">
        <v>333</v>
      </c>
      <c r="O327" t="s">
        <v>336</v>
      </c>
    </row>
    <row r="328" spans="1:15" x14ac:dyDescent="0.3">
      <c r="A328">
        <v>456</v>
      </c>
      <c r="B328" t="s">
        <v>323</v>
      </c>
      <c r="C328">
        <v>137</v>
      </c>
      <c r="D328" t="s">
        <v>75</v>
      </c>
      <c r="E328">
        <v>885</v>
      </c>
      <c r="F328" t="s">
        <v>539</v>
      </c>
      <c r="G328">
        <v>6</v>
      </c>
      <c r="H328">
        <v>2</v>
      </c>
      <c r="I328">
        <v>0</v>
      </c>
      <c r="J328">
        <v>1</v>
      </c>
      <c r="K328">
        <v>2</v>
      </c>
      <c r="L328">
        <v>1</v>
      </c>
      <c r="M328">
        <v>0</v>
      </c>
      <c r="N328" t="s">
        <v>410</v>
      </c>
      <c r="O328" t="s">
        <v>343</v>
      </c>
    </row>
    <row r="329" spans="1:15" x14ac:dyDescent="0.3">
      <c r="A329">
        <v>456</v>
      </c>
      <c r="B329" t="s">
        <v>323</v>
      </c>
      <c r="C329">
        <v>137</v>
      </c>
      <c r="D329" t="s">
        <v>75</v>
      </c>
      <c r="E329">
        <v>886</v>
      </c>
      <c r="F329" t="s">
        <v>540</v>
      </c>
      <c r="G329">
        <v>5</v>
      </c>
      <c r="H329">
        <v>0</v>
      </c>
      <c r="I329">
        <v>1</v>
      </c>
      <c r="J329">
        <v>0</v>
      </c>
      <c r="K329">
        <v>0</v>
      </c>
      <c r="L329">
        <v>3</v>
      </c>
      <c r="M329">
        <v>1</v>
      </c>
      <c r="N329" t="s">
        <v>414</v>
      </c>
      <c r="O329" t="s">
        <v>343</v>
      </c>
    </row>
    <row r="330" spans="1:15" x14ac:dyDescent="0.3">
      <c r="A330">
        <v>456</v>
      </c>
      <c r="B330" t="s">
        <v>323</v>
      </c>
      <c r="C330">
        <v>137</v>
      </c>
      <c r="D330" t="s">
        <v>75</v>
      </c>
      <c r="E330">
        <v>887</v>
      </c>
      <c r="F330" t="s">
        <v>541</v>
      </c>
      <c r="G330">
        <v>4</v>
      </c>
      <c r="H330">
        <v>1</v>
      </c>
      <c r="I330">
        <v>0</v>
      </c>
      <c r="J330">
        <v>1</v>
      </c>
      <c r="K330">
        <v>2</v>
      </c>
      <c r="L330">
        <v>0</v>
      </c>
      <c r="M330">
        <v>0</v>
      </c>
      <c r="N330" t="s">
        <v>325</v>
      </c>
      <c r="O330" t="s">
        <v>329</v>
      </c>
    </row>
    <row r="331" spans="1:15" x14ac:dyDescent="0.3">
      <c r="A331">
        <v>456</v>
      </c>
      <c r="B331" t="s">
        <v>323</v>
      </c>
      <c r="C331">
        <v>137</v>
      </c>
      <c r="D331" t="s">
        <v>75</v>
      </c>
      <c r="E331">
        <v>888</v>
      </c>
      <c r="F331" t="s">
        <v>542</v>
      </c>
      <c r="G331">
        <v>4</v>
      </c>
      <c r="H331">
        <v>0</v>
      </c>
      <c r="I331">
        <v>0</v>
      </c>
      <c r="J331">
        <v>1</v>
      </c>
      <c r="K331">
        <v>2</v>
      </c>
      <c r="L331">
        <v>0</v>
      </c>
      <c r="M331">
        <v>1</v>
      </c>
      <c r="N331" t="s">
        <v>333</v>
      </c>
      <c r="O331" t="s">
        <v>336</v>
      </c>
    </row>
    <row r="332" spans="1:15" x14ac:dyDescent="0.3">
      <c r="A332">
        <v>456</v>
      </c>
      <c r="B332" t="s">
        <v>323</v>
      </c>
      <c r="C332">
        <v>137</v>
      </c>
      <c r="D332" t="s">
        <v>75</v>
      </c>
      <c r="E332">
        <v>889</v>
      </c>
      <c r="F332" t="s">
        <v>543</v>
      </c>
      <c r="G332">
        <v>2</v>
      </c>
      <c r="H332">
        <v>0</v>
      </c>
      <c r="I332">
        <v>0</v>
      </c>
      <c r="J332">
        <v>0</v>
      </c>
      <c r="K332">
        <v>1</v>
      </c>
      <c r="L332">
        <v>1</v>
      </c>
      <c r="M332">
        <v>0</v>
      </c>
      <c r="N332" t="s">
        <v>325</v>
      </c>
      <c r="O332" t="s">
        <v>329</v>
      </c>
    </row>
    <row r="333" spans="1:15" x14ac:dyDescent="0.3">
      <c r="A333">
        <v>456</v>
      </c>
      <c r="B333" t="s">
        <v>323</v>
      </c>
      <c r="C333">
        <v>137</v>
      </c>
      <c r="D333" t="s">
        <v>75</v>
      </c>
      <c r="E333">
        <v>892</v>
      </c>
      <c r="F333" t="s">
        <v>544</v>
      </c>
      <c r="G333">
        <v>6</v>
      </c>
      <c r="H333">
        <v>2</v>
      </c>
      <c r="I333">
        <v>0</v>
      </c>
      <c r="J333">
        <v>1</v>
      </c>
      <c r="K333">
        <v>3</v>
      </c>
      <c r="L333">
        <v>0</v>
      </c>
      <c r="M333">
        <v>0</v>
      </c>
      <c r="N333" t="s">
        <v>410</v>
      </c>
      <c r="O333" t="s">
        <v>348</v>
      </c>
    </row>
    <row r="334" spans="1:15" x14ac:dyDescent="0.3">
      <c r="A334">
        <v>456</v>
      </c>
      <c r="B334" t="s">
        <v>323</v>
      </c>
      <c r="C334">
        <v>137</v>
      </c>
      <c r="D334" t="s">
        <v>75</v>
      </c>
      <c r="E334">
        <v>893</v>
      </c>
      <c r="F334" t="s">
        <v>545</v>
      </c>
      <c r="G334">
        <v>2</v>
      </c>
      <c r="H334">
        <v>0</v>
      </c>
      <c r="I334">
        <v>1</v>
      </c>
      <c r="J334">
        <v>0</v>
      </c>
      <c r="K334">
        <v>0</v>
      </c>
      <c r="L334">
        <v>1</v>
      </c>
      <c r="M334">
        <v>0</v>
      </c>
      <c r="N334" t="s">
        <v>325</v>
      </c>
      <c r="O334" t="s">
        <v>336</v>
      </c>
    </row>
    <row r="335" spans="1:15" x14ac:dyDescent="0.3">
      <c r="A335">
        <v>456</v>
      </c>
      <c r="B335" t="s">
        <v>323</v>
      </c>
      <c r="C335">
        <v>137</v>
      </c>
      <c r="D335" t="s">
        <v>75</v>
      </c>
      <c r="E335">
        <v>894</v>
      </c>
      <c r="F335" t="s">
        <v>546</v>
      </c>
      <c r="G335">
        <v>7</v>
      </c>
      <c r="H335">
        <v>1</v>
      </c>
      <c r="I335">
        <v>0</v>
      </c>
      <c r="J335">
        <v>2</v>
      </c>
      <c r="K335">
        <v>3</v>
      </c>
      <c r="L335">
        <v>1</v>
      </c>
      <c r="M335">
        <v>0</v>
      </c>
      <c r="N335" t="s">
        <v>410</v>
      </c>
      <c r="O335" t="s">
        <v>336</v>
      </c>
    </row>
    <row r="336" spans="1:15" x14ac:dyDescent="0.3">
      <c r="A336">
        <v>456</v>
      </c>
      <c r="B336" t="s">
        <v>323</v>
      </c>
      <c r="C336">
        <v>137</v>
      </c>
      <c r="D336" t="s">
        <v>75</v>
      </c>
      <c r="E336">
        <v>1740</v>
      </c>
      <c r="F336" t="s">
        <v>1302</v>
      </c>
      <c r="G336">
        <v>2</v>
      </c>
      <c r="H336">
        <v>0</v>
      </c>
      <c r="I336">
        <v>0</v>
      </c>
      <c r="J336">
        <v>0</v>
      </c>
      <c r="K336">
        <v>2</v>
      </c>
      <c r="L336">
        <v>0</v>
      </c>
      <c r="M336">
        <v>0</v>
      </c>
      <c r="N336" t="s">
        <v>325</v>
      </c>
      <c r="O336" t="s">
        <v>336</v>
      </c>
    </row>
    <row r="337" spans="1:15" x14ac:dyDescent="0.3">
      <c r="A337">
        <v>457</v>
      </c>
      <c r="B337" t="s">
        <v>323</v>
      </c>
      <c r="C337">
        <v>138</v>
      </c>
      <c r="D337" t="s">
        <v>77</v>
      </c>
      <c r="E337">
        <v>690</v>
      </c>
      <c r="F337" t="s">
        <v>548</v>
      </c>
      <c r="G337">
        <v>5</v>
      </c>
      <c r="H337">
        <v>1</v>
      </c>
      <c r="I337">
        <v>2</v>
      </c>
      <c r="J337">
        <v>0</v>
      </c>
      <c r="K337">
        <v>1</v>
      </c>
      <c r="L337">
        <v>0</v>
      </c>
      <c r="M337">
        <v>1</v>
      </c>
      <c r="N337" t="s">
        <v>325</v>
      </c>
      <c r="O337" t="s">
        <v>343</v>
      </c>
    </row>
    <row r="338" spans="1:15" x14ac:dyDescent="0.3">
      <c r="A338">
        <v>457</v>
      </c>
      <c r="B338" t="s">
        <v>323</v>
      </c>
      <c r="C338">
        <v>138</v>
      </c>
      <c r="D338" t="s">
        <v>77</v>
      </c>
      <c r="E338">
        <v>692</v>
      </c>
      <c r="F338" t="s">
        <v>549</v>
      </c>
      <c r="G338">
        <v>0</v>
      </c>
      <c r="H338">
        <v>0</v>
      </c>
      <c r="I338">
        <v>0</v>
      </c>
      <c r="J338">
        <v>0</v>
      </c>
      <c r="K338">
        <v>0</v>
      </c>
      <c r="L338">
        <v>0</v>
      </c>
      <c r="M338">
        <v>0</v>
      </c>
      <c r="N338" t="s">
        <v>325</v>
      </c>
      <c r="O338" t="s">
        <v>484</v>
      </c>
    </row>
    <row r="339" spans="1:15" x14ac:dyDescent="0.3">
      <c r="A339">
        <v>457</v>
      </c>
      <c r="B339" t="s">
        <v>323</v>
      </c>
      <c r="C339">
        <v>138</v>
      </c>
      <c r="D339" t="s">
        <v>77</v>
      </c>
      <c r="E339">
        <v>693</v>
      </c>
      <c r="F339" t="s">
        <v>550</v>
      </c>
      <c r="G339">
        <v>4</v>
      </c>
      <c r="H339">
        <v>0</v>
      </c>
      <c r="I339">
        <v>0</v>
      </c>
      <c r="J339">
        <v>2</v>
      </c>
      <c r="K339">
        <v>1</v>
      </c>
      <c r="L339">
        <v>0</v>
      </c>
      <c r="M339">
        <v>1</v>
      </c>
      <c r="N339" t="s">
        <v>325</v>
      </c>
      <c r="O339" t="s">
        <v>484</v>
      </c>
    </row>
    <row r="340" spans="1:15" x14ac:dyDescent="0.3">
      <c r="A340">
        <v>457</v>
      </c>
      <c r="B340" t="s">
        <v>323</v>
      </c>
      <c r="C340">
        <v>138</v>
      </c>
      <c r="D340" t="s">
        <v>77</v>
      </c>
      <c r="E340">
        <v>694</v>
      </c>
      <c r="F340" t="s">
        <v>551</v>
      </c>
      <c r="G340">
        <v>0</v>
      </c>
      <c r="H340">
        <v>0</v>
      </c>
      <c r="I340">
        <v>0</v>
      </c>
      <c r="J340">
        <v>0</v>
      </c>
      <c r="K340">
        <v>0</v>
      </c>
      <c r="L340">
        <v>0</v>
      </c>
      <c r="M340">
        <v>0</v>
      </c>
      <c r="N340" t="s">
        <v>325</v>
      </c>
      <c r="O340" t="s">
        <v>484</v>
      </c>
    </row>
    <row r="341" spans="1:15" x14ac:dyDescent="0.3">
      <c r="A341">
        <v>457</v>
      </c>
      <c r="B341" t="s">
        <v>323</v>
      </c>
      <c r="C341">
        <v>138</v>
      </c>
      <c r="D341" t="s">
        <v>77</v>
      </c>
      <c r="E341">
        <v>695</v>
      </c>
      <c r="F341" t="s">
        <v>552</v>
      </c>
      <c r="G341">
        <v>2</v>
      </c>
      <c r="H341">
        <v>0</v>
      </c>
      <c r="I341">
        <v>0</v>
      </c>
      <c r="J341">
        <v>0</v>
      </c>
      <c r="K341">
        <v>2</v>
      </c>
      <c r="L341">
        <v>0</v>
      </c>
      <c r="M341">
        <v>0</v>
      </c>
      <c r="N341" t="s">
        <v>333</v>
      </c>
      <c r="O341" t="s">
        <v>326</v>
      </c>
    </row>
    <row r="342" spans="1:15" x14ac:dyDescent="0.3">
      <c r="A342">
        <v>457</v>
      </c>
      <c r="B342" t="s">
        <v>323</v>
      </c>
      <c r="C342">
        <v>138</v>
      </c>
      <c r="D342" t="s">
        <v>77</v>
      </c>
      <c r="E342">
        <v>696</v>
      </c>
      <c r="F342" t="s">
        <v>553</v>
      </c>
      <c r="G342">
        <v>8</v>
      </c>
      <c r="H342">
        <v>0</v>
      </c>
      <c r="I342">
        <v>1</v>
      </c>
      <c r="J342">
        <v>0</v>
      </c>
      <c r="K342">
        <v>1</v>
      </c>
      <c r="L342">
        <v>1</v>
      </c>
      <c r="M342">
        <v>5</v>
      </c>
      <c r="N342" t="s">
        <v>410</v>
      </c>
      <c r="O342" t="s">
        <v>336</v>
      </c>
    </row>
    <row r="343" spans="1:15" x14ac:dyDescent="0.3">
      <c r="A343">
        <v>457</v>
      </c>
      <c r="B343" t="s">
        <v>323</v>
      </c>
      <c r="C343">
        <v>138</v>
      </c>
      <c r="D343" t="s">
        <v>77</v>
      </c>
      <c r="E343">
        <v>697</v>
      </c>
      <c r="F343" t="s">
        <v>554</v>
      </c>
      <c r="G343">
        <v>4</v>
      </c>
      <c r="H343">
        <v>2</v>
      </c>
      <c r="I343">
        <v>1</v>
      </c>
      <c r="J343">
        <v>0</v>
      </c>
      <c r="K343">
        <v>0</v>
      </c>
      <c r="L343">
        <v>0</v>
      </c>
      <c r="M343">
        <v>1</v>
      </c>
      <c r="N343" t="s">
        <v>325</v>
      </c>
      <c r="O343" t="s">
        <v>348</v>
      </c>
    </row>
    <row r="344" spans="1:15" x14ac:dyDescent="0.3">
      <c r="A344">
        <v>457</v>
      </c>
      <c r="B344" t="s">
        <v>323</v>
      </c>
      <c r="C344">
        <v>138</v>
      </c>
      <c r="D344" t="s">
        <v>77</v>
      </c>
      <c r="E344">
        <v>698</v>
      </c>
      <c r="F344" t="s">
        <v>555</v>
      </c>
      <c r="G344">
        <v>4</v>
      </c>
      <c r="H344">
        <v>1</v>
      </c>
      <c r="I344">
        <v>1</v>
      </c>
      <c r="J344">
        <v>1</v>
      </c>
      <c r="K344">
        <v>0</v>
      </c>
      <c r="L344">
        <v>0</v>
      </c>
      <c r="M344">
        <v>1</v>
      </c>
      <c r="N344" t="s">
        <v>325</v>
      </c>
      <c r="O344" t="s">
        <v>343</v>
      </c>
    </row>
    <row r="345" spans="1:15" x14ac:dyDescent="0.3">
      <c r="A345">
        <v>457</v>
      </c>
      <c r="B345" t="s">
        <v>323</v>
      </c>
      <c r="C345">
        <v>138</v>
      </c>
      <c r="D345" t="s">
        <v>77</v>
      </c>
      <c r="E345">
        <v>699</v>
      </c>
      <c r="F345" t="s">
        <v>556</v>
      </c>
      <c r="G345">
        <v>5</v>
      </c>
      <c r="H345">
        <v>0</v>
      </c>
      <c r="I345">
        <v>1</v>
      </c>
      <c r="J345">
        <v>0</v>
      </c>
      <c r="K345">
        <v>0</v>
      </c>
      <c r="L345">
        <v>0</v>
      </c>
      <c r="M345">
        <v>4</v>
      </c>
      <c r="N345" t="s">
        <v>410</v>
      </c>
      <c r="O345" t="s">
        <v>348</v>
      </c>
    </row>
    <row r="346" spans="1:15" x14ac:dyDescent="0.3">
      <c r="A346">
        <v>457</v>
      </c>
      <c r="B346" t="s">
        <v>323</v>
      </c>
      <c r="C346">
        <v>138</v>
      </c>
      <c r="D346" t="s">
        <v>77</v>
      </c>
      <c r="E346">
        <v>700</v>
      </c>
      <c r="F346" t="s">
        <v>557</v>
      </c>
      <c r="G346">
        <v>5</v>
      </c>
      <c r="H346">
        <v>0</v>
      </c>
      <c r="I346">
        <v>2</v>
      </c>
      <c r="J346">
        <v>1</v>
      </c>
      <c r="K346">
        <v>0</v>
      </c>
      <c r="L346">
        <v>1</v>
      </c>
      <c r="M346">
        <v>1</v>
      </c>
      <c r="N346" t="s">
        <v>410</v>
      </c>
      <c r="O346" t="s">
        <v>348</v>
      </c>
    </row>
    <row r="347" spans="1:15" x14ac:dyDescent="0.3">
      <c r="A347">
        <v>457</v>
      </c>
      <c r="B347" t="s">
        <v>323</v>
      </c>
      <c r="C347">
        <v>138</v>
      </c>
      <c r="D347" t="s">
        <v>77</v>
      </c>
      <c r="E347">
        <v>701</v>
      </c>
      <c r="F347" t="s">
        <v>558</v>
      </c>
      <c r="G347">
        <v>4</v>
      </c>
      <c r="H347">
        <v>3</v>
      </c>
      <c r="I347">
        <v>0</v>
      </c>
      <c r="J347">
        <v>1</v>
      </c>
      <c r="K347">
        <v>0</v>
      </c>
      <c r="L347">
        <v>0</v>
      </c>
      <c r="M347">
        <v>0</v>
      </c>
      <c r="N347" t="s">
        <v>325</v>
      </c>
      <c r="O347" t="s">
        <v>484</v>
      </c>
    </row>
    <row r="348" spans="1:15" x14ac:dyDescent="0.3">
      <c r="A348">
        <v>457</v>
      </c>
      <c r="B348" t="s">
        <v>323</v>
      </c>
      <c r="C348">
        <v>138</v>
      </c>
      <c r="D348" t="s">
        <v>77</v>
      </c>
      <c r="E348">
        <v>702</v>
      </c>
      <c r="F348" t="s">
        <v>559</v>
      </c>
      <c r="G348">
        <v>6</v>
      </c>
      <c r="H348">
        <v>0</v>
      </c>
      <c r="I348">
        <v>0</v>
      </c>
      <c r="J348">
        <v>2</v>
      </c>
      <c r="K348">
        <v>3</v>
      </c>
      <c r="L348">
        <v>0</v>
      </c>
      <c r="M348">
        <v>1</v>
      </c>
      <c r="N348" t="s">
        <v>325</v>
      </c>
      <c r="O348" t="s">
        <v>348</v>
      </c>
    </row>
    <row r="349" spans="1:15" x14ac:dyDescent="0.3">
      <c r="A349">
        <v>457</v>
      </c>
      <c r="B349" t="s">
        <v>323</v>
      </c>
      <c r="C349">
        <v>138</v>
      </c>
      <c r="D349" t="s">
        <v>77</v>
      </c>
      <c r="E349">
        <v>703</v>
      </c>
      <c r="F349" t="s">
        <v>560</v>
      </c>
      <c r="G349">
        <v>4</v>
      </c>
      <c r="H349">
        <v>0</v>
      </c>
      <c r="I349">
        <v>0</v>
      </c>
      <c r="J349">
        <v>0</v>
      </c>
      <c r="K349">
        <v>1</v>
      </c>
      <c r="L349">
        <v>2</v>
      </c>
      <c r="M349">
        <v>1</v>
      </c>
      <c r="N349" t="s">
        <v>333</v>
      </c>
      <c r="O349" t="s">
        <v>326</v>
      </c>
    </row>
    <row r="350" spans="1:15" x14ac:dyDescent="0.3">
      <c r="A350">
        <v>457</v>
      </c>
      <c r="B350" t="s">
        <v>323</v>
      </c>
      <c r="C350">
        <v>138</v>
      </c>
      <c r="D350" t="s">
        <v>77</v>
      </c>
      <c r="E350">
        <v>704</v>
      </c>
      <c r="F350" t="s">
        <v>561</v>
      </c>
      <c r="G350">
        <v>9</v>
      </c>
      <c r="H350">
        <v>0</v>
      </c>
      <c r="I350">
        <v>2</v>
      </c>
      <c r="J350">
        <v>0</v>
      </c>
      <c r="K350">
        <v>2</v>
      </c>
      <c r="L350">
        <v>1</v>
      </c>
      <c r="M350">
        <v>4</v>
      </c>
      <c r="N350" t="s">
        <v>325</v>
      </c>
      <c r="O350" t="s">
        <v>326</v>
      </c>
    </row>
    <row r="351" spans="1:15" x14ac:dyDescent="0.3">
      <c r="A351">
        <v>457</v>
      </c>
      <c r="B351" t="s">
        <v>323</v>
      </c>
      <c r="C351">
        <v>138</v>
      </c>
      <c r="D351" t="s">
        <v>77</v>
      </c>
      <c r="E351">
        <v>705</v>
      </c>
      <c r="F351" t="s">
        <v>562</v>
      </c>
      <c r="G351">
        <v>8</v>
      </c>
      <c r="H351">
        <v>0</v>
      </c>
      <c r="I351">
        <v>0</v>
      </c>
      <c r="J351">
        <v>2</v>
      </c>
      <c r="K351">
        <v>0</v>
      </c>
      <c r="L351">
        <v>3</v>
      </c>
      <c r="M351">
        <v>3</v>
      </c>
      <c r="N351" t="s">
        <v>325</v>
      </c>
      <c r="O351" t="s">
        <v>326</v>
      </c>
    </row>
    <row r="352" spans="1:15" x14ac:dyDescent="0.3">
      <c r="A352">
        <v>457</v>
      </c>
      <c r="B352" t="s">
        <v>323</v>
      </c>
      <c r="C352">
        <v>138</v>
      </c>
      <c r="D352" t="s">
        <v>77</v>
      </c>
      <c r="E352">
        <v>706</v>
      </c>
      <c r="F352" t="s">
        <v>563</v>
      </c>
      <c r="G352">
        <v>7</v>
      </c>
      <c r="H352">
        <v>0</v>
      </c>
      <c r="I352">
        <v>1</v>
      </c>
      <c r="J352">
        <v>1</v>
      </c>
      <c r="K352">
        <v>0</v>
      </c>
      <c r="L352">
        <v>1</v>
      </c>
      <c r="M352">
        <v>4</v>
      </c>
      <c r="N352" t="s">
        <v>325</v>
      </c>
      <c r="O352" t="s">
        <v>326</v>
      </c>
    </row>
    <row r="353" spans="1:15" x14ac:dyDescent="0.3">
      <c r="A353">
        <v>457</v>
      </c>
      <c r="B353" t="s">
        <v>323</v>
      </c>
      <c r="C353">
        <v>138</v>
      </c>
      <c r="D353" t="s">
        <v>77</v>
      </c>
      <c r="E353">
        <v>707</v>
      </c>
      <c r="F353" t="s">
        <v>564</v>
      </c>
      <c r="G353">
        <v>6</v>
      </c>
      <c r="H353">
        <v>0</v>
      </c>
      <c r="I353">
        <v>1</v>
      </c>
      <c r="J353">
        <v>1</v>
      </c>
      <c r="K353">
        <v>1</v>
      </c>
      <c r="L353">
        <v>0</v>
      </c>
      <c r="M353">
        <v>3</v>
      </c>
      <c r="N353" t="s">
        <v>325</v>
      </c>
      <c r="O353" t="s">
        <v>484</v>
      </c>
    </row>
    <row r="354" spans="1:15" x14ac:dyDescent="0.3">
      <c r="A354">
        <v>457</v>
      </c>
      <c r="B354" t="s">
        <v>323</v>
      </c>
      <c r="C354">
        <v>138</v>
      </c>
      <c r="D354" t="s">
        <v>77</v>
      </c>
      <c r="E354">
        <v>1388</v>
      </c>
      <c r="F354" t="s">
        <v>565</v>
      </c>
      <c r="G354">
        <v>4</v>
      </c>
      <c r="H354">
        <v>1</v>
      </c>
      <c r="I354">
        <v>1</v>
      </c>
      <c r="J354">
        <v>0</v>
      </c>
      <c r="K354">
        <v>1</v>
      </c>
      <c r="L354">
        <v>0</v>
      </c>
      <c r="M354">
        <v>1</v>
      </c>
      <c r="N354" t="s">
        <v>325</v>
      </c>
      <c r="O354" t="s">
        <v>348</v>
      </c>
    </row>
    <row r="355" spans="1:15" x14ac:dyDescent="0.3">
      <c r="A355">
        <v>457</v>
      </c>
      <c r="B355" t="s">
        <v>323</v>
      </c>
      <c r="C355">
        <v>138</v>
      </c>
      <c r="D355" t="s">
        <v>77</v>
      </c>
      <c r="E355">
        <v>2055</v>
      </c>
      <c r="F355" t="s">
        <v>18001</v>
      </c>
      <c r="G355">
        <v>5</v>
      </c>
      <c r="H355">
        <v>1</v>
      </c>
      <c r="I355">
        <v>0</v>
      </c>
      <c r="J355">
        <v>0</v>
      </c>
      <c r="K355">
        <v>1</v>
      </c>
      <c r="L355">
        <v>2</v>
      </c>
      <c r="M355">
        <v>1</v>
      </c>
      <c r="N355" t="s">
        <v>325</v>
      </c>
      <c r="O355" t="s">
        <v>336</v>
      </c>
    </row>
    <row r="356" spans="1:15" x14ac:dyDescent="0.3">
      <c r="A356">
        <v>458</v>
      </c>
      <c r="B356" t="s">
        <v>323</v>
      </c>
      <c r="C356">
        <v>139</v>
      </c>
      <c r="D356" t="s">
        <v>79</v>
      </c>
      <c r="E356">
        <v>465</v>
      </c>
      <c r="F356" t="s">
        <v>349</v>
      </c>
      <c r="G356">
        <v>5</v>
      </c>
      <c r="H356">
        <v>0</v>
      </c>
      <c r="I356">
        <v>1</v>
      </c>
      <c r="J356">
        <v>2</v>
      </c>
      <c r="K356">
        <v>1</v>
      </c>
      <c r="L356">
        <v>1</v>
      </c>
      <c r="M356">
        <v>0</v>
      </c>
      <c r="N356" t="s">
        <v>416</v>
      </c>
      <c r="O356" t="s">
        <v>336</v>
      </c>
    </row>
    <row r="357" spans="1:15" x14ac:dyDescent="0.3">
      <c r="A357">
        <v>458</v>
      </c>
      <c r="B357" t="s">
        <v>323</v>
      </c>
      <c r="C357">
        <v>139</v>
      </c>
      <c r="D357" t="s">
        <v>79</v>
      </c>
      <c r="E357">
        <v>466</v>
      </c>
      <c r="F357" t="s">
        <v>567</v>
      </c>
      <c r="G357">
        <v>5</v>
      </c>
      <c r="H357">
        <v>0</v>
      </c>
      <c r="I357">
        <v>1</v>
      </c>
      <c r="J357">
        <v>2</v>
      </c>
      <c r="K357">
        <v>1</v>
      </c>
      <c r="L357">
        <v>0</v>
      </c>
      <c r="M357">
        <v>1</v>
      </c>
      <c r="N357" t="s">
        <v>410</v>
      </c>
      <c r="O357" t="s">
        <v>348</v>
      </c>
    </row>
    <row r="358" spans="1:15" x14ac:dyDescent="0.3">
      <c r="A358">
        <v>458</v>
      </c>
      <c r="B358" t="s">
        <v>323</v>
      </c>
      <c r="C358">
        <v>139</v>
      </c>
      <c r="D358" t="s">
        <v>79</v>
      </c>
      <c r="E358">
        <v>467</v>
      </c>
      <c r="F358" t="s">
        <v>568</v>
      </c>
      <c r="G358">
        <v>9</v>
      </c>
      <c r="H358">
        <v>0</v>
      </c>
      <c r="I358">
        <v>2</v>
      </c>
      <c r="J358">
        <v>2</v>
      </c>
      <c r="K358">
        <v>1</v>
      </c>
      <c r="L358">
        <v>0</v>
      </c>
      <c r="M358">
        <v>4</v>
      </c>
      <c r="N358" t="s">
        <v>325</v>
      </c>
      <c r="O358" t="s">
        <v>326</v>
      </c>
    </row>
    <row r="359" spans="1:15" x14ac:dyDescent="0.3">
      <c r="A359">
        <v>458</v>
      </c>
      <c r="B359" t="s">
        <v>323</v>
      </c>
      <c r="C359">
        <v>139</v>
      </c>
      <c r="D359" t="s">
        <v>79</v>
      </c>
      <c r="E359">
        <v>468</v>
      </c>
      <c r="F359" t="s">
        <v>569</v>
      </c>
      <c r="G359">
        <v>7</v>
      </c>
      <c r="H359">
        <v>0</v>
      </c>
      <c r="I359">
        <v>2</v>
      </c>
      <c r="J359">
        <v>2</v>
      </c>
      <c r="K359">
        <v>2</v>
      </c>
      <c r="L359">
        <v>1</v>
      </c>
      <c r="M359">
        <v>0</v>
      </c>
      <c r="N359" t="s">
        <v>410</v>
      </c>
      <c r="O359" t="s">
        <v>343</v>
      </c>
    </row>
    <row r="360" spans="1:15" x14ac:dyDescent="0.3">
      <c r="A360">
        <v>458</v>
      </c>
      <c r="B360" t="s">
        <v>323</v>
      </c>
      <c r="C360">
        <v>139</v>
      </c>
      <c r="D360" t="s">
        <v>79</v>
      </c>
      <c r="E360">
        <v>469</v>
      </c>
      <c r="F360" t="s">
        <v>570</v>
      </c>
      <c r="G360">
        <v>4</v>
      </c>
      <c r="H360">
        <v>0</v>
      </c>
      <c r="I360">
        <v>2</v>
      </c>
      <c r="J360">
        <v>2</v>
      </c>
      <c r="K360">
        <v>0</v>
      </c>
      <c r="L360">
        <v>0</v>
      </c>
      <c r="M360">
        <v>0</v>
      </c>
      <c r="N360" t="s">
        <v>325</v>
      </c>
      <c r="O360" t="s">
        <v>348</v>
      </c>
    </row>
    <row r="361" spans="1:15" x14ac:dyDescent="0.3">
      <c r="A361">
        <v>458</v>
      </c>
      <c r="B361" t="s">
        <v>323</v>
      </c>
      <c r="C361">
        <v>139</v>
      </c>
      <c r="D361" t="s">
        <v>79</v>
      </c>
      <c r="E361">
        <v>470</v>
      </c>
      <c r="F361" t="s">
        <v>351</v>
      </c>
      <c r="G361">
        <v>6</v>
      </c>
      <c r="H361">
        <v>0</v>
      </c>
      <c r="I361">
        <v>0</v>
      </c>
      <c r="J361">
        <v>2</v>
      </c>
      <c r="K361">
        <v>3</v>
      </c>
      <c r="L361">
        <v>1</v>
      </c>
      <c r="M361">
        <v>0</v>
      </c>
      <c r="N361" t="s">
        <v>333</v>
      </c>
      <c r="O361" t="s">
        <v>326</v>
      </c>
    </row>
    <row r="362" spans="1:15" x14ac:dyDescent="0.3">
      <c r="A362">
        <v>458</v>
      </c>
      <c r="B362" t="s">
        <v>323</v>
      </c>
      <c r="C362">
        <v>139</v>
      </c>
      <c r="D362" t="s">
        <v>79</v>
      </c>
      <c r="E362">
        <v>472</v>
      </c>
      <c r="F362" t="s">
        <v>572</v>
      </c>
      <c r="G362">
        <v>4</v>
      </c>
      <c r="H362">
        <v>0</v>
      </c>
      <c r="I362">
        <v>0</v>
      </c>
      <c r="J362">
        <v>0</v>
      </c>
      <c r="K362">
        <v>2</v>
      </c>
      <c r="L362">
        <v>0</v>
      </c>
      <c r="M362">
        <v>2</v>
      </c>
      <c r="N362" t="s">
        <v>325</v>
      </c>
      <c r="O362" t="s">
        <v>326</v>
      </c>
    </row>
    <row r="363" spans="1:15" x14ac:dyDescent="0.3">
      <c r="A363">
        <v>458</v>
      </c>
      <c r="B363" t="s">
        <v>323</v>
      </c>
      <c r="C363">
        <v>139</v>
      </c>
      <c r="D363" t="s">
        <v>79</v>
      </c>
      <c r="E363">
        <v>473</v>
      </c>
      <c r="F363" t="s">
        <v>573</v>
      </c>
      <c r="G363">
        <v>6</v>
      </c>
      <c r="H363">
        <v>0</v>
      </c>
      <c r="I363">
        <v>2</v>
      </c>
      <c r="J363">
        <v>3</v>
      </c>
      <c r="K363">
        <v>0</v>
      </c>
      <c r="L363">
        <v>0</v>
      </c>
      <c r="M363">
        <v>1</v>
      </c>
      <c r="N363" t="s">
        <v>410</v>
      </c>
      <c r="O363" t="s">
        <v>326</v>
      </c>
    </row>
    <row r="364" spans="1:15" x14ac:dyDescent="0.3">
      <c r="A364">
        <v>458</v>
      </c>
      <c r="B364" t="s">
        <v>323</v>
      </c>
      <c r="C364">
        <v>139</v>
      </c>
      <c r="D364" t="s">
        <v>79</v>
      </c>
      <c r="E364">
        <v>475</v>
      </c>
      <c r="F364" t="s">
        <v>376</v>
      </c>
      <c r="G364">
        <v>6</v>
      </c>
      <c r="H364">
        <v>0</v>
      </c>
      <c r="I364">
        <v>1</v>
      </c>
      <c r="J364">
        <v>1</v>
      </c>
      <c r="K364">
        <v>2</v>
      </c>
      <c r="L364">
        <v>0</v>
      </c>
      <c r="M364">
        <v>2</v>
      </c>
      <c r="N364" t="s">
        <v>325</v>
      </c>
      <c r="O364" t="s">
        <v>326</v>
      </c>
    </row>
    <row r="365" spans="1:15" x14ac:dyDescent="0.3">
      <c r="A365">
        <v>458</v>
      </c>
      <c r="B365" t="s">
        <v>323</v>
      </c>
      <c r="C365">
        <v>139</v>
      </c>
      <c r="D365" t="s">
        <v>79</v>
      </c>
      <c r="E365">
        <v>476</v>
      </c>
      <c r="F365" t="s">
        <v>575</v>
      </c>
      <c r="G365">
        <v>19</v>
      </c>
      <c r="H365">
        <v>0</v>
      </c>
      <c r="I365">
        <v>2</v>
      </c>
      <c r="J365">
        <v>5</v>
      </c>
      <c r="K365">
        <v>4</v>
      </c>
      <c r="L365">
        <v>2</v>
      </c>
      <c r="M365">
        <v>6</v>
      </c>
      <c r="N365" t="s">
        <v>410</v>
      </c>
      <c r="O365" t="s">
        <v>348</v>
      </c>
    </row>
    <row r="366" spans="1:15" x14ac:dyDescent="0.3">
      <c r="A366">
        <v>458</v>
      </c>
      <c r="B366" t="s">
        <v>323</v>
      </c>
      <c r="C366">
        <v>139</v>
      </c>
      <c r="D366" t="s">
        <v>79</v>
      </c>
      <c r="E366">
        <v>477</v>
      </c>
      <c r="F366" t="s">
        <v>576</v>
      </c>
      <c r="G366">
        <v>31</v>
      </c>
      <c r="H366">
        <v>4</v>
      </c>
      <c r="I366">
        <v>6</v>
      </c>
      <c r="J366">
        <v>7</v>
      </c>
      <c r="K366">
        <v>7</v>
      </c>
      <c r="L366">
        <v>0</v>
      </c>
      <c r="M366">
        <v>7</v>
      </c>
      <c r="N366" t="s">
        <v>325</v>
      </c>
      <c r="O366" t="s">
        <v>326</v>
      </c>
    </row>
    <row r="367" spans="1:15" x14ac:dyDescent="0.3">
      <c r="A367">
        <v>458</v>
      </c>
      <c r="B367" t="s">
        <v>323</v>
      </c>
      <c r="C367">
        <v>139</v>
      </c>
      <c r="D367" t="s">
        <v>79</v>
      </c>
      <c r="E367">
        <v>478</v>
      </c>
      <c r="F367" t="s">
        <v>577</v>
      </c>
      <c r="G367">
        <v>5</v>
      </c>
      <c r="H367">
        <v>0</v>
      </c>
      <c r="I367">
        <v>0</v>
      </c>
      <c r="J367">
        <v>1</v>
      </c>
      <c r="K367">
        <v>2</v>
      </c>
      <c r="L367">
        <v>0</v>
      </c>
      <c r="M367">
        <v>2</v>
      </c>
      <c r="N367" t="s">
        <v>410</v>
      </c>
      <c r="O367" t="s">
        <v>326</v>
      </c>
    </row>
    <row r="368" spans="1:15" x14ac:dyDescent="0.3">
      <c r="A368">
        <v>458</v>
      </c>
      <c r="B368" t="s">
        <v>323</v>
      </c>
      <c r="C368">
        <v>139</v>
      </c>
      <c r="D368" t="s">
        <v>79</v>
      </c>
      <c r="E368">
        <v>479</v>
      </c>
      <c r="F368" t="s">
        <v>578</v>
      </c>
      <c r="G368">
        <v>8</v>
      </c>
      <c r="H368">
        <v>0</v>
      </c>
      <c r="I368">
        <v>0</v>
      </c>
      <c r="J368">
        <v>1</v>
      </c>
      <c r="K368">
        <v>3</v>
      </c>
      <c r="L368">
        <v>0</v>
      </c>
      <c r="M368">
        <v>4</v>
      </c>
      <c r="N368" t="s">
        <v>325</v>
      </c>
      <c r="O368" t="s">
        <v>326</v>
      </c>
    </row>
    <row r="369" spans="1:15" x14ac:dyDescent="0.3">
      <c r="A369">
        <v>458</v>
      </c>
      <c r="B369" t="s">
        <v>323</v>
      </c>
      <c r="C369">
        <v>139</v>
      </c>
      <c r="D369" t="s">
        <v>79</v>
      </c>
      <c r="E369">
        <v>481</v>
      </c>
      <c r="F369" t="s">
        <v>580</v>
      </c>
      <c r="G369">
        <v>7</v>
      </c>
      <c r="H369">
        <v>0</v>
      </c>
      <c r="I369">
        <v>2</v>
      </c>
      <c r="J369">
        <v>2</v>
      </c>
      <c r="K369">
        <v>1</v>
      </c>
      <c r="L369">
        <v>1</v>
      </c>
      <c r="M369">
        <v>1</v>
      </c>
      <c r="N369" t="s">
        <v>325</v>
      </c>
      <c r="O369" t="s">
        <v>326</v>
      </c>
    </row>
    <row r="370" spans="1:15" x14ac:dyDescent="0.3">
      <c r="A370">
        <v>458</v>
      </c>
      <c r="B370" t="s">
        <v>323</v>
      </c>
      <c r="C370">
        <v>139</v>
      </c>
      <c r="D370" t="s">
        <v>79</v>
      </c>
      <c r="E370">
        <v>483</v>
      </c>
      <c r="F370" t="s">
        <v>582</v>
      </c>
      <c r="G370">
        <v>6</v>
      </c>
      <c r="H370">
        <v>0</v>
      </c>
      <c r="I370">
        <v>0</v>
      </c>
      <c r="J370">
        <v>2</v>
      </c>
      <c r="K370">
        <v>2</v>
      </c>
      <c r="L370">
        <v>1</v>
      </c>
      <c r="M370">
        <v>1</v>
      </c>
      <c r="N370" t="s">
        <v>410</v>
      </c>
      <c r="O370" t="s">
        <v>326</v>
      </c>
    </row>
    <row r="371" spans="1:15" x14ac:dyDescent="0.3">
      <c r="A371">
        <v>458</v>
      </c>
      <c r="B371" t="s">
        <v>323</v>
      </c>
      <c r="C371">
        <v>139</v>
      </c>
      <c r="D371" t="s">
        <v>79</v>
      </c>
      <c r="E371">
        <v>484</v>
      </c>
      <c r="F371" t="s">
        <v>583</v>
      </c>
      <c r="G371">
        <v>4</v>
      </c>
      <c r="H371">
        <v>0</v>
      </c>
      <c r="I371">
        <v>0</v>
      </c>
      <c r="J371">
        <v>4</v>
      </c>
      <c r="K371">
        <v>0</v>
      </c>
      <c r="L371">
        <v>0</v>
      </c>
      <c r="M371">
        <v>0</v>
      </c>
      <c r="N371" t="s">
        <v>325</v>
      </c>
      <c r="O371" t="s">
        <v>348</v>
      </c>
    </row>
    <row r="372" spans="1:15" x14ac:dyDescent="0.3">
      <c r="A372">
        <v>458</v>
      </c>
      <c r="B372" t="s">
        <v>323</v>
      </c>
      <c r="C372">
        <v>139</v>
      </c>
      <c r="D372" t="s">
        <v>79</v>
      </c>
      <c r="E372">
        <v>1420</v>
      </c>
      <c r="F372" t="s">
        <v>584</v>
      </c>
      <c r="G372">
        <v>6</v>
      </c>
      <c r="H372">
        <v>0</v>
      </c>
      <c r="I372">
        <v>1</v>
      </c>
      <c r="J372">
        <v>3</v>
      </c>
      <c r="K372">
        <v>1</v>
      </c>
      <c r="L372">
        <v>0</v>
      </c>
      <c r="M372">
        <v>1</v>
      </c>
      <c r="N372" t="s">
        <v>333</v>
      </c>
      <c r="O372" t="s">
        <v>326</v>
      </c>
    </row>
    <row r="373" spans="1:15" x14ac:dyDescent="0.3">
      <c r="A373">
        <v>458</v>
      </c>
      <c r="B373" t="s">
        <v>323</v>
      </c>
      <c r="C373">
        <v>139</v>
      </c>
      <c r="D373" t="s">
        <v>79</v>
      </c>
      <c r="E373">
        <v>1422</v>
      </c>
      <c r="F373" t="s">
        <v>585</v>
      </c>
      <c r="G373">
        <v>8</v>
      </c>
      <c r="H373">
        <v>0</v>
      </c>
      <c r="I373">
        <v>0</v>
      </c>
      <c r="J373">
        <v>1</v>
      </c>
      <c r="K373">
        <v>1</v>
      </c>
      <c r="L373">
        <v>0</v>
      </c>
      <c r="M373">
        <v>6</v>
      </c>
      <c r="N373" t="s">
        <v>325</v>
      </c>
      <c r="O373" t="s">
        <v>326</v>
      </c>
    </row>
    <row r="374" spans="1:15" x14ac:dyDescent="0.3">
      <c r="A374">
        <v>458</v>
      </c>
      <c r="B374" t="s">
        <v>323</v>
      </c>
      <c r="C374">
        <v>139</v>
      </c>
      <c r="D374" t="s">
        <v>79</v>
      </c>
      <c r="E374">
        <v>2181</v>
      </c>
      <c r="F374" t="s">
        <v>579</v>
      </c>
      <c r="G374">
        <v>6</v>
      </c>
      <c r="H374">
        <v>0</v>
      </c>
      <c r="I374">
        <v>0</v>
      </c>
      <c r="J374">
        <v>2</v>
      </c>
      <c r="K374">
        <v>2</v>
      </c>
      <c r="L374">
        <v>0</v>
      </c>
      <c r="M374">
        <v>2</v>
      </c>
      <c r="N374" t="s">
        <v>410</v>
      </c>
      <c r="O374" t="s">
        <v>348</v>
      </c>
    </row>
    <row r="375" spans="1:15" x14ac:dyDescent="0.3">
      <c r="A375">
        <v>458</v>
      </c>
      <c r="B375" t="s">
        <v>323</v>
      </c>
      <c r="C375">
        <v>139</v>
      </c>
      <c r="D375" t="s">
        <v>79</v>
      </c>
      <c r="E375">
        <v>2182</v>
      </c>
      <c r="F375" t="s">
        <v>18002</v>
      </c>
      <c r="G375">
        <v>3</v>
      </c>
      <c r="H375">
        <v>0</v>
      </c>
      <c r="I375">
        <v>0</v>
      </c>
      <c r="J375">
        <v>3</v>
      </c>
      <c r="K375">
        <v>0</v>
      </c>
      <c r="L375">
        <v>0</v>
      </c>
      <c r="M375">
        <v>0</v>
      </c>
      <c r="N375" t="s">
        <v>333</v>
      </c>
      <c r="O375" t="s">
        <v>326</v>
      </c>
    </row>
    <row r="376" spans="1:15" x14ac:dyDescent="0.3">
      <c r="A376">
        <v>458</v>
      </c>
      <c r="B376" t="s">
        <v>323</v>
      </c>
      <c r="C376">
        <v>139</v>
      </c>
      <c r="D376" t="s">
        <v>79</v>
      </c>
      <c r="E376">
        <v>2183</v>
      </c>
      <c r="F376" t="s">
        <v>398</v>
      </c>
      <c r="G376">
        <v>5</v>
      </c>
      <c r="H376">
        <v>0</v>
      </c>
      <c r="I376">
        <v>0</v>
      </c>
      <c r="J376">
        <v>3</v>
      </c>
      <c r="K376">
        <v>2</v>
      </c>
      <c r="L376">
        <v>0</v>
      </c>
      <c r="M376">
        <v>0</v>
      </c>
      <c r="N376" t="s">
        <v>410</v>
      </c>
      <c r="O376" t="s">
        <v>348</v>
      </c>
    </row>
    <row r="377" spans="1:15" x14ac:dyDescent="0.3">
      <c r="A377">
        <v>458</v>
      </c>
      <c r="B377" t="s">
        <v>323</v>
      </c>
      <c r="C377">
        <v>139</v>
      </c>
      <c r="D377" t="s">
        <v>79</v>
      </c>
      <c r="E377">
        <v>2184</v>
      </c>
      <c r="F377" t="s">
        <v>18003</v>
      </c>
      <c r="G377">
        <v>6</v>
      </c>
      <c r="H377">
        <v>0</v>
      </c>
      <c r="I377">
        <v>0</v>
      </c>
      <c r="J377">
        <v>1</v>
      </c>
      <c r="K377">
        <v>0</v>
      </c>
      <c r="L377">
        <v>0</v>
      </c>
      <c r="M377">
        <v>5</v>
      </c>
      <c r="N377" t="s">
        <v>325</v>
      </c>
      <c r="O377" t="s">
        <v>326</v>
      </c>
    </row>
    <row r="378" spans="1:15" x14ac:dyDescent="0.3">
      <c r="A378">
        <v>460</v>
      </c>
      <c r="B378" t="s">
        <v>323</v>
      </c>
      <c r="C378">
        <v>141</v>
      </c>
      <c r="D378" t="s">
        <v>83</v>
      </c>
      <c r="E378">
        <v>1391</v>
      </c>
      <c r="F378" t="s">
        <v>586</v>
      </c>
      <c r="G378">
        <v>5</v>
      </c>
      <c r="H378">
        <v>0</v>
      </c>
      <c r="I378">
        <v>0</v>
      </c>
      <c r="J378">
        <v>1</v>
      </c>
      <c r="K378">
        <v>1</v>
      </c>
      <c r="L378">
        <v>3</v>
      </c>
      <c r="M378">
        <v>0</v>
      </c>
      <c r="N378" t="s">
        <v>333</v>
      </c>
      <c r="O378" t="s">
        <v>326</v>
      </c>
    </row>
    <row r="379" spans="1:15" x14ac:dyDescent="0.3">
      <c r="A379">
        <v>460</v>
      </c>
      <c r="B379" t="s">
        <v>323</v>
      </c>
      <c r="C379">
        <v>141</v>
      </c>
      <c r="D379" t="s">
        <v>83</v>
      </c>
      <c r="E379">
        <v>1392</v>
      </c>
      <c r="F379" t="s">
        <v>381</v>
      </c>
      <c r="G379">
        <v>6</v>
      </c>
      <c r="H379">
        <v>0</v>
      </c>
      <c r="I379">
        <v>0</v>
      </c>
      <c r="J379">
        <v>0</v>
      </c>
      <c r="K379">
        <v>2</v>
      </c>
      <c r="L379">
        <v>4</v>
      </c>
      <c r="M379">
        <v>0</v>
      </c>
      <c r="N379" t="s">
        <v>333</v>
      </c>
      <c r="O379" t="s">
        <v>326</v>
      </c>
    </row>
    <row r="380" spans="1:15" x14ac:dyDescent="0.3">
      <c r="A380">
        <v>460</v>
      </c>
      <c r="B380" t="s">
        <v>323</v>
      </c>
      <c r="C380">
        <v>141</v>
      </c>
      <c r="D380" t="s">
        <v>83</v>
      </c>
      <c r="E380">
        <v>1393</v>
      </c>
      <c r="F380" t="s">
        <v>587</v>
      </c>
      <c r="G380">
        <v>4</v>
      </c>
      <c r="H380">
        <v>0</v>
      </c>
      <c r="I380">
        <v>0</v>
      </c>
      <c r="J380">
        <v>2</v>
      </c>
      <c r="K380">
        <v>1</v>
      </c>
      <c r="L380">
        <v>1</v>
      </c>
      <c r="M380">
        <v>0</v>
      </c>
      <c r="N380" t="s">
        <v>333</v>
      </c>
      <c r="O380" t="s">
        <v>326</v>
      </c>
    </row>
    <row r="381" spans="1:15" x14ac:dyDescent="0.3">
      <c r="A381">
        <v>460</v>
      </c>
      <c r="B381" t="s">
        <v>323</v>
      </c>
      <c r="C381">
        <v>141</v>
      </c>
      <c r="D381" t="s">
        <v>83</v>
      </c>
      <c r="E381">
        <v>1394</v>
      </c>
      <c r="F381" t="s">
        <v>588</v>
      </c>
      <c r="G381">
        <v>4</v>
      </c>
      <c r="H381">
        <v>0</v>
      </c>
      <c r="I381">
        <v>0</v>
      </c>
      <c r="J381">
        <v>0</v>
      </c>
      <c r="K381">
        <v>2</v>
      </c>
      <c r="L381">
        <v>2</v>
      </c>
      <c r="M381">
        <v>0</v>
      </c>
      <c r="N381" t="s">
        <v>325</v>
      </c>
      <c r="O381" t="s">
        <v>326</v>
      </c>
    </row>
    <row r="382" spans="1:15" x14ac:dyDescent="0.3">
      <c r="A382">
        <v>460</v>
      </c>
      <c r="B382" t="s">
        <v>323</v>
      </c>
      <c r="C382">
        <v>141</v>
      </c>
      <c r="D382" t="s">
        <v>83</v>
      </c>
      <c r="E382">
        <v>1395</v>
      </c>
      <c r="F382" t="s">
        <v>589</v>
      </c>
      <c r="G382">
        <v>5</v>
      </c>
      <c r="H382">
        <v>0</v>
      </c>
      <c r="I382">
        <v>0</v>
      </c>
      <c r="J382">
        <v>0</v>
      </c>
      <c r="K382">
        <v>2</v>
      </c>
      <c r="L382">
        <v>3</v>
      </c>
      <c r="M382">
        <v>0</v>
      </c>
      <c r="N382" t="s">
        <v>325</v>
      </c>
      <c r="O382" t="s">
        <v>484</v>
      </c>
    </row>
    <row r="383" spans="1:15" x14ac:dyDescent="0.3">
      <c r="A383">
        <v>460</v>
      </c>
      <c r="B383" t="s">
        <v>323</v>
      </c>
      <c r="C383">
        <v>141</v>
      </c>
      <c r="D383" t="s">
        <v>83</v>
      </c>
      <c r="E383">
        <v>1396</v>
      </c>
      <c r="F383" t="s">
        <v>590</v>
      </c>
      <c r="G383">
        <v>5</v>
      </c>
      <c r="H383">
        <v>0</v>
      </c>
      <c r="I383">
        <v>1</v>
      </c>
      <c r="J383">
        <v>2</v>
      </c>
      <c r="K383">
        <v>1</v>
      </c>
      <c r="L383">
        <v>1</v>
      </c>
      <c r="M383">
        <v>0</v>
      </c>
      <c r="N383" t="s">
        <v>410</v>
      </c>
      <c r="O383" t="s">
        <v>484</v>
      </c>
    </row>
    <row r="384" spans="1:15" x14ac:dyDescent="0.3">
      <c r="A384">
        <v>460</v>
      </c>
      <c r="B384" t="s">
        <v>323</v>
      </c>
      <c r="C384">
        <v>141</v>
      </c>
      <c r="D384" t="s">
        <v>83</v>
      </c>
      <c r="E384">
        <v>1397</v>
      </c>
      <c r="F384" t="s">
        <v>353</v>
      </c>
      <c r="G384">
        <v>4</v>
      </c>
      <c r="H384">
        <v>0</v>
      </c>
      <c r="I384">
        <v>0</v>
      </c>
      <c r="J384">
        <v>0</v>
      </c>
      <c r="K384">
        <v>1</v>
      </c>
      <c r="L384">
        <v>3</v>
      </c>
      <c r="M384">
        <v>0</v>
      </c>
      <c r="N384" t="s">
        <v>333</v>
      </c>
      <c r="O384" t="s">
        <v>336</v>
      </c>
    </row>
    <row r="385" spans="1:15" x14ac:dyDescent="0.3">
      <c r="A385">
        <v>460</v>
      </c>
      <c r="B385" t="s">
        <v>323</v>
      </c>
      <c r="C385">
        <v>141</v>
      </c>
      <c r="D385" t="s">
        <v>83</v>
      </c>
      <c r="E385">
        <v>1775</v>
      </c>
      <c r="F385" t="s">
        <v>1303</v>
      </c>
      <c r="G385">
        <v>4</v>
      </c>
      <c r="H385">
        <v>2</v>
      </c>
      <c r="I385">
        <v>2</v>
      </c>
      <c r="J385">
        <v>0</v>
      </c>
      <c r="K385">
        <v>0</v>
      </c>
      <c r="L385">
        <v>0</v>
      </c>
      <c r="M385">
        <v>0</v>
      </c>
      <c r="N385" t="s">
        <v>325</v>
      </c>
      <c r="O385" t="s">
        <v>343</v>
      </c>
    </row>
    <row r="386" spans="1:15" x14ac:dyDescent="0.3">
      <c r="A386">
        <v>460</v>
      </c>
      <c r="B386" t="s">
        <v>323</v>
      </c>
      <c r="C386">
        <v>141</v>
      </c>
      <c r="D386" t="s">
        <v>83</v>
      </c>
      <c r="E386">
        <v>2192</v>
      </c>
      <c r="F386" t="s">
        <v>18004</v>
      </c>
      <c r="G386">
        <v>2</v>
      </c>
      <c r="H386">
        <v>0</v>
      </c>
      <c r="I386">
        <v>0</v>
      </c>
      <c r="J386">
        <v>1</v>
      </c>
      <c r="K386">
        <v>1</v>
      </c>
      <c r="L386">
        <v>0</v>
      </c>
      <c r="M386">
        <v>0</v>
      </c>
      <c r="N386" t="s">
        <v>325</v>
      </c>
      <c r="O386" t="s">
        <v>326</v>
      </c>
    </row>
    <row r="387" spans="1:15" x14ac:dyDescent="0.3">
      <c r="A387">
        <v>460</v>
      </c>
      <c r="B387" t="s">
        <v>323</v>
      </c>
      <c r="C387">
        <v>141</v>
      </c>
      <c r="D387" t="s">
        <v>83</v>
      </c>
      <c r="E387">
        <v>2194</v>
      </c>
      <c r="F387" t="s">
        <v>18005</v>
      </c>
      <c r="G387">
        <v>3</v>
      </c>
      <c r="H387">
        <v>0</v>
      </c>
      <c r="I387">
        <v>0</v>
      </c>
      <c r="J387">
        <v>1</v>
      </c>
      <c r="K387">
        <v>0</v>
      </c>
      <c r="L387">
        <v>0</v>
      </c>
      <c r="M387">
        <v>2</v>
      </c>
      <c r="N387" t="s">
        <v>325</v>
      </c>
      <c r="O387" t="s">
        <v>326</v>
      </c>
    </row>
    <row r="388" spans="1:15" x14ac:dyDescent="0.3">
      <c r="A388">
        <v>460</v>
      </c>
      <c r="B388" t="s">
        <v>323</v>
      </c>
      <c r="C388">
        <v>141</v>
      </c>
      <c r="D388" t="s">
        <v>83</v>
      </c>
      <c r="E388">
        <v>2195</v>
      </c>
      <c r="F388" t="s">
        <v>18006</v>
      </c>
      <c r="G388">
        <v>4</v>
      </c>
      <c r="H388">
        <v>0</v>
      </c>
      <c r="I388">
        <v>0</v>
      </c>
      <c r="J388">
        <v>1</v>
      </c>
      <c r="K388">
        <v>2</v>
      </c>
      <c r="L388">
        <v>1</v>
      </c>
      <c r="M388">
        <v>0</v>
      </c>
      <c r="N388" t="s">
        <v>333</v>
      </c>
      <c r="O388" t="s">
        <v>484</v>
      </c>
    </row>
    <row r="389" spans="1:15" x14ac:dyDescent="0.3">
      <c r="A389">
        <v>461</v>
      </c>
      <c r="B389" t="s">
        <v>323</v>
      </c>
      <c r="C389">
        <v>142</v>
      </c>
      <c r="D389" t="s">
        <v>85</v>
      </c>
      <c r="E389">
        <v>2095</v>
      </c>
      <c r="F389" t="s">
        <v>18007</v>
      </c>
      <c r="G389">
        <v>4</v>
      </c>
      <c r="H389">
        <v>1</v>
      </c>
      <c r="I389">
        <v>2</v>
      </c>
      <c r="J389">
        <v>1</v>
      </c>
      <c r="K389">
        <v>0</v>
      </c>
      <c r="L389">
        <v>0</v>
      </c>
      <c r="M389">
        <v>0</v>
      </c>
      <c r="N389" t="s">
        <v>333</v>
      </c>
      <c r="O389" t="s">
        <v>336</v>
      </c>
    </row>
    <row r="390" spans="1:15" x14ac:dyDescent="0.3">
      <c r="A390">
        <v>461</v>
      </c>
      <c r="B390" t="s">
        <v>323</v>
      </c>
      <c r="C390">
        <v>142</v>
      </c>
      <c r="D390" t="s">
        <v>85</v>
      </c>
      <c r="E390">
        <v>2096</v>
      </c>
      <c r="F390" t="s">
        <v>18008</v>
      </c>
      <c r="G390">
        <v>5</v>
      </c>
      <c r="H390">
        <v>1</v>
      </c>
      <c r="I390">
        <v>2</v>
      </c>
      <c r="J390">
        <v>2</v>
      </c>
      <c r="K390">
        <v>0</v>
      </c>
      <c r="L390">
        <v>0</v>
      </c>
      <c r="M390">
        <v>0</v>
      </c>
      <c r="N390" t="s">
        <v>333</v>
      </c>
      <c r="O390" t="s">
        <v>348</v>
      </c>
    </row>
    <row r="391" spans="1:15" x14ac:dyDescent="0.3">
      <c r="A391">
        <v>461</v>
      </c>
      <c r="B391" t="s">
        <v>323</v>
      </c>
      <c r="C391">
        <v>142</v>
      </c>
      <c r="D391" t="s">
        <v>85</v>
      </c>
      <c r="E391">
        <v>2097</v>
      </c>
      <c r="F391" t="s">
        <v>683</v>
      </c>
      <c r="G391">
        <v>2</v>
      </c>
      <c r="H391">
        <v>0</v>
      </c>
      <c r="I391">
        <v>0</v>
      </c>
      <c r="J391">
        <v>1</v>
      </c>
      <c r="K391">
        <v>1</v>
      </c>
      <c r="L391">
        <v>0</v>
      </c>
      <c r="M391">
        <v>0</v>
      </c>
      <c r="N391" t="s">
        <v>333</v>
      </c>
      <c r="O391" t="s">
        <v>336</v>
      </c>
    </row>
    <row r="392" spans="1:15" x14ac:dyDescent="0.3">
      <c r="A392">
        <v>461</v>
      </c>
      <c r="B392" t="s">
        <v>323</v>
      </c>
      <c r="C392">
        <v>142</v>
      </c>
      <c r="D392" t="s">
        <v>85</v>
      </c>
      <c r="E392">
        <v>2098</v>
      </c>
      <c r="F392" t="s">
        <v>18009</v>
      </c>
      <c r="G392">
        <v>3</v>
      </c>
      <c r="H392">
        <v>0</v>
      </c>
      <c r="I392">
        <v>0</v>
      </c>
      <c r="J392">
        <v>3</v>
      </c>
      <c r="K392">
        <v>0</v>
      </c>
      <c r="L392">
        <v>0</v>
      </c>
      <c r="M392">
        <v>0</v>
      </c>
      <c r="N392" t="s">
        <v>333</v>
      </c>
      <c r="O392" t="s">
        <v>336</v>
      </c>
    </row>
    <row r="393" spans="1:15" x14ac:dyDescent="0.3">
      <c r="A393">
        <v>461</v>
      </c>
      <c r="B393" t="s">
        <v>323</v>
      </c>
      <c r="C393">
        <v>142</v>
      </c>
      <c r="D393" t="s">
        <v>85</v>
      </c>
      <c r="E393">
        <v>2099</v>
      </c>
      <c r="F393" t="s">
        <v>18010</v>
      </c>
      <c r="G393">
        <v>5</v>
      </c>
      <c r="H393">
        <v>3</v>
      </c>
      <c r="I393">
        <v>0</v>
      </c>
      <c r="J393">
        <v>2</v>
      </c>
      <c r="K393">
        <v>0</v>
      </c>
      <c r="L393">
        <v>0</v>
      </c>
      <c r="M393">
        <v>0</v>
      </c>
      <c r="N393" t="s">
        <v>325</v>
      </c>
      <c r="O393" t="s">
        <v>336</v>
      </c>
    </row>
    <row r="394" spans="1:15" x14ac:dyDescent="0.3">
      <c r="A394">
        <v>461</v>
      </c>
      <c r="B394" t="s">
        <v>323</v>
      </c>
      <c r="C394">
        <v>142</v>
      </c>
      <c r="D394" t="s">
        <v>85</v>
      </c>
      <c r="E394">
        <v>2100</v>
      </c>
      <c r="F394" t="s">
        <v>18011</v>
      </c>
      <c r="G394">
        <v>3</v>
      </c>
      <c r="H394">
        <v>0</v>
      </c>
      <c r="I394">
        <v>1</v>
      </c>
      <c r="J394">
        <v>0</v>
      </c>
      <c r="K394">
        <v>1</v>
      </c>
      <c r="L394">
        <v>1</v>
      </c>
      <c r="M394">
        <v>0</v>
      </c>
      <c r="N394" t="s">
        <v>333</v>
      </c>
      <c r="O394" t="s">
        <v>336</v>
      </c>
    </row>
    <row r="395" spans="1:15" x14ac:dyDescent="0.3">
      <c r="A395">
        <v>461</v>
      </c>
      <c r="B395" t="s">
        <v>323</v>
      </c>
      <c r="C395">
        <v>142</v>
      </c>
      <c r="D395" t="s">
        <v>85</v>
      </c>
      <c r="E395">
        <v>2101</v>
      </c>
      <c r="F395" t="s">
        <v>18012</v>
      </c>
      <c r="G395">
        <v>5</v>
      </c>
      <c r="H395">
        <v>0</v>
      </c>
      <c r="I395">
        <v>2</v>
      </c>
      <c r="J395">
        <v>2</v>
      </c>
      <c r="K395">
        <v>1</v>
      </c>
      <c r="L395">
        <v>0</v>
      </c>
      <c r="M395">
        <v>0</v>
      </c>
      <c r="N395" t="s">
        <v>333</v>
      </c>
      <c r="O395" t="s">
        <v>348</v>
      </c>
    </row>
    <row r="396" spans="1:15" x14ac:dyDescent="0.3">
      <c r="A396">
        <v>461</v>
      </c>
      <c r="B396" t="s">
        <v>323</v>
      </c>
      <c r="C396">
        <v>142</v>
      </c>
      <c r="D396" t="s">
        <v>85</v>
      </c>
      <c r="E396">
        <v>2102</v>
      </c>
      <c r="F396" t="s">
        <v>18013</v>
      </c>
      <c r="G396">
        <v>20</v>
      </c>
      <c r="H396">
        <v>5</v>
      </c>
      <c r="I396">
        <v>5</v>
      </c>
      <c r="J396">
        <v>5</v>
      </c>
      <c r="K396">
        <v>2</v>
      </c>
      <c r="L396">
        <v>3</v>
      </c>
      <c r="M396">
        <v>0</v>
      </c>
      <c r="N396" t="s">
        <v>333</v>
      </c>
      <c r="O396" t="s">
        <v>336</v>
      </c>
    </row>
    <row r="397" spans="1:15" x14ac:dyDescent="0.3">
      <c r="A397">
        <v>461</v>
      </c>
      <c r="B397" t="s">
        <v>323</v>
      </c>
      <c r="C397">
        <v>142</v>
      </c>
      <c r="D397" t="s">
        <v>85</v>
      </c>
      <c r="E397">
        <v>2103</v>
      </c>
      <c r="F397" t="s">
        <v>18014</v>
      </c>
      <c r="G397">
        <v>20</v>
      </c>
      <c r="H397">
        <v>5</v>
      </c>
      <c r="I397">
        <v>6</v>
      </c>
      <c r="J397">
        <v>5</v>
      </c>
      <c r="K397">
        <v>4</v>
      </c>
      <c r="L397">
        <v>0</v>
      </c>
      <c r="M397">
        <v>0</v>
      </c>
      <c r="N397" t="s">
        <v>333</v>
      </c>
      <c r="O397" t="s">
        <v>336</v>
      </c>
    </row>
    <row r="398" spans="1:15" x14ac:dyDescent="0.3">
      <c r="A398">
        <v>461</v>
      </c>
      <c r="B398" t="s">
        <v>323</v>
      </c>
      <c r="C398">
        <v>142</v>
      </c>
      <c r="D398" t="s">
        <v>85</v>
      </c>
      <c r="E398">
        <v>2104</v>
      </c>
      <c r="F398" t="s">
        <v>18015</v>
      </c>
      <c r="G398">
        <v>4</v>
      </c>
      <c r="H398">
        <v>0</v>
      </c>
      <c r="I398">
        <v>2</v>
      </c>
      <c r="J398">
        <v>2</v>
      </c>
      <c r="K398">
        <v>0</v>
      </c>
      <c r="L398">
        <v>0</v>
      </c>
      <c r="M398">
        <v>0</v>
      </c>
      <c r="N398" t="s">
        <v>333</v>
      </c>
      <c r="O398" t="s">
        <v>336</v>
      </c>
    </row>
    <row r="399" spans="1:15" x14ac:dyDescent="0.3">
      <c r="A399">
        <v>461</v>
      </c>
      <c r="B399" t="s">
        <v>323</v>
      </c>
      <c r="C399">
        <v>142</v>
      </c>
      <c r="D399" t="s">
        <v>85</v>
      </c>
      <c r="E399">
        <v>2105</v>
      </c>
      <c r="F399" t="s">
        <v>18016</v>
      </c>
      <c r="G399">
        <v>4</v>
      </c>
      <c r="H399">
        <v>0</v>
      </c>
      <c r="I399">
        <v>2</v>
      </c>
      <c r="J399">
        <v>1</v>
      </c>
      <c r="K399">
        <v>1</v>
      </c>
      <c r="L399">
        <v>0</v>
      </c>
      <c r="M399">
        <v>0</v>
      </c>
      <c r="N399" t="s">
        <v>333</v>
      </c>
      <c r="O399" t="s">
        <v>336</v>
      </c>
    </row>
    <row r="400" spans="1:15" x14ac:dyDescent="0.3">
      <c r="A400">
        <v>461</v>
      </c>
      <c r="B400" t="s">
        <v>323</v>
      </c>
      <c r="C400">
        <v>142</v>
      </c>
      <c r="D400" t="s">
        <v>85</v>
      </c>
      <c r="E400">
        <v>2106</v>
      </c>
      <c r="F400" t="s">
        <v>18017</v>
      </c>
      <c r="G400">
        <v>5</v>
      </c>
      <c r="H400">
        <v>0</v>
      </c>
      <c r="I400">
        <v>0</v>
      </c>
      <c r="J400">
        <v>2</v>
      </c>
      <c r="K400">
        <v>2</v>
      </c>
      <c r="L400">
        <v>1</v>
      </c>
      <c r="M400">
        <v>0</v>
      </c>
      <c r="N400" t="s">
        <v>333</v>
      </c>
      <c r="O400" t="s">
        <v>336</v>
      </c>
    </row>
    <row r="401" spans="1:15" x14ac:dyDescent="0.3">
      <c r="A401">
        <v>462</v>
      </c>
      <c r="B401" t="s">
        <v>323</v>
      </c>
      <c r="C401">
        <v>143</v>
      </c>
      <c r="D401" t="s">
        <v>87</v>
      </c>
      <c r="E401">
        <v>1787</v>
      </c>
      <c r="F401" t="s">
        <v>1305</v>
      </c>
      <c r="G401">
        <v>10</v>
      </c>
      <c r="H401">
        <v>2</v>
      </c>
      <c r="I401">
        <v>4</v>
      </c>
      <c r="J401">
        <v>3</v>
      </c>
      <c r="K401">
        <v>1</v>
      </c>
      <c r="L401">
        <v>0</v>
      </c>
      <c r="M401">
        <v>0</v>
      </c>
      <c r="N401" t="s">
        <v>410</v>
      </c>
      <c r="O401" t="s">
        <v>336</v>
      </c>
    </row>
    <row r="402" spans="1:15" x14ac:dyDescent="0.3">
      <c r="A402">
        <v>462</v>
      </c>
      <c r="B402" t="s">
        <v>323</v>
      </c>
      <c r="C402">
        <v>143</v>
      </c>
      <c r="D402" t="s">
        <v>87</v>
      </c>
      <c r="E402">
        <v>1788</v>
      </c>
      <c r="F402" t="s">
        <v>1306</v>
      </c>
      <c r="G402">
        <v>3</v>
      </c>
      <c r="H402">
        <v>0</v>
      </c>
      <c r="I402">
        <v>0</v>
      </c>
      <c r="J402">
        <v>2</v>
      </c>
      <c r="K402">
        <v>0</v>
      </c>
      <c r="L402">
        <v>1</v>
      </c>
      <c r="M402">
        <v>0</v>
      </c>
      <c r="N402" t="s">
        <v>333</v>
      </c>
      <c r="O402" t="s">
        <v>336</v>
      </c>
    </row>
    <row r="403" spans="1:15" x14ac:dyDescent="0.3">
      <c r="A403">
        <v>462</v>
      </c>
      <c r="B403" t="s">
        <v>323</v>
      </c>
      <c r="C403">
        <v>143</v>
      </c>
      <c r="D403" t="s">
        <v>87</v>
      </c>
      <c r="E403">
        <v>2253</v>
      </c>
      <c r="F403" t="s">
        <v>18018</v>
      </c>
      <c r="G403">
        <v>4</v>
      </c>
      <c r="H403">
        <v>0</v>
      </c>
      <c r="I403">
        <v>1</v>
      </c>
      <c r="J403">
        <v>2</v>
      </c>
      <c r="K403">
        <v>1</v>
      </c>
      <c r="L403">
        <v>0</v>
      </c>
      <c r="M403">
        <v>0</v>
      </c>
      <c r="N403" t="s">
        <v>333</v>
      </c>
      <c r="O403" t="s">
        <v>336</v>
      </c>
    </row>
    <row r="404" spans="1:15" x14ac:dyDescent="0.3">
      <c r="A404">
        <v>467</v>
      </c>
      <c r="B404" t="s">
        <v>323</v>
      </c>
      <c r="C404">
        <v>148</v>
      </c>
      <c r="D404" t="s">
        <v>97</v>
      </c>
      <c r="E404">
        <v>293</v>
      </c>
      <c r="F404" t="s">
        <v>393</v>
      </c>
      <c r="G404">
        <v>5</v>
      </c>
      <c r="H404">
        <v>0</v>
      </c>
      <c r="I404">
        <v>0</v>
      </c>
      <c r="J404">
        <v>4</v>
      </c>
      <c r="K404">
        <v>0</v>
      </c>
      <c r="L404">
        <v>0</v>
      </c>
      <c r="M404">
        <v>1</v>
      </c>
      <c r="N404" t="s">
        <v>410</v>
      </c>
      <c r="O404" t="s">
        <v>336</v>
      </c>
    </row>
    <row r="405" spans="1:15" x14ac:dyDescent="0.3">
      <c r="A405">
        <v>467</v>
      </c>
      <c r="B405" t="s">
        <v>323</v>
      </c>
      <c r="C405">
        <v>148</v>
      </c>
      <c r="D405" t="s">
        <v>97</v>
      </c>
      <c r="E405">
        <v>294</v>
      </c>
      <c r="F405" t="s">
        <v>572</v>
      </c>
      <c r="G405">
        <v>5</v>
      </c>
      <c r="H405">
        <v>0</v>
      </c>
      <c r="I405">
        <v>0</v>
      </c>
      <c r="J405">
        <v>1</v>
      </c>
      <c r="K405">
        <v>0</v>
      </c>
      <c r="L405">
        <v>0</v>
      </c>
      <c r="M405">
        <v>4</v>
      </c>
      <c r="N405" t="s">
        <v>333</v>
      </c>
      <c r="O405" t="s">
        <v>336</v>
      </c>
    </row>
    <row r="406" spans="1:15" x14ac:dyDescent="0.3">
      <c r="A406">
        <v>467</v>
      </c>
      <c r="B406" t="s">
        <v>323</v>
      </c>
      <c r="C406">
        <v>148</v>
      </c>
      <c r="D406" t="s">
        <v>97</v>
      </c>
      <c r="E406">
        <v>295</v>
      </c>
      <c r="F406" t="s">
        <v>1307</v>
      </c>
      <c r="G406">
        <v>6</v>
      </c>
      <c r="H406">
        <v>0</v>
      </c>
      <c r="I406">
        <v>0</v>
      </c>
      <c r="J406">
        <v>0</v>
      </c>
      <c r="K406">
        <v>0</v>
      </c>
      <c r="L406">
        <v>0</v>
      </c>
      <c r="M406">
        <v>6</v>
      </c>
      <c r="N406" t="s">
        <v>333</v>
      </c>
      <c r="O406" t="s">
        <v>336</v>
      </c>
    </row>
    <row r="407" spans="1:15" x14ac:dyDescent="0.3">
      <c r="A407">
        <v>467</v>
      </c>
      <c r="B407" t="s">
        <v>323</v>
      </c>
      <c r="C407">
        <v>148</v>
      </c>
      <c r="D407" t="s">
        <v>97</v>
      </c>
      <c r="E407">
        <v>298</v>
      </c>
      <c r="F407" t="s">
        <v>1308</v>
      </c>
      <c r="G407">
        <v>4</v>
      </c>
      <c r="H407">
        <v>0</v>
      </c>
      <c r="I407">
        <v>1</v>
      </c>
      <c r="J407">
        <v>1</v>
      </c>
      <c r="K407">
        <v>0</v>
      </c>
      <c r="L407">
        <v>0</v>
      </c>
      <c r="M407">
        <v>2</v>
      </c>
      <c r="N407" t="s">
        <v>325</v>
      </c>
      <c r="O407" t="s">
        <v>329</v>
      </c>
    </row>
    <row r="408" spans="1:15" x14ac:dyDescent="0.3">
      <c r="A408">
        <v>467</v>
      </c>
      <c r="B408" t="s">
        <v>323</v>
      </c>
      <c r="C408">
        <v>148</v>
      </c>
      <c r="D408" t="s">
        <v>97</v>
      </c>
      <c r="E408">
        <v>299</v>
      </c>
      <c r="F408" t="s">
        <v>353</v>
      </c>
      <c r="G408">
        <v>5</v>
      </c>
      <c r="H408">
        <v>0</v>
      </c>
      <c r="I408">
        <v>0</v>
      </c>
      <c r="J408">
        <v>0</v>
      </c>
      <c r="K408">
        <v>0</v>
      </c>
      <c r="L408">
        <v>0</v>
      </c>
      <c r="M408">
        <v>5</v>
      </c>
      <c r="N408" t="s">
        <v>333</v>
      </c>
      <c r="O408" t="s">
        <v>336</v>
      </c>
    </row>
    <row r="409" spans="1:15" x14ac:dyDescent="0.3">
      <c r="A409">
        <v>467</v>
      </c>
      <c r="B409" t="s">
        <v>323</v>
      </c>
      <c r="C409">
        <v>148</v>
      </c>
      <c r="D409" t="s">
        <v>97</v>
      </c>
      <c r="E409">
        <v>300</v>
      </c>
      <c r="F409" t="s">
        <v>1309</v>
      </c>
      <c r="G409">
        <v>9</v>
      </c>
      <c r="H409">
        <v>0</v>
      </c>
      <c r="I409">
        <v>2</v>
      </c>
      <c r="J409">
        <v>0</v>
      </c>
      <c r="K409">
        <v>1</v>
      </c>
      <c r="L409">
        <v>0</v>
      </c>
      <c r="M409">
        <v>6</v>
      </c>
      <c r="N409" t="s">
        <v>333</v>
      </c>
      <c r="O409" t="s">
        <v>336</v>
      </c>
    </row>
    <row r="410" spans="1:15" x14ac:dyDescent="0.3">
      <c r="A410">
        <v>467</v>
      </c>
      <c r="B410" t="s">
        <v>323</v>
      </c>
      <c r="C410">
        <v>148</v>
      </c>
      <c r="D410" t="s">
        <v>97</v>
      </c>
      <c r="E410">
        <v>305</v>
      </c>
      <c r="F410" t="s">
        <v>1310</v>
      </c>
      <c r="G410">
        <v>7</v>
      </c>
      <c r="H410">
        <v>0</v>
      </c>
      <c r="I410">
        <v>1</v>
      </c>
      <c r="J410">
        <v>1</v>
      </c>
      <c r="K410">
        <v>0</v>
      </c>
      <c r="L410">
        <v>1</v>
      </c>
      <c r="M410">
        <v>4</v>
      </c>
      <c r="N410" t="s">
        <v>333</v>
      </c>
      <c r="O410" t="s">
        <v>336</v>
      </c>
    </row>
    <row r="411" spans="1:15" x14ac:dyDescent="0.3">
      <c r="A411">
        <v>467</v>
      </c>
      <c r="B411" t="s">
        <v>323</v>
      </c>
      <c r="C411">
        <v>148</v>
      </c>
      <c r="D411" t="s">
        <v>97</v>
      </c>
      <c r="E411">
        <v>306</v>
      </c>
      <c r="F411" t="s">
        <v>1311</v>
      </c>
      <c r="G411">
        <v>2</v>
      </c>
      <c r="H411">
        <v>0</v>
      </c>
      <c r="I411">
        <v>0</v>
      </c>
      <c r="J411">
        <v>1</v>
      </c>
      <c r="K411">
        <v>1</v>
      </c>
      <c r="L411">
        <v>0</v>
      </c>
      <c r="M411">
        <v>0</v>
      </c>
      <c r="N411" t="s">
        <v>333</v>
      </c>
      <c r="O411" t="s">
        <v>336</v>
      </c>
    </row>
    <row r="412" spans="1:15" x14ac:dyDescent="0.3">
      <c r="A412">
        <v>467</v>
      </c>
      <c r="B412" t="s">
        <v>323</v>
      </c>
      <c r="C412">
        <v>148</v>
      </c>
      <c r="D412" t="s">
        <v>97</v>
      </c>
      <c r="E412">
        <v>307</v>
      </c>
      <c r="F412" t="s">
        <v>1312</v>
      </c>
      <c r="G412">
        <v>6</v>
      </c>
      <c r="H412">
        <v>0</v>
      </c>
      <c r="I412">
        <v>2</v>
      </c>
      <c r="J412">
        <v>1</v>
      </c>
      <c r="K412">
        <v>1</v>
      </c>
      <c r="L412">
        <v>0</v>
      </c>
      <c r="M412">
        <v>2</v>
      </c>
      <c r="N412" t="s">
        <v>333</v>
      </c>
      <c r="O412" t="s">
        <v>336</v>
      </c>
    </row>
    <row r="413" spans="1:15" x14ac:dyDescent="0.3">
      <c r="A413">
        <v>467</v>
      </c>
      <c r="B413" t="s">
        <v>323</v>
      </c>
      <c r="C413">
        <v>148</v>
      </c>
      <c r="D413" t="s">
        <v>97</v>
      </c>
      <c r="E413">
        <v>310</v>
      </c>
      <c r="F413" t="s">
        <v>1313</v>
      </c>
      <c r="G413">
        <v>5</v>
      </c>
      <c r="H413">
        <v>0</v>
      </c>
      <c r="I413">
        <v>1</v>
      </c>
      <c r="J413">
        <v>3</v>
      </c>
      <c r="K413">
        <v>1</v>
      </c>
      <c r="L413">
        <v>0</v>
      </c>
      <c r="M413">
        <v>0</v>
      </c>
      <c r="N413" t="s">
        <v>333</v>
      </c>
      <c r="O413" t="s">
        <v>336</v>
      </c>
    </row>
    <row r="414" spans="1:15" x14ac:dyDescent="0.3">
      <c r="A414">
        <v>467</v>
      </c>
      <c r="B414" t="s">
        <v>323</v>
      </c>
      <c r="C414">
        <v>148</v>
      </c>
      <c r="D414" t="s">
        <v>97</v>
      </c>
      <c r="E414">
        <v>312</v>
      </c>
      <c r="F414" t="s">
        <v>1314</v>
      </c>
      <c r="G414">
        <v>5</v>
      </c>
      <c r="H414">
        <v>0</v>
      </c>
      <c r="I414">
        <v>0</v>
      </c>
      <c r="J414">
        <v>0</v>
      </c>
      <c r="K414">
        <v>0</v>
      </c>
      <c r="L414">
        <v>0</v>
      </c>
      <c r="M414">
        <v>5</v>
      </c>
      <c r="N414" t="s">
        <v>333</v>
      </c>
      <c r="O414" t="s">
        <v>336</v>
      </c>
    </row>
    <row r="415" spans="1:15" x14ac:dyDescent="0.3">
      <c r="A415">
        <v>467</v>
      </c>
      <c r="B415" t="s">
        <v>323</v>
      </c>
      <c r="C415">
        <v>148</v>
      </c>
      <c r="D415" t="s">
        <v>97</v>
      </c>
      <c r="E415">
        <v>1857</v>
      </c>
      <c r="F415" t="s">
        <v>462</v>
      </c>
      <c r="G415">
        <v>8</v>
      </c>
      <c r="H415">
        <v>0</v>
      </c>
      <c r="I415">
        <v>0</v>
      </c>
      <c r="J415">
        <v>1</v>
      </c>
      <c r="K415">
        <v>0</v>
      </c>
      <c r="L415">
        <v>0</v>
      </c>
      <c r="M415">
        <v>7</v>
      </c>
      <c r="N415" t="s">
        <v>333</v>
      </c>
      <c r="O415" t="s">
        <v>336</v>
      </c>
    </row>
    <row r="416" spans="1:15" x14ac:dyDescent="0.3">
      <c r="A416">
        <v>467</v>
      </c>
      <c r="B416" t="s">
        <v>323</v>
      </c>
      <c r="C416">
        <v>148</v>
      </c>
      <c r="D416" t="s">
        <v>97</v>
      </c>
      <c r="E416">
        <v>1859</v>
      </c>
      <c r="F416" t="s">
        <v>1316</v>
      </c>
      <c r="G416">
        <v>4</v>
      </c>
      <c r="H416">
        <v>0</v>
      </c>
      <c r="I416">
        <v>0</v>
      </c>
      <c r="J416">
        <v>1</v>
      </c>
      <c r="K416">
        <v>0</v>
      </c>
      <c r="L416">
        <v>0</v>
      </c>
      <c r="M416">
        <v>3</v>
      </c>
      <c r="N416" t="s">
        <v>333</v>
      </c>
      <c r="O416" t="s">
        <v>326</v>
      </c>
    </row>
    <row r="417" spans="1:15" x14ac:dyDescent="0.3">
      <c r="A417">
        <v>467</v>
      </c>
      <c r="B417" t="s">
        <v>323</v>
      </c>
      <c r="C417">
        <v>148</v>
      </c>
      <c r="D417" t="s">
        <v>97</v>
      </c>
      <c r="E417">
        <v>1860</v>
      </c>
      <c r="F417" t="s">
        <v>1317</v>
      </c>
      <c r="G417">
        <v>5</v>
      </c>
      <c r="H417">
        <v>0</v>
      </c>
      <c r="I417">
        <v>0</v>
      </c>
      <c r="J417">
        <v>1</v>
      </c>
      <c r="K417">
        <v>0</v>
      </c>
      <c r="L417">
        <v>0</v>
      </c>
      <c r="M417">
        <v>4</v>
      </c>
      <c r="N417" t="s">
        <v>333</v>
      </c>
      <c r="O417" t="s">
        <v>336</v>
      </c>
    </row>
    <row r="418" spans="1:15" x14ac:dyDescent="0.3">
      <c r="A418">
        <v>467</v>
      </c>
      <c r="B418" t="s">
        <v>323</v>
      </c>
      <c r="C418">
        <v>148</v>
      </c>
      <c r="D418" t="s">
        <v>97</v>
      </c>
      <c r="E418">
        <v>1861</v>
      </c>
      <c r="F418" t="s">
        <v>459</v>
      </c>
      <c r="G418">
        <v>6</v>
      </c>
      <c r="H418">
        <v>0</v>
      </c>
      <c r="I418">
        <v>0</v>
      </c>
      <c r="J418">
        <v>1</v>
      </c>
      <c r="K418">
        <v>0</v>
      </c>
      <c r="L418">
        <v>0</v>
      </c>
      <c r="M418">
        <v>5</v>
      </c>
      <c r="N418" t="s">
        <v>333</v>
      </c>
      <c r="O418" t="s">
        <v>348</v>
      </c>
    </row>
    <row r="419" spans="1:15" x14ac:dyDescent="0.3">
      <c r="A419">
        <v>467</v>
      </c>
      <c r="B419" t="s">
        <v>323</v>
      </c>
      <c r="C419">
        <v>148</v>
      </c>
      <c r="D419" t="s">
        <v>97</v>
      </c>
      <c r="E419">
        <v>2185</v>
      </c>
      <c r="F419" t="s">
        <v>905</v>
      </c>
      <c r="G419">
        <v>6</v>
      </c>
      <c r="H419">
        <v>0</v>
      </c>
      <c r="I419">
        <v>0</v>
      </c>
      <c r="J419">
        <v>4</v>
      </c>
      <c r="K419">
        <v>0</v>
      </c>
      <c r="L419">
        <v>0</v>
      </c>
      <c r="M419">
        <v>2</v>
      </c>
      <c r="N419" t="s">
        <v>333</v>
      </c>
      <c r="O419" t="s">
        <v>336</v>
      </c>
    </row>
    <row r="420" spans="1:15" x14ac:dyDescent="0.3">
      <c r="A420">
        <v>467</v>
      </c>
      <c r="B420" t="s">
        <v>323</v>
      </c>
      <c r="C420">
        <v>148</v>
      </c>
      <c r="D420" t="s">
        <v>97</v>
      </c>
      <c r="E420">
        <v>2186</v>
      </c>
      <c r="F420" t="s">
        <v>18019</v>
      </c>
      <c r="G420">
        <v>4</v>
      </c>
      <c r="H420">
        <v>0</v>
      </c>
      <c r="I420">
        <v>0</v>
      </c>
      <c r="J420">
        <v>0</v>
      </c>
      <c r="K420">
        <v>0</v>
      </c>
      <c r="L420">
        <v>0</v>
      </c>
      <c r="M420">
        <v>4</v>
      </c>
      <c r="N420" t="s">
        <v>333</v>
      </c>
      <c r="O420" t="s">
        <v>336</v>
      </c>
    </row>
    <row r="421" spans="1:15" x14ac:dyDescent="0.3">
      <c r="A421">
        <v>467</v>
      </c>
      <c r="B421" t="s">
        <v>323</v>
      </c>
      <c r="C421">
        <v>148</v>
      </c>
      <c r="D421" t="s">
        <v>97</v>
      </c>
      <c r="E421">
        <v>2187</v>
      </c>
      <c r="F421" t="s">
        <v>18020</v>
      </c>
      <c r="G421">
        <v>5</v>
      </c>
      <c r="H421">
        <v>0</v>
      </c>
      <c r="I421">
        <v>0</v>
      </c>
      <c r="J421">
        <v>0</v>
      </c>
      <c r="K421">
        <v>0</v>
      </c>
      <c r="L421">
        <v>0</v>
      </c>
      <c r="M421">
        <v>5</v>
      </c>
      <c r="N421" t="s">
        <v>333</v>
      </c>
      <c r="O421" t="s">
        <v>336</v>
      </c>
    </row>
    <row r="422" spans="1:15" x14ac:dyDescent="0.3">
      <c r="A422">
        <v>467</v>
      </c>
      <c r="B422" t="s">
        <v>323</v>
      </c>
      <c r="C422">
        <v>148</v>
      </c>
      <c r="D422" t="s">
        <v>97</v>
      </c>
      <c r="E422">
        <v>2188</v>
      </c>
      <c r="F422" t="s">
        <v>474</v>
      </c>
      <c r="G422">
        <v>11</v>
      </c>
      <c r="H422">
        <v>0</v>
      </c>
      <c r="I422">
        <v>0</v>
      </c>
      <c r="J422">
        <v>2</v>
      </c>
      <c r="K422">
        <v>0</v>
      </c>
      <c r="L422">
        <v>0</v>
      </c>
      <c r="M422">
        <v>9</v>
      </c>
      <c r="N422" t="s">
        <v>333</v>
      </c>
      <c r="O422" t="s">
        <v>336</v>
      </c>
    </row>
    <row r="423" spans="1:15" x14ac:dyDescent="0.3">
      <c r="A423">
        <v>468</v>
      </c>
      <c r="B423" t="s">
        <v>323</v>
      </c>
      <c r="C423">
        <v>149</v>
      </c>
      <c r="D423" t="s">
        <v>99</v>
      </c>
      <c r="E423">
        <v>981</v>
      </c>
      <c r="F423" t="s">
        <v>1318</v>
      </c>
      <c r="G423">
        <v>2</v>
      </c>
      <c r="H423">
        <v>0</v>
      </c>
      <c r="I423">
        <v>0</v>
      </c>
      <c r="J423">
        <v>0</v>
      </c>
      <c r="K423">
        <v>0</v>
      </c>
      <c r="L423">
        <v>0</v>
      </c>
      <c r="M423">
        <v>2</v>
      </c>
      <c r="N423" t="s">
        <v>333</v>
      </c>
      <c r="O423" t="s">
        <v>336</v>
      </c>
    </row>
    <row r="424" spans="1:15" x14ac:dyDescent="0.3">
      <c r="A424">
        <v>468</v>
      </c>
      <c r="B424" t="s">
        <v>323</v>
      </c>
      <c r="C424">
        <v>149</v>
      </c>
      <c r="D424" t="s">
        <v>99</v>
      </c>
      <c r="E424">
        <v>984</v>
      </c>
      <c r="F424" t="s">
        <v>1319</v>
      </c>
      <c r="G424">
        <v>1</v>
      </c>
      <c r="H424">
        <v>0</v>
      </c>
      <c r="I424">
        <v>0</v>
      </c>
      <c r="J424">
        <v>0</v>
      </c>
      <c r="K424">
        <v>0</v>
      </c>
      <c r="L424">
        <v>0</v>
      </c>
      <c r="M424">
        <v>1</v>
      </c>
      <c r="N424" t="s">
        <v>333</v>
      </c>
      <c r="O424" t="s">
        <v>329</v>
      </c>
    </row>
    <row r="425" spans="1:15" x14ac:dyDescent="0.3">
      <c r="A425">
        <v>468</v>
      </c>
      <c r="B425" t="s">
        <v>323</v>
      </c>
      <c r="C425">
        <v>149</v>
      </c>
      <c r="D425" t="s">
        <v>99</v>
      </c>
      <c r="E425">
        <v>985</v>
      </c>
      <c r="F425" t="s">
        <v>1320</v>
      </c>
      <c r="G425">
        <v>2</v>
      </c>
      <c r="H425">
        <v>0</v>
      </c>
      <c r="I425">
        <v>0</v>
      </c>
      <c r="J425">
        <v>0</v>
      </c>
      <c r="K425">
        <v>0</v>
      </c>
      <c r="L425">
        <v>0</v>
      </c>
      <c r="M425">
        <v>2</v>
      </c>
      <c r="N425" t="s">
        <v>333</v>
      </c>
      <c r="O425" t="s">
        <v>326</v>
      </c>
    </row>
    <row r="426" spans="1:15" x14ac:dyDescent="0.3">
      <c r="A426">
        <v>468</v>
      </c>
      <c r="B426" t="s">
        <v>323</v>
      </c>
      <c r="C426">
        <v>149</v>
      </c>
      <c r="D426" t="s">
        <v>99</v>
      </c>
      <c r="E426">
        <v>986</v>
      </c>
      <c r="F426" t="s">
        <v>1321</v>
      </c>
      <c r="G426">
        <v>3</v>
      </c>
      <c r="H426">
        <v>0</v>
      </c>
      <c r="I426">
        <v>0</v>
      </c>
      <c r="J426">
        <v>0</v>
      </c>
      <c r="K426">
        <v>0</v>
      </c>
      <c r="L426">
        <v>0</v>
      </c>
      <c r="M426">
        <v>3</v>
      </c>
      <c r="N426" t="s">
        <v>333</v>
      </c>
      <c r="O426" t="s">
        <v>326</v>
      </c>
    </row>
    <row r="427" spans="1:15" x14ac:dyDescent="0.3">
      <c r="A427">
        <v>468</v>
      </c>
      <c r="B427" t="s">
        <v>323</v>
      </c>
      <c r="C427">
        <v>149</v>
      </c>
      <c r="D427" t="s">
        <v>99</v>
      </c>
      <c r="E427">
        <v>987</v>
      </c>
      <c r="F427" t="s">
        <v>1322</v>
      </c>
      <c r="G427">
        <v>2</v>
      </c>
      <c r="H427">
        <v>0</v>
      </c>
      <c r="I427">
        <v>0</v>
      </c>
      <c r="J427">
        <v>0</v>
      </c>
      <c r="K427">
        <v>0</v>
      </c>
      <c r="L427">
        <v>1</v>
      </c>
      <c r="M427">
        <v>1</v>
      </c>
      <c r="N427" t="s">
        <v>333</v>
      </c>
      <c r="O427" t="s">
        <v>336</v>
      </c>
    </row>
    <row r="428" spans="1:15" x14ac:dyDescent="0.3">
      <c r="A428">
        <v>468</v>
      </c>
      <c r="B428" t="s">
        <v>323</v>
      </c>
      <c r="C428">
        <v>149</v>
      </c>
      <c r="D428" t="s">
        <v>99</v>
      </c>
      <c r="E428">
        <v>988</v>
      </c>
      <c r="F428" t="s">
        <v>1323</v>
      </c>
      <c r="G428">
        <v>1</v>
      </c>
      <c r="H428">
        <v>0</v>
      </c>
      <c r="I428">
        <v>0</v>
      </c>
      <c r="J428">
        <v>0</v>
      </c>
      <c r="K428">
        <v>0</v>
      </c>
      <c r="L428">
        <v>0</v>
      </c>
      <c r="M428">
        <v>1</v>
      </c>
      <c r="N428" t="s">
        <v>333</v>
      </c>
      <c r="O428" t="s">
        <v>336</v>
      </c>
    </row>
    <row r="429" spans="1:15" x14ac:dyDescent="0.3">
      <c r="A429">
        <v>468</v>
      </c>
      <c r="B429" t="s">
        <v>323</v>
      </c>
      <c r="C429">
        <v>149</v>
      </c>
      <c r="D429" t="s">
        <v>99</v>
      </c>
      <c r="E429">
        <v>989</v>
      </c>
      <c r="F429" t="s">
        <v>1324</v>
      </c>
      <c r="G429">
        <v>3</v>
      </c>
      <c r="H429">
        <v>0</v>
      </c>
      <c r="I429">
        <v>0</v>
      </c>
      <c r="J429">
        <v>0</v>
      </c>
      <c r="K429">
        <v>0</v>
      </c>
      <c r="L429">
        <v>1</v>
      </c>
      <c r="M429">
        <v>2</v>
      </c>
      <c r="N429" t="s">
        <v>333</v>
      </c>
      <c r="O429" t="s">
        <v>326</v>
      </c>
    </row>
    <row r="430" spans="1:15" x14ac:dyDescent="0.3">
      <c r="A430">
        <v>468</v>
      </c>
      <c r="B430" t="s">
        <v>323</v>
      </c>
      <c r="C430">
        <v>149</v>
      </c>
      <c r="D430" t="s">
        <v>99</v>
      </c>
      <c r="E430">
        <v>990</v>
      </c>
      <c r="F430" t="s">
        <v>1325</v>
      </c>
      <c r="G430">
        <v>4</v>
      </c>
      <c r="H430">
        <v>0</v>
      </c>
      <c r="I430">
        <v>0</v>
      </c>
      <c r="J430">
        <v>0</v>
      </c>
      <c r="K430">
        <v>0</v>
      </c>
      <c r="L430">
        <v>0</v>
      </c>
      <c r="M430">
        <v>4</v>
      </c>
      <c r="N430" t="s">
        <v>325</v>
      </c>
      <c r="O430" t="s">
        <v>329</v>
      </c>
    </row>
    <row r="431" spans="1:15" x14ac:dyDescent="0.3">
      <c r="A431">
        <v>468</v>
      </c>
      <c r="B431" t="s">
        <v>323</v>
      </c>
      <c r="C431">
        <v>149</v>
      </c>
      <c r="D431" t="s">
        <v>99</v>
      </c>
      <c r="E431">
        <v>991</v>
      </c>
      <c r="F431" t="s">
        <v>1326</v>
      </c>
      <c r="G431">
        <v>4</v>
      </c>
      <c r="H431">
        <v>0</v>
      </c>
      <c r="I431">
        <v>0</v>
      </c>
      <c r="J431">
        <v>0</v>
      </c>
      <c r="K431">
        <v>0</v>
      </c>
      <c r="L431">
        <v>0</v>
      </c>
      <c r="M431">
        <v>4</v>
      </c>
      <c r="N431" t="s">
        <v>325</v>
      </c>
      <c r="O431" t="s">
        <v>348</v>
      </c>
    </row>
    <row r="432" spans="1:15" x14ac:dyDescent="0.3">
      <c r="A432">
        <v>468</v>
      </c>
      <c r="B432" t="s">
        <v>323</v>
      </c>
      <c r="C432">
        <v>149</v>
      </c>
      <c r="D432" t="s">
        <v>99</v>
      </c>
      <c r="E432">
        <v>992</v>
      </c>
      <c r="F432" t="s">
        <v>1327</v>
      </c>
      <c r="G432">
        <v>4</v>
      </c>
      <c r="H432">
        <v>0</v>
      </c>
      <c r="I432">
        <v>0</v>
      </c>
      <c r="J432">
        <v>1</v>
      </c>
      <c r="K432">
        <v>3</v>
      </c>
      <c r="L432">
        <v>0</v>
      </c>
      <c r="M432">
        <v>0</v>
      </c>
      <c r="N432" t="s">
        <v>325</v>
      </c>
      <c r="O432" t="s">
        <v>336</v>
      </c>
    </row>
    <row r="433" spans="1:15" x14ac:dyDescent="0.3">
      <c r="A433">
        <v>468</v>
      </c>
      <c r="B433" t="s">
        <v>323</v>
      </c>
      <c r="C433">
        <v>149</v>
      </c>
      <c r="D433" t="s">
        <v>99</v>
      </c>
      <c r="E433">
        <v>993</v>
      </c>
      <c r="F433" t="s">
        <v>1328</v>
      </c>
      <c r="G433">
        <v>1</v>
      </c>
      <c r="H433">
        <v>0</v>
      </c>
      <c r="I433">
        <v>0</v>
      </c>
      <c r="J433">
        <v>0</v>
      </c>
      <c r="K433">
        <v>0</v>
      </c>
      <c r="L433">
        <v>0</v>
      </c>
      <c r="M433">
        <v>1</v>
      </c>
      <c r="N433" t="s">
        <v>333</v>
      </c>
      <c r="O433" t="s">
        <v>326</v>
      </c>
    </row>
    <row r="434" spans="1:15" x14ac:dyDescent="0.3">
      <c r="A434">
        <v>468</v>
      </c>
      <c r="B434" t="s">
        <v>323</v>
      </c>
      <c r="C434">
        <v>149</v>
      </c>
      <c r="D434" t="s">
        <v>99</v>
      </c>
      <c r="E434">
        <v>994</v>
      </c>
      <c r="F434" t="s">
        <v>1329</v>
      </c>
      <c r="G434">
        <v>7</v>
      </c>
      <c r="H434">
        <v>0</v>
      </c>
      <c r="I434">
        <v>0</v>
      </c>
      <c r="J434">
        <v>0</v>
      </c>
      <c r="K434">
        <v>0</v>
      </c>
      <c r="L434">
        <v>0</v>
      </c>
      <c r="M434">
        <v>7</v>
      </c>
      <c r="N434" t="s">
        <v>325</v>
      </c>
      <c r="O434" t="s">
        <v>326</v>
      </c>
    </row>
    <row r="435" spans="1:15" x14ac:dyDescent="0.3">
      <c r="A435">
        <v>468</v>
      </c>
      <c r="B435" t="s">
        <v>323</v>
      </c>
      <c r="C435">
        <v>149</v>
      </c>
      <c r="D435" t="s">
        <v>99</v>
      </c>
      <c r="E435">
        <v>995</v>
      </c>
      <c r="F435" t="s">
        <v>1330</v>
      </c>
      <c r="G435">
        <v>2</v>
      </c>
      <c r="H435">
        <v>0</v>
      </c>
      <c r="I435">
        <v>0</v>
      </c>
      <c r="J435">
        <v>0</v>
      </c>
      <c r="K435">
        <v>0</v>
      </c>
      <c r="L435">
        <v>0</v>
      </c>
      <c r="M435">
        <v>2</v>
      </c>
      <c r="N435" t="s">
        <v>325</v>
      </c>
      <c r="O435" t="s">
        <v>326</v>
      </c>
    </row>
    <row r="436" spans="1:15" x14ac:dyDescent="0.3">
      <c r="A436">
        <v>468</v>
      </c>
      <c r="B436" t="s">
        <v>323</v>
      </c>
      <c r="C436">
        <v>149</v>
      </c>
      <c r="D436" t="s">
        <v>99</v>
      </c>
      <c r="E436">
        <v>996</v>
      </c>
      <c r="F436" t="s">
        <v>1331</v>
      </c>
      <c r="G436">
        <v>19</v>
      </c>
      <c r="H436">
        <v>0</v>
      </c>
      <c r="I436">
        <v>0</v>
      </c>
      <c r="J436">
        <v>0</v>
      </c>
      <c r="K436">
        <v>0</v>
      </c>
      <c r="L436">
        <v>0</v>
      </c>
      <c r="M436">
        <v>19</v>
      </c>
      <c r="N436" t="s">
        <v>325</v>
      </c>
      <c r="O436" t="s">
        <v>326</v>
      </c>
    </row>
    <row r="437" spans="1:15" x14ac:dyDescent="0.3">
      <c r="A437">
        <v>468</v>
      </c>
      <c r="B437" t="s">
        <v>323</v>
      </c>
      <c r="C437">
        <v>149</v>
      </c>
      <c r="D437" t="s">
        <v>99</v>
      </c>
      <c r="E437">
        <v>997</v>
      </c>
      <c r="F437" t="s">
        <v>1332</v>
      </c>
      <c r="G437">
        <v>4</v>
      </c>
      <c r="H437">
        <v>0</v>
      </c>
      <c r="I437">
        <v>0</v>
      </c>
      <c r="J437">
        <v>1</v>
      </c>
      <c r="K437">
        <v>0</v>
      </c>
      <c r="L437">
        <v>2</v>
      </c>
      <c r="M437">
        <v>1</v>
      </c>
      <c r="N437" t="s">
        <v>325</v>
      </c>
      <c r="O437" t="s">
        <v>326</v>
      </c>
    </row>
    <row r="438" spans="1:15" x14ac:dyDescent="0.3">
      <c r="A438">
        <v>468</v>
      </c>
      <c r="B438" t="s">
        <v>323</v>
      </c>
      <c r="C438">
        <v>149</v>
      </c>
      <c r="D438" t="s">
        <v>99</v>
      </c>
      <c r="E438">
        <v>998</v>
      </c>
      <c r="F438" t="s">
        <v>1333</v>
      </c>
      <c r="G438">
        <v>1</v>
      </c>
      <c r="H438">
        <v>0</v>
      </c>
      <c r="I438">
        <v>0</v>
      </c>
      <c r="J438">
        <v>0</v>
      </c>
      <c r="K438">
        <v>0</v>
      </c>
      <c r="L438">
        <v>0</v>
      </c>
      <c r="M438">
        <v>1</v>
      </c>
      <c r="N438" t="s">
        <v>333</v>
      </c>
      <c r="O438" t="s">
        <v>336</v>
      </c>
    </row>
    <row r="439" spans="1:15" x14ac:dyDescent="0.3">
      <c r="A439">
        <v>468</v>
      </c>
      <c r="B439" t="s">
        <v>323</v>
      </c>
      <c r="C439">
        <v>149</v>
      </c>
      <c r="D439" t="s">
        <v>99</v>
      </c>
      <c r="E439">
        <v>999</v>
      </c>
      <c r="F439" t="s">
        <v>1334</v>
      </c>
      <c r="G439">
        <v>3</v>
      </c>
      <c r="H439">
        <v>0</v>
      </c>
      <c r="I439">
        <v>0</v>
      </c>
      <c r="J439">
        <v>1</v>
      </c>
      <c r="K439">
        <v>0</v>
      </c>
      <c r="L439">
        <v>2</v>
      </c>
      <c r="M439">
        <v>0</v>
      </c>
      <c r="N439" t="s">
        <v>333</v>
      </c>
      <c r="O439" t="s">
        <v>336</v>
      </c>
    </row>
    <row r="440" spans="1:15" x14ac:dyDescent="0.3">
      <c r="A440">
        <v>471</v>
      </c>
      <c r="B440" t="s">
        <v>323</v>
      </c>
      <c r="C440">
        <v>153</v>
      </c>
      <c r="D440" t="s">
        <v>105</v>
      </c>
      <c r="E440">
        <v>1757</v>
      </c>
      <c r="F440" t="s">
        <v>328</v>
      </c>
      <c r="G440">
        <v>2</v>
      </c>
      <c r="H440">
        <v>1</v>
      </c>
      <c r="I440">
        <v>1</v>
      </c>
      <c r="J440">
        <v>0</v>
      </c>
      <c r="K440">
        <v>0</v>
      </c>
      <c r="L440">
        <v>0</v>
      </c>
      <c r="M440">
        <v>0</v>
      </c>
      <c r="N440" t="s">
        <v>333</v>
      </c>
      <c r="O440" t="s">
        <v>326</v>
      </c>
    </row>
    <row r="441" spans="1:15" x14ac:dyDescent="0.3">
      <c r="A441">
        <v>471</v>
      </c>
      <c r="B441" t="s">
        <v>323</v>
      </c>
      <c r="C441">
        <v>153</v>
      </c>
      <c r="D441" t="s">
        <v>105</v>
      </c>
      <c r="E441">
        <v>1758</v>
      </c>
      <c r="F441" t="s">
        <v>393</v>
      </c>
      <c r="G441">
        <v>3</v>
      </c>
      <c r="H441">
        <v>0</v>
      </c>
      <c r="I441">
        <v>1</v>
      </c>
      <c r="J441">
        <v>1</v>
      </c>
      <c r="K441">
        <v>0</v>
      </c>
      <c r="L441">
        <v>1</v>
      </c>
      <c r="M441">
        <v>0</v>
      </c>
      <c r="N441" t="s">
        <v>325</v>
      </c>
      <c r="O441" t="s">
        <v>326</v>
      </c>
    </row>
    <row r="442" spans="1:15" x14ac:dyDescent="0.3">
      <c r="A442">
        <v>471</v>
      </c>
      <c r="B442" t="s">
        <v>323</v>
      </c>
      <c r="C442">
        <v>153</v>
      </c>
      <c r="D442" t="s">
        <v>105</v>
      </c>
      <c r="E442">
        <v>1759</v>
      </c>
      <c r="F442" t="s">
        <v>648</v>
      </c>
      <c r="G442">
        <v>0</v>
      </c>
      <c r="H442">
        <v>0</v>
      </c>
      <c r="I442">
        <v>0</v>
      </c>
      <c r="J442">
        <v>0</v>
      </c>
      <c r="K442">
        <v>0</v>
      </c>
      <c r="L442">
        <v>0</v>
      </c>
      <c r="M442">
        <v>0</v>
      </c>
      <c r="N442" t="s">
        <v>333</v>
      </c>
      <c r="O442" t="s">
        <v>326</v>
      </c>
    </row>
    <row r="443" spans="1:15" x14ac:dyDescent="0.3">
      <c r="A443">
        <v>471</v>
      </c>
      <c r="B443" t="s">
        <v>323</v>
      </c>
      <c r="C443">
        <v>153</v>
      </c>
      <c r="D443" t="s">
        <v>105</v>
      </c>
      <c r="E443">
        <v>1760</v>
      </c>
      <c r="F443" t="s">
        <v>376</v>
      </c>
      <c r="G443">
        <v>0</v>
      </c>
      <c r="H443">
        <v>0</v>
      </c>
      <c r="I443">
        <v>0</v>
      </c>
      <c r="J443">
        <v>0</v>
      </c>
      <c r="K443">
        <v>0</v>
      </c>
      <c r="L443">
        <v>0</v>
      </c>
      <c r="M443">
        <v>0</v>
      </c>
      <c r="N443" t="s">
        <v>333</v>
      </c>
      <c r="O443" t="s">
        <v>326</v>
      </c>
    </row>
    <row r="444" spans="1:15" x14ac:dyDescent="0.3">
      <c r="A444">
        <v>471</v>
      </c>
      <c r="B444" t="s">
        <v>323</v>
      </c>
      <c r="C444">
        <v>153</v>
      </c>
      <c r="D444" t="s">
        <v>105</v>
      </c>
      <c r="E444">
        <v>1761</v>
      </c>
      <c r="F444" t="s">
        <v>1335</v>
      </c>
      <c r="G444">
        <v>4</v>
      </c>
      <c r="H444">
        <v>0</v>
      </c>
      <c r="I444">
        <v>1</v>
      </c>
      <c r="J444">
        <v>1</v>
      </c>
      <c r="K444">
        <v>0</v>
      </c>
      <c r="L444">
        <v>2</v>
      </c>
      <c r="M444">
        <v>0</v>
      </c>
      <c r="N444" t="s">
        <v>325</v>
      </c>
      <c r="O444" t="s">
        <v>326</v>
      </c>
    </row>
    <row r="445" spans="1:15" x14ac:dyDescent="0.3">
      <c r="A445">
        <v>471</v>
      </c>
      <c r="B445" t="s">
        <v>323</v>
      </c>
      <c r="C445">
        <v>153</v>
      </c>
      <c r="D445" t="s">
        <v>105</v>
      </c>
      <c r="E445">
        <v>1762</v>
      </c>
      <c r="F445" t="s">
        <v>1336</v>
      </c>
      <c r="G445">
        <v>3</v>
      </c>
      <c r="H445">
        <v>0</v>
      </c>
      <c r="I445">
        <v>0</v>
      </c>
      <c r="J445">
        <v>0</v>
      </c>
      <c r="K445">
        <v>0</v>
      </c>
      <c r="L445">
        <v>0</v>
      </c>
      <c r="M445">
        <v>3</v>
      </c>
      <c r="N445" t="s">
        <v>325</v>
      </c>
      <c r="O445" t="s">
        <v>326</v>
      </c>
    </row>
    <row r="446" spans="1:15" x14ac:dyDescent="0.3">
      <c r="A446">
        <v>471</v>
      </c>
      <c r="B446" t="s">
        <v>323</v>
      </c>
      <c r="C446">
        <v>153</v>
      </c>
      <c r="D446" t="s">
        <v>105</v>
      </c>
      <c r="E446">
        <v>1763</v>
      </c>
      <c r="F446" t="s">
        <v>317</v>
      </c>
      <c r="G446">
        <v>2</v>
      </c>
      <c r="H446">
        <v>1</v>
      </c>
      <c r="I446">
        <v>1</v>
      </c>
      <c r="J446">
        <v>0</v>
      </c>
      <c r="K446">
        <v>0</v>
      </c>
      <c r="L446">
        <v>0</v>
      </c>
      <c r="M446">
        <v>0</v>
      </c>
      <c r="N446" t="s">
        <v>325</v>
      </c>
      <c r="O446" t="s">
        <v>326</v>
      </c>
    </row>
    <row r="447" spans="1:15" x14ac:dyDescent="0.3">
      <c r="A447">
        <v>471</v>
      </c>
      <c r="B447" t="s">
        <v>323</v>
      </c>
      <c r="C447">
        <v>153</v>
      </c>
      <c r="D447" t="s">
        <v>105</v>
      </c>
      <c r="E447">
        <v>1764</v>
      </c>
      <c r="F447" t="s">
        <v>1337</v>
      </c>
      <c r="G447">
        <v>2</v>
      </c>
      <c r="H447">
        <v>0</v>
      </c>
      <c r="I447">
        <v>0</v>
      </c>
      <c r="J447">
        <v>1</v>
      </c>
      <c r="K447">
        <v>0</v>
      </c>
      <c r="L447">
        <v>0</v>
      </c>
      <c r="M447">
        <v>1</v>
      </c>
      <c r="N447" t="s">
        <v>333</v>
      </c>
      <c r="O447" t="s">
        <v>326</v>
      </c>
    </row>
    <row r="448" spans="1:15" x14ac:dyDescent="0.3">
      <c r="A448">
        <v>471</v>
      </c>
      <c r="B448" t="s">
        <v>323</v>
      </c>
      <c r="C448">
        <v>153</v>
      </c>
      <c r="D448" t="s">
        <v>105</v>
      </c>
      <c r="E448">
        <v>1765</v>
      </c>
      <c r="F448" t="s">
        <v>1338</v>
      </c>
      <c r="G448">
        <v>0</v>
      </c>
      <c r="H448">
        <v>0</v>
      </c>
      <c r="I448">
        <v>0</v>
      </c>
      <c r="J448">
        <v>0</v>
      </c>
      <c r="K448">
        <v>0</v>
      </c>
      <c r="L448">
        <v>0</v>
      </c>
      <c r="M448">
        <v>0</v>
      </c>
      <c r="N448" t="s">
        <v>410</v>
      </c>
      <c r="O448" t="s">
        <v>326</v>
      </c>
    </row>
    <row r="449" spans="1:15" x14ac:dyDescent="0.3">
      <c r="A449">
        <v>471</v>
      </c>
      <c r="B449" t="s">
        <v>323</v>
      </c>
      <c r="C449">
        <v>153</v>
      </c>
      <c r="D449" t="s">
        <v>105</v>
      </c>
      <c r="E449">
        <v>1766</v>
      </c>
      <c r="F449" t="s">
        <v>1339</v>
      </c>
      <c r="G449">
        <v>6</v>
      </c>
      <c r="H449">
        <v>0</v>
      </c>
      <c r="I449">
        <v>0</v>
      </c>
      <c r="J449">
        <v>0</v>
      </c>
      <c r="K449">
        <v>0</v>
      </c>
      <c r="L449">
        <v>2</v>
      </c>
      <c r="M449">
        <v>4</v>
      </c>
      <c r="N449" t="s">
        <v>333</v>
      </c>
      <c r="O449" t="s">
        <v>326</v>
      </c>
    </row>
    <row r="450" spans="1:15" x14ac:dyDescent="0.3">
      <c r="A450">
        <v>471</v>
      </c>
      <c r="B450" t="s">
        <v>323</v>
      </c>
      <c r="C450">
        <v>153</v>
      </c>
      <c r="D450" t="s">
        <v>105</v>
      </c>
      <c r="E450">
        <v>1767</v>
      </c>
      <c r="F450" t="s">
        <v>1340</v>
      </c>
      <c r="G450">
        <v>2</v>
      </c>
      <c r="H450">
        <v>0</v>
      </c>
      <c r="I450">
        <v>0</v>
      </c>
      <c r="J450">
        <v>0</v>
      </c>
      <c r="K450">
        <v>0</v>
      </c>
      <c r="L450">
        <v>0</v>
      </c>
      <c r="M450">
        <v>2</v>
      </c>
      <c r="N450" t="s">
        <v>333</v>
      </c>
      <c r="O450" t="s">
        <v>326</v>
      </c>
    </row>
    <row r="451" spans="1:15" x14ac:dyDescent="0.3">
      <c r="A451">
        <v>471</v>
      </c>
      <c r="B451" t="s">
        <v>323</v>
      </c>
      <c r="C451">
        <v>153</v>
      </c>
      <c r="D451" t="s">
        <v>105</v>
      </c>
      <c r="E451">
        <v>1768</v>
      </c>
      <c r="F451" t="s">
        <v>1341</v>
      </c>
      <c r="G451">
        <v>15</v>
      </c>
      <c r="H451">
        <v>2</v>
      </c>
      <c r="I451">
        <v>1</v>
      </c>
      <c r="J451">
        <v>1</v>
      </c>
      <c r="K451">
        <v>0</v>
      </c>
      <c r="L451">
        <v>5</v>
      </c>
      <c r="M451">
        <v>6</v>
      </c>
      <c r="N451" t="s">
        <v>414</v>
      </c>
      <c r="O451" t="s">
        <v>326</v>
      </c>
    </row>
    <row r="452" spans="1:15" x14ac:dyDescent="0.3">
      <c r="A452">
        <v>475</v>
      </c>
      <c r="B452" t="s">
        <v>323</v>
      </c>
      <c r="C452">
        <v>157</v>
      </c>
      <c r="D452" t="s">
        <v>113</v>
      </c>
      <c r="E452">
        <v>1081</v>
      </c>
      <c r="F452" t="s">
        <v>1344</v>
      </c>
      <c r="G452">
        <v>7</v>
      </c>
      <c r="H452">
        <v>1</v>
      </c>
      <c r="I452">
        <v>2</v>
      </c>
      <c r="J452">
        <v>1</v>
      </c>
      <c r="K452">
        <v>1</v>
      </c>
      <c r="L452">
        <v>2</v>
      </c>
      <c r="M452">
        <v>0</v>
      </c>
      <c r="N452" t="s">
        <v>333</v>
      </c>
      <c r="O452" t="s">
        <v>326</v>
      </c>
    </row>
    <row r="453" spans="1:15" x14ac:dyDescent="0.3">
      <c r="A453">
        <v>475</v>
      </c>
      <c r="B453" t="s">
        <v>323</v>
      </c>
      <c r="C453">
        <v>157</v>
      </c>
      <c r="D453" t="s">
        <v>113</v>
      </c>
      <c r="E453">
        <v>1083</v>
      </c>
      <c r="F453" t="s">
        <v>1345</v>
      </c>
      <c r="G453">
        <v>7</v>
      </c>
      <c r="H453">
        <v>0</v>
      </c>
      <c r="I453">
        <v>1</v>
      </c>
      <c r="J453">
        <v>1</v>
      </c>
      <c r="K453">
        <v>2</v>
      </c>
      <c r="L453">
        <v>0</v>
      </c>
      <c r="M453">
        <v>3</v>
      </c>
      <c r="N453" t="s">
        <v>333</v>
      </c>
      <c r="O453" t="s">
        <v>326</v>
      </c>
    </row>
    <row r="454" spans="1:15" x14ac:dyDescent="0.3">
      <c r="A454">
        <v>475</v>
      </c>
      <c r="B454" t="s">
        <v>323</v>
      </c>
      <c r="C454">
        <v>157</v>
      </c>
      <c r="D454" t="s">
        <v>113</v>
      </c>
      <c r="E454">
        <v>1084</v>
      </c>
      <c r="F454" t="s">
        <v>393</v>
      </c>
      <c r="G454">
        <v>5</v>
      </c>
      <c r="H454">
        <v>0</v>
      </c>
      <c r="I454">
        <v>2</v>
      </c>
      <c r="J454">
        <v>0</v>
      </c>
      <c r="K454">
        <v>2</v>
      </c>
      <c r="L454">
        <v>1</v>
      </c>
      <c r="M454">
        <v>0</v>
      </c>
      <c r="N454" t="s">
        <v>414</v>
      </c>
      <c r="O454" t="s">
        <v>336</v>
      </c>
    </row>
    <row r="455" spans="1:15" x14ac:dyDescent="0.3">
      <c r="A455">
        <v>475</v>
      </c>
      <c r="B455" t="s">
        <v>323</v>
      </c>
      <c r="C455">
        <v>157</v>
      </c>
      <c r="D455" t="s">
        <v>113</v>
      </c>
      <c r="E455">
        <v>1085</v>
      </c>
      <c r="F455" t="s">
        <v>353</v>
      </c>
      <c r="G455">
        <v>5</v>
      </c>
      <c r="H455">
        <v>0</v>
      </c>
      <c r="I455">
        <v>1</v>
      </c>
      <c r="J455">
        <v>1</v>
      </c>
      <c r="K455">
        <v>1</v>
      </c>
      <c r="L455">
        <v>0</v>
      </c>
      <c r="M455">
        <v>2</v>
      </c>
      <c r="N455" t="s">
        <v>333</v>
      </c>
      <c r="O455" t="s">
        <v>326</v>
      </c>
    </row>
    <row r="456" spans="1:15" x14ac:dyDescent="0.3">
      <c r="A456">
        <v>475</v>
      </c>
      <c r="B456" t="s">
        <v>323</v>
      </c>
      <c r="C456">
        <v>157</v>
      </c>
      <c r="D456" t="s">
        <v>113</v>
      </c>
      <c r="E456">
        <v>1086</v>
      </c>
      <c r="F456" t="s">
        <v>639</v>
      </c>
      <c r="G456">
        <v>9</v>
      </c>
      <c r="H456">
        <v>1</v>
      </c>
      <c r="I456">
        <v>3</v>
      </c>
      <c r="J456">
        <v>1</v>
      </c>
      <c r="K456">
        <v>1</v>
      </c>
      <c r="L456">
        <v>0</v>
      </c>
      <c r="M456">
        <v>3</v>
      </c>
      <c r="N456" t="s">
        <v>325</v>
      </c>
      <c r="O456" t="s">
        <v>326</v>
      </c>
    </row>
    <row r="457" spans="1:15" x14ac:dyDescent="0.3">
      <c r="A457">
        <v>475</v>
      </c>
      <c r="B457" t="s">
        <v>323</v>
      </c>
      <c r="C457">
        <v>157</v>
      </c>
      <c r="D457" t="s">
        <v>113</v>
      </c>
      <c r="E457">
        <v>1088</v>
      </c>
      <c r="F457" t="s">
        <v>1346</v>
      </c>
      <c r="G457">
        <v>8</v>
      </c>
      <c r="H457">
        <v>0</v>
      </c>
      <c r="I457">
        <v>5</v>
      </c>
      <c r="J457">
        <v>1</v>
      </c>
      <c r="K457">
        <v>1</v>
      </c>
      <c r="L457">
        <v>0</v>
      </c>
      <c r="M457">
        <v>1</v>
      </c>
      <c r="N457" t="s">
        <v>325</v>
      </c>
      <c r="O457" t="s">
        <v>326</v>
      </c>
    </row>
    <row r="458" spans="1:15" x14ac:dyDescent="0.3">
      <c r="A458">
        <v>475</v>
      </c>
      <c r="B458" t="s">
        <v>323</v>
      </c>
      <c r="C458">
        <v>157</v>
      </c>
      <c r="D458" t="s">
        <v>113</v>
      </c>
      <c r="E458">
        <v>1089</v>
      </c>
      <c r="F458" t="s">
        <v>640</v>
      </c>
      <c r="G458">
        <v>4</v>
      </c>
      <c r="H458">
        <v>0</v>
      </c>
      <c r="I458">
        <v>1</v>
      </c>
      <c r="J458">
        <v>0</v>
      </c>
      <c r="K458">
        <v>0</v>
      </c>
      <c r="L458">
        <v>2</v>
      </c>
      <c r="M458">
        <v>1</v>
      </c>
      <c r="N458" t="s">
        <v>333</v>
      </c>
      <c r="O458" t="s">
        <v>326</v>
      </c>
    </row>
    <row r="459" spans="1:15" x14ac:dyDescent="0.3">
      <c r="A459">
        <v>475</v>
      </c>
      <c r="B459" t="s">
        <v>323</v>
      </c>
      <c r="C459">
        <v>157</v>
      </c>
      <c r="D459" t="s">
        <v>113</v>
      </c>
      <c r="E459">
        <v>1862</v>
      </c>
      <c r="F459" t="s">
        <v>1347</v>
      </c>
      <c r="G459">
        <v>6</v>
      </c>
      <c r="H459">
        <v>1</v>
      </c>
      <c r="I459">
        <v>0</v>
      </c>
      <c r="J459">
        <v>1</v>
      </c>
      <c r="K459">
        <v>0</v>
      </c>
      <c r="L459">
        <v>1</v>
      </c>
      <c r="M459">
        <v>3</v>
      </c>
      <c r="N459" t="s">
        <v>333</v>
      </c>
      <c r="O459" t="s">
        <v>326</v>
      </c>
    </row>
    <row r="460" spans="1:15" x14ac:dyDescent="0.3">
      <c r="A460">
        <v>475</v>
      </c>
      <c r="B460" t="s">
        <v>323</v>
      </c>
      <c r="C460">
        <v>157</v>
      </c>
      <c r="D460" t="s">
        <v>113</v>
      </c>
      <c r="E460">
        <v>1863</v>
      </c>
      <c r="F460" t="s">
        <v>529</v>
      </c>
      <c r="G460">
        <v>2</v>
      </c>
      <c r="H460">
        <v>0</v>
      </c>
      <c r="I460">
        <v>1</v>
      </c>
      <c r="J460">
        <v>0</v>
      </c>
      <c r="K460">
        <v>0</v>
      </c>
      <c r="L460">
        <v>0</v>
      </c>
      <c r="M460">
        <v>1</v>
      </c>
      <c r="N460" t="s">
        <v>333</v>
      </c>
      <c r="O460" t="s">
        <v>326</v>
      </c>
    </row>
    <row r="461" spans="1:15" x14ac:dyDescent="0.3">
      <c r="A461">
        <v>475</v>
      </c>
      <c r="B461" t="s">
        <v>323</v>
      </c>
      <c r="C461">
        <v>157</v>
      </c>
      <c r="D461" t="s">
        <v>113</v>
      </c>
      <c r="E461">
        <v>2091</v>
      </c>
      <c r="F461" t="s">
        <v>420</v>
      </c>
      <c r="G461">
        <v>6</v>
      </c>
      <c r="H461">
        <v>1</v>
      </c>
      <c r="I461">
        <v>0</v>
      </c>
      <c r="J461">
        <v>1</v>
      </c>
      <c r="K461">
        <v>0</v>
      </c>
      <c r="L461">
        <v>1</v>
      </c>
      <c r="M461">
        <v>3</v>
      </c>
      <c r="N461" t="s">
        <v>333</v>
      </c>
      <c r="O461" t="s">
        <v>326</v>
      </c>
    </row>
    <row r="462" spans="1:15" x14ac:dyDescent="0.3">
      <c r="A462">
        <v>475</v>
      </c>
      <c r="B462" t="s">
        <v>323</v>
      </c>
      <c r="C462">
        <v>157</v>
      </c>
      <c r="D462" t="s">
        <v>113</v>
      </c>
      <c r="E462">
        <v>2092</v>
      </c>
      <c r="F462" t="s">
        <v>18021</v>
      </c>
      <c r="G462">
        <v>8</v>
      </c>
      <c r="H462">
        <v>1</v>
      </c>
      <c r="I462">
        <v>5</v>
      </c>
      <c r="J462">
        <v>0</v>
      </c>
      <c r="K462">
        <v>0</v>
      </c>
      <c r="L462">
        <v>0</v>
      </c>
      <c r="M462">
        <v>2</v>
      </c>
      <c r="N462" t="s">
        <v>325</v>
      </c>
      <c r="O462" t="s">
        <v>326</v>
      </c>
    </row>
    <row r="463" spans="1:15" x14ac:dyDescent="0.3">
      <c r="A463">
        <v>476</v>
      </c>
      <c r="B463" t="s">
        <v>323</v>
      </c>
      <c r="C463">
        <v>158</v>
      </c>
      <c r="D463" t="s">
        <v>115</v>
      </c>
      <c r="E463">
        <v>1442</v>
      </c>
      <c r="F463" t="s">
        <v>612</v>
      </c>
      <c r="G463">
        <v>5</v>
      </c>
      <c r="H463">
        <v>0</v>
      </c>
      <c r="I463">
        <v>0</v>
      </c>
      <c r="J463">
        <v>0</v>
      </c>
      <c r="K463">
        <v>0</v>
      </c>
      <c r="L463">
        <v>0</v>
      </c>
      <c r="M463">
        <v>5</v>
      </c>
      <c r="N463" t="s">
        <v>333</v>
      </c>
      <c r="O463" t="s">
        <v>326</v>
      </c>
    </row>
    <row r="464" spans="1:15" x14ac:dyDescent="0.3">
      <c r="A464">
        <v>476</v>
      </c>
      <c r="B464" t="s">
        <v>323</v>
      </c>
      <c r="C464">
        <v>158</v>
      </c>
      <c r="D464" t="s">
        <v>115</v>
      </c>
      <c r="E464">
        <v>1443</v>
      </c>
      <c r="F464" t="s">
        <v>531</v>
      </c>
      <c r="G464">
        <v>5</v>
      </c>
      <c r="H464">
        <v>0</v>
      </c>
      <c r="I464">
        <v>0</v>
      </c>
      <c r="J464">
        <v>0</v>
      </c>
      <c r="K464">
        <v>0</v>
      </c>
      <c r="L464">
        <v>0</v>
      </c>
      <c r="M464">
        <v>5</v>
      </c>
      <c r="N464" t="s">
        <v>333</v>
      </c>
      <c r="O464" t="s">
        <v>336</v>
      </c>
    </row>
    <row r="465" spans="1:15" x14ac:dyDescent="0.3">
      <c r="A465">
        <v>476</v>
      </c>
      <c r="B465" t="s">
        <v>323</v>
      </c>
      <c r="C465">
        <v>158</v>
      </c>
      <c r="D465" t="s">
        <v>115</v>
      </c>
      <c r="E465">
        <v>1444</v>
      </c>
      <c r="F465" t="s">
        <v>613</v>
      </c>
      <c r="G465">
        <v>3</v>
      </c>
      <c r="H465">
        <v>0</v>
      </c>
      <c r="I465">
        <v>0</v>
      </c>
      <c r="J465">
        <v>0</v>
      </c>
      <c r="K465">
        <v>0</v>
      </c>
      <c r="L465">
        <v>0</v>
      </c>
      <c r="M465">
        <v>3</v>
      </c>
      <c r="N465" t="s">
        <v>333</v>
      </c>
      <c r="O465" t="s">
        <v>329</v>
      </c>
    </row>
    <row r="466" spans="1:15" x14ac:dyDescent="0.3">
      <c r="A466">
        <v>476</v>
      </c>
      <c r="B466" t="s">
        <v>323</v>
      </c>
      <c r="C466">
        <v>158</v>
      </c>
      <c r="D466" t="s">
        <v>115</v>
      </c>
      <c r="E466">
        <v>1445</v>
      </c>
      <c r="F466" t="s">
        <v>614</v>
      </c>
      <c r="G466">
        <v>6</v>
      </c>
      <c r="H466">
        <v>0</v>
      </c>
      <c r="I466">
        <v>0</v>
      </c>
      <c r="J466">
        <v>0</v>
      </c>
      <c r="K466">
        <v>0</v>
      </c>
      <c r="L466">
        <v>0</v>
      </c>
      <c r="M466">
        <v>6</v>
      </c>
      <c r="N466" t="s">
        <v>333</v>
      </c>
      <c r="O466" t="s">
        <v>484</v>
      </c>
    </row>
    <row r="467" spans="1:15" x14ac:dyDescent="0.3">
      <c r="A467">
        <v>476</v>
      </c>
      <c r="B467" t="s">
        <v>323</v>
      </c>
      <c r="C467">
        <v>158</v>
      </c>
      <c r="D467" t="s">
        <v>115</v>
      </c>
      <c r="E467">
        <v>1446</v>
      </c>
      <c r="F467" t="s">
        <v>615</v>
      </c>
      <c r="G467">
        <v>4</v>
      </c>
      <c r="H467">
        <v>0</v>
      </c>
      <c r="I467">
        <v>0</v>
      </c>
      <c r="J467">
        <v>0</v>
      </c>
      <c r="K467">
        <v>0</v>
      </c>
      <c r="L467">
        <v>0</v>
      </c>
      <c r="M467">
        <v>4</v>
      </c>
      <c r="N467" t="s">
        <v>333</v>
      </c>
      <c r="O467" t="s">
        <v>336</v>
      </c>
    </row>
    <row r="468" spans="1:15" x14ac:dyDescent="0.3">
      <c r="A468">
        <v>476</v>
      </c>
      <c r="B468" t="s">
        <v>323</v>
      </c>
      <c r="C468">
        <v>158</v>
      </c>
      <c r="D468" t="s">
        <v>115</v>
      </c>
      <c r="E468">
        <v>1447</v>
      </c>
      <c r="F468" t="s">
        <v>616</v>
      </c>
      <c r="G468">
        <v>3</v>
      </c>
      <c r="H468">
        <v>0</v>
      </c>
      <c r="I468">
        <v>0</v>
      </c>
      <c r="J468">
        <v>0</v>
      </c>
      <c r="K468">
        <v>0</v>
      </c>
      <c r="L468">
        <v>0</v>
      </c>
      <c r="M468">
        <v>3</v>
      </c>
      <c r="N468" t="s">
        <v>325</v>
      </c>
      <c r="O468" t="s">
        <v>326</v>
      </c>
    </row>
    <row r="469" spans="1:15" x14ac:dyDescent="0.3">
      <c r="A469">
        <v>476</v>
      </c>
      <c r="B469" t="s">
        <v>323</v>
      </c>
      <c r="C469">
        <v>158</v>
      </c>
      <c r="D469" t="s">
        <v>115</v>
      </c>
      <c r="E469">
        <v>1448</v>
      </c>
      <c r="F469" t="s">
        <v>617</v>
      </c>
      <c r="G469">
        <v>6</v>
      </c>
      <c r="H469">
        <v>0</v>
      </c>
      <c r="I469">
        <v>0</v>
      </c>
      <c r="J469">
        <v>0</v>
      </c>
      <c r="K469">
        <v>0</v>
      </c>
      <c r="L469">
        <v>0</v>
      </c>
      <c r="M469">
        <v>6</v>
      </c>
      <c r="N469" t="s">
        <v>325</v>
      </c>
      <c r="O469" t="s">
        <v>343</v>
      </c>
    </row>
    <row r="470" spans="1:15" x14ac:dyDescent="0.3">
      <c r="A470">
        <v>476</v>
      </c>
      <c r="B470" t="s">
        <v>323</v>
      </c>
      <c r="C470">
        <v>158</v>
      </c>
      <c r="D470" t="s">
        <v>115</v>
      </c>
      <c r="E470">
        <v>1449</v>
      </c>
      <c r="F470" t="s">
        <v>353</v>
      </c>
      <c r="G470">
        <v>3</v>
      </c>
      <c r="H470">
        <v>0</v>
      </c>
      <c r="I470">
        <v>0</v>
      </c>
      <c r="J470">
        <v>0</v>
      </c>
      <c r="K470">
        <v>0</v>
      </c>
      <c r="L470">
        <v>0</v>
      </c>
      <c r="M470">
        <v>3</v>
      </c>
      <c r="N470" t="s">
        <v>333</v>
      </c>
      <c r="O470" t="s">
        <v>326</v>
      </c>
    </row>
    <row r="471" spans="1:15" x14ac:dyDescent="0.3">
      <c r="A471">
        <v>476</v>
      </c>
      <c r="B471" t="s">
        <v>323</v>
      </c>
      <c r="C471">
        <v>158</v>
      </c>
      <c r="D471" t="s">
        <v>115</v>
      </c>
      <c r="E471">
        <v>1450</v>
      </c>
      <c r="F471" t="s">
        <v>618</v>
      </c>
      <c r="G471">
        <v>13</v>
      </c>
      <c r="H471">
        <v>0</v>
      </c>
      <c r="I471">
        <v>0</v>
      </c>
      <c r="J471">
        <v>0</v>
      </c>
      <c r="K471">
        <v>0</v>
      </c>
      <c r="L471">
        <v>0</v>
      </c>
      <c r="M471">
        <v>13</v>
      </c>
      <c r="N471" t="s">
        <v>325</v>
      </c>
      <c r="O471" t="s">
        <v>326</v>
      </c>
    </row>
    <row r="472" spans="1:15" x14ac:dyDescent="0.3">
      <c r="A472">
        <v>476</v>
      </c>
      <c r="B472" t="s">
        <v>323</v>
      </c>
      <c r="C472">
        <v>158</v>
      </c>
      <c r="D472" t="s">
        <v>115</v>
      </c>
      <c r="E472">
        <v>1455</v>
      </c>
      <c r="F472" t="s">
        <v>622</v>
      </c>
      <c r="G472">
        <v>11</v>
      </c>
      <c r="H472">
        <v>0</v>
      </c>
      <c r="I472">
        <v>0</v>
      </c>
      <c r="J472">
        <v>0</v>
      </c>
      <c r="K472">
        <v>0</v>
      </c>
      <c r="L472">
        <v>0</v>
      </c>
      <c r="M472">
        <v>11</v>
      </c>
      <c r="N472" t="s">
        <v>333</v>
      </c>
      <c r="O472" t="s">
        <v>326</v>
      </c>
    </row>
    <row r="473" spans="1:15" x14ac:dyDescent="0.3">
      <c r="A473">
        <v>476</v>
      </c>
      <c r="B473" t="s">
        <v>323</v>
      </c>
      <c r="C473">
        <v>158</v>
      </c>
      <c r="D473" t="s">
        <v>115</v>
      </c>
      <c r="E473">
        <v>1456</v>
      </c>
      <c r="F473" t="s">
        <v>623</v>
      </c>
      <c r="G473">
        <v>9</v>
      </c>
      <c r="H473">
        <v>0</v>
      </c>
      <c r="I473">
        <v>0</v>
      </c>
      <c r="J473">
        <v>0</v>
      </c>
      <c r="K473">
        <v>0</v>
      </c>
      <c r="L473">
        <v>0</v>
      </c>
      <c r="M473">
        <v>9</v>
      </c>
      <c r="N473" t="s">
        <v>333</v>
      </c>
      <c r="O473" t="s">
        <v>329</v>
      </c>
    </row>
    <row r="474" spans="1:15" x14ac:dyDescent="0.3">
      <c r="A474">
        <v>476</v>
      </c>
      <c r="B474" t="s">
        <v>323</v>
      </c>
      <c r="C474">
        <v>158</v>
      </c>
      <c r="D474" t="s">
        <v>115</v>
      </c>
      <c r="E474">
        <v>1457</v>
      </c>
      <c r="F474" t="s">
        <v>624</v>
      </c>
      <c r="G474">
        <v>3</v>
      </c>
      <c r="H474">
        <v>0</v>
      </c>
      <c r="I474">
        <v>0</v>
      </c>
      <c r="J474">
        <v>0</v>
      </c>
      <c r="K474">
        <v>0</v>
      </c>
      <c r="L474">
        <v>0</v>
      </c>
      <c r="M474">
        <v>3</v>
      </c>
      <c r="N474" t="s">
        <v>325</v>
      </c>
      <c r="O474" t="s">
        <v>484</v>
      </c>
    </row>
    <row r="475" spans="1:15" x14ac:dyDescent="0.3">
      <c r="A475">
        <v>476</v>
      </c>
      <c r="B475" t="s">
        <v>323</v>
      </c>
      <c r="C475">
        <v>158</v>
      </c>
      <c r="D475" t="s">
        <v>115</v>
      </c>
      <c r="E475">
        <v>1458</v>
      </c>
      <c r="F475" t="s">
        <v>625</v>
      </c>
      <c r="G475">
        <v>6</v>
      </c>
      <c r="H475">
        <v>0</v>
      </c>
      <c r="I475">
        <v>0</v>
      </c>
      <c r="J475">
        <v>0</v>
      </c>
      <c r="K475">
        <v>0</v>
      </c>
      <c r="L475">
        <v>0</v>
      </c>
      <c r="M475">
        <v>6</v>
      </c>
      <c r="N475" t="s">
        <v>333</v>
      </c>
      <c r="O475" t="s">
        <v>326</v>
      </c>
    </row>
    <row r="476" spans="1:15" x14ac:dyDescent="0.3">
      <c r="A476">
        <v>476</v>
      </c>
      <c r="B476" t="s">
        <v>323</v>
      </c>
      <c r="C476">
        <v>158</v>
      </c>
      <c r="D476" t="s">
        <v>115</v>
      </c>
      <c r="E476">
        <v>2142</v>
      </c>
      <c r="F476" t="s">
        <v>1349</v>
      </c>
      <c r="G476">
        <v>2</v>
      </c>
      <c r="H476">
        <v>0</v>
      </c>
      <c r="I476">
        <v>0</v>
      </c>
      <c r="J476">
        <v>0</v>
      </c>
      <c r="K476">
        <v>0</v>
      </c>
      <c r="L476">
        <v>0</v>
      </c>
      <c r="M476">
        <v>2</v>
      </c>
      <c r="N476" t="s">
        <v>333</v>
      </c>
      <c r="O476" t="s">
        <v>326</v>
      </c>
    </row>
    <row r="477" spans="1:15" x14ac:dyDescent="0.3">
      <c r="A477">
        <v>476</v>
      </c>
      <c r="B477" t="s">
        <v>323</v>
      </c>
      <c r="C477">
        <v>158</v>
      </c>
      <c r="D477" t="s">
        <v>115</v>
      </c>
      <c r="E477">
        <v>2143</v>
      </c>
      <c r="F477" t="s">
        <v>18022</v>
      </c>
      <c r="G477">
        <v>3</v>
      </c>
      <c r="H477">
        <v>0</v>
      </c>
      <c r="I477">
        <v>0</v>
      </c>
      <c r="J477">
        <v>0</v>
      </c>
      <c r="K477">
        <v>0</v>
      </c>
      <c r="L477">
        <v>0</v>
      </c>
      <c r="M477">
        <v>3</v>
      </c>
      <c r="N477" t="s">
        <v>333</v>
      </c>
      <c r="O477" t="s">
        <v>336</v>
      </c>
    </row>
    <row r="478" spans="1:15" x14ac:dyDescent="0.3">
      <c r="A478">
        <v>476</v>
      </c>
      <c r="B478" t="s">
        <v>323</v>
      </c>
      <c r="C478">
        <v>158</v>
      </c>
      <c r="D478" t="s">
        <v>115</v>
      </c>
      <c r="E478">
        <v>2144</v>
      </c>
      <c r="F478" t="s">
        <v>18023</v>
      </c>
      <c r="G478">
        <v>4</v>
      </c>
      <c r="H478">
        <v>0</v>
      </c>
      <c r="I478">
        <v>0</v>
      </c>
      <c r="J478">
        <v>0</v>
      </c>
      <c r="K478">
        <v>0</v>
      </c>
      <c r="L478">
        <v>0</v>
      </c>
      <c r="M478">
        <v>4</v>
      </c>
      <c r="N478" t="s">
        <v>333</v>
      </c>
      <c r="O478" t="s">
        <v>336</v>
      </c>
    </row>
    <row r="479" spans="1:15" x14ac:dyDescent="0.3">
      <c r="A479">
        <v>476</v>
      </c>
      <c r="B479" t="s">
        <v>323</v>
      </c>
      <c r="C479">
        <v>158</v>
      </c>
      <c r="D479" t="s">
        <v>115</v>
      </c>
      <c r="E479">
        <v>2145</v>
      </c>
      <c r="F479" t="s">
        <v>18024</v>
      </c>
      <c r="G479">
        <v>4</v>
      </c>
      <c r="H479">
        <v>0</v>
      </c>
      <c r="I479">
        <v>0</v>
      </c>
      <c r="J479">
        <v>0</v>
      </c>
      <c r="K479">
        <v>0</v>
      </c>
      <c r="L479">
        <v>0</v>
      </c>
      <c r="M479">
        <v>4</v>
      </c>
      <c r="N479" t="s">
        <v>333</v>
      </c>
      <c r="O479" t="s">
        <v>336</v>
      </c>
    </row>
    <row r="480" spans="1:15" x14ac:dyDescent="0.3">
      <c r="A480">
        <v>477</v>
      </c>
      <c r="B480" t="s">
        <v>323</v>
      </c>
      <c r="C480">
        <v>159</v>
      </c>
      <c r="D480" t="s">
        <v>117</v>
      </c>
      <c r="E480">
        <v>1005</v>
      </c>
      <c r="F480" t="s">
        <v>627</v>
      </c>
      <c r="G480">
        <v>6</v>
      </c>
      <c r="H480">
        <v>0</v>
      </c>
      <c r="I480">
        <v>0</v>
      </c>
      <c r="J480">
        <v>3</v>
      </c>
      <c r="K480">
        <v>0</v>
      </c>
      <c r="L480">
        <v>2</v>
      </c>
      <c r="M480">
        <v>1</v>
      </c>
      <c r="N480" t="s">
        <v>333</v>
      </c>
      <c r="O480" t="s">
        <v>336</v>
      </c>
    </row>
    <row r="481" spans="1:15" x14ac:dyDescent="0.3">
      <c r="A481">
        <v>477</v>
      </c>
      <c r="B481" t="s">
        <v>323</v>
      </c>
      <c r="C481">
        <v>159</v>
      </c>
      <c r="D481" t="s">
        <v>117</v>
      </c>
      <c r="E481">
        <v>1007</v>
      </c>
      <c r="F481" t="s">
        <v>629</v>
      </c>
      <c r="G481">
        <v>3</v>
      </c>
      <c r="H481">
        <v>0</v>
      </c>
      <c r="I481">
        <v>1</v>
      </c>
      <c r="J481">
        <v>1</v>
      </c>
      <c r="K481">
        <v>0</v>
      </c>
      <c r="L481">
        <v>0</v>
      </c>
      <c r="M481">
        <v>1</v>
      </c>
      <c r="N481" t="s">
        <v>333</v>
      </c>
      <c r="O481" t="s">
        <v>336</v>
      </c>
    </row>
    <row r="482" spans="1:15" x14ac:dyDescent="0.3">
      <c r="A482">
        <v>477</v>
      </c>
      <c r="B482" t="s">
        <v>323</v>
      </c>
      <c r="C482">
        <v>159</v>
      </c>
      <c r="D482" t="s">
        <v>117</v>
      </c>
      <c r="E482">
        <v>1010</v>
      </c>
      <c r="F482" t="s">
        <v>631</v>
      </c>
      <c r="G482">
        <v>7</v>
      </c>
      <c r="H482">
        <v>0</v>
      </c>
      <c r="I482">
        <v>1</v>
      </c>
      <c r="J482">
        <v>1</v>
      </c>
      <c r="K482">
        <v>0</v>
      </c>
      <c r="L482">
        <v>2</v>
      </c>
      <c r="M482">
        <v>3</v>
      </c>
      <c r="N482" t="s">
        <v>333</v>
      </c>
      <c r="O482" t="s">
        <v>336</v>
      </c>
    </row>
    <row r="483" spans="1:15" x14ac:dyDescent="0.3">
      <c r="A483">
        <v>477</v>
      </c>
      <c r="B483" t="s">
        <v>323</v>
      </c>
      <c r="C483">
        <v>159</v>
      </c>
      <c r="D483" t="s">
        <v>117</v>
      </c>
      <c r="E483">
        <v>1013</v>
      </c>
      <c r="F483" t="s">
        <v>633</v>
      </c>
      <c r="G483">
        <v>2</v>
      </c>
      <c r="H483">
        <v>0</v>
      </c>
      <c r="I483">
        <v>2</v>
      </c>
      <c r="J483">
        <v>0</v>
      </c>
      <c r="K483">
        <v>0</v>
      </c>
      <c r="L483">
        <v>0</v>
      </c>
      <c r="M483">
        <v>0</v>
      </c>
      <c r="N483" t="s">
        <v>325</v>
      </c>
      <c r="O483" t="s">
        <v>348</v>
      </c>
    </row>
    <row r="484" spans="1:15" x14ac:dyDescent="0.3">
      <c r="A484">
        <v>477</v>
      </c>
      <c r="B484" t="s">
        <v>323</v>
      </c>
      <c r="C484">
        <v>159</v>
      </c>
      <c r="D484" t="s">
        <v>117</v>
      </c>
      <c r="E484">
        <v>1407</v>
      </c>
      <c r="F484" t="s">
        <v>634</v>
      </c>
      <c r="G484">
        <v>4</v>
      </c>
      <c r="H484">
        <v>1</v>
      </c>
      <c r="I484">
        <v>1</v>
      </c>
      <c r="J484">
        <v>0</v>
      </c>
      <c r="K484">
        <v>0</v>
      </c>
      <c r="L484">
        <v>1</v>
      </c>
      <c r="M484">
        <v>1</v>
      </c>
      <c r="N484" t="s">
        <v>333</v>
      </c>
      <c r="O484" t="s">
        <v>336</v>
      </c>
    </row>
    <row r="485" spans="1:15" x14ac:dyDescent="0.3">
      <c r="A485">
        <v>477</v>
      </c>
      <c r="B485" t="s">
        <v>323</v>
      </c>
      <c r="C485">
        <v>159</v>
      </c>
      <c r="D485" t="s">
        <v>117</v>
      </c>
      <c r="E485">
        <v>1953</v>
      </c>
      <c r="F485" t="s">
        <v>1349</v>
      </c>
      <c r="G485">
        <v>2</v>
      </c>
      <c r="H485">
        <v>0</v>
      </c>
      <c r="I485">
        <v>0</v>
      </c>
      <c r="J485">
        <v>0</v>
      </c>
      <c r="K485">
        <v>0</v>
      </c>
      <c r="L485">
        <v>0</v>
      </c>
      <c r="M485">
        <v>2</v>
      </c>
      <c r="N485" t="s">
        <v>333</v>
      </c>
      <c r="O485" t="s">
        <v>326</v>
      </c>
    </row>
    <row r="486" spans="1:15" x14ac:dyDescent="0.3">
      <c r="A486">
        <v>477</v>
      </c>
      <c r="B486" t="s">
        <v>323</v>
      </c>
      <c r="C486">
        <v>159</v>
      </c>
      <c r="D486" t="s">
        <v>117</v>
      </c>
      <c r="E486">
        <v>1954</v>
      </c>
      <c r="F486" t="s">
        <v>1350</v>
      </c>
      <c r="G486">
        <v>7</v>
      </c>
      <c r="H486">
        <v>0</v>
      </c>
      <c r="I486">
        <v>0</v>
      </c>
      <c r="J486">
        <v>1</v>
      </c>
      <c r="K486">
        <v>0</v>
      </c>
      <c r="L486">
        <v>1</v>
      </c>
      <c r="M486">
        <v>5</v>
      </c>
      <c r="N486" t="s">
        <v>325</v>
      </c>
      <c r="O486" t="s">
        <v>343</v>
      </c>
    </row>
    <row r="487" spans="1:15" x14ac:dyDescent="0.3">
      <c r="A487">
        <v>477</v>
      </c>
      <c r="B487" t="s">
        <v>323</v>
      </c>
      <c r="C487">
        <v>159</v>
      </c>
      <c r="D487" t="s">
        <v>117</v>
      </c>
      <c r="E487">
        <v>1956</v>
      </c>
      <c r="F487" t="s">
        <v>363</v>
      </c>
      <c r="G487">
        <v>2</v>
      </c>
      <c r="H487">
        <v>0</v>
      </c>
      <c r="I487">
        <v>0</v>
      </c>
      <c r="J487">
        <v>0</v>
      </c>
      <c r="K487">
        <v>0</v>
      </c>
      <c r="L487">
        <v>1</v>
      </c>
      <c r="M487">
        <v>1</v>
      </c>
      <c r="N487" t="s">
        <v>325</v>
      </c>
      <c r="O487" t="s">
        <v>343</v>
      </c>
    </row>
    <row r="488" spans="1:15" x14ac:dyDescent="0.3">
      <c r="A488">
        <v>479</v>
      </c>
      <c r="B488" t="s">
        <v>323</v>
      </c>
      <c r="C488">
        <v>161</v>
      </c>
      <c r="D488" t="s">
        <v>121</v>
      </c>
      <c r="E488">
        <v>550</v>
      </c>
      <c r="F488" t="s">
        <v>349</v>
      </c>
      <c r="G488">
        <v>5</v>
      </c>
      <c r="H488">
        <v>0</v>
      </c>
      <c r="I488">
        <v>3</v>
      </c>
      <c r="J488">
        <v>1</v>
      </c>
      <c r="K488">
        <v>0</v>
      </c>
      <c r="L488">
        <v>1</v>
      </c>
      <c r="M488">
        <v>0</v>
      </c>
      <c r="N488" t="s">
        <v>410</v>
      </c>
      <c r="O488" t="s">
        <v>336</v>
      </c>
    </row>
    <row r="489" spans="1:15" x14ac:dyDescent="0.3">
      <c r="A489">
        <v>479</v>
      </c>
      <c r="B489" t="s">
        <v>323</v>
      </c>
      <c r="C489">
        <v>161</v>
      </c>
      <c r="D489" t="s">
        <v>121</v>
      </c>
      <c r="E489">
        <v>551</v>
      </c>
      <c r="F489" t="s">
        <v>1352</v>
      </c>
      <c r="G489">
        <v>6</v>
      </c>
      <c r="H489">
        <v>2</v>
      </c>
      <c r="I489">
        <v>0</v>
      </c>
      <c r="J489">
        <v>3</v>
      </c>
      <c r="K489">
        <v>1</v>
      </c>
      <c r="L489">
        <v>0</v>
      </c>
      <c r="M489">
        <v>0</v>
      </c>
      <c r="N489" t="s">
        <v>333</v>
      </c>
      <c r="O489" t="s">
        <v>326</v>
      </c>
    </row>
    <row r="490" spans="1:15" x14ac:dyDescent="0.3">
      <c r="A490">
        <v>479</v>
      </c>
      <c r="B490" t="s">
        <v>323</v>
      </c>
      <c r="C490">
        <v>161</v>
      </c>
      <c r="D490" t="s">
        <v>121</v>
      </c>
      <c r="E490">
        <v>552</v>
      </c>
      <c r="F490" t="s">
        <v>1353</v>
      </c>
      <c r="G490">
        <v>0</v>
      </c>
      <c r="H490">
        <v>0</v>
      </c>
      <c r="I490">
        <v>0</v>
      </c>
      <c r="J490">
        <v>0</v>
      </c>
      <c r="K490">
        <v>0</v>
      </c>
      <c r="L490">
        <v>0</v>
      </c>
      <c r="M490">
        <v>0</v>
      </c>
      <c r="N490" t="s">
        <v>333</v>
      </c>
      <c r="O490" t="s">
        <v>326</v>
      </c>
    </row>
    <row r="491" spans="1:15" x14ac:dyDescent="0.3">
      <c r="A491">
        <v>479</v>
      </c>
      <c r="B491" t="s">
        <v>323</v>
      </c>
      <c r="C491">
        <v>161</v>
      </c>
      <c r="D491" t="s">
        <v>121</v>
      </c>
      <c r="E491">
        <v>553</v>
      </c>
      <c r="F491" t="s">
        <v>1354</v>
      </c>
      <c r="G491">
        <v>6</v>
      </c>
      <c r="H491">
        <v>0</v>
      </c>
      <c r="I491">
        <v>0</v>
      </c>
      <c r="J491">
        <v>4</v>
      </c>
      <c r="K491">
        <v>2</v>
      </c>
      <c r="L491">
        <v>0</v>
      </c>
      <c r="M491">
        <v>0</v>
      </c>
      <c r="N491" t="s">
        <v>410</v>
      </c>
      <c r="O491" t="s">
        <v>326</v>
      </c>
    </row>
    <row r="492" spans="1:15" x14ac:dyDescent="0.3">
      <c r="A492">
        <v>479</v>
      </c>
      <c r="B492" t="s">
        <v>323</v>
      </c>
      <c r="C492">
        <v>161</v>
      </c>
      <c r="D492" t="s">
        <v>121</v>
      </c>
      <c r="E492">
        <v>554</v>
      </c>
      <c r="F492" t="s">
        <v>376</v>
      </c>
      <c r="G492">
        <v>3</v>
      </c>
      <c r="H492">
        <v>0</v>
      </c>
      <c r="I492">
        <v>0</v>
      </c>
      <c r="J492">
        <v>0</v>
      </c>
      <c r="K492">
        <v>1</v>
      </c>
      <c r="L492">
        <v>2</v>
      </c>
      <c r="M492">
        <v>0</v>
      </c>
      <c r="N492" t="s">
        <v>333</v>
      </c>
      <c r="O492" t="s">
        <v>326</v>
      </c>
    </row>
    <row r="493" spans="1:15" x14ac:dyDescent="0.3">
      <c r="A493">
        <v>479</v>
      </c>
      <c r="B493" t="s">
        <v>323</v>
      </c>
      <c r="C493">
        <v>161</v>
      </c>
      <c r="D493" t="s">
        <v>121</v>
      </c>
      <c r="E493">
        <v>555</v>
      </c>
      <c r="F493" t="s">
        <v>1355</v>
      </c>
      <c r="G493">
        <v>0</v>
      </c>
      <c r="H493">
        <v>0</v>
      </c>
      <c r="I493">
        <v>0</v>
      </c>
      <c r="J493">
        <v>0</v>
      </c>
      <c r="K493">
        <v>0</v>
      </c>
      <c r="L493">
        <v>0</v>
      </c>
      <c r="M493">
        <v>0</v>
      </c>
      <c r="N493" t="s">
        <v>325</v>
      </c>
      <c r="O493" t="s">
        <v>336</v>
      </c>
    </row>
    <row r="494" spans="1:15" x14ac:dyDescent="0.3">
      <c r="A494">
        <v>479</v>
      </c>
      <c r="B494" t="s">
        <v>323</v>
      </c>
      <c r="C494">
        <v>161</v>
      </c>
      <c r="D494" t="s">
        <v>121</v>
      </c>
      <c r="E494">
        <v>556</v>
      </c>
      <c r="F494" t="s">
        <v>1356</v>
      </c>
      <c r="G494">
        <v>6</v>
      </c>
      <c r="H494">
        <v>0</v>
      </c>
      <c r="I494">
        <v>1</v>
      </c>
      <c r="J494">
        <v>4</v>
      </c>
      <c r="K494">
        <v>1</v>
      </c>
      <c r="L494">
        <v>0</v>
      </c>
      <c r="M494">
        <v>0</v>
      </c>
      <c r="N494" t="s">
        <v>333</v>
      </c>
      <c r="O494" t="s">
        <v>326</v>
      </c>
    </row>
    <row r="495" spans="1:15" x14ac:dyDescent="0.3">
      <c r="A495">
        <v>479</v>
      </c>
      <c r="B495" t="s">
        <v>323</v>
      </c>
      <c r="C495">
        <v>161</v>
      </c>
      <c r="D495" t="s">
        <v>121</v>
      </c>
      <c r="E495">
        <v>557</v>
      </c>
      <c r="F495" t="s">
        <v>1357</v>
      </c>
      <c r="G495">
        <v>6</v>
      </c>
      <c r="H495">
        <v>0</v>
      </c>
      <c r="I495">
        <v>0</v>
      </c>
      <c r="J495">
        <v>2</v>
      </c>
      <c r="K495">
        <v>2</v>
      </c>
      <c r="L495">
        <v>2</v>
      </c>
      <c r="M495">
        <v>0</v>
      </c>
      <c r="N495" t="s">
        <v>333</v>
      </c>
      <c r="O495" t="s">
        <v>326</v>
      </c>
    </row>
    <row r="496" spans="1:15" x14ac:dyDescent="0.3">
      <c r="A496">
        <v>479</v>
      </c>
      <c r="B496" t="s">
        <v>323</v>
      </c>
      <c r="C496">
        <v>161</v>
      </c>
      <c r="D496" t="s">
        <v>121</v>
      </c>
      <c r="E496">
        <v>558</v>
      </c>
      <c r="F496" t="s">
        <v>1358</v>
      </c>
      <c r="G496">
        <v>4</v>
      </c>
      <c r="H496">
        <v>0</v>
      </c>
      <c r="I496">
        <v>1</v>
      </c>
      <c r="J496">
        <v>1</v>
      </c>
      <c r="K496">
        <v>1</v>
      </c>
      <c r="L496">
        <v>0</v>
      </c>
      <c r="M496">
        <v>1</v>
      </c>
      <c r="N496" t="s">
        <v>333</v>
      </c>
      <c r="O496" t="s">
        <v>326</v>
      </c>
    </row>
    <row r="497" spans="1:15" x14ac:dyDescent="0.3">
      <c r="A497">
        <v>479</v>
      </c>
      <c r="B497" t="s">
        <v>323</v>
      </c>
      <c r="C497">
        <v>161</v>
      </c>
      <c r="D497" t="s">
        <v>121</v>
      </c>
      <c r="E497">
        <v>559</v>
      </c>
      <c r="F497" t="s">
        <v>1359</v>
      </c>
      <c r="G497">
        <v>4</v>
      </c>
      <c r="H497">
        <v>0</v>
      </c>
      <c r="I497">
        <v>0</v>
      </c>
      <c r="J497">
        <v>2</v>
      </c>
      <c r="K497">
        <v>2</v>
      </c>
      <c r="L497">
        <v>0</v>
      </c>
      <c r="M497">
        <v>0</v>
      </c>
      <c r="N497" t="s">
        <v>333</v>
      </c>
      <c r="O497" t="s">
        <v>326</v>
      </c>
    </row>
    <row r="498" spans="1:15" x14ac:dyDescent="0.3">
      <c r="A498">
        <v>479</v>
      </c>
      <c r="B498" t="s">
        <v>323</v>
      </c>
      <c r="C498">
        <v>161</v>
      </c>
      <c r="D498" t="s">
        <v>121</v>
      </c>
      <c r="E498">
        <v>560</v>
      </c>
      <c r="F498" t="s">
        <v>1360</v>
      </c>
      <c r="G498">
        <v>12</v>
      </c>
      <c r="H498">
        <v>2</v>
      </c>
      <c r="I498">
        <v>2</v>
      </c>
      <c r="J498">
        <v>2</v>
      </c>
      <c r="K498">
        <v>3</v>
      </c>
      <c r="L498">
        <v>3</v>
      </c>
      <c r="M498">
        <v>0</v>
      </c>
      <c r="N498" t="s">
        <v>333</v>
      </c>
      <c r="O498" t="s">
        <v>326</v>
      </c>
    </row>
    <row r="499" spans="1:15" x14ac:dyDescent="0.3">
      <c r="A499">
        <v>479</v>
      </c>
      <c r="B499" t="s">
        <v>323</v>
      </c>
      <c r="C499">
        <v>161</v>
      </c>
      <c r="D499" t="s">
        <v>121</v>
      </c>
      <c r="E499">
        <v>561</v>
      </c>
      <c r="F499" t="s">
        <v>1361</v>
      </c>
      <c r="G499">
        <v>6</v>
      </c>
      <c r="H499">
        <v>0</v>
      </c>
      <c r="I499">
        <v>0</v>
      </c>
      <c r="J499">
        <v>3</v>
      </c>
      <c r="K499">
        <v>3</v>
      </c>
      <c r="L499">
        <v>0</v>
      </c>
      <c r="M499">
        <v>0</v>
      </c>
      <c r="N499" t="s">
        <v>325</v>
      </c>
      <c r="O499" t="s">
        <v>326</v>
      </c>
    </row>
    <row r="500" spans="1:15" x14ac:dyDescent="0.3">
      <c r="A500">
        <v>479</v>
      </c>
      <c r="B500" t="s">
        <v>323</v>
      </c>
      <c r="C500">
        <v>161</v>
      </c>
      <c r="D500" t="s">
        <v>121</v>
      </c>
      <c r="E500">
        <v>562</v>
      </c>
      <c r="F500" t="s">
        <v>1362</v>
      </c>
      <c r="G500">
        <v>9</v>
      </c>
      <c r="H500">
        <v>0</v>
      </c>
      <c r="I500">
        <v>0</v>
      </c>
      <c r="J500">
        <v>1</v>
      </c>
      <c r="K500">
        <v>2</v>
      </c>
      <c r="L500">
        <v>1</v>
      </c>
      <c r="M500">
        <v>5</v>
      </c>
      <c r="N500" t="s">
        <v>333</v>
      </c>
      <c r="O500" t="s">
        <v>326</v>
      </c>
    </row>
    <row r="501" spans="1:15" x14ac:dyDescent="0.3">
      <c r="A501">
        <v>479</v>
      </c>
      <c r="B501" t="s">
        <v>323</v>
      </c>
      <c r="C501">
        <v>161</v>
      </c>
      <c r="D501" t="s">
        <v>121</v>
      </c>
      <c r="E501">
        <v>563</v>
      </c>
      <c r="F501" t="s">
        <v>411</v>
      </c>
      <c r="G501">
        <v>4</v>
      </c>
      <c r="H501">
        <v>0</v>
      </c>
      <c r="I501">
        <v>0</v>
      </c>
      <c r="J501">
        <v>0</v>
      </c>
      <c r="K501">
        <v>2</v>
      </c>
      <c r="L501">
        <v>2</v>
      </c>
      <c r="M501">
        <v>0</v>
      </c>
      <c r="N501" t="s">
        <v>325</v>
      </c>
      <c r="O501" t="s">
        <v>326</v>
      </c>
    </row>
    <row r="502" spans="1:15" x14ac:dyDescent="0.3">
      <c r="A502">
        <v>479</v>
      </c>
      <c r="B502" t="s">
        <v>323</v>
      </c>
      <c r="C502">
        <v>161</v>
      </c>
      <c r="D502" t="s">
        <v>121</v>
      </c>
      <c r="E502">
        <v>2149</v>
      </c>
      <c r="F502" t="s">
        <v>18025</v>
      </c>
      <c r="G502">
        <v>4</v>
      </c>
      <c r="H502">
        <v>0</v>
      </c>
      <c r="I502">
        <v>2</v>
      </c>
      <c r="J502">
        <v>2</v>
      </c>
      <c r="K502">
        <v>0</v>
      </c>
      <c r="L502">
        <v>0</v>
      </c>
      <c r="M502">
        <v>0</v>
      </c>
      <c r="N502" t="s">
        <v>333</v>
      </c>
      <c r="O502" t="s">
        <v>326</v>
      </c>
    </row>
    <row r="503" spans="1:15" x14ac:dyDescent="0.3">
      <c r="A503">
        <v>479</v>
      </c>
      <c r="B503" t="s">
        <v>323</v>
      </c>
      <c r="C503">
        <v>161</v>
      </c>
      <c r="D503" t="s">
        <v>121</v>
      </c>
      <c r="E503">
        <v>2150</v>
      </c>
      <c r="F503" t="s">
        <v>18026</v>
      </c>
      <c r="G503">
        <v>2</v>
      </c>
      <c r="H503">
        <v>0</v>
      </c>
      <c r="I503">
        <v>0</v>
      </c>
      <c r="J503">
        <v>2</v>
      </c>
      <c r="K503">
        <v>0</v>
      </c>
      <c r="L503">
        <v>0</v>
      </c>
      <c r="M503">
        <v>0</v>
      </c>
      <c r="N503" t="s">
        <v>333</v>
      </c>
      <c r="O503" t="s">
        <v>326</v>
      </c>
    </row>
    <row r="504" spans="1:15" x14ac:dyDescent="0.3">
      <c r="A504">
        <v>480</v>
      </c>
      <c r="B504" t="s">
        <v>323</v>
      </c>
      <c r="C504">
        <v>162</v>
      </c>
      <c r="D504" t="s">
        <v>123</v>
      </c>
      <c r="E504">
        <v>590</v>
      </c>
      <c r="F504" t="s">
        <v>1356</v>
      </c>
      <c r="G504">
        <v>4</v>
      </c>
      <c r="H504">
        <v>0</v>
      </c>
      <c r="I504">
        <v>1</v>
      </c>
      <c r="J504">
        <v>0</v>
      </c>
      <c r="K504">
        <v>0</v>
      </c>
      <c r="L504">
        <v>3</v>
      </c>
      <c r="M504">
        <v>0</v>
      </c>
      <c r="N504" t="s">
        <v>333</v>
      </c>
      <c r="O504" t="s">
        <v>336</v>
      </c>
    </row>
    <row r="505" spans="1:15" x14ac:dyDescent="0.3">
      <c r="A505">
        <v>480</v>
      </c>
      <c r="B505" t="s">
        <v>323</v>
      </c>
      <c r="C505">
        <v>162</v>
      </c>
      <c r="D505" t="s">
        <v>123</v>
      </c>
      <c r="E505">
        <v>591</v>
      </c>
      <c r="F505" t="s">
        <v>515</v>
      </c>
      <c r="G505">
        <v>2</v>
      </c>
      <c r="H505">
        <v>0</v>
      </c>
      <c r="I505">
        <v>1</v>
      </c>
      <c r="J505">
        <v>0</v>
      </c>
      <c r="K505">
        <v>1</v>
      </c>
      <c r="L505">
        <v>0</v>
      </c>
      <c r="M505">
        <v>0</v>
      </c>
      <c r="N505" t="s">
        <v>333</v>
      </c>
      <c r="O505" t="s">
        <v>336</v>
      </c>
    </row>
    <row r="506" spans="1:15" x14ac:dyDescent="0.3">
      <c r="A506">
        <v>480</v>
      </c>
      <c r="B506" t="s">
        <v>323</v>
      </c>
      <c r="C506">
        <v>162</v>
      </c>
      <c r="D506" t="s">
        <v>123</v>
      </c>
      <c r="E506">
        <v>592</v>
      </c>
      <c r="F506" t="s">
        <v>18027</v>
      </c>
      <c r="G506">
        <v>4</v>
      </c>
      <c r="H506">
        <v>0</v>
      </c>
      <c r="I506">
        <v>0</v>
      </c>
      <c r="J506">
        <v>1</v>
      </c>
      <c r="K506">
        <v>1</v>
      </c>
      <c r="L506">
        <v>1</v>
      </c>
      <c r="M506">
        <v>1</v>
      </c>
      <c r="N506" t="s">
        <v>325</v>
      </c>
      <c r="O506" t="s">
        <v>336</v>
      </c>
    </row>
    <row r="507" spans="1:15" x14ac:dyDescent="0.3">
      <c r="A507">
        <v>480</v>
      </c>
      <c r="B507" t="s">
        <v>323</v>
      </c>
      <c r="C507">
        <v>162</v>
      </c>
      <c r="D507" t="s">
        <v>123</v>
      </c>
      <c r="E507">
        <v>593</v>
      </c>
      <c r="F507" t="s">
        <v>393</v>
      </c>
      <c r="G507">
        <v>3</v>
      </c>
      <c r="H507">
        <v>0</v>
      </c>
      <c r="I507">
        <v>1</v>
      </c>
      <c r="J507">
        <v>0</v>
      </c>
      <c r="K507">
        <v>1</v>
      </c>
      <c r="L507">
        <v>0</v>
      </c>
      <c r="M507">
        <v>1</v>
      </c>
      <c r="N507" t="s">
        <v>325</v>
      </c>
      <c r="O507" t="s">
        <v>336</v>
      </c>
    </row>
    <row r="508" spans="1:15" x14ac:dyDescent="0.3">
      <c r="A508">
        <v>481</v>
      </c>
      <c r="B508" t="s">
        <v>323</v>
      </c>
      <c r="C508">
        <v>163</v>
      </c>
      <c r="D508" t="s">
        <v>125</v>
      </c>
      <c r="E508">
        <v>1400</v>
      </c>
      <c r="F508" t="s">
        <v>641</v>
      </c>
      <c r="G508">
        <v>8</v>
      </c>
      <c r="H508">
        <v>0</v>
      </c>
      <c r="I508">
        <v>0</v>
      </c>
      <c r="J508">
        <v>3</v>
      </c>
      <c r="K508">
        <v>1</v>
      </c>
      <c r="L508">
        <v>2</v>
      </c>
      <c r="M508">
        <v>2</v>
      </c>
      <c r="N508" t="s">
        <v>333</v>
      </c>
      <c r="O508" t="s">
        <v>484</v>
      </c>
    </row>
    <row r="509" spans="1:15" x14ac:dyDescent="0.3">
      <c r="A509">
        <v>481</v>
      </c>
      <c r="B509" t="s">
        <v>323</v>
      </c>
      <c r="C509">
        <v>163</v>
      </c>
      <c r="D509" t="s">
        <v>125</v>
      </c>
      <c r="E509">
        <v>1401</v>
      </c>
      <c r="F509" t="s">
        <v>642</v>
      </c>
      <c r="G509">
        <v>5</v>
      </c>
      <c r="H509">
        <v>0</v>
      </c>
      <c r="I509">
        <v>0</v>
      </c>
      <c r="J509">
        <v>1</v>
      </c>
      <c r="K509">
        <v>1</v>
      </c>
      <c r="L509">
        <v>2</v>
      </c>
      <c r="M509">
        <v>1</v>
      </c>
      <c r="N509" t="s">
        <v>325</v>
      </c>
      <c r="O509" t="s">
        <v>348</v>
      </c>
    </row>
    <row r="510" spans="1:15" x14ac:dyDescent="0.3">
      <c r="A510">
        <v>481</v>
      </c>
      <c r="B510" t="s">
        <v>323</v>
      </c>
      <c r="C510">
        <v>163</v>
      </c>
      <c r="D510" t="s">
        <v>125</v>
      </c>
      <c r="E510">
        <v>1402</v>
      </c>
      <c r="F510" t="s">
        <v>643</v>
      </c>
      <c r="G510">
        <v>10</v>
      </c>
      <c r="H510">
        <v>0</v>
      </c>
      <c r="I510">
        <v>0</v>
      </c>
      <c r="J510">
        <v>3</v>
      </c>
      <c r="K510">
        <v>1</v>
      </c>
      <c r="L510">
        <v>2</v>
      </c>
      <c r="M510">
        <v>4</v>
      </c>
      <c r="N510" t="s">
        <v>325</v>
      </c>
      <c r="O510" t="s">
        <v>343</v>
      </c>
    </row>
    <row r="511" spans="1:15" x14ac:dyDescent="0.3">
      <c r="A511">
        <v>481</v>
      </c>
      <c r="B511" t="s">
        <v>323</v>
      </c>
      <c r="C511">
        <v>163</v>
      </c>
      <c r="D511" t="s">
        <v>125</v>
      </c>
      <c r="E511">
        <v>1403</v>
      </c>
      <c r="F511" t="s">
        <v>644</v>
      </c>
      <c r="G511">
        <v>4</v>
      </c>
      <c r="H511">
        <v>0</v>
      </c>
      <c r="I511">
        <v>0</v>
      </c>
      <c r="J511">
        <v>2</v>
      </c>
      <c r="K511">
        <v>0</v>
      </c>
      <c r="L511">
        <v>2</v>
      </c>
      <c r="M511">
        <v>0</v>
      </c>
      <c r="N511" t="s">
        <v>333</v>
      </c>
      <c r="O511" t="s">
        <v>484</v>
      </c>
    </row>
    <row r="512" spans="1:15" x14ac:dyDescent="0.3">
      <c r="A512">
        <v>481</v>
      </c>
      <c r="B512" t="s">
        <v>323</v>
      </c>
      <c r="C512">
        <v>163</v>
      </c>
      <c r="D512" t="s">
        <v>125</v>
      </c>
      <c r="E512">
        <v>1404</v>
      </c>
      <c r="F512" t="s">
        <v>629</v>
      </c>
      <c r="G512">
        <v>5</v>
      </c>
      <c r="H512">
        <v>2</v>
      </c>
      <c r="I512">
        <v>0</v>
      </c>
      <c r="J512">
        <v>0</v>
      </c>
      <c r="K512">
        <v>1</v>
      </c>
      <c r="L512">
        <v>2</v>
      </c>
      <c r="M512">
        <v>0</v>
      </c>
      <c r="N512" t="s">
        <v>325</v>
      </c>
      <c r="O512" t="s">
        <v>336</v>
      </c>
    </row>
    <row r="513" spans="1:15" x14ac:dyDescent="0.3">
      <c r="A513">
        <v>481</v>
      </c>
      <c r="B513" t="s">
        <v>323</v>
      </c>
      <c r="C513">
        <v>163</v>
      </c>
      <c r="D513" t="s">
        <v>125</v>
      </c>
      <c r="E513">
        <v>1833</v>
      </c>
      <c r="F513" t="s">
        <v>1365</v>
      </c>
      <c r="G513">
        <v>5</v>
      </c>
      <c r="H513">
        <v>1</v>
      </c>
      <c r="I513">
        <v>1</v>
      </c>
      <c r="J513">
        <v>3</v>
      </c>
      <c r="K513">
        <v>0</v>
      </c>
      <c r="L513">
        <v>0</v>
      </c>
      <c r="M513">
        <v>0</v>
      </c>
      <c r="N513" t="s">
        <v>325</v>
      </c>
      <c r="O513" t="s">
        <v>348</v>
      </c>
    </row>
    <row r="514" spans="1:15" x14ac:dyDescent="0.3">
      <c r="A514">
        <v>481</v>
      </c>
      <c r="B514" t="s">
        <v>323</v>
      </c>
      <c r="C514">
        <v>163</v>
      </c>
      <c r="D514" t="s">
        <v>125</v>
      </c>
      <c r="E514">
        <v>1835</v>
      </c>
      <c r="F514" t="s">
        <v>1367</v>
      </c>
      <c r="G514">
        <v>4</v>
      </c>
      <c r="H514">
        <v>1</v>
      </c>
      <c r="I514">
        <v>0</v>
      </c>
      <c r="J514">
        <v>1</v>
      </c>
      <c r="K514">
        <v>1</v>
      </c>
      <c r="L514">
        <v>1</v>
      </c>
      <c r="M514">
        <v>0</v>
      </c>
      <c r="N514" t="s">
        <v>333</v>
      </c>
      <c r="O514" t="s">
        <v>329</v>
      </c>
    </row>
    <row r="515" spans="1:15" x14ac:dyDescent="0.3">
      <c r="A515">
        <v>481</v>
      </c>
      <c r="B515" t="s">
        <v>323</v>
      </c>
      <c r="C515">
        <v>163</v>
      </c>
      <c r="D515" t="s">
        <v>125</v>
      </c>
      <c r="E515">
        <v>2146</v>
      </c>
      <c r="F515" t="s">
        <v>18028</v>
      </c>
      <c r="G515">
        <v>9</v>
      </c>
      <c r="H515">
        <v>0</v>
      </c>
      <c r="I515">
        <v>0</v>
      </c>
      <c r="J515">
        <v>4</v>
      </c>
      <c r="K515">
        <v>0</v>
      </c>
      <c r="L515">
        <v>5</v>
      </c>
      <c r="M515">
        <v>0</v>
      </c>
      <c r="N515" t="s">
        <v>333</v>
      </c>
      <c r="O515" t="s">
        <v>348</v>
      </c>
    </row>
    <row r="516" spans="1:15" x14ac:dyDescent="0.3">
      <c r="A516">
        <v>481</v>
      </c>
      <c r="B516" t="s">
        <v>323</v>
      </c>
      <c r="C516">
        <v>163</v>
      </c>
      <c r="D516" t="s">
        <v>125</v>
      </c>
      <c r="E516">
        <v>2147</v>
      </c>
      <c r="F516" t="s">
        <v>1349</v>
      </c>
      <c r="G516">
        <v>2</v>
      </c>
      <c r="H516">
        <v>0</v>
      </c>
      <c r="I516">
        <v>0</v>
      </c>
      <c r="J516">
        <v>0</v>
      </c>
      <c r="K516">
        <v>0</v>
      </c>
      <c r="L516">
        <v>0</v>
      </c>
      <c r="M516">
        <v>2</v>
      </c>
      <c r="N516" t="s">
        <v>333</v>
      </c>
      <c r="O516" t="s">
        <v>484</v>
      </c>
    </row>
    <row r="517" spans="1:15" x14ac:dyDescent="0.3">
      <c r="A517">
        <v>483</v>
      </c>
      <c r="B517" t="s">
        <v>323</v>
      </c>
      <c r="C517">
        <v>165</v>
      </c>
      <c r="D517" t="s">
        <v>130</v>
      </c>
      <c r="E517">
        <v>925</v>
      </c>
      <c r="F517" t="s">
        <v>393</v>
      </c>
      <c r="G517">
        <v>5</v>
      </c>
      <c r="H517">
        <v>0</v>
      </c>
      <c r="I517">
        <v>4</v>
      </c>
      <c r="J517">
        <v>1</v>
      </c>
      <c r="K517">
        <v>0</v>
      </c>
      <c r="L517">
        <v>0</v>
      </c>
      <c r="M517">
        <v>0</v>
      </c>
      <c r="N517" t="s">
        <v>566</v>
      </c>
      <c r="O517" t="s">
        <v>336</v>
      </c>
    </row>
    <row r="518" spans="1:15" x14ac:dyDescent="0.3">
      <c r="A518">
        <v>483</v>
      </c>
      <c r="B518" t="s">
        <v>323</v>
      </c>
      <c r="C518">
        <v>165</v>
      </c>
      <c r="D518" t="s">
        <v>130</v>
      </c>
      <c r="E518">
        <v>926</v>
      </c>
      <c r="F518" t="s">
        <v>645</v>
      </c>
      <c r="G518">
        <v>19</v>
      </c>
      <c r="H518">
        <v>1</v>
      </c>
      <c r="I518">
        <v>2</v>
      </c>
      <c r="J518">
        <v>10</v>
      </c>
      <c r="K518">
        <v>2</v>
      </c>
      <c r="L518">
        <v>4</v>
      </c>
      <c r="M518">
        <v>0</v>
      </c>
      <c r="N518" t="s">
        <v>333</v>
      </c>
      <c r="O518" t="s">
        <v>326</v>
      </c>
    </row>
    <row r="519" spans="1:15" x14ac:dyDescent="0.3">
      <c r="A519">
        <v>483</v>
      </c>
      <c r="B519" t="s">
        <v>323</v>
      </c>
      <c r="C519">
        <v>165</v>
      </c>
      <c r="D519" t="s">
        <v>130</v>
      </c>
      <c r="E519">
        <v>927</v>
      </c>
      <c r="F519" t="s">
        <v>646</v>
      </c>
      <c r="G519">
        <v>10</v>
      </c>
      <c r="H519">
        <v>0</v>
      </c>
      <c r="I519">
        <v>0</v>
      </c>
      <c r="J519">
        <v>5</v>
      </c>
      <c r="K519">
        <v>3</v>
      </c>
      <c r="L519">
        <v>2</v>
      </c>
      <c r="M519">
        <v>0</v>
      </c>
      <c r="N519" t="s">
        <v>333</v>
      </c>
      <c r="O519" t="s">
        <v>326</v>
      </c>
    </row>
    <row r="520" spans="1:15" x14ac:dyDescent="0.3">
      <c r="A520">
        <v>483</v>
      </c>
      <c r="B520" t="s">
        <v>323</v>
      </c>
      <c r="C520">
        <v>165</v>
      </c>
      <c r="D520" t="s">
        <v>130</v>
      </c>
      <c r="E520">
        <v>928</v>
      </c>
      <c r="F520" t="s">
        <v>647</v>
      </c>
      <c r="G520">
        <v>6</v>
      </c>
      <c r="H520">
        <v>1</v>
      </c>
      <c r="I520">
        <v>2</v>
      </c>
      <c r="J520">
        <v>3</v>
      </c>
      <c r="K520">
        <v>0</v>
      </c>
      <c r="L520">
        <v>0</v>
      </c>
      <c r="M520">
        <v>0</v>
      </c>
      <c r="N520" t="s">
        <v>333</v>
      </c>
      <c r="O520" t="s">
        <v>326</v>
      </c>
    </row>
    <row r="521" spans="1:15" x14ac:dyDescent="0.3">
      <c r="A521">
        <v>483</v>
      </c>
      <c r="B521" t="s">
        <v>323</v>
      </c>
      <c r="C521">
        <v>165</v>
      </c>
      <c r="D521" t="s">
        <v>130</v>
      </c>
      <c r="E521">
        <v>929</v>
      </c>
      <c r="F521" t="s">
        <v>648</v>
      </c>
      <c r="G521">
        <v>4</v>
      </c>
      <c r="H521">
        <v>0</v>
      </c>
      <c r="I521">
        <v>0</v>
      </c>
      <c r="J521">
        <v>1</v>
      </c>
      <c r="K521">
        <v>2</v>
      </c>
      <c r="L521">
        <v>1</v>
      </c>
      <c r="M521">
        <v>0</v>
      </c>
      <c r="N521" t="s">
        <v>325</v>
      </c>
      <c r="O521" t="s">
        <v>336</v>
      </c>
    </row>
    <row r="522" spans="1:15" x14ac:dyDescent="0.3">
      <c r="A522">
        <v>483</v>
      </c>
      <c r="B522" t="s">
        <v>323</v>
      </c>
      <c r="C522">
        <v>165</v>
      </c>
      <c r="D522" t="s">
        <v>130</v>
      </c>
      <c r="E522">
        <v>930</v>
      </c>
      <c r="F522" t="s">
        <v>649</v>
      </c>
      <c r="G522">
        <v>6</v>
      </c>
      <c r="H522">
        <v>0</v>
      </c>
      <c r="I522">
        <v>0</v>
      </c>
      <c r="J522">
        <v>0</v>
      </c>
      <c r="K522">
        <v>3</v>
      </c>
      <c r="L522">
        <v>3</v>
      </c>
      <c r="M522">
        <v>0</v>
      </c>
      <c r="N522" t="s">
        <v>333</v>
      </c>
      <c r="O522" t="s">
        <v>336</v>
      </c>
    </row>
    <row r="523" spans="1:15" x14ac:dyDescent="0.3">
      <c r="A523">
        <v>483</v>
      </c>
      <c r="B523" t="s">
        <v>323</v>
      </c>
      <c r="C523">
        <v>165</v>
      </c>
      <c r="D523" t="s">
        <v>130</v>
      </c>
      <c r="E523">
        <v>931</v>
      </c>
      <c r="F523" t="s">
        <v>650</v>
      </c>
      <c r="G523">
        <v>4</v>
      </c>
      <c r="H523">
        <v>0</v>
      </c>
      <c r="I523">
        <v>0</v>
      </c>
      <c r="J523">
        <v>0</v>
      </c>
      <c r="K523">
        <v>3</v>
      </c>
      <c r="L523">
        <v>1</v>
      </c>
      <c r="M523">
        <v>0</v>
      </c>
      <c r="N523" t="s">
        <v>333</v>
      </c>
      <c r="O523" t="s">
        <v>326</v>
      </c>
    </row>
    <row r="524" spans="1:15" x14ac:dyDescent="0.3">
      <c r="A524">
        <v>483</v>
      </c>
      <c r="B524" t="s">
        <v>323</v>
      </c>
      <c r="C524">
        <v>165</v>
      </c>
      <c r="D524" t="s">
        <v>130</v>
      </c>
      <c r="E524">
        <v>932</v>
      </c>
      <c r="F524" t="s">
        <v>651</v>
      </c>
      <c r="G524">
        <v>4</v>
      </c>
      <c r="H524">
        <v>0</v>
      </c>
      <c r="I524">
        <v>2</v>
      </c>
      <c r="J524">
        <v>1</v>
      </c>
      <c r="K524">
        <v>1</v>
      </c>
      <c r="L524">
        <v>0</v>
      </c>
      <c r="M524">
        <v>0</v>
      </c>
      <c r="N524" t="s">
        <v>333</v>
      </c>
      <c r="O524" t="s">
        <v>326</v>
      </c>
    </row>
    <row r="525" spans="1:15" x14ac:dyDescent="0.3">
      <c r="A525">
        <v>483</v>
      </c>
      <c r="B525" t="s">
        <v>323</v>
      </c>
      <c r="C525">
        <v>165</v>
      </c>
      <c r="D525" t="s">
        <v>130</v>
      </c>
      <c r="E525">
        <v>933</v>
      </c>
      <c r="F525" t="s">
        <v>652</v>
      </c>
      <c r="G525">
        <v>0</v>
      </c>
      <c r="H525">
        <v>0</v>
      </c>
      <c r="I525">
        <v>0</v>
      </c>
      <c r="J525">
        <v>0</v>
      </c>
      <c r="K525">
        <v>0</v>
      </c>
      <c r="L525">
        <v>0</v>
      </c>
      <c r="M525">
        <v>0</v>
      </c>
      <c r="N525" t="s">
        <v>333</v>
      </c>
      <c r="O525" t="s">
        <v>348</v>
      </c>
    </row>
    <row r="526" spans="1:15" x14ac:dyDescent="0.3">
      <c r="A526">
        <v>483</v>
      </c>
      <c r="B526" t="s">
        <v>323</v>
      </c>
      <c r="C526">
        <v>165</v>
      </c>
      <c r="D526" t="s">
        <v>130</v>
      </c>
      <c r="E526">
        <v>934</v>
      </c>
      <c r="F526" t="s">
        <v>653</v>
      </c>
      <c r="G526">
        <v>6</v>
      </c>
      <c r="H526">
        <v>6</v>
      </c>
      <c r="I526">
        <v>0</v>
      </c>
      <c r="J526">
        <v>0</v>
      </c>
      <c r="K526">
        <v>0</v>
      </c>
      <c r="L526">
        <v>0</v>
      </c>
      <c r="M526">
        <v>0</v>
      </c>
      <c r="N526" t="s">
        <v>325</v>
      </c>
      <c r="O526" t="s">
        <v>484</v>
      </c>
    </row>
    <row r="527" spans="1:15" x14ac:dyDescent="0.3">
      <c r="A527">
        <v>483</v>
      </c>
      <c r="B527" t="s">
        <v>323</v>
      </c>
      <c r="C527">
        <v>165</v>
      </c>
      <c r="D527" t="s">
        <v>130</v>
      </c>
      <c r="E527">
        <v>935</v>
      </c>
      <c r="F527" t="s">
        <v>654</v>
      </c>
      <c r="G527">
        <v>8</v>
      </c>
      <c r="H527">
        <v>0</v>
      </c>
      <c r="I527">
        <v>1</v>
      </c>
      <c r="J527">
        <v>3</v>
      </c>
      <c r="K527">
        <v>1</v>
      </c>
      <c r="L527">
        <v>3</v>
      </c>
      <c r="M527">
        <v>0</v>
      </c>
      <c r="N527" t="s">
        <v>325</v>
      </c>
      <c r="O527" t="s">
        <v>326</v>
      </c>
    </row>
    <row r="528" spans="1:15" x14ac:dyDescent="0.3">
      <c r="A528">
        <v>483</v>
      </c>
      <c r="B528" t="s">
        <v>323</v>
      </c>
      <c r="C528">
        <v>165</v>
      </c>
      <c r="D528" t="s">
        <v>130</v>
      </c>
      <c r="E528">
        <v>936</v>
      </c>
      <c r="F528" t="s">
        <v>655</v>
      </c>
      <c r="G528">
        <v>7</v>
      </c>
      <c r="H528">
        <v>1</v>
      </c>
      <c r="I528">
        <v>2</v>
      </c>
      <c r="J528">
        <v>3</v>
      </c>
      <c r="K528">
        <v>0</v>
      </c>
      <c r="L528">
        <v>1</v>
      </c>
      <c r="M528">
        <v>0</v>
      </c>
      <c r="N528" t="s">
        <v>333</v>
      </c>
      <c r="O528" t="s">
        <v>326</v>
      </c>
    </row>
    <row r="529" spans="1:15" x14ac:dyDescent="0.3">
      <c r="A529">
        <v>483</v>
      </c>
      <c r="B529" t="s">
        <v>323</v>
      </c>
      <c r="C529">
        <v>165</v>
      </c>
      <c r="D529" t="s">
        <v>130</v>
      </c>
      <c r="E529">
        <v>937</v>
      </c>
      <c r="F529" t="s">
        <v>656</v>
      </c>
      <c r="G529">
        <v>2</v>
      </c>
      <c r="H529">
        <v>1</v>
      </c>
      <c r="I529">
        <v>0</v>
      </c>
      <c r="J529">
        <v>1</v>
      </c>
      <c r="K529">
        <v>0</v>
      </c>
      <c r="L529">
        <v>0</v>
      </c>
      <c r="M529">
        <v>0</v>
      </c>
      <c r="N529" t="s">
        <v>325</v>
      </c>
      <c r="O529" t="s">
        <v>348</v>
      </c>
    </row>
    <row r="530" spans="1:15" x14ac:dyDescent="0.3">
      <c r="A530">
        <v>483</v>
      </c>
      <c r="B530" t="s">
        <v>323</v>
      </c>
      <c r="C530">
        <v>165</v>
      </c>
      <c r="D530" t="s">
        <v>130</v>
      </c>
      <c r="E530">
        <v>938</v>
      </c>
      <c r="F530" t="s">
        <v>657</v>
      </c>
      <c r="G530">
        <v>6</v>
      </c>
      <c r="H530">
        <v>3</v>
      </c>
      <c r="I530">
        <v>1</v>
      </c>
      <c r="J530">
        <v>2</v>
      </c>
      <c r="K530">
        <v>0</v>
      </c>
      <c r="L530">
        <v>0</v>
      </c>
      <c r="M530">
        <v>0</v>
      </c>
      <c r="N530" t="s">
        <v>333</v>
      </c>
      <c r="O530" t="s">
        <v>326</v>
      </c>
    </row>
    <row r="531" spans="1:15" x14ac:dyDescent="0.3">
      <c r="A531">
        <v>483</v>
      </c>
      <c r="B531" t="s">
        <v>323</v>
      </c>
      <c r="C531">
        <v>165</v>
      </c>
      <c r="D531" t="s">
        <v>130</v>
      </c>
      <c r="E531">
        <v>939</v>
      </c>
      <c r="F531" t="s">
        <v>658</v>
      </c>
      <c r="G531">
        <v>6</v>
      </c>
      <c r="H531">
        <v>0</v>
      </c>
      <c r="I531">
        <v>0</v>
      </c>
      <c r="J531">
        <v>2</v>
      </c>
      <c r="K531">
        <v>3</v>
      </c>
      <c r="L531">
        <v>1</v>
      </c>
      <c r="M531">
        <v>0</v>
      </c>
      <c r="N531" t="s">
        <v>325</v>
      </c>
      <c r="O531" t="s">
        <v>326</v>
      </c>
    </row>
    <row r="532" spans="1:15" x14ac:dyDescent="0.3">
      <c r="A532">
        <v>483</v>
      </c>
      <c r="B532" t="s">
        <v>323</v>
      </c>
      <c r="C532">
        <v>165</v>
      </c>
      <c r="D532" t="s">
        <v>130</v>
      </c>
      <c r="E532">
        <v>940</v>
      </c>
      <c r="F532" t="s">
        <v>659</v>
      </c>
      <c r="G532">
        <v>5</v>
      </c>
      <c r="H532">
        <v>0</v>
      </c>
      <c r="I532">
        <v>4</v>
      </c>
      <c r="J532">
        <v>1</v>
      </c>
      <c r="K532">
        <v>0</v>
      </c>
      <c r="L532">
        <v>0</v>
      </c>
      <c r="M532">
        <v>0</v>
      </c>
      <c r="N532" t="s">
        <v>325</v>
      </c>
      <c r="O532" t="s">
        <v>343</v>
      </c>
    </row>
    <row r="533" spans="1:15" x14ac:dyDescent="0.3">
      <c r="A533">
        <v>483</v>
      </c>
      <c r="B533" t="s">
        <v>323</v>
      </c>
      <c r="C533">
        <v>165</v>
      </c>
      <c r="D533" t="s">
        <v>130</v>
      </c>
      <c r="E533">
        <v>941</v>
      </c>
      <c r="F533" t="s">
        <v>660</v>
      </c>
      <c r="G533">
        <v>6</v>
      </c>
      <c r="H533">
        <v>0</v>
      </c>
      <c r="I533">
        <v>1</v>
      </c>
      <c r="J533">
        <v>1</v>
      </c>
      <c r="K533">
        <v>2</v>
      </c>
      <c r="L533">
        <v>2</v>
      </c>
      <c r="M533">
        <v>0</v>
      </c>
      <c r="N533" t="s">
        <v>325</v>
      </c>
      <c r="O533" t="s">
        <v>326</v>
      </c>
    </row>
    <row r="534" spans="1:15" x14ac:dyDescent="0.3">
      <c r="A534">
        <v>483</v>
      </c>
      <c r="B534" t="s">
        <v>323</v>
      </c>
      <c r="C534">
        <v>165</v>
      </c>
      <c r="D534" t="s">
        <v>130</v>
      </c>
      <c r="E534">
        <v>1472</v>
      </c>
      <c r="F534" t="s">
        <v>661</v>
      </c>
      <c r="G534">
        <v>6</v>
      </c>
      <c r="H534">
        <v>0</v>
      </c>
      <c r="I534">
        <v>1</v>
      </c>
      <c r="J534">
        <v>3</v>
      </c>
      <c r="K534">
        <v>2</v>
      </c>
      <c r="L534">
        <v>0</v>
      </c>
      <c r="M534">
        <v>0</v>
      </c>
      <c r="N534" t="s">
        <v>410</v>
      </c>
      <c r="O534" t="s">
        <v>484</v>
      </c>
    </row>
    <row r="535" spans="1:15" x14ac:dyDescent="0.3">
      <c r="A535">
        <v>483</v>
      </c>
      <c r="B535" t="s">
        <v>323</v>
      </c>
      <c r="C535">
        <v>165</v>
      </c>
      <c r="D535" t="s">
        <v>130</v>
      </c>
      <c r="E535">
        <v>1473</v>
      </c>
      <c r="F535" t="s">
        <v>662</v>
      </c>
      <c r="G535">
        <v>4</v>
      </c>
      <c r="H535">
        <v>2</v>
      </c>
      <c r="I535">
        <v>2</v>
      </c>
      <c r="J535">
        <v>0</v>
      </c>
      <c r="K535">
        <v>0</v>
      </c>
      <c r="L535">
        <v>0</v>
      </c>
      <c r="M535">
        <v>0</v>
      </c>
      <c r="N535" t="s">
        <v>325</v>
      </c>
      <c r="O535" t="s">
        <v>348</v>
      </c>
    </row>
    <row r="536" spans="1:15" x14ac:dyDescent="0.3">
      <c r="A536">
        <v>483</v>
      </c>
      <c r="B536" t="s">
        <v>323</v>
      </c>
      <c r="C536">
        <v>165</v>
      </c>
      <c r="D536" t="s">
        <v>130</v>
      </c>
      <c r="E536">
        <v>1474</v>
      </c>
      <c r="F536" t="s">
        <v>663</v>
      </c>
      <c r="G536">
        <v>5</v>
      </c>
      <c r="H536">
        <v>1</v>
      </c>
      <c r="I536">
        <v>0</v>
      </c>
      <c r="J536">
        <v>4</v>
      </c>
      <c r="K536">
        <v>0</v>
      </c>
      <c r="L536">
        <v>0</v>
      </c>
      <c r="M536">
        <v>0</v>
      </c>
      <c r="N536" t="s">
        <v>325</v>
      </c>
      <c r="O536" t="s">
        <v>329</v>
      </c>
    </row>
    <row r="537" spans="1:15" x14ac:dyDescent="0.3">
      <c r="A537">
        <v>483</v>
      </c>
      <c r="B537" t="s">
        <v>323</v>
      </c>
      <c r="C537">
        <v>165</v>
      </c>
      <c r="D537" t="s">
        <v>130</v>
      </c>
      <c r="E537">
        <v>1669</v>
      </c>
      <c r="F537" t="s">
        <v>1369</v>
      </c>
      <c r="G537">
        <v>5</v>
      </c>
      <c r="H537">
        <v>0</v>
      </c>
      <c r="I537">
        <v>0</v>
      </c>
      <c r="J537">
        <v>1</v>
      </c>
      <c r="K537">
        <v>0</v>
      </c>
      <c r="L537">
        <v>3</v>
      </c>
      <c r="M537">
        <v>1</v>
      </c>
      <c r="N537" t="s">
        <v>325</v>
      </c>
      <c r="O537" t="s">
        <v>326</v>
      </c>
    </row>
    <row r="538" spans="1:15" x14ac:dyDescent="0.3">
      <c r="A538">
        <v>483</v>
      </c>
      <c r="B538" t="s">
        <v>323</v>
      </c>
      <c r="C538">
        <v>165</v>
      </c>
      <c r="D538" t="s">
        <v>130</v>
      </c>
      <c r="E538">
        <v>1670</v>
      </c>
      <c r="F538" t="s">
        <v>1370</v>
      </c>
      <c r="G538">
        <v>0</v>
      </c>
      <c r="H538">
        <v>0</v>
      </c>
      <c r="I538">
        <v>0</v>
      </c>
      <c r="J538">
        <v>0</v>
      </c>
      <c r="K538">
        <v>0</v>
      </c>
      <c r="L538">
        <v>0</v>
      </c>
      <c r="M538">
        <v>0</v>
      </c>
      <c r="N538" t="s">
        <v>325</v>
      </c>
      <c r="O538" t="s">
        <v>329</v>
      </c>
    </row>
    <row r="539" spans="1:15" x14ac:dyDescent="0.3">
      <c r="A539">
        <v>483</v>
      </c>
      <c r="B539" t="s">
        <v>323</v>
      </c>
      <c r="C539">
        <v>165</v>
      </c>
      <c r="D539" t="s">
        <v>130</v>
      </c>
      <c r="E539">
        <v>1671</v>
      </c>
      <c r="F539" t="s">
        <v>1371</v>
      </c>
      <c r="G539">
        <v>2</v>
      </c>
      <c r="H539">
        <v>0</v>
      </c>
      <c r="I539">
        <v>0</v>
      </c>
      <c r="J539">
        <v>0</v>
      </c>
      <c r="K539">
        <v>0</v>
      </c>
      <c r="L539">
        <v>2</v>
      </c>
      <c r="M539">
        <v>0</v>
      </c>
      <c r="N539" t="s">
        <v>325</v>
      </c>
      <c r="O539" t="s">
        <v>348</v>
      </c>
    </row>
    <row r="540" spans="1:15" x14ac:dyDescent="0.3">
      <c r="A540">
        <v>483</v>
      </c>
      <c r="B540" t="s">
        <v>323</v>
      </c>
      <c r="C540">
        <v>165</v>
      </c>
      <c r="D540" t="s">
        <v>130</v>
      </c>
      <c r="E540">
        <v>1676</v>
      </c>
      <c r="F540" t="s">
        <v>1372</v>
      </c>
      <c r="G540">
        <v>6</v>
      </c>
      <c r="H540">
        <v>0</v>
      </c>
      <c r="I540">
        <v>0</v>
      </c>
      <c r="J540">
        <v>2</v>
      </c>
      <c r="K540">
        <v>1</v>
      </c>
      <c r="L540">
        <v>3</v>
      </c>
      <c r="M540">
        <v>0</v>
      </c>
      <c r="N540" t="s">
        <v>333</v>
      </c>
      <c r="O540" t="s">
        <v>326</v>
      </c>
    </row>
    <row r="541" spans="1:15" x14ac:dyDescent="0.3">
      <c r="A541">
        <v>483</v>
      </c>
      <c r="B541" t="s">
        <v>323</v>
      </c>
      <c r="C541">
        <v>165</v>
      </c>
      <c r="D541" t="s">
        <v>130</v>
      </c>
      <c r="E541">
        <v>1680</v>
      </c>
      <c r="F541" t="s">
        <v>1373</v>
      </c>
      <c r="G541">
        <v>4</v>
      </c>
      <c r="H541">
        <v>0</v>
      </c>
      <c r="I541">
        <v>0</v>
      </c>
      <c r="J541">
        <v>3</v>
      </c>
      <c r="K541">
        <v>1</v>
      </c>
      <c r="L541">
        <v>0</v>
      </c>
      <c r="M541">
        <v>0</v>
      </c>
      <c r="N541" t="s">
        <v>325</v>
      </c>
      <c r="O541" t="s">
        <v>343</v>
      </c>
    </row>
    <row r="542" spans="1:15" x14ac:dyDescent="0.3">
      <c r="A542">
        <v>483</v>
      </c>
      <c r="B542" t="s">
        <v>323</v>
      </c>
      <c r="C542">
        <v>165</v>
      </c>
      <c r="D542" t="s">
        <v>130</v>
      </c>
      <c r="E542">
        <v>2190</v>
      </c>
      <c r="F542" t="s">
        <v>18029</v>
      </c>
      <c r="G542">
        <v>2</v>
      </c>
      <c r="H542">
        <v>0</v>
      </c>
      <c r="I542">
        <v>0</v>
      </c>
      <c r="J542">
        <v>0</v>
      </c>
      <c r="K542">
        <v>0</v>
      </c>
      <c r="L542">
        <v>2</v>
      </c>
      <c r="M542">
        <v>0</v>
      </c>
      <c r="N542" t="s">
        <v>325</v>
      </c>
      <c r="O542" t="s">
        <v>329</v>
      </c>
    </row>
    <row r="543" spans="1:15" x14ac:dyDescent="0.3">
      <c r="A543">
        <v>483</v>
      </c>
      <c r="B543" t="s">
        <v>323</v>
      </c>
      <c r="C543">
        <v>165</v>
      </c>
      <c r="D543" t="s">
        <v>130</v>
      </c>
      <c r="E543">
        <v>2191</v>
      </c>
      <c r="F543" t="s">
        <v>18030</v>
      </c>
      <c r="G543">
        <v>6</v>
      </c>
      <c r="H543">
        <v>0</v>
      </c>
      <c r="I543">
        <v>3</v>
      </c>
      <c r="J543">
        <v>1</v>
      </c>
      <c r="K543">
        <v>0</v>
      </c>
      <c r="L543">
        <v>2</v>
      </c>
      <c r="M543">
        <v>0</v>
      </c>
      <c r="N543" t="s">
        <v>410</v>
      </c>
      <c r="O543" t="s">
        <v>484</v>
      </c>
    </row>
    <row r="544" spans="1:15" x14ac:dyDescent="0.3">
      <c r="A544">
        <v>484</v>
      </c>
      <c r="B544" t="s">
        <v>323</v>
      </c>
      <c r="C544">
        <v>166</v>
      </c>
      <c r="D544" t="s">
        <v>133</v>
      </c>
      <c r="E544">
        <v>1096</v>
      </c>
      <c r="F544" t="s">
        <v>664</v>
      </c>
      <c r="G544">
        <v>10</v>
      </c>
      <c r="H544">
        <v>0</v>
      </c>
      <c r="I544">
        <v>2</v>
      </c>
      <c r="J544">
        <v>2</v>
      </c>
      <c r="K544">
        <v>2</v>
      </c>
      <c r="L544">
        <v>2</v>
      </c>
      <c r="M544">
        <v>2</v>
      </c>
      <c r="N544" t="s">
        <v>325</v>
      </c>
      <c r="O544" t="s">
        <v>326</v>
      </c>
    </row>
    <row r="545" spans="1:15" x14ac:dyDescent="0.3">
      <c r="A545">
        <v>484</v>
      </c>
      <c r="B545" t="s">
        <v>323</v>
      </c>
      <c r="C545">
        <v>166</v>
      </c>
      <c r="D545" t="s">
        <v>133</v>
      </c>
      <c r="E545">
        <v>1097</v>
      </c>
      <c r="F545" t="s">
        <v>393</v>
      </c>
      <c r="G545">
        <v>5</v>
      </c>
      <c r="H545">
        <v>0</v>
      </c>
      <c r="I545">
        <v>0</v>
      </c>
      <c r="J545">
        <v>4</v>
      </c>
      <c r="K545">
        <v>1</v>
      </c>
      <c r="L545">
        <v>0</v>
      </c>
      <c r="M545">
        <v>0</v>
      </c>
      <c r="N545" t="s">
        <v>566</v>
      </c>
      <c r="O545" t="s">
        <v>336</v>
      </c>
    </row>
    <row r="546" spans="1:15" x14ac:dyDescent="0.3">
      <c r="A546">
        <v>484</v>
      </c>
      <c r="B546" t="s">
        <v>323</v>
      </c>
      <c r="C546">
        <v>166</v>
      </c>
      <c r="D546" t="s">
        <v>133</v>
      </c>
      <c r="E546">
        <v>1098</v>
      </c>
      <c r="F546" t="s">
        <v>665</v>
      </c>
      <c r="G546">
        <v>8</v>
      </c>
      <c r="H546">
        <v>0</v>
      </c>
      <c r="I546">
        <v>0</v>
      </c>
      <c r="J546">
        <v>2</v>
      </c>
      <c r="K546">
        <v>2</v>
      </c>
      <c r="L546">
        <v>4</v>
      </c>
      <c r="M546">
        <v>0</v>
      </c>
      <c r="N546" t="s">
        <v>333</v>
      </c>
      <c r="O546" t="s">
        <v>326</v>
      </c>
    </row>
    <row r="547" spans="1:15" x14ac:dyDescent="0.3">
      <c r="A547">
        <v>484</v>
      </c>
      <c r="B547" t="s">
        <v>323</v>
      </c>
      <c r="C547">
        <v>166</v>
      </c>
      <c r="D547" t="s">
        <v>133</v>
      </c>
      <c r="E547">
        <v>1099</v>
      </c>
      <c r="F547" t="s">
        <v>666</v>
      </c>
      <c r="G547">
        <v>4</v>
      </c>
      <c r="H547">
        <v>0</v>
      </c>
      <c r="I547">
        <v>0</v>
      </c>
      <c r="J547">
        <v>1</v>
      </c>
      <c r="K547">
        <v>0</v>
      </c>
      <c r="L547">
        <v>3</v>
      </c>
      <c r="M547">
        <v>0</v>
      </c>
      <c r="N547" t="s">
        <v>333</v>
      </c>
      <c r="O547" t="s">
        <v>326</v>
      </c>
    </row>
    <row r="548" spans="1:15" x14ac:dyDescent="0.3">
      <c r="A548">
        <v>484</v>
      </c>
      <c r="B548" t="s">
        <v>323</v>
      </c>
      <c r="C548">
        <v>166</v>
      </c>
      <c r="D548" t="s">
        <v>133</v>
      </c>
      <c r="E548">
        <v>1100</v>
      </c>
      <c r="F548" t="s">
        <v>667</v>
      </c>
      <c r="G548">
        <v>6</v>
      </c>
      <c r="H548">
        <v>0</v>
      </c>
      <c r="I548">
        <v>6</v>
      </c>
      <c r="J548">
        <v>0</v>
      </c>
      <c r="K548">
        <v>0</v>
      </c>
      <c r="L548">
        <v>0</v>
      </c>
      <c r="M548">
        <v>0</v>
      </c>
      <c r="N548" t="s">
        <v>325</v>
      </c>
      <c r="O548" t="s">
        <v>484</v>
      </c>
    </row>
    <row r="549" spans="1:15" x14ac:dyDescent="0.3">
      <c r="A549">
        <v>484</v>
      </c>
      <c r="B549" t="s">
        <v>323</v>
      </c>
      <c r="C549">
        <v>166</v>
      </c>
      <c r="D549" t="s">
        <v>133</v>
      </c>
      <c r="E549">
        <v>1102</v>
      </c>
      <c r="F549" t="s">
        <v>668</v>
      </c>
      <c r="G549">
        <v>4</v>
      </c>
      <c r="H549">
        <v>3</v>
      </c>
      <c r="I549">
        <v>1</v>
      </c>
      <c r="J549">
        <v>0</v>
      </c>
      <c r="K549">
        <v>0</v>
      </c>
      <c r="L549">
        <v>0</v>
      </c>
      <c r="M549">
        <v>0</v>
      </c>
      <c r="N549" t="s">
        <v>333</v>
      </c>
      <c r="O549" t="s">
        <v>336</v>
      </c>
    </row>
    <row r="550" spans="1:15" x14ac:dyDescent="0.3">
      <c r="A550">
        <v>484</v>
      </c>
      <c r="B550" t="s">
        <v>323</v>
      </c>
      <c r="C550">
        <v>166</v>
      </c>
      <c r="D550" t="s">
        <v>133</v>
      </c>
      <c r="E550">
        <v>1103</v>
      </c>
      <c r="F550" t="s">
        <v>669</v>
      </c>
      <c r="G550">
        <v>6</v>
      </c>
      <c r="H550">
        <v>5</v>
      </c>
      <c r="I550">
        <v>1</v>
      </c>
      <c r="J550">
        <v>0</v>
      </c>
      <c r="K550">
        <v>0</v>
      </c>
      <c r="L550">
        <v>0</v>
      </c>
      <c r="M550">
        <v>0</v>
      </c>
      <c r="N550" t="s">
        <v>333</v>
      </c>
      <c r="O550" t="s">
        <v>336</v>
      </c>
    </row>
    <row r="551" spans="1:15" x14ac:dyDescent="0.3">
      <c r="A551">
        <v>484</v>
      </c>
      <c r="B551" t="s">
        <v>323</v>
      </c>
      <c r="C551">
        <v>166</v>
      </c>
      <c r="D551" t="s">
        <v>133</v>
      </c>
      <c r="E551">
        <v>1104</v>
      </c>
      <c r="F551" t="s">
        <v>670</v>
      </c>
      <c r="G551">
        <v>7</v>
      </c>
      <c r="H551">
        <v>3</v>
      </c>
      <c r="I551">
        <v>2</v>
      </c>
      <c r="J551">
        <v>2</v>
      </c>
      <c r="K551">
        <v>0</v>
      </c>
      <c r="L551">
        <v>0</v>
      </c>
      <c r="M551">
        <v>0</v>
      </c>
      <c r="N551" t="s">
        <v>333</v>
      </c>
      <c r="O551" t="s">
        <v>326</v>
      </c>
    </row>
    <row r="552" spans="1:15" x14ac:dyDescent="0.3">
      <c r="A552">
        <v>484</v>
      </c>
      <c r="B552" t="s">
        <v>323</v>
      </c>
      <c r="C552">
        <v>166</v>
      </c>
      <c r="D552" t="s">
        <v>133</v>
      </c>
      <c r="E552">
        <v>1105</v>
      </c>
      <c r="F552" t="s">
        <v>671</v>
      </c>
      <c r="G552">
        <v>5</v>
      </c>
      <c r="H552">
        <v>3</v>
      </c>
      <c r="I552">
        <v>2</v>
      </c>
      <c r="J552">
        <v>0</v>
      </c>
      <c r="K552">
        <v>0</v>
      </c>
      <c r="L552">
        <v>0</v>
      </c>
      <c r="M552">
        <v>0</v>
      </c>
      <c r="N552" t="s">
        <v>333</v>
      </c>
      <c r="O552" t="s">
        <v>343</v>
      </c>
    </row>
    <row r="553" spans="1:15" x14ac:dyDescent="0.3">
      <c r="A553">
        <v>484</v>
      </c>
      <c r="B553" t="s">
        <v>323</v>
      </c>
      <c r="C553">
        <v>166</v>
      </c>
      <c r="D553" t="s">
        <v>133</v>
      </c>
      <c r="E553">
        <v>1107</v>
      </c>
      <c r="F553" t="s">
        <v>672</v>
      </c>
      <c r="G553">
        <v>12</v>
      </c>
      <c r="H553">
        <v>0</v>
      </c>
      <c r="I553">
        <v>2</v>
      </c>
      <c r="J553">
        <v>3</v>
      </c>
      <c r="K553">
        <v>1</v>
      </c>
      <c r="L553">
        <v>3</v>
      </c>
      <c r="M553">
        <v>3</v>
      </c>
      <c r="N553" t="s">
        <v>333</v>
      </c>
      <c r="O553" t="s">
        <v>326</v>
      </c>
    </row>
    <row r="554" spans="1:15" x14ac:dyDescent="0.3">
      <c r="A554">
        <v>484</v>
      </c>
      <c r="B554" t="s">
        <v>323</v>
      </c>
      <c r="C554">
        <v>166</v>
      </c>
      <c r="D554" t="s">
        <v>133</v>
      </c>
      <c r="E554">
        <v>1110</v>
      </c>
      <c r="F554" t="s">
        <v>674</v>
      </c>
      <c r="G554">
        <v>12</v>
      </c>
      <c r="H554">
        <v>0</v>
      </c>
      <c r="I554">
        <v>0</v>
      </c>
      <c r="J554">
        <v>1</v>
      </c>
      <c r="K554">
        <v>4</v>
      </c>
      <c r="L554">
        <v>3</v>
      </c>
      <c r="M554">
        <v>4</v>
      </c>
      <c r="N554" t="s">
        <v>325</v>
      </c>
      <c r="O554" t="s">
        <v>336</v>
      </c>
    </row>
    <row r="555" spans="1:15" x14ac:dyDescent="0.3">
      <c r="A555">
        <v>484</v>
      </c>
      <c r="B555" t="s">
        <v>323</v>
      </c>
      <c r="C555">
        <v>166</v>
      </c>
      <c r="D555" t="s">
        <v>133</v>
      </c>
      <c r="E555">
        <v>1111</v>
      </c>
      <c r="F555" t="s">
        <v>675</v>
      </c>
      <c r="G555">
        <v>11</v>
      </c>
      <c r="H555">
        <v>0</v>
      </c>
      <c r="I555">
        <v>1</v>
      </c>
      <c r="J555">
        <v>1</v>
      </c>
      <c r="K555">
        <v>2</v>
      </c>
      <c r="L555">
        <v>3</v>
      </c>
      <c r="M555">
        <v>4</v>
      </c>
      <c r="N555" t="s">
        <v>333</v>
      </c>
      <c r="O555" t="s">
        <v>326</v>
      </c>
    </row>
    <row r="556" spans="1:15" x14ac:dyDescent="0.3">
      <c r="A556">
        <v>484</v>
      </c>
      <c r="B556" t="s">
        <v>323</v>
      </c>
      <c r="C556">
        <v>166</v>
      </c>
      <c r="D556" t="s">
        <v>133</v>
      </c>
      <c r="E556">
        <v>1112</v>
      </c>
      <c r="F556" t="s">
        <v>676</v>
      </c>
      <c r="G556">
        <v>5</v>
      </c>
      <c r="H556">
        <v>2</v>
      </c>
      <c r="I556">
        <v>1</v>
      </c>
      <c r="J556">
        <v>1</v>
      </c>
      <c r="K556">
        <v>1</v>
      </c>
      <c r="L556">
        <v>0</v>
      </c>
      <c r="M556">
        <v>0</v>
      </c>
      <c r="N556" t="s">
        <v>333</v>
      </c>
      <c r="O556" t="s">
        <v>484</v>
      </c>
    </row>
    <row r="557" spans="1:15" x14ac:dyDescent="0.3">
      <c r="A557">
        <v>484</v>
      </c>
      <c r="B557" t="s">
        <v>323</v>
      </c>
      <c r="C557">
        <v>166</v>
      </c>
      <c r="D557" t="s">
        <v>133</v>
      </c>
      <c r="E557">
        <v>1113</v>
      </c>
      <c r="F557" t="s">
        <v>677</v>
      </c>
      <c r="G557">
        <v>8</v>
      </c>
      <c r="H557">
        <v>0</v>
      </c>
      <c r="I557">
        <v>0</v>
      </c>
      <c r="J557">
        <v>3</v>
      </c>
      <c r="K557">
        <v>2</v>
      </c>
      <c r="L557">
        <v>0</v>
      </c>
      <c r="M557">
        <v>3</v>
      </c>
      <c r="N557" t="s">
        <v>333</v>
      </c>
      <c r="O557" t="s">
        <v>326</v>
      </c>
    </row>
    <row r="558" spans="1:15" x14ac:dyDescent="0.3">
      <c r="A558">
        <v>484</v>
      </c>
      <c r="B558" t="s">
        <v>323</v>
      </c>
      <c r="C558">
        <v>166</v>
      </c>
      <c r="D558" t="s">
        <v>133</v>
      </c>
      <c r="E558">
        <v>1114</v>
      </c>
      <c r="F558" t="s">
        <v>678</v>
      </c>
      <c r="G558">
        <v>20</v>
      </c>
      <c r="H558">
        <v>0</v>
      </c>
      <c r="I558">
        <v>3</v>
      </c>
      <c r="J558">
        <v>7</v>
      </c>
      <c r="K558">
        <v>5</v>
      </c>
      <c r="L558">
        <v>3</v>
      </c>
      <c r="M558">
        <v>2</v>
      </c>
      <c r="N558" t="s">
        <v>333</v>
      </c>
      <c r="O558" t="s">
        <v>326</v>
      </c>
    </row>
    <row r="559" spans="1:15" x14ac:dyDescent="0.3">
      <c r="A559">
        <v>484</v>
      </c>
      <c r="B559" t="s">
        <v>323</v>
      </c>
      <c r="C559">
        <v>166</v>
      </c>
      <c r="D559" t="s">
        <v>133</v>
      </c>
      <c r="E559">
        <v>1115</v>
      </c>
      <c r="F559" t="s">
        <v>679</v>
      </c>
      <c r="G559">
        <v>5</v>
      </c>
      <c r="H559">
        <v>0</v>
      </c>
      <c r="I559">
        <v>4</v>
      </c>
      <c r="J559">
        <v>1</v>
      </c>
      <c r="K559">
        <v>0</v>
      </c>
      <c r="L559">
        <v>0</v>
      </c>
      <c r="M559">
        <v>0</v>
      </c>
      <c r="N559" t="s">
        <v>333</v>
      </c>
      <c r="O559" t="s">
        <v>484</v>
      </c>
    </row>
    <row r="560" spans="1:15" x14ac:dyDescent="0.3">
      <c r="A560">
        <v>484</v>
      </c>
      <c r="B560" t="s">
        <v>323</v>
      </c>
      <c r="C560">
        <v>166</v>
      </c>
      <c r="D560" t="s">
        <v>133</v>
      </c>
      <c r="E560">
        <v>1116</v>
      </c>
      <c r="F560" t="s">
        <v>680</v>
      </c>
      <c r="G560">
        <v>4</v>
      </c>
      <c r="H560">
        <v>0</v>
      </c>
      <c r="I560">
        <v>0</v>
      </c>
      <c r="J560">
        <v>0</v>
      </c>
      <c r="K560">
        <v>4</v>
      </c>
      <c r="L560">
        <v>0</v>
      </c>
      <c r="M560">
        <v>0</v>
      </c>
      <c r="N560" t="s">
        <v>333</v>
      </c>
      <c r="O560" t="s">
        <v>326</v>
      </c>
    </row>
    <row r="561" spans="1:15" x14ac:dyDescent="0.3">
      <c r="A561">
        <v>484</v>
      </c>
      <c r="B561" t="s">
        <v>323</v>
      </c>
      <c r="C561">
        <v>166</v>
      </c>
      <c r="D561" t="s">
        <v>133</v>
      </c>
      <c r="E561">
        <v>1117</v>
      </c>
      <c r="F561" t="s">
        <v>681</v>
      </c>
      <c r="G561">
        <v>13</v>
      </c>
      <c r="H561">
        <v>0</v>
      </c>
      <c r="I561">
        <v>1</v>
      </c>
      <c r="J561">
        <v>3</v>
      </c>
      <c r="K561">
        <v>2</v>
      </c>
      <c r="L561">
        <v>1</v>
      </c>
      <c r="M561">
        <v>6</v>
      </c>
      <c r="N561" t="s">
        <v>333</v>
      </c>
      <c r="O561" t="s">
        <v>326</v>
      </c>
    </row>
    <row r="562" spans="1:15" x14ac:dyDescent="0.3">
      <c r="A562">
        <v>484</v>
      </c>
      <c r="B562" t="s">
        <v>323</v>
      </c>
      <c r="C562">
        <v>166</v>
      </c>
      <c r="D562" t="s">
        <v>133</v>
      </c>
      <c r="E562">
        <v>1119</v>
      </c>
      <c r="F562" t="s">
        <v>683</v>
      </c>
      <c r="G562">
        <v>10</v>
      </c>
      <c r="H562">
        <v>0</v>
      </c>
      <c r="I562">
        <v>0</v>
      </c>
      <c r="J562">
        <v>6</v>
      </c>
      <c r="K562">
        <v>3</v>
      </c>
      <c r="L562">
        <v>0</v>
      </c>
      <c r="M562">
        <v>1</v>
      </c>
      <c r="N562" t="s">
        <v>333</v>
      </c>
      <c r="O562" t="s">
        <v>326</v>
      </c>
    </row>
    <row r="563" spans="1:15" x14ac:dyDescent="0.3">
      <c r="A563">
        <v>484</v>
      </c>
      <c r="B563" t="s">
        <v>323</v>
      </c>
      <c r="C563">
        <v>166</v>
      </c>
      <c r="D563" t="s">
        <v>133</v>
      </c>
      <c r="E563">
        <v>1120</v>
      </c>
      <c r="F563" t="s">
        <v>684</v>
      </c>
      <c r="G563">
        <v>3</v>
      </c>
      <c r="H563">
        <v>0</v>
      </c>
      <c r="I563">
        <v>0</v>
      </c>
      <c r="J563">
        <v>0</v>
      </c>
      <c r="K563">
        <v>0</v>
      </c>
      <c r="L563">
        <v>3</v>
      </c>
      <c r="M563">
        <v>0</v>
      </c>
      <c r="N563" t="s">
        <v>333</v>
      </c>
      <c r="O563" t="s">
        <v>326</v>
      </c>
    </row>
    <row r="564" spans="1:15" x14ac:dyDescent="0.3">
      <c r="A564">
        <v>484</v>
      </c>
      <c r="B564" t="s">
        <v>323</v>
      </c>
      <c r="C564">
        <v>166</v>
      </c>
      <c r="D564" t="s">
        <v>133</v>
      </c>
      <c r="E564">
        <v>1122</v>
      </c>
      <c r="F564" t="s">
        <v>685</v>
      </c>
      <c r="G564">
        <v>5</v>
      </c>
      <c r="H564">
        <v>0</v>
      </c>
      <c r="I564">
        <v>5</v>
      </c>
      <c r="J564">
        <v>0</v>
      </c>
      <c r="K564">
        <v>0</v>
      </c>
      <c r="L564">
        <v>0</v>
      </c>
      <c r="M564">
        <v>0</v>
      </c>
      <c r="N564" t="s">
        <v>333</v>
      </c>
      <c r="O564" t="s">
        <v>348</v>
      </c>
    </row>
    <row r="565" spans="1:15" x14ac:dyDescent="0.3">
      <c r="A565">
        <v>484</v>
      </c>
      <c r="B565" t="s">
        <v>323</v>
      </c>
      <c r="C565">
        <v>166</v>
      </c>
      <c r="D565" t="s">
        <v>133</v>
      </c>
      <c r="E565">
        <v>1123</v>
      </c>
      <c r="F565" t="s">
        <v>686</v>
      </c>
      <c r="G565">
        <v>3</v>
      </c>
      <c r="H565">
        <v>0</v>
      </c>
      <c r="I565">
        <v>0</v>
      </c>
      <c r="J565">
        <v>3</v>
      </c>
      <c r="K565">
        <v>0</v>
      </c>
      <c r="L565">
        <v>0</v>
      </c>
      <c r="M565">
        <v>0</v>
      </c>
      <c r="N565" t="s">
        <v>333</v>
      </c>
      <c r="O565" t="s">
        <v>336</v>
      </c>
    </row>
    <row r="566" spans="1:15" x14ac:dyDescent="0.3">
      <c r="A566">
        <v>484</v>
      </c>
      <c r="B566" t="s">
        <v>323</v>
      </c>
      <c r="C566">
        <v>166</v>
      </c>
      <c r="D566" t="s">
        <v>133</v>
      </c>
      <c r="E566">
        <v>1124</v>
      </c>
      <c r="F566" t="s">
        <v>687</v>
      </c>
      <c r="G566">
        <v>5</v>
      </c>
      <c r="H566">
        <v>0</v>
      </c>
      <c r="I566">
        <v>0</v>
      </c>
      <c r="J566">
        <v>5</v>
      </c>
      <c r="K566">
        <v>0</v>
      </c>
      <c r="L566">
        <v>0</v>
      </c>
      <c r="M566">
        <v>0</v>
      </c>
      <c r="N566" t="s">
        <v>325</v>
      </c>
      <c r="O566" t="s">
        <v>343</v>
      </c>
    </row>
    <row r="567" spans="1:15" x14ac:dyDescent="0.3">
      <c r="A567">
        <v>484</v>
      </c>
      <c r="B567" t="s">
        <v>323</v>
      </c>
      <c r="C567">
        <v>166</v>
      </c>
      <c r="D567" t="s">
        <v>133</v>
      </c>
      <c r="E567">
        <v>1127</v>
      </c>
      <c r="F567" t="s">
        <v>688</v>
      </c>
      <c r="G567">
        <v>6</v>
      </c>
      <c r="H567">
        <v>0</v>
      </c>
      <c r="I567">
        <v>6</v>
      </c>
      <c r="J567">
        <v>0</v>
      </c>
      <c r="K567">
        <v>0</v>
      </c>
      <c r="L567">
        <v>0</v>
      </c>
      <c r="M567">
        <v>0</v>
      </c>
      <c r="N567" t="s">
        <v>410</v>
      </c>
      <c r="O567" t="s">
        <v>348</v>
      </c>
    </row>
    <row r="568" spans="1:15" x14ac:dyDescent="0.3">
      <c r="A568">
        <v>484</v>
      </c>
      <c r="B568" t="s">
        <v>323</v>
      </c>
      <c r="C568">
        <v>166</v>
      </c>
      <c r="D568" t="s">
        <v>133</v>
      </c>
      <c r="E568">
        <v>1406</v>
      </c>
      <c r="F568" t="s">
        <v>690</v>
      </c>
      <c r="G568">
        <v>6</v>
      </c>
      <c r="H568">
        <v>1</v>
      </c>
      <c r="I568">
        <v>0</v>
      </c>
      <c r="J568">
        <v>5</v>
      </c>
      <c r="K568">
        <v>0</v>
      </c>
      <c r="L568">
        <v>0</v>
      </c>
      <c r="M568">
        <v>0</v>
      </c>
      <c r="N568" t="s">
        <v>325</v>
      </c>
      <c r="O568" t="s">
        <v>336</v>
      </c>
    </row>
    <row r="569" spans="1:15" x14ac:dyDescent="0.3">
      <c r="A569">
        <v>484</v>
      </c>
      <c r="B569" t="s">
        <v>323</v>
      </c>
      <c r="C569">
        <v>166</v>
      </c>
      <c r="D569" t="s">
        <v>133</v>
      </c>
      <c r="E569">
        <v>1989</v>
      </c>
      <c r="F569" t="s">
        <v>1374</v>
      </c>
      <c r="G569">
        <v>5</v>
      </c>
      <c r="H569">
        <v>0</v>
      </c>
      <c r="I569">
        <v>5</v>
      </c>
      <c r="J569">
        <v>0</v>
      </c>
      <c r="K569">
        <v>0</v>
      </c>
      <c r="L569">
        <v>0</v>
      </c>
      <c r="M569">
        <v>0</v>
      </c>
      <c r="N569" t="s">
        <v>333</v>
      </c>
      <c r="O569" t="s">
        <v>484</v>
      </c>
    </row>
    <row r="570" spans="1:15" x14ac:dyDescent="0.3">
      <c r="A570">
        <v>484</v>
      </c>
      <c r="B570" t="s">
        <v>323</v>
      </c>
      <c r="C570">
        <v>166</v>
      </c>
      <c r="D570" t="s">
        <v>133</v>
      </c>
      <c r="E570">
        <v>2198</v>
      </c>
      <c r="F570" t="s">
        <v>18031</v>
      </c>
      <c r="G570">
        <v>7</v>
      </c>
      <c r="H570">
        <v>0</v>
      </c>
      <c r="I570">
        <v>7</v>
      </c>
      <c r="J570">
        <v>0</v>
      </c>
      <c r="K570">
        <v>0</v>
      </c>
      <c r="L570">
        <v>0</v>
      </c>
      <c r="M570">
        <v>0</v>
      </c>
      <c r="N570" t="s">
        <v>333</v>
      </c>
      <c r="O570" t="s">
        <v>336</v>
      </c>
    </row>
    <row r="571" spans="1:15" x14ac:dyDescent="0.3">
      <c r="A571">
        <v>484</v>
      </c>
      <c r="B571" t="s">
        <v>323</v>
      </c>
      <c r="C571">
        <v>166</v>
      </c>
      <c r="D571" t="s">
        <v>133</v>
      </c>
      <c r="E571">
        <v>2199</v>
      </c>
      <c r="F571" t="s">
        <v>18032</v>
      </c>
      <c r="G571">
        <v>3</v>
      </c>
      <c r="H571">
        <v>1</v>
      </c>
      <c r="I571">
        <v>0</v>
      </c>
      <c r="J571">
        <v>2</v>
      </c>
      <c r="K571">
        <v>0</v>
      </c>
      <c r="L571">
        <v>0</v>
      </c>
      <c r="M571">
        <v>0</v>
      </c>
      <c r="N571" t="s">
        <v>333</v>
      </c>
      <c r="O571" t="s">
        <v>484</v>
      </c>
    </row>
    <row r="572" spans="1:15" x14ac:dyDescent="0.3">
      <c r="A572">
        <v>484</v>
      </c>
      <c r="B572" t="s">
        <v>323</v>
      </c>
      <c r="C572">
        <v>166</v>
      </c>
      <c r="D572" t="s">
        <v>133</v>
      </c>
      <c r="E572">
        <v>2200</v>
      </c>
      <c r="F572" t="s">
        <v>884</v>
      </c>
      <c r="G572">
        <v>6</v>
      </c>
      <c r="H572">
        <v>3</v>
      </c>
      <c r="I572">
        <v>2</v>
      </c>
      <c r="J572">
        <v>0</v>
      </c>
      <c r="K572">
        <v>1</v>
      </c>
      <c r="L572">
        <v>0</v>
      </c>
      <c r="M572">
        <v>0</v>
      </c>
      <c r="N572" t="s">
        <v>333</v>
      </c>
      <c r="O572" t="s">
        <v>484</v>
      </c>
    </row>
    <row r="573" spans="1:15" x14ac:dyDescent="0.3">
      <c r="A573">
        <v>484</v>
      </c>
      <c r="B573" t="s">
        <v>323</v>
      </c>
      <c r="C573">
        <v>166</v>
      </c>
      <c r="D573" t="s">
        <v>133</v>
      </c>
      <c r="E573">
        <v>2201</v>
      </c>
      <c r="F573" t="s">
        <v>1395</v>
      </c>
      <c r="G573">
        <v>5</v>
      </c>
      <c r="H573">
        <v>0</v>
      </c>
      <c r="I573">
        <v>3</v>
      </c>
      <c r="J573">
        <v>2</v>
      </c>
      <c r="K573">
        <v>0</v>
      </c>
      <c r="L573">
        <v>0</v>
      </c>
      <c r="M573">
        <v>0</v>
      </c>
      <c r="N573" t="s">
        <v>333</v>
      </c>
      <c r="O573" t="s">
        <v>484</v>
      </c>
    </row>
    <row r="574" spans="1:15" x14ac:dyDescent="0.3">
      <c r="A574">
        <v>484</v>
      </c>
      <c r="B574" t="s">
        <v>323</v>
      </c>
      <c r="C574">
        <v>166</v>
      </c>
      <c r="D574" t="s">
        <v>133</v>
      </c>
      <c r="E574">
        <v>2202</v>
      </c>
      <c r="F574" t="s">
        <v>18033</v>
      </c>
      <c r="G574">
        <v>5</v>
      </c>
      <c r="H574">
        <v>0</v>
      </c>
      <c r="I574">
        <v>3</v>
      </c>
      <c r="J574">
        <v>2</v>
      </c>
      <c r="K574">
        <v>0</v>
      </c>
      <c r="L574">
        <v>0</v>
      </c>
      <c r="M574">
        <v>0</v>
      </c>
      <c r="N574" t="s">
        <v>325</v>
      </c>
      <c r="O574" t="s">
        <v>326</v>
      </c>
    </row>
    <row r="575" spans="1:15" x14ac:dyDescent="0.3">
      <c r="A575">
        <v>484</v>
      </c>
      <c r="B575" t="s">
        <v>323</v>
      </c>
      <c r="C575">
        <v>166</v>
      </c>
      <c r="D575" t="s">
        <v>133</v>
      </c>
      <c r="E575">
        <v>2204</v>
      </c>
      <c r="F575" t="s">
        <v>398</v>
      </c>
      <c r="G575">
        <v>3</v>
      </c>
      <c r="H575">
        <v>0</v>
      </c>
      <c r="I575">
        <v>1</v>
      </c>
      <c r="J575">
        <v>2</v>
      </c>
      <c r="K575">
        <v>0</v>
      </c>
      <c r="L575">
        <v>0</v>
      </c>
      <c r="M575">
        <v>0</v>
      </c>
      <c r="N575" t="s">
        <v>333</v>
      </c>
      <c r="O575" t="s">
        <v>343</v>
      </c>
    </row>
    <row r="576" spans="1:15" x14ac:dyDescent="0.3">
      <c r="A576">
        <v>485</v>
      </c>
      <c r="B576" t="s">
        <v>323</v>
      </c>
      <c r="C576">
        <v>167</v>
      </c>
      <c r="D576" t="s">
        <v>135</v>
      </c>
      <c r="E576">
        <v>1175</v>
      </c>
      <c r="F576" t="s">
        <v>691</v>
      </c>
      <c r="G576">
        <v>29</v>
      </c>
      <c r="H576">
        <v>0</v>
      </c>
      <c r="I576">
        <v>6</v>
      </c>
      <c r="J576">
        <v>7</v>
      </c>
      <c r="K576">
        <v>2</v>
      </c>
      <c r="L576">
        <v>4</v>
      </c>
      <c r="M576">
        <v>10</v>
      </c>
      <c r="N576" t="s">
        <v>325</v>
      </c>
      <c r="O576" t="s">
        <v>326</v>
      </c>
    </row>
    <row r="577" spans="1:15" x14ac:dyDescent="0.3">
      <c r="A577">
        <v>485</v>
      </c>
      <c r="B577" t="s">
        <v>323</v>
      </c>
      <c r="C577">
        <v>167</v>
      </c>
      <c r="D577" t="s">
        <v>135</v>
      </c>
      <c r="E577">
        <v>1176</v>
      </c>
      <c r="F577" t="s">
        <v>692</v>
      </c>
      <c r="G577">
        <v>15</v>
      </c>
      <c r="H577">
        <v>0</v>
      </c>
      <c r="I577">
        <v>2</v>
      </c>
      <c r="J577">
        <v>2</v>
      </c>
      <c r="K577">
        <v>1</v>
      </c>
      <c r="L577">
        <v>2</v>
      </c>
      <c r="M577">
        <v>8</v>
      </c>
      <c r="N577" t="s">
        <v>325</v>
      </c>
      <c r="O577" t="s">
        <v>326</v>
      </c>
    </row>
    <row r="578" spans="1:15" x14ac:dyDescent="0.3">
      <c r="A578">
        <v>485</v>
      </c>
      <c r="B578" t="s">
        <v>323</v>
      </c>
      <c r="C578">
        <v>167</v>
      </c>
      <c r="D578" t="s">
        <v>135</v>
      </c>
      <c r="E578">
        <v>1178</v>
      </c>
      <c r="F578" t="s">
        <v>694</v>
      </c>
      <c r="G578">
        <v>5</v>
      </c>
      <c r="H578">
        <v>0</v>
      </c>
      <c r="I578">
        <v>3</v>
      </c>
      <c r="J578">
        <v>0</v>
      </c>
      <c r="K578">
        <v>2</v>
      </c>
      <c r="L578">
        <v>0</v>
      </c>
      <c r="M578">
        <v>0</v>
      </c>
      <c r="N578" t="s">
        <v>333</v>
      </c>
      <c r="O578" t="s">
        <v>336</v>
      </c>
    </row>
    <row r="579" spans="1:15" x14ac:dyDescent="0.3">
      <c r="A579">
        <v>485</v>
      </c>
      <c r="B579" t="s">
        <v>323</v>
      </c>
      <c r="C579">
        <v>167</v>
      </c>
      <c r="D579" t="s">
        <v>135</v>
      </c>
      <c r="E579">
        <v>1180</v>
      </c>
      <c r="F579" t="s">
        <v>696</v>
      </c>
      <c r="G579">
        <v>7</v>
      </c>
      <c r="H579">
        <v>0</v>
      </c>
      <c r="I579">
        <v>0</v>
      </c>
      <c r="J579">
        <v>1</v>
      </c>
      <c r="K579">
        <v>2</v>
      </c>
      <c r="L579">
        <v>1</v>
      </c>
      <c r="M579">
        <v>3</v>
      </c>
      <c r="N579" t="s">
        <v>333</v>
      </c>
      <c r="O579" t="s">
        <v>326</v>
      </c>
    </row>
    <row r="580" spans="1:15" x14ac:dyDescent="0.3">
      <c r="A580">
        <v>485</v>
      </c>
      <c r="B580" t="s">
        <v>323</v>
      </c>
      <c r="C580">
        <v>167</v>
      </c>
      <c r="D580" t="s">
        <v>135</v>
      </c>
      <c r="E580">
        <v>1181</v>
      </c>
      <c r="F580" t="s">
        <v>697</v>
      </c>
      <c r="G580">
        <v>3</v>
      </c>
      <c r="H580">
        <v>0</v>
      </c>
      <c r="I580">
        <v>0</v>
      </c>
      <c r="J580">
        <v>1</v>
      </c>
      <c r="K580">
        <v>0</v>
      </c>
      <c r="L580">
        <v>1</v>
      </c>
      <c r="M580">
        <v>1</v>
      </c>
      <c r="N580" t="s">
        <v>333</v>
      </c>
      <c r="O580" t="s">
        <v>326</v>
      </c>
    </row>
    <row r="581" spans="1:15" x14ac:dyDescent="0.3">
      <c r="A581">
        <v>485</v>
      </c>
      <c r="B581" t="s">
        <v>323</v>
      </c>
      <c r="C581">
        <v>167</v>
      </c>
      <c r="D581" t="s">
        <v>135</v>
      </c>
      <c r="E581">
        <v>1182</v>
      </c>
      <c r="F581" t="s">
        <v>698</v>
      </c>
      <c r="G581">
        <v>7</v>
      </c>
      <c r="H581">
        <v>0</v>
      </c>
      <c r="I581">
        <v>5</v>
      </c>
      <c r="J581">
        <v>1</v>
      </c>
      <c r="K581">
        <v>0</v>
      </c>
      <c r="L581">
        <v>1</v>
      </c>
      <c r="M581">
        <v>0</v>
      </c>
      <c r="N581" t="s">
        <v>325</v>
      </c>
      <c r="O581" t="s">
        <v>326</v>
      </c>
    </row>
    <row r="582" spans="1:15" x14ac:dyDescent="0.3">
      <c r="A582">
        <v>485</v>
      </c>
      <c r="B582" t="s">
        <v>323</v>
      </c>
      <c r="C582">
        <v>167</v>
      </c>
      <c r="D582" t="s">
        <v>135</v>
      </c>
      <c r="E582">
        <v>1185</v>
      </c>
      <c r="F582" t="s">
        <v>701</v>
      </c>
      <c r="G582">
        <v>11</v>
      </c>
      <c r="H582">
        <v>0</v>
      </c>
      <c r="I582">
        <v>3</v>
      </c>
      <c r="J582">
        <v>4</v>
      </c>
      <c r="K582">
        <v>1</v>
      </c>
      <c r="L582">
        <v>1</v>
      </c>
      <c r="M582">
        <v>2</v>
      </c>
      <c r="N582" t="s">
        <v>333</v>
      </c>
      <c r="O582" t="s">
        <v>326</v>
      </c>
    </row>
    <row r="583" spans="1:15" x14ac:dyDescent="0.3">
      <c r="A583">
        <v>485</v>
      </c>
      <c r="B583" t="s">
        <v>323</v>
      </c>
      <c r="C583">
        <v>167</v>
      </c>
      <c r="D583" t="s">
        <v>135</v>
      </c>
      <c r="E583">
        <v>1189</v>
      </c>
      <c r="F583" t="s">
        <v>705</v>
      </c>
      <c r="G583">
        <v>7</v>
      </c>
      <c r="H583">
        <v>0</v>
      </c>
      <c r="I583">
        <v>0</v>
      </c>
      <c r="J583">
        <v>0</v>
      </c>
      <c r="K583">
        <v>0</v>
      </c>
      <c r="L583">
        <v>7</v>
      </c>
      <c r="M583">
        <v>0</v>
      </c>
      <c r="N583" t="s">
        <v>333</v>
      </c>
      <c r="O583" t="s">
        <v>326</v>
      </c>
    </row>
    <row r="584" spans="1:15" x14ac:dyDescent="0.3">
      <c r="A584">
        <v>485</v>
      </c>
      <c r="B584" t="s">
        <v>323</v>
      </c>
      <c r="C584">
        <v>167</v>
      </c>
      <c r="D584" t="s">
        <v>135</v>
      </c>
      <c r="E584">
        <v>1190</v>
      </c>
      <c r="F584" t="s">
        <v>706</v>
      </c>
      <c r="G584">
        <v>15</v>
      </c>
      <c r="H584">
        <v>0</v>
      </c>
      <c r="I584">
        <v>4</v>
      </c>
      <c r="J584">
        <v>4</v>
      </c>
      <c r="K584">
        <v>1</v>
      </c>
      <c r="L584">
        <v>3</v>
      </c>
      <c r="M584">
        <v>3</v>
      </c>
      <c r="N584" t="s">
        <v>333</v>
      </c>
      <c r="O584" t="s">
        <v>326</v>
      </c>
    </row>
    <row r="585" spans="1:15" x14ac:dyDescent="0.3">
      <c r="A585">
        <v>485</v>
      </c>
      <c r="B585" t="s">
        <v>323</v>
      </c>
      <c r="C585">
        <v>167</v>
      </c>
      <c r="D585" t="s">
        <v>135</v>
      </c>
      <c r="E585">
        <v>1195</v>
      </c>
      <c r="F585" t="s">
        <v>709</v>
      </c>
      <c r="G585">
        <v>4</v>
      </c>
      <c r="H585">
        <v>0</v>
      </c>
      <c r="I585">
        <v>0</v>
      </c>
      <c r="J585">
        <v>0</v>
      </c>
      <c r="K585">
        <v>0</v>
      </c>
      <c r="L585">
        <v>1</v>
      </c>
      <c r="M585">
        <v>3</v>
      </c>
      <c r="N585" t="s">
        <v>333</v>
      </c>
      <c r="O585" t="s">
        <v>326</v>
      </c>
    </row>
    <row r="586" spans="1:15" x14ac:dyDescent="0.3">
      <c r="A586">
        <v>485</v>
      </c>
      <c r="B586" t="s">
        <v>323</v>
      </c>
      <c r="C586">
        <v>167</v>
      </c>
      <c r="D586" t="s">
        <v>135</v>
      </c>
      <c r="E586">
        <v>1196</v>
      </c>
      <c r="F586" t="s">
        <v>710</v>
      </c>
      <c r="G586">
        <v>19</v>
      </c>
      <c r="H586">
        <v>0</v>
      </c>
      <c r="I586">
        <v>0</v>
      </c>
      <c r="J586">
        <v>0</v>
      </c>
      <c r="K586">
        <v>0</v>
      </c>
      <c r="L586">
        <v>0</v>
      </c>
      <c r="M586">
        <v>19</v>
      </c>
      <c r="N586" t="s">
        <v>333</v>
      </c>
      <c r="O586" t="s">
        <v>326</v>
      </c>
    </row>
    <row r="587" spans="1:15" x14ac:dyDescent="0.3">
      <c r="A587">
        <v>485</v>
      </c>
      <c r="B587" t="s">
        <v>323</v>
      </c>
      <c r="C587">
        <v>167</v>
      </c>
      <c r="D587" t="s">
        <v>135</v>
      </c>
      <c r="E587">
        <v>1197</v>
      </c>
      <c r="F587" t="s">
        <v>711</v>
      </c>
      <c r="G587">
        <v>38</v>
      </c>
      <c r="H587">
        <v>0</v>
      </c>
      <c r="I587">
        <v>0</v>
      </c>
      <c r="J587">
        <v>0</v>
      </c>
      <c r="K587">
        <v>0</v>
      </c>
      <c r="L587">
        <v>3</v>
      </c>
      <c r="M587">
        <v>35</v>
      </c>
      <c r="N587" t="s">
        <v>333</v>
      </c>
      <c r="O587" t="s">
        <v>326</v>
      </c>
    </row>
    <row r="588" spans="1:15" x14ac:dyDescent="0.3">
      <c r="A588">
        <v>485</v>
      </c>
      <c r="B588" t="s">
        <v>323</v>
      </c>
      <c r="C588">
        <v>167</v>
      </c>
      <c r="D588" t="s">
        <v>135</v>
      </c>
      <c r="E588">
        <v>1199</v>
      </c>
      <c r="F588" t="s">
        <v>712</v>
      </c>
      <c r="G588">
        <v>4</v>
      </c>
      <c r="H588">
        <v>0</v>
      </c>
      <c r="I588">
        <v>0</v>
      </c>
      <c r="J588">
        <v>0</v>
      </c>
      <c r="K588">
        <v>1</v>
      </c>
      <c r="L588">
        <v>0</v>
      </c>
      <c r="M588">
        <v>3</v>
      </c>
      <c r="N588" t="s">
        <v>333</v>
      </c>
      <c r="O588" t="s">
        <v>326</v>
      </c>
    </row>
    <row r="589" spans="1:15" x14ac:dyDescent="0.3">
      <c r="A589">
        <v>485</v>
      </c>
      <c r="B589" t="s">
        <v>323</v>
      </c>
      <c r="C589">
        <v>167</v>
      </c>
      <c r="D589" t="s">
        <v>135</v>
      </c>
      <c r="E589">
        <v>1201</v>
      </c>
      <c r="F589" t="s">
        <v>353</v>
      </c>
      <c r="G589">
        <v>4</v>
      </c>
      <c r="H589">
        <v>0</v>
      </c>
      <c r="I589">
        <v>0</v>
      </c>
      <c r="J589">
        <v>0</v>
      </c>
      <c r="K589">
        <v>0</v>
      </c>
      <c r="L589">
        <v>1</v>
      </c>
      <c r="M589">
        <v>3</v>
      </c>
      <c r="N589" t="s">
        <v>325</v>
      </c>
      <c r="O589" t="s">
        <v>326</v>
      </c>
    </row>
    <row r="590" spans="1:15" x14ac:dyDescent="0.3">
      <c r="A590">
        <v>485</v>
      </c>
      <c r="B590" t="s">
        <v>323</v>
      </c>
      <c r="C590">
        <v>167</v>
      </c>
      <c r="D590" t="s">
        <v>135</v>
      </c>
      <c r="E590">
        <v>1202</v>
      </c>
      <c r="F590" t="s">
        <v>714</v>
      </c>
      <c r="G590">
        <v>2</v>
      </c>
      <c r="H590">
        <v>0</v>
      </c>
      <c r="I590">
        <v>0</v>
      </c>
      <c r="J590">
        <v>0</v>
      </c>
      <c r="K590">
        <v>0</v>
      </c>
      <c r="L590">
        <v>0</v>
      </c>
      <c r="M590">
        <v>2</v>
      </c>
      <c r="N590" t="s">
        <v>333</v>
      </c>
      <c r="O590" t="s">
        <v>326</v>
      </c>
    </row>
    <row r="591" spans="1:15" x14ac:dyDescent="0.3">
      <c r="A591">
        <v>485</v>
      </c>
      <c r="B591" t="s">
        <v>323</v>
      </c>
      <c r="C591">
        <v>167</v>
      </c>
      <c r="D591" t="s">
        <v>135</v>
      </c>
      <c r="E591">
        <v>1203</v>
      </c>
      <c r="F591" t="s">
        <v>715</v>
      </c>
      <c r="G591">
        <v>11</v>
      </c>
      <c r="H591">
        <v>0</v>
      </c>
      <c r="I591">
        <v>0</v>
      </c>
      <c r="J591">
        <v>0</v>
      </c>
      <c r="K591">
        <v>0</v>
      </c>
      <c r="L591">
        <v>0</v>
      </c>
      <c r="M591">
        <v>11</v>
      </c>
      <c r="N591" t="s">
        <v>333</v>
      </c>
      <c r="O591" t="s">
        <v>326</v>
      </c>
    </row>
    <row r="592" spans="1:15" x14ac:dyDescent="0.3">
      <c r="A592">
        <v>485</v>
      </c>
      <c r="B592" t="s">
        <v>323</v>
      </c>
      <c r="C592">
        <v>167</v>
      </c>
      <c r="D592" t="s">
        <v>135</v>
      </c>
      <c r="E592">
        <v>1204</v>
      </c>
      <c r="F592" t="s">
        <v>474</v>
      </c>
      <c r="G592">
        <v>16</v>
      </c>
      <c r="H592">
        <v>0</v>
      </c>
      <c r="I592">
        <v>2</v>
      </c>
      <c r="J592">
        <v>5</v>
      </c>
      <c r="K592">
        <v>3</v>
      </c>
      <c r="L592">
        <v>4</v>
      </c>
      <c r="M592">
        <v>2</v>
      </c>
      <c r="N592" t="s">
        <v>410</v>
      </c>
      <c r="O592" t="s">
        <v>326</v>
      </c>
    </row>
    <row r="593" spans="1:15" x14ac:dyDescent="0.3">
      <c r="A593">
        <v>485</v>
      </c>
      <c r="B593" t="s">
        <v>323</v>
      </c>
      <c r="C593">
        <v>167</v>
      </c>
      <c r="D593" t="s">
        <v>135</v>
      </c>
      <c r="E593">
        <v>1205</v>
      </c>
      <c r="F593" t="s">
        <v>716</v>
      </c>
      <c r="G593">
        <v>11</v>
      </c>
      <c r="H593">
        <v>0</v>
      </c>
      <c r="I593">
        <v>0</v>
      </c>
      <c r="J593">
        <v>2</v>
      </c>
      <c r="K593">
        <v>1</v>
      </c>
      <c r="L593">
        <v>4</v>
      </c>
      <c r="M593">
        <v>4</v>
      </c>
      <c r="N593" t="s">
        <v>410</v>
      </c>
      <c r="O593" t="s">
        <v>326</v>
      </c>
    </row>
    <row r="594" spans="1:15" x14ac:dyDescent="0.3">
      <c r="A594">
        <v>485</v>
      </c>
      <c r="B594" t="s">
        <v>323</v>
      </c>
      <c r="C594">
        <v>167</v>
      </c>
      <c r="D594" t="s">
        <v>135</v>
      </c>
      <c r="E594">
        <v>1208</v>
      </c>
      <c r="F594" t="s">
        <v>719</v>
      </c>
      <c r="G594">
        <v>43</v>
      </c>
      <c r="H594">
        <v>0</v>
      </c>
      <c r="I594">
        <v>0</v>
      </c>
      <c r="J594">
        <v>0</v>
      </c>
      <c r="K594">
        <v>0</v>
      </c>
      <c r="L594">
        <v>0</v>
      </c>
      <c r="M594">
        <v>43</v>
      </c>
      <c r="N594" t="s">
        <v>325</v>
      </c>
      <c r="O594" t="s">
        <v>326</v>
      </c>
    </row>
    <row r="595" spans="1:15" x14ac:dyDescent="0.3">
      <c r="A595">
        <v>485</v>
      </c>
      <c r="B595" t="s">
        <v>323</v>
      </c>
      <c r="C595">
        <v>167</v>
      </c>
      <c r="D595" t="s">
        <v>135</v>
      </c>
      <c r="E595">
        <v>1210</v>
      </c>
      <c r="F595" t="s">
        <v>721</v>
      </c>
      <c r="G595">
        <v>6</v>
      </c>
      <c r="H595">
        <v>0</v>
      </c>
      <c r="I595">
        <v>0</v>
      </c>
      <c r="J595">
        <v>0</v>
      </c>
      <c r="K595">
        <v>0</v>
      </c>
      <c r="L595">
        <v>1</v>
      </c>
      <c r="M595">
        <v>5</v>
      </c>
      <c r="N595" t="s">
        <v>333</v>
      </c>
      <c r="O595" t="s">
        <v>326</v>
      </c>
    </row>
    <row r="596" spans="1:15" x14ac:dyDescent="0.3">
      <c r="A596">
        <v>485</v>
      </c>
      <c r="B596" t="s">
        <v>323</v>
      </c>
      <c r="C596">
        <v>167</v>
      </c>
      <c r="D596" t="s">
        <v>135</v>
      </c>
      <c r="E596">
        <v>1211</v>
      </c>
      <c r="F596" t="s">
        <v>722</v>
      </c>
      <c r="G596">
        <v>10</v>
      </c>
      <c r="H596">
        <v>0</v>
      </c>
      <c r="I596">
        <v>2</v>
      </c>
      <c r="J596">
        <v>4</v>
      </c>
      <c r="K596">
        <v>3</v>
      </c>
      <c r="L596">
        <v>0</v>
      </c>
      <c r="M596">
        <v>1</v>
      </c>
      <c r="N596" t="s">
        <v>333</v>
      </c>
      <c r="O596" t="s">
        <v>326</v>
      </c>
    </row>
    <row r="597" spans="1:15" x14ac:dyDescent="0.3">
      <c r="A597">
        <v>485</v>
      </c>
      <c r="B597" t="s">
        <v>323</v>
      </c>
      <c r="C597">
        <v>167</v>
      </c>
      <c r="D597" t="s">
        <v>135</v>
      </c>
      <c r="E597">
        <v>1212</v>
      </c>
      <c r="F597" t="s">
        <v>723</v>
      </c>
      <c r="G597">
        <v>11</v>
      </c>
      <c r="H597">
        <v>0</v>
      </c>
      <c r="I597">
        <v>0</v>
      </c>
      <c r="J597">
        <v>2</v>
      </c>
      <c r="K597">
        <v>2</v>
      </c>
      <c r="L597">
        <v>3</v>
      </c>
      <c r="M597">
        <v>4</v>
      </c>
      <c r="N597" t="s">
        <v>410</v>
      </c>
      <c r="O597" t="s">
        <v>326</v>
      </c>
    </row>
    <row r="598" spans="1:15" x14ac:dyDescent="0.3">
      <c r="A598">
        <v>485</v>
      </c>
      <c r="B598" t="s">
        <v>323</v>
      </c>
      <c r="C598">
        <v>167</v>
      </c>
      <c r="D598" t="s">
        <v>135</v>
      </c>
      <c r="E598">
        <v>1213</v>
      </c>
      <c r="F598" t="s">
        <v>724</v>
      </c>
      <c r="G598">
        <v>13</v>
      </c>
      <c r="H598">
        <v>2</v>
      </c>
      <c r="I598">
        <v>1</v>
      </c>
      <c r="J598">
        <v>3</v>
      </c>
      <c r="K598">
        <v>1</v>
      </c>
      <c r="L598">
        <v>2</v>
      </c>
      <c r="M598">
        <v>4</v>
      </c>
      <c r="N598" t="s">
        <v>325</v>
      </c>
      <c r="O598" t="s">
        <v>326</v>
      </c>
    </row>
    <row r="599" spans="1:15" x14ac:dyDescent="0.3">
      <c r="A599">
        <v>485</v>
      </c>
      <c r="B599" t="s">
        <v>323</v>
      </c>
      <c r="C599">
        <v>167</v>
      </c>
      <c r="D599" t="s">
        <v>135</v>
      </c>
      <c r="E599">
        <v>1214</v>
      </c>
      <c r="F599" t="s">
        <v>725</v>
      </c>
      <c r="G599">
        <v>14</v>
      </c>
      <c r="H599">
        <v>0</v>
      </c>
      <c r="I599">
        <v>1</v>
      </c>
      <c r="J599">
        <v>5</v>
      </c>
      <c r="K599">
        <v>2</v>
      </c>
      <c r="L599">
        <v>4</v>
      </c>
      <c r="M599">
        <v>2</v>
      </c>
      <c r="N599" t="s">
        <v>410</v>
      </c>
      <c r="O599" t="s">
        <v>326</v>
      </c>
    </row>
    <row r="600" spans="1:15" x14ac:dyDescent="0.3">
      <c r="A600">
        <v>485</v>
      </c>
      <c r="B600" t="s">
        <v>323</v>
      </c>
      <c r="C600">
        <v>167</v>
      </c>
      <c r="D600" t="s">
        <v>135</v>
      </c>
      <c r="E600">
        <v>1215</v>
      </c>
      <c r="F600" t="s">
        <v>726</v>
      </c>
      <c r="G600">
        <v>9</v>
      </c>
      <c r="H600">
        <v>0</v>
      </c>
      <c r="I600">
        <v>0</v>
      </c>
      <c r="J600">
        <v>1</v>
      </c>
      <c r="K600">
        <v>1</v>
      </c>
      <c r="L600">
        <v>1</v>
      </c>
      <c r="M600">
        <v>6</v>
      </c>
      <c r="N600" t="s">
        <v>333</v>
      </c>
      <c r="O600" t="s">
        <v>326</v>
      </c>
    </row>
    <row r="601" spans="1:15" x14ac:dyDescent="0.3">
      <c r="A601">
        <v>485</v>
      </c>
      <c r="B601" t="s">
        <v>323</v>
      </c>
      <c r="C601">
        <v>167</v>
      </c>
      <c r="D601" t="s">
        <v>135</v>
      </c>
      <c r="E601">
        <v>1216</v>
      </c>
      <c r="F601" t="s">
        <v>727</v>
      </c>
      <c r="G601">
        <v>15</v>
      </c>
      <c r="H601">
        <v>0</v>
      </c>
      <c r="I601">
        <v>0</v>
      </c>
      <c r="J601">
        <v>0</v>
      </c>
      <c r="K601">
        <v>0</v>
      </c>
      <c r="L601">
        <v>0</v>
      </c>
      <c r="M601">
        <v>15</v>
      </c>
      <c r="N601" t="s">
        <v>325</v>
      </c>
      <c r="O601" t="s">
        <v>326</v>
      </c>
    </row>
    <row r="602" spans="1:15" x14ac:dyDescent="0.3">
      <c r="A602">
        <v>485</v>
      </c>
      <c r="B602" t="s">
        <v>323</v>
      </c>
      <c r="C602">
        <v>167</v>
      </c>
      <c r="D602" t="s">
        <v>135</v>
      </c>
      <c r="E602">
        <v>1217</v>
      </c>
      <c r="F602" t="s">
        <v>728</v>
      </c>
      <c r="G602">
        <v>9</v>
      </c>
      <c r="H602">
        <v>0</v>
      </c>
      <c r="I602">
        <v>2</v>
      </c>
      <c r="J602">
        <v>4</v>
      </c>
      <c r="K602">
        <v>0</v>
      </c>
      <c r="L602">
        <v>0</v>
      </c>
      <c r="M602">
        <v>3</v>
      </c>
      <c r="N602" t="s">
        <v>325</v>
      </c>
      <c r="O602" t="s">
        <v>326</v>
      </c>
    </row>
    <row r="603" spans="1:15" x14ac:dyDescent="0.3">
      <c r="A603">
        <v>485</v>
      </c>
      <c r="B603" t="s">
        <v>323</v>
      </c>
      <c r="C603">
        <v>167</v>
      </c>
      <c r="D603" t="s">
        <v>135</v>
      </c>
      <c r="E603">
        <v>1539</v>
      </c>
      <c r="F603" t="s">
        <v>733</v>
      </c>
      <c r="G603">
        <v>10</v>
      </c>
      <c r="H603">
        <v>0</v>
      </c>
      <c r="I603">
        <v>2</v>
      </c>
      <c r="J603">
        <v>4</v>
      </c>
      <c r="K603">
        <v>1</v>
      </c>
      <c r="L603">
        <v>2</v>
      </c>
      <c r="M603">
        <v>1</v>
      </c>
      <c r="N603" t="s">
        <v>333</v>
      </c>
      <c r="O603" t="s">
        <v>326</v>
      </c>
    </row>
    <row r="604" spans="1:15" x14ac:dyDescent="0.3">
      <c r="A604">
        <v>485</v>
      </c>
      <c r="B604" t="s">
        <v>323</v>
      </c>
      <c r="C604">
        <v>167</v>
      </c>
      <c r="D604" t="s">
        <v>135</v>
      </c>
      <c r="E604">
        <v>1541</v>
      </c>
      <c r="F604" t="s">
        <v>734</v>
      </c>
      <c r="G604">
        <v>4</v>
      </c>
      <c r="H604">
        <v>0</v>
      </c>
      <c r="I604">
        <v>0</v>
      </c>
      <c r="J604">
        <v>0</v>
      </c>
      <c r="K604">
        <v>0</v>
      </c>
      <c r="L604">
        <v>1</v>
      </c>
      <c r="M604">
        <v>3</v>
      </c>
      <c r="N604" t="s">
        <v>333</v>
      </c>
      <c r="O604" t="s">
        <v>326</v>
      </c>
    </row>
    <row r="605" spans="1:15" x14ac:dyDescent="0.3">
      <c r="A605">
        <v>485</v>
      </c>
      <c r="B605" t="s">
        <v>323</v>
      </c>
      <c r="C605">
        <v>167</v>
      </c>
      <c r="D605" t="s">
        <v>135</v>
      </c>
      <c r="E605">
        <v>1542</v>
      </c>
      <c r="F605" t="s">
        <v>735</v>
      </c>
      <c r="G605">
        <v>3</v>
      </c>
      <c r="H605">
        <v>0</v>
      </c>
      <c r="I605">
        <v>0</v>
      </c>
      <c r="J605">
        <v>0</v>
      </c>
      <c r="K605">
        <v>0</v>
      </c>
      <c r="L605">
        <v>0</v>
      </c>
      <c r="M605">
        <v>3</v>
      </c>
      <c r="N605" t="s">
        <v>333</v>
      </c>
      <c r="O605" t="s">
        <v>326</v>
      </c>
    </row>
    <row r="606" spans="1:15" x14ac:dyDescent="0.3">
      <c r="A606">
        <v>485</v>
      </c>
      <c r="B606" t="s">
        <v>323</v>
      </c>
      <c r="C606">
        <v>167</v>
      </c>
      <c r="D606" t="s">
        <v>135</v>
      </c>
      <c r="E606">
        <v>1814</v>
      </c>
      <c r="F606" t="s">
        <v>1380</v>
      </c>
      <c r="G606">
        <v>10</v>
      </c>
      <c r="H606">
        <v>0</v>
      </c>
      <c r="I606">
        <v>0</v>
      </c>
      <c r="J606">
        <v>4</v>
      </c>
      <c r="K606">
        <v>6</v>
      </c>
      <c r="L606">
        <v>0</v>
      </c>
      <c r="M606">
        <v>0</v>
      </c>
      <c r="N606" t="s">
        <v>325</v>
      </c>
      <c r="O606" t="s">
        <v>336</v>
      </c>
    </row>
    <row r="607" spans="1:15" x14ac:dyDescent="0.3">
      <c r="A607">
        <v>485</v>
      </c>
      <c r="B607" t="s">
        <v>323</v>
      </c>
      <c r="C607">
        <v>167</v>
      </c>
      <c r="D607" t="s">
        <v>135</v>
      </c>
      <c r="E607">
        <v>1817</v>
      </c>
      <c r="F607" t="s">
        <v>1382</v>
      </c>
      <c r="G607">
        <v>10</v>
      </c>
      <c r="H607">
        <v>0</v>
      </c>
      <c r="I607">
        <v>2</v>
      </c>
      <c r="J607">
        <v>3</v>
      </c>
      <c r="K607">
        <v>1</v>
      </c>
      <c r="L607">
        <v>2</v>
      </c>
      <c r="M607">
        <v>2</v>
      </c>
      <c r="N607" t="s">
        <v>325</v>
      </c>
      <c r="O607" t="s">
        <v>326</v>
      </c>
    </row>
    <row r="608" spans="1:15" x14ac:dyDescent="0.3">
      <c r="A608">
        <v>485</v>
      </c>
      <c r="B608" t="s">
        <v>323</v>
      </c>
      <c r="C608">
        <v>167</v>
      </c>
      <c r="D608" t="s">
        <v>135</v>
      </c>
      <c r="E608">
        <v>1934</v>
      </c>
      <c r="F608" t="s">
        <v>700</v>
      </c>
      <c r="G608">
        <v>6</v>
      </c>
      <c r="H608">
        <v>0</v>
      </c>
      <c r="I608">
        <v>0</v>
      </c>
      <c r="J608">
        <v>2</v>
      </c>
      <c r="K608">
        <v>0</v>
      </c>
      <c r="L608">
        <v>0</v>
      </c>
      <c r="M608">
        <v>4</v>
      </c>
      <c r="N608" t="s">
        <v>325</v>
      </c>
      <c r="O608" t="s">
        <v>326</v>
      </c>
    </row>
    <row r="609" spans="1:15" x14ac:dyDescent="0.3">
      <c r="A609">
        <v>485</v>
      </c>
      <c r="B609" t="s">
        <v>323</v>
      </c>
      <c r="C609">
        <v>167</v>
      </c>
      <c r="D609" t="s">
        <v>135</v>
      </c>
      <c r="E609">
        <v>1935</v>
      </c>
      <c r="F609" t="s">
        <v>1388</v>
      </c>
      <c r="G609">
        <v>6</v>
      </c>
      <c r="H609">
        <v>6</v>
      </c>
      <c r="I609">
        <v>0</v>
      </c>
      <c r="J609">
        <v>0</v>
      </c>
      <c r="K609">
        <v>0</v>
      </c>
      <c r="L609">
        <v>0</v>
      </c>
      <c r="M609">
        <v>0</v>
      </c>
      <c r="N609" t="s">
        <v>325</v>
      </c>
      <c r="O609" t="s">
        <v>336</v>
      </c>
    </row>
    <row r="610" spans="1:15" x14ac:dyDescent="0.3">
      <c r="A610">
        <v>485</v>
      </c>
      <c r="B610" t="s">
        <v>323</v>
      </c>
      <c r="C610">
        <v>167</v>
      </c>
      <c r="D610" t="s">
        <v>135</v>
      </c>
      <c r="E610">
        <v>1937</v>
      </c>
      <c r="F610" t="s">
        <v>1389</v>
      </c>
      <c r="G610">
        <v>6</v>
      </c>
      <c r="H610">
        <v>0</v>
      </c>
      <c r="I610">
        <v>0</v>
      </c>
      <c r="J610">
        <v>5</v>
      </c>
      <c r="K610">
        <v>0</v>
      </c>
      <c r="L610">
        <v>0</v>
      </c>
      <c r="M610">
        <v>1</v>
      </c>
      <c r="N610" t="s">
        <v>566</v>
      </c>
      <c r="O610" t="s">
        <v>336</v>
      </c>
    </row>
    <row r="611" spans="1:15" x14ac:dyDescent="0.3">
      <c r="A611">
        <v>485</v>
      </c>
      <c r="B611" t="s">
        <v>323</v>
      </c>
      <c r="C611">
        <v>167</v>
      </c>
      <c r="D611" t="s">
        <v>135</v>
      </c>
      <c r="E611">
        <v>1941</v>
      </c>
      <c r="F611" t="s">
        <v>1391</v>
      </c>
      <c r="G611">
        <v>5</v>
      </c>
      <c r="H611">
        <v>0</v>
      </c>
      <c r="I611">
        <v>0</v>
      </c>
      <c r="J611">
        <v>5</v>
      </c>
      <c r="K611">
        <v>0</v>
      </c>
      <c r="L611">
        <v>0</v>
      </c>
      <c r="M611">
        <v>0</v>
      </c>
      <c r="N611" t="s">
        <v>410</v>
      </c>
      <c r="O611" t="s">
        <v>336</v>
      </c>
    </row>
    <row r="612" spans="1:15" x14ac:dyDescent="0.3">
      <c r="A612">
        <v>485</v>
      </c>
      <c r="B612" t="s">
        <v>323</v>
      </c>
      <c r="C612">
        <v>167</v>
      </c>
      <c r="D612" t="s">
        <v>135</v>
      </c>
      <c r="E612">
        <v>1942</v>
      </c>
      <c r="F612" t="s">
        <v>1392</v>
      </c>
      <c r="G612">
        <v>6</v>
      </c>
      <c r="H612">
        <v>0</v>
      </c>
      <c r="I612">
        <v>0</v>
      </c>
      <c r="J612">
        <v>6</v>
      </c>
      <c r="K612">
        <v>0</v>
      </c>
      <c r="L612">
        <v>0</v>
      </c>
      <c r="M612">
        <v>0</v>
      </c>
      <c r="N612" t="s">
        <v>325</v>
      </c>
      <c r="O612" t="s">
        <v>336</v>
      </c>
    </row>
    <row r="613" spans="1:15" x14ac:dyDescent="0.3">
      <c r="A613">
        <v>485</v>
      </c>
      <c r="B613" t="s">
        <v>323</v>
      </c>
      <c r="C613">
        <v>167</v>
      </c>
      <c r="D613" t="s">
        <v>135</v>
      </c>
      <c r="E613">
        <v>1943</v>
      </c>
      <c r="F613" t="s">
        <v>1393</v>
      </c>
      <c r="G613">
        <v>5</v>
      </c>
      <c r="H613">
        <v>5</v>
      </c>
      <c r="I613">
        <v>0</v>
      </c>
      <c r="J613">
        <v>0</v>
      </c>
      <c r="K613">
        <v>0</v>
      </c>
      <c r="L613">
        <v>0</v>
      </c>
      <c r="M613">
        <v>0</v>
      </c>
      <c r="N613" t="s">
        <v>333</v>
      </c>
      <c r="O613" t="s">
        <v>484</v>
      </c>
    </row>
    <row r="614" spans="1:15" x14ac:dyDescent="0.3">
      <c r="A614">
        <v>485</v>
      </c>
      <c r="B614" t="s">
        <v>323</v>
      </c>
      <c r="C614">
        <v>167</v>
      </c>
      <c r="D614" t="s">
        <v>135</v>
      </c>
      <c r="E614">
        <v>1946</v>
      </c>
      <c r="F614" t="s">
        <v>1396</v>
      </c>
      <c r="G614">
        <v>3</v>
      </c>
      <c r="H614">
        <v>0</v>
      </c>
      <c r="I614">
        <v>0</v>
      </c>
      <c r="J614">
        <v>0</v>
      </c>
      <c r="K614">
        <v>0</v>
      </c>
      <c r="L614">
        <v>0</v>
      </c>
      <c r="M614">
        <v>3</v>
      </c>
      <c r="N614" t="s">
        <v>333</v>
      </c>
      <c r="O614" t="s">
        <v>326</v>
      </c>
    </row>
    <row r="615" spans="1:15" x14ac:dyDescent="0.3">
      <c r="A615">
        <v>485</v>
      </c>
      <c r="B615" t="s">
        <v>323</v>
      </c>
      <c r="C615">
        <v>167</v>
      </c>
      <c r="D615" t="s">
        <v>135</v>
      </c>
      <c r="E615">
        <v>1947</v>
      </c>
      <c r="F615" t="s">
        <v>1397</v>
      </c>
      <c r="G615">
        <v>5</v>
      </c>
      <c r="H615">
        <v>0</v>
      </c>
      <c r="I615">
        <v>0</v>
      </c>
      <c r="J615">
        <v>2</v>
      </c>
      <c r="K615">
        <v>2</v>
      </c>
      <c r="L615">
        <v>0</v>
      </c>
      <c r="M615">
        <v>1</v>
      </c>
      <c r="N615" t="s">
        <v>325</v>
      </c>
      <c r="O615" t="s">
        <v>343</v>
      </c>
    </row>
    <row r="616" spans="1:15" x14ac:dyDescent="0.3">
      <c r="A616">
        <v>485</v>
      </c>
      <c r="B616" t="s">
        <v>323</v>
      </c>
      <c r="C616">
        <v>167</v>
      </c>
      <c r="D616" t="s">
        <v>135</v>
      </c>
      <c r="E616">
        <v>1948</v>
      </c>
      <c r="F616" t="s">
        <v>1398</v>
      </c>
      <c r="G616">
        <v>6</v>
      </c>
      <c r="H616">
        <v>0</v>
      </c>
      <c r="I616">
        <v>0</v>
      </c>
      <c r="J616">
        <v>1</v>
      </c>
      <c r="K616">
        <v>4</v>
      </c>
      <c r="L616">
        <v>0</v>
      </c>
      <c r="M616">
        <v>1</v>
      </c>
      <c r="N616" t="s">
        <v>410</v>
      </c>
      <c r="O616" t="s">
        <v>336</v>
      </c>
    </row>
    <row r="617" spans="1:15" x14ac:dyDescent="0.3">
      <c r="A617">
        <v>485</v>
      </c>
      <c r="B617" t="s">
        <v>323</v>
      </c>
      <c r="C617">
        <v>167</v>
      </c>
      <c r="D617" t="s">
        <v>135</v>
      </c>
      <c r="E617">
        <v>2033</v>
      </c>
      <c r="F617" t="s">
        <v>18034</v>
      </c>
      <c r="G617">
        <v>4</v>
      </c>
      <c r="H617">
        <v>0</v>
      </c>
      <c r="I617">
        <v>0</v>
      </c>
      <c r="J617">
        <v>3</v>
      </c>
      <c r="K617">
        <v>1</v>
      </c>
      <c r="L617">
        <v>0</v>
      </c>
      <c r="M617">
        <v>0</v>
      </c>
      <c r="N617" t="s">
        <v>410</v>
      </c>
      <c r="O617" t="s">
        <v>326</v>
      </c>
    </row>
    <row r="618" spans="1:15" x14ac:dyDescent="0.3">
      <c r="A618">
        <v>485</v>
      </c>
      <c r="B618" t="s">
        <v>323</v>
      </c>
      <c r="C618">
        <v>167</v>
      </c>
      <c r="D618" t="s">
        <v>135</v>
      </c>
      <c r="E618">
        <v>2034</v>
      </c>
      <c r="F618" t="s">
        <v>18035</v>
      </c>
      <c r="G618">
        <v>4</v>
      </c>
      <c r="H618">
        <v>0</v>
      </c>
      <c r="I618">
        <v>0</v>
      </c>
      <c r="J618">
        <v>3</v>
      </c>
      <c r="K618">
        <v>0</v>
      </c>
      <c r="L618">
        <v>0</v>
      </c>
      <c r="M618">
        <v>1</v>
      </c>
      <c r="N618" t="s">
        <v>325</v>
      </c>
      <c r="O618" t="s">
        <v>326</v>
      </c>
    </row>
    <row r="619" spans="1:15" x14ac:dyDescent="0.3">
      <c r="A619">
        <v>485</v>
      </c>
      <c r="B619" t="s">
        <v>323</v>
      </c>
      <c r="C619">
        <v>167</v>
      </c>
      <c r="D619" t="s">
        <v>135</v>
      </c>
      <c r="E619">
        <v>2035</v>
      </c>
      <c r="F619" t="s">
        <v>18036</v>
      </c>
      <c r="G619">
        <v>5</v>
      </c>
      <c r="H619">
        <v>0</v>
      </c>
      <c r="I619">
        <v>0</v>
      </c>
      <c r="J619">
        <v>1</v>
      </c>
      <c r="K619">
        <v>1</v>
      </c>
      <c r="L619">
        <v>0</v>
      </c>
      <c r="M619">
        <v>3</v>
      </c>
      <c r="N619" t="s">
        <v>333</v>
      </c>
      <c r="O619" t="s">
        <v>343</v>
      </c>
    </row>
    <row r="620" spans="1:15" x14ac:dyDescent="0.3">
      <c r="A620">
        <v>485</v>
      </c>
      <c r="B620" t="s">
        <v>323</v>
      </c>
      <c r="C620">
        <v>167</v>
      </c>
      <c r="D620" t="s">
        <v>135</v>
      </c>
      <c r="E620">
        <v>2037</v>
      </c>
      <c r="F620" t="s">
        <v>1388</v>
      </c>
      <c r="G620">
        <v>6</v>
      </c>
      <c r="H620">
        <v>6</v>
      </c>
      <c r="I620">
        <v>0</v>
      </c>
      <c r="J620">
        <v>0</v>
      </c>
      <c r="K620">
        <v>0</v>
      </c>
      <c r="L620">
        <v>0</v>
      </c>
      <c r="M620">
        <v>0</v>
      </c>
      <c r="N620" t="s">
        <v>325</v>
      </c>
      <c r="O620" t="s">
        <v>336</v>
      </c>
    </row>
    <row r="621" spans="1:15" x14ac:dyDescent="0.3">
      <c r="A621">
        <v>485</v>
      </c>
      <c r="B621" t="s">
        <v>323</v>
      </c>
      <c r="C621">
        <v>167</v>
      </c>
      <c r="D621" t="s">
        <v>135</v>
      </c>
      <c r="E621">
        <v>2038</v>
      </c>
      <c r="F621" t="s">
        <v>1391</v>
      </c>
      <c r="G621">
        <v>5</v>
      </c>
      <c r="H621">
        <v>0</v>
      </c>
      <c r="I621">
        <v>0</v>
      </c>
      <c r="J621">
        <v>5</v>
      </c>
      <c r="K621">
        <v>0</v>
      </c>
      <c r="L621">
        <v>0</v>
      </c>
      <c r="M621">
        <v>0</v>
      </c>
      <c r="N621" t="s">
        <v>410</v>
      </c>
      <c r="O621" t="s">
        <v>343</v>
      </c>
    </row>
    <row r="622" spans="1:15" x14ac:dyDescent="0.3">
      <c r="A622">
        <v>485</v>
      </c>
      <c r="B622" t="s">
        <v>323</v>
      </c>
      <c r="C622">
        <v>167</v>
      </c>
      <c r="D622" t="s">
        <v>135</v>
      </c>
      <c r="E622">
        <v>2039</v>
      </c>
      <c r="F622" t="s">
        <v>18037</v>
      </c>
      <c r="G622">
        <v>6</v>
      </c>
      <c r="H622">
        <v>0</v>
      </c>
      <c r="I622">
        <v>0</v>
      </c>
      <c r="J622">
        <v>6</v>
      </c>
      <c r="K622">
        <v>0</v>
      </c>
      <c r="L622">
        <v>0</v>
      </c>
      <c r="M622">
        <v>0</v>
      </c>
      <c r="N622" t="s">
        <v>325</v>
      </c>
      <c r="O622" t="s">
        <v>343</v>
      </c>
    </row>
    <row r="623" spans="1:15" x14ac:dyDescent="0.3">
      <c r="A623">
        <v>485</v>
      </c>
      <c r="B623" t="s">
        <v>323</v>
      </c>
      <c r="C623">
        <v>167</v>
      </c>
      <c r="D623" t="s">
        <v>135</v>
      </c>
      <c r="E623">
        <v>2040</v>
      </c>
      <c r="F623" t="s">
        <v>18038</v>
      </c>
      <c r="G623">
        <v>6</v>
      </c>
      <c r="H623">
        <v>0</v>
      </c>
      <c r="I623">
        <v>6</v>
      </c>
      <c r="J623">
        <v>0</v>
      </c>
      <c r="K623">
        <v>0</v>
      </c>
      <c r="L623">
        <v>0</v>
      </c>
      <c r="M623">
        <v>0</v>
      </c>
      <c r="N623" t="s">
        <v>333</v>
      </c>
      <c r="O623" t="s">
        <v>343</v>
      </c>
    </row>
    <row r="624" spans="1:15" x14ac:dyDescent="0.3">
      <c r="A624">
        <v>485</v>
      </c>
      <c r="B624" t="s">
        <v>323</v>
      </c>
      <c r="C624">
        <v>167</v>
      </c>
      <c r="D624" t="s">
        <v>135</v>
      </c>
      <c r="E624">
        <v>2041</v>
      </c>
      <c r="F624" t="s">
        <v>18039</v>
      </c>
      <c r="G624">
        <v>5</v>
      </c>
      <c r="H624">
        <v>0</v>
      </c>
      <c r="I624">
        <v>0</v>
      </c>
      <c r="J624">
        <v>3</v>
      </c>
      <c r="K624">
        <v>2</v>
      </c>
      <c r="L624">
        <v>0</v>
      </c>
      <c r="M624">
        <v>0</v>
      </c>
      <c r="N624" t="s">
        <v>333</v>
      </c>
      <c r="O624" t="s">
        <v>326</v>
      </c>
    </row>
    <row r="625" spans="1:15" x14ac:dyDescent="0.3">
      <c r="A625">
        <v>485</v>
      </c>
      <c r="B625" t="s">
        <v>323</v>
      </c>
      <c r="C625">
        <v>167</v>
      </c>
      <c r="D625" t="s">
        <v>135</v>
      </c>
      <c r="E625">
        <v>2042</v>
      </c>
      <c r="F625" t="s">
        <v>18040</v>
      </c>
      <c r="G625">
        <v>3</v>
      </c>
      <c r="H625">
        <v>0</v>
      </c>
      <c r="I625">
        <v>0</v>
      </c>
      <c r="J625">
        <v>3</v>
      </c>
      <c r="K625">
        <v>0</v>
      </c>
      <c r="L625">
        <v>0</v>
      </c>
      <c r="M625">
        <v>0</v>
      </c>
      <c r="N625" t="s">
        <v>410</v>
      </c>
      <c r="O625" t="s">
        <v>336</v>
      </c>
    </row>
    <row r="626" spans="1:15" x14ac:dyDescent="0.3">
      <c r="A626">
        <v>485</v>
      </c>
      <c r="B626" t="s">
        <v>323</v>
      </c>
      <c r="C626">
        <v>167</v>
      </c>
      <c r="D626" t="s">
        <v>135</v>
      </c>
      <c r="E626">
        <v>2043</v>
      </c>
      <c r="F626" t="s">
        <v>717</v>
      </c>
      <c r="G626">
        <v>7</v>
      </c>
      <c r="H626">
        <v>0</v>
      </c>
      <c r="I626">
        <v>0</v>
      </c>
      <c r="J626">
        <v>1</v>
      </c>
      <c r="K626">
        <v>1</v>
      </c>
      <c r="L626">
        <v>0</v>
      </c>
      <c r="M626">
        <v>5</v>
      </c>
      <c r="N626" t="s">
        <v>333</v>
      </c>
      <c r="O626" t="s">
        <v>326</v>
      </c>
    </row>
    <row r="627" spans="1:15" x14ac:dyDescent="0.3">
      <c r="A627">
        <v>485</v>
      </c>
      <c r="B627" t="s">
        <v>323</v>
      </c>
      <c r="C627">
        <v>167</v>
      </c>
      <c r="D627" t="s">
        <v>135</v>
      </c>
      <c r="E627">
        <v>2044</v>
      </c>
      <c r="F627" t="s">
        <v>18041</v>
      </c>
      <c r="G627">
        <v>4</v>
      </c>
      <c r="H627">
        <v>0</v>
      </c>
      <c r="I627">
        <v>0</v>
      </c>
      <c r="J627">
        <v>2</v>
      </c>
      <c r="K627">
        <v>2</v>
      </c>
      <c r="L627">
        <v>0</v>
      </c>
      <c r="M627">
        <v>0</v>
      </c>
      <c r="N627" t="s">
        <v>325</v>
      </c>
      <c r="O627" t="s">
        <v>329</v>
      </c>
    </row>
    <row r="628" spans="1:15" x14ac:dyDescent="0.3">
      <c r="A628">
        <v>487</v>
      </c>
      <c r="B628" t="s">
        <v>323</v>
      </c>
      <c r="C628">
        <v>169</v>
      </c>
      <c r="D628" t="s">
        <v>139</v>
      </c>
      <c r="E628">
        <v>565</v>
      </c>
      <c r="F628" t="s">
        <v>759</v>
      </c>
      <c r="G628">
        <v>6</v>
      </c>
      <c r="H628">
        <v>0</v>
      </c>
      <c r="I628">
        <v>6</v>
      </c>
      <c r="J628">
        <v>0</v>
      </c>
      <c r="K628">
        <v>0</v>
      </c>
      <c r="L628">
        <v>0</v>
      </c>
      <c r="M628">
        <v>0</v>
      </c>
      <c r="N628" t="s">
        <v>416</v>
      </c>
      <c r="O628" t="s">
        <v>336</v>
      </c>
    </row>
    <row r="629" spans="1:15" x14ac:dyDescent="0.3">
      <c r="A629">
        <v>487</v>
      </c>
      <c r="B629" t="s">
        <v>323</v>
      </c>
      <c r="C629">
        <v>169</v>
      </c>
      <c r="D629" t="s">
        <v>139</v>
      </c>
      <c r="E629">
        <v>566</v>
      </c>
      <c r="F629" t="s">
        <v>760</v>
      </c>
      <c r="G629">
        <v>6</v>
      </c>
      <c r="H629">
        <v>3</v>
      </c>
      <c r="I629">
        <v>1</v>
      </c>
      <c r="J629">
        <v>1</v>
      </c>
      <c r="K629">
        <v>0</v>
      </c>
      <c r="L629">
        <v>0</v>
      </c>
      <c r="M629">
        <v>1</v>
      </c>
      <c r="N629" t="s">
        <v>325</v>
      </c>
      <c r="O629" t="s">
        <v>336</v>
      </c>
    </row>
    <row r="630" spans="1:15" x14ac:dyDescent="0.3">
      <c r="A630">
        <v>487</v>
      </c>
      <c r="B630" t="s">
        <v>323</v>
      </c>
      <c r="C630">
        <v>169</v>
      </c>
      <c r="D630" t="s">
        <v>139</v>
      </c>
      <c r="E630">
        <v>567</v>
      </c>
      <c r="F630" t="s">
        <v>315</v>
      </c>
      <c r="G630">
        <v>8</v>
      </c>
      <c r="H630">
        <v>4</v>
      </c>
      <c r="I630">
        <v>3</v>
      </c>
      <c r="J630">
        <v>1</v>
      </c>
      <c r="K630">
        <v>0</v>
      </c>
      <c r="L630">
        <v>0</v>
      </c>
      <c r="M630">
        <v>0</v>
      </c>
      <c r="N630" t="s">
        <v>325</v>
      </c>
      <c r="O630" t="s">
        <v>484</v>
      </c>
    </row>
    <row r="631" spans="1:15" x14ac:dyDescent="0.3">
      <c r="A631">
        <v>487</v>
      </c>
      <c r="B631" t="s">
        <v>323</v>
      </c>
      <c r="C631">
        <v>169</v>
      </c>
      <c r="D631" t="s">
        <v>139</v>
      </c>
      <c r="E631">
        <v>568</v>
      </c>
      <c r="F631" t="s">
        <v>761</v>
      </c>
      <c r="G631">
        <v>12</v>
      </c>
      <c r="H631">
        <v>5</v>
      </c>
      <c r="I631">
        <v>4</v>
      </c>
      <c r="J631">
        <v>3</v>
      </c>
      <c r="K631">
        <v>0</v>
      </c>
      <c r="L631">
        <v>0</v>
      </c>
      <c r="M631">
        <v>0</v>
      </c>
      <c r="N631" t="s">
        <v>325</v>
      </c>
      <c r="O631" t="s">
        <v>484</v>
      </c>
    </row>
    <row r="632" spans="1:15" x14ac:dyDescent="0.3">
      <c r="A632">
        <v>487</v>
      </c>
      <c r="B632" t="s">
        <v>323</v>
      </c>
      <c r="C632">
        <v>169</v>
      </c>
      <c r="D632" t="s">
        <v>139</v>
      </c>
      <c r="E632">
        <v>569</v>
      </c>
      <c r="F632" t="s">
        <v>762</v>
      </c>
      <c r="G632">
        <v>5</v>
      </c>
      <c r="H632">
        <v>4</v>
      </c>
      <c r="I632">
        <v>1</v>
      </c>
      <c r="J632">
        <v>0</v>
      </c>
      <c r="K632">
        <v>0</v>
      </c>
      <c r="L632">
        <v>0</v>
      </c>
      <c r="M632">
        <v>0</v>
      </c>
      <c r="N632" t="s">
        <v>325</v>
      </c>
      <c r="O632" t="s">
        <v>484</v>
      </c>
    </row>
    <row r="633" spans="1:15" x14ac:dyDescent="0.3">
      <c r="A633">
        <v>487</v>
      </c>
      <c r="B633" t="s">
        <v>323</v>
      </c>
      <c r="C633">
        <v>169</v>
      </c>
      <c r="D633" t="s">
        <v>139</v>
      </c>
      <c r="E633">
        <v>571</v>
      </c>
      <c r="F633" t="s">
        <v>764</v>
      </c>
      <c r="G633">
        <v>6</v>
      </c>
      <c r="H633">
        <v>4</v>
      </c>
      <c r="I633">
        <v>1</v>
      </c>
      <c r="J633">
        <v>0</v>
      </c>
      <c r="K633">
        <v>0</v>
      </c>
      <c r="L633">
        <v>0</v>
      </c>
      <c r="M633">
        <v>1</v>
      </c>
      <c r="N633" t="s">
        <v>325</v>
      </c>
      <c r="O633" t="s">
        <v>484</v>
      </c>
    </row>
    <row r="634" spans="1:15" x14ac:dyDescent="0.3">
      <c r="A634">
        <v>487</v>
      </c>
      <c r="B634" t="s">
        <v>323</v>
      </c>
      <c r="C634">
        <v>169</v>
      </c>
      <c r="D634" t="s">
        <v>139</v>
      </c>
      <c r="E634">
        <v>572</v>
      </c>
      <c r="F634" t="s">
        <v>765</v>
      </c>
      <c r="G634">
        <v>4</v>
      </c>
      <c r="H634">
        <v>2</v>
      </c>
      <c r="I634">
        <v>2</v>
      </c>
      <c r="J634">
        <v>0</v>
      </c>
      <c r="K634">
        <v>0</v>
      </c>
      <c r="L634">
        <v>0</v>
      </c>
      <c r="M634">
        <v>0</v>
      </c>
      <c r="N634" t="s">
        <v>325</v>
      </c>
      <c r="O634" t="s">
        <v>484</v>
      </c>
    </row>
    <row r="635" spans="1:15" x14ac:dyDescent="0.3">
      <c r="A635">
        <v>487</v>
      </c>
      <c r="B635" t="s">
        <v>323</v>
      </c>
      <c r="C635">
        <v>169</v>
      </c>
      <c r="D635" t="s">
        <v>139</v>
      </c>
      <c r="E635">
        <v>574</v>
      </c>
      <c r="F635" t="s">
        <v>485</v>
      </c>
      <c r="G635">
        <v>5</v>
      </c>
      <c r="H635">
        <v>4</v>
      </c>
      <c r="I635">
        <v>0</v>
      </c>
      <c r="J635">
        <v>0</v>
      </c>
      <c r="K635">
        <v>0</v>
      </c>
      <c r="L635">
        <v>0</v>
      </c>
      <c r="M635">
        <v>1</v>
      </c>
      <c r="N635" t="s">
        <v>325</v>
      </c>
      <c r="O635" t="s">
        <v>484</v>
      </c>
    </row>
    <row r="636" spans="1:15" x14ac:dyDescent="0.3">
      <c r="A636">
        <v>487</v>
      </c>
      <c r="B636" t="s">
        <v>323</v>
      </c>
      <c r="C636">
        <v>169</v>
      </c>
      <c r="D636" t="s">
        <v>139</v>
      </c>
      <c r="E636">
        <v>575</v>
      </c>
      <c r="F636" t="s">
        <v>767</v>
      </c>
      <c r="G636">
        <v>7</v>
      </c>
      <c r="H636">
        <v>0</v>
      </c>
      <c r="I636">
        <v>1</v>
      </c>
      <c r="J636">
        <v>2</v>
      </c>
      <c r="K636">
        <v>2</v>
      </c>
      <c r="L636">
        <v>0</v>
      </c>
      <c r="M636">
        <v>2</v>
      </c>
      <c r="N636" t="s">
        <v>325</v>
      </c>
      <c r="O636" t="s">
        <v>336</v>
      </c>
    </row>
    <row r="637" spans="1:15" x14ac:dyDescent="0.3">
      <c r="A637">
        <v>487</v>
      </c>
      <c r="B637" t="s">
        <v>323</v>
      </c>
      <c r="C637">
        <v>169</v>
      </c>
      <c r="D637" t="s">
        <v>139</v>
      </c>
      <c r="E637">
        <v>577</v>
      </c>
      <c r="F637" t="s">
        <v>769</v>
      </c>
      <c r="G637">
        <v>5</v>
      </c>
      <c r="H637">
        <v>4</v>
      </c>
      <c r="I637">
        <v>1</v>
      </c>
      <c r="J637">
        <v>0</v>
      </c>
      <c r="K637">
        <v>0</v>
      </c>
      <c r="L637">
        <v>0</v>
      </c>
      <c r="M637">
        <v>0</v>
      </c>
      <c r="N637" t="s">
        <v>325</v>
      </c>
      <c r="O637" t="s">
        <v>484</v>
      </c>
    </row>
    <row r="638" spans="1:15" x14ac:dyDescent="0.3">
      <c r="A638">
        <v>487</v>
      </c>
      <c r="B638" t="s">
        <v>323</v>
      </c>
      <c r="C638">
        <v>169</v>
      </c>
      <c r="D638" t="s">
        <v>139</v>
      </c>
      <c r="E638">
        <v>579</v>
      </c>
      <c r="F638" t="s">
        <v>771</v>
      </c>
      <c r="G638">
        <v>4</v>
      </c>
      <c r="H638">
        <v>4</v>
      </c>
      <c r="I638">
        <v>0</v>
      </c>
      <c r="J638">
        <v>0</v>
      </c>
      <c r="K638">
        <v>0</v>
      </c>
      <c r="L638">
        <v>0</v>
      </c>
      <c r="M638">
        <v>0</v>
      </c>
      <c r="N638" t="s">
        <v>325</v>
      </c>
      <c r="O638" t="s">
        <v>484</v>
      </c>
    </row>
    <row r="639" spans="1:15" x14ac:dyDescent="0.3">
      <c r="A639">
        <v>487</v>
      </c>
      <c r="B639" t="s">
        <v>323</v>
      </c>
      <c r="C639">
        <v>169</v>
      </c>
      <c r="D639" t="s">
        <v>139</v>
      </c>
      <c r="E639">
        <v>580</v>
      </c>
      <c r="F639" t="s">
        <v>772</v>
      </c>
      <c r="G639">
        <v>5</v>
      </c>
      <c r="H639">
        <v>1</v>
      </c>
      <c r="I639">
        <v>1</v>
      </c>
      <c r="J639">
        <v>1</v>
      </c>
      <c r="K639">
        <v>0</v>
      </c>
      <c r="L639">
        <v>0</v>
      </c>
      <c r="M639">
        <v>2</v>
      </c>
      <c r="N639" t="s">
        <v>333</v>
      </c>
      <c r="O639" t="s">
        <v>326</v>
      </c>
    </row>
    <row r="640" spans="1:15" x14ac:dyDescent="0.3">
      <c r="A640">
        <v>487</v>
      </c>
      <c r="B640" t="s">
        <v>323</v>
      </c>
      <c r="C640">
        <v>169</v>
      </c>
      <c r="D640" t="s">
        <v>139</v>
      </c>
      <c r="E640">
        <v>581</v>
      </c>
      <c r="F640" t="s">
        <v>773</v>
      </c>
      <c r="G640">
        <v>3</v>
      </c>
      <c r="H640">
        <v>1</v>
      </c>
      <c r="I640">
        <v>2</v>
      </c>
      <c r="J640">
        <v>0</v>
      </c>
      <c r="K640">
        <v>0</v>
      </c>
      <c r="L640">
        <v>0</v>
      </c>
      <c r="M640">
        <v>0</v>
      </c>
      <c r="N640" t="s">
        <v>325</v>
      </c>
      <c r="O640" t="s">
        <v>484</v>
      </c>
    </row>
    <row r="641" spans="1:15" x14ac:dyDescent="0.3">
      <c r="A641">
        <v>487</v>
      </c>
      <c r="B641" t="s">
        <v>323</v>
      </c>
      <c r="C641">
        <v>169</v>
      </c>
      <c r="D641" t="s">
        <v>139</v>
      </c>
      <c r="E641">
        <v>586</v>
      </c>
      <c r="F641" t="s">
        <v>777</v>
      </c>
      <c r="G641">
        <v>3</v>
      </c>
      <c r="H641">
        <v>3</v>
      </c>
      <c r="I641">
        <v>0</v>
      </c>
      <c r="J641">
        <v>0</v>
      </c>
      <c r="K641">
        <v>0</v>
      </c>
      <c r="L641">
        <v>0</v>
      </c>
      <c r="M641">
        <v>0</v>
      </c>
      <c r="N641" t="s">
        <v>325</v>
      </c>
      <c r="O641" t="s">
        <v>484</v>
      </c>
    </row>
    <row r="642" spans="1:15" x14ac:dyDescent="0.3">
      <c r="A642">
        <v>487</v>
      </c>
      <c r="B642" t="s">
        <v>323</v>
      </c>
      <c r="C642">
        <v>169</v>
      </c>
      <c r="D642" t="s">
        <v>139</v>
      </c>
      <c r="E642">
        <v>587</v>
      </c>
      <c r="F642" t="s">
        <v>778</v>
      </c>
      <c r="G642">
        <v>12</v>
      </c>
      <c r="H642">
        <v>0</v>
      </c>
      <c r="I642">
        <v>0</v>
      </c>
      <c r="J642">
        <v>0</v>
      </c>
      <c r="K642">
        <v>0</v>
      </c>
      <c r="L642">
        <v>0</v>
      </c>
      <c r="M642">
        <v>12</v>
      </c>
      <c r="N642" t="s">
        <v>333</v>
      </c>
      <c r="O642" t="s">
        <v>326</v>
      </c>
    </row>
    <row r="643" spans="1:15" x14ac:dyDescent="0.3">
      <c r="A643">
        <v>487</v>
      </c>
      <c r="B643" t="s">
        <v>323</v>
      </c>
      <c r="C643">
        <v>169</v>
      </c>
      <c r="D643" t="s">
        <v>139</v>
      </c>
      <c r="E643">
        <v>1439</v>
      </c>
      <c r="F643" t="s">
        <v>780</v>
      </c>
      <c r="G643">
        <v>8</v>
      </c>
      <c r="H643">
        <v>0</v>
      </c>
      <c r="I643">
        <v>1</v>
      </c>
      <c r="J643">
        <v>4</v>
      </c>
      <c r="K643">
        <v>0</v>
      </c>
      <c r="L643">
        <v>0</v>
      </c>
      <c r="M643">
        <v>3</v>
      </c>
      <c r="N643" t="s">
        <v>325</v>
      </c>
      <c r="O643" t="s">
        <v>336</v>
      </c>
    </row>
    <row r="644" spans="1:15" x14ac:dyDescent="0.3">
      <c r="A644">
        <v>487</v>
      </c>
      <c r="B644" t="s">
        <v>323</v>
      </c>
      <c r="C644">
        <v>169</v>
      </c>
      <c r="D644" t="s">
        <v>139</v>
      </c>
      <c r="E644">
        <v>1911</v>
      </c>
      <c r="F644" t="s">
        <v>1400</v>
      </c>
      <c r="G644">
        <v>5</v>
      </c>
      <c r="H644">
        <v>3</v>
      </c>
      <c r="I644">
        <v>1</v>
      </c>
      <c r="J644">
        <v>0</v>
      </c>
      <c r="K644">
        <v>0</v>
      </c>
      <c r="L644">
        <v>0</v>
      </c>
      <c r="M644">
        <v>1</v>
      </c>
      <c r="N644" t="s">
        <v>325</v>
      </c>
      <c r="O644" t="s">
        <v>484</v>
      </c>
    </row>
    <row r="645" spans="1:15" x14ac:dyDescent="0.3">
      <c r="A645">
        <v>487</v>
      </c>
      <c r="B645" t="s">
        <v>323</v>
      </c>
      <c r="C645">
        <v>169</v>
      </c>
      <c r="D645" t="s">
        <v>139</v>
      </c>
      <c r="E645">
        <v>1912</v>
      </c>
      <c r="F645" t="s">
        <v>1401</v>
      </c>
      <c r="G645">
        <v>3</v>
      </c>
      <c r="H645">
        <v>2</v>
      </c>
      <c r="I645">
        <v>1</v>
      </c>
      <c r="J645">
        <v>0</v>
      </c>
      <c r="K645">
        <v>0</v>
      </c>
      <c r="L645">
        <v>0</v>
      </c>
      <c r="M645">
        <v>0</v>
      </c>
      <c r="N645" t="s">
        <v>325</v>
      </c>
      <c r="O645" t="s">
        <v>484</v>
      </c>
    </row>
    <row r="646" spans="1:15" x14ac:dyDescent="0.3">
      <c r="A646">
        <v>487</v>
      </c>
      <c r="B646" t="s">
        <v>323</v>
      </c>
      <c r="C646">
        <v>169</v>
      </c>
      <c r="D646" t="s">
        <v>139</v>
      </c>
      <c r="E646">
        <v>1913</v>
      </c>
      <c r="F646" t="s">
        <v>1402</v>
      </c>
      <c r="G646">
        <v>5</v>
      </c>
      <c r="H646">
        <v>4</v>
      </c>
      <c r="I646">
        <v>0</v>
      </c>
      <c r="J646">
        <v>1</v>
      </c>
      <c r="K646">
        <v>0</v>
      </c>
      <c r="L646">
        <v>0</v>
      </c>
      <c r="M646">
        <v>0</v>
      </c>
      <c r="N646" t="s">
        <v>325</v>
      </c>
      <c r="O646" t="s">
        <v>336</v>
      </c>
    </row>
    <row r="647" spans="1:15" x14ac:dyDescent="0.3">
      <c r="A647">
        <v>487</v>
      </c>
      <c r="B647" t="s">
        <v>323</v>
      </c>
      <c r="C647">
        <v>169</v>
      </c>
      <c r="D647" t="s">
        <v>139</v>
      </c>
      <c r="E647">
        <v>1914</v>
      </c>
      <c r="F647" t="s">
        <v>833</v>
      </c>
      <c r="G647">
        <v>7</v>
      </c>
      <c r="H647">
        <v>0</v>
      </c>
      <c r="I647">
        <v>2</v>
      </c>
      <c r="J647">
        <v>3</v>
      </c>
      <c r="K647">
        <v>1</v>
      </c>
      <c r="L647">
        <v>0</v>
      </c>
      <c r="M647">
        <v>1</v>
      </c>
      <c r="N647" t="s">
        <v>325</v>
      </c>
      <c r="O647" t="s">
        <v>326</v>
      </c>
    </row>
    <row r="648" spans="1:15" x14ac:dyDescent="0.3">
      <c r="A648">
        <v>487</v>
      </c>
      <c r="B648" t="s">
        <v>323</v>
      </c>
      <c r="C648">
        <v>169</v>
      </c>
      <c r="D648" t="s">
        <v>139</v>
      </c>
      <c r="E648">
        <v>1915</v>
      </c>
      <c r="F648" t="s">
        <v>1403</v>
      </c>
      <c r="G648">
        <v>5</v>
      </c>
      <c r="H648">
        <v>4</v>
      </c>
      <c r="I648">
        <v>1</v>
      </c>
      <c r="J648">
        <v>0</v>
      </c>
      <c r="K648">
        <v>0</v>
      </c>
      <c r="L648">
        <v>0</v>
      </c>
      <c r="M648">
        <v>0</v>
      </c>
      <c r="N648" t="s">
        <v>325</v>
      </c>
      <c r="O648" t="s">
        <v>484</v>
      </c>
    </row>
    <row r="649" spans="1:15" x14ac:dyDescent="0.3">
      <c r="A649">
        <v>489</v>
      </c>
      <c r="B649" t="s">
        <v>323</v>
      </c>
      <c r="C649">
        <v>171</v>
      </c>
      <c r="D649" t="s">
        <v>143</v>
      </c>
      <c r="E649">
        <v>527</v>
      </c>
      <c r="F649" t="s">
        <v>393</v>
      </c>
      <c r="G649">
        <v>6</v>
      </c>
      <c r="H649">
        <v>0</v>
      </c>
      <c r="I649">
        <v>0</v>
      </c>
      <c r="J649">
        <v>6</v>
      </c>
      <c r="K649">
        <v>0</v>
      </c>
      <c r="L649">
        <v>0</v>
      </c>
      <c r="M649">
        <v>0</v>
      </c>
      <c r="N649" t="s">
        <v>566</v>
      </c>
      <c r="O649" t="s">
        <v>336</v>
      </c>
    </row>
    <row r="650" spans="1:15" x14ac:dyDescent="0.3">
      <c r="A650">
        <v>489</v>
      </c>
      <c r="B650" t="s">
        <v>323</v>
      </c>
      <c r="C650">
        <v>171</v>
      </c>
      <c r="D650" t="s">
        <v>143</v>
      </c>
      <c r="E650">
        <v>529</v>
      </c>
      <c r="F650" t="s">
        <v>1411</v>
      </c>
      <c r="G650">
        <v>6</v>
      </c>
      <c r="H650">
        <v>3</v>
      </c>
      <c r="I650">
        <v>3</v>
      </c>
      <c r="J650">
        <v>0</v>
      </c>
      <c r="K650">
        <v>0</v>
      </c>
      <c r="L650">
        <v>0</v>
      </c>
      <c r="M650">
        <v>0</v>
      </c>
      <c r="N650" t="s">
        <v>410</v>
      </c>
      <c r="O650" t="s">
        <v>343</v>
      </c>
    </row>
    <row r="651" spans="1:15" x14ac:dyDescent="0.3">
      <c r="A651">
        <v>489</v>
      </c>
      <c r="B651" t="s">
        <v>323</v>
      </c>
      <c r="C651">
        <v>171</v>
      </c>
      <c r="D651" t="s">
        <v>143</v>
      </c>
      <c r="E651">
        <v>531</v>
      </c>
      <c r="F651" t="s">
        <v>353</v>
      </c>
      <c r="G651">
        <v>5</v>
      </c>
      <c r="H651">
        <v>0</v>
      </c>
      <c r="I651">
        <v>0</v>
      </c>
      <c r="J651">
        <v>1</v>
      </c>
      <c r="K651">
        <v>2</v>
      </c>
      <c r="L651">
        <v>2</v>
      </c>
      <c r="M651">
        <v>0</v>
      </c>
      <c r="N651" t="s">
        <v>325</v>
      </c>
      <c r="O651" t="s">
        <v>326</v>
      </c>
    </row>
    <row r="652" spans="1:15" x14ac:dyDescent="0.3">
      <c r="A652">
        <v>489</v>
      </c>
      <c r="B652" t="s">
        <v>323</v>
      </c>
      <c r="C652">
        <v>171</v>
      </c>
      <c r="D652" t="s">
        <v>143</v>
      </c>
      <c r="E652">
        <v>532</v>
      </c>
      <c r="F652" t="s">
        <v>1412</v>
      </c>
      <c r="G652">
        <v>0</v>
      </c>
      <c r="H652">
        <v>0</v>
      </c>
      <c r="I652">
        <v>0</v>
      </c>
      <c r="J652">
        <v>0</v>
      </c>
      <c r="K652">
        <v>0</v>
      </c>
      <c r="L652">
        <v>0</v>
      </c>
      <c r="M652">
        <v>0</v>
      </c>
      <c r="N652" t="s">
        <v>325</v>
      </c>
      <c r="O652" t="s">
        <v>484</v>
      </c>
    </row>
    <row r="653" spans="1:15" x14ac:dyDescent="0.3">
      <c r="A653">
        <v>489</v>
      </c>
      <c r="B653" t="s">
        <v>323</v>
      </c>
      <c r="C653">
        <v>171</v>
      </c>
      <c r="D653" t="s">
        <v>143</v>
      </c>
      <c r="E653">
        <v>533</v>
      </c>
      <c r="F653" t="s">
        <v>1413</v>
      </c>
      <c r="G653">
        <v>6</v>
      </c>
      <c r="H653">
        <v>6</v>
      </c>
      <c r="I653">
        <v>0</v>
      </c>
      <c r="J653">
        <v>0</v>
      </c>
      <c r="K653">
        <v>0</v>
      </c>
      <c r="L653">
        <v>0</v>
      </c>
      <c r="M653">
        <v>0</v>
      </c>
      <c r="N653" t="s">
        <v>325</v>
      </c>
      <c r="O653" t="s">
        <v>484</v>
      </c>
    </row>
    <row r="654" spans="1:15" x14ac:dyDescent="0.3">
      <c r="A654">
        <v>489</v>
      </c>
      <c r="B654" t="s">
        <v>323</v>
      </c>
      <c r="C654">
        <v>171</v>
      </c>
      <c r="D654" t="s">
        <v>143</v>
      </c>
      <c r="E654">
        <v>534</v>
      </c>
      <c r="F654" t="s">
        <v>1414</v>
      </c>
      <c r="G654">
        <v>17</v>
      </c>
      <c r="H654">
        <v>0</v>
      </c>
      <c r="I654">
        <v>3</v>
      </c>
      <c r="J654">
        <v>6</v>
      </c>
      <c r="K654">
        <v>5</v>
      </c>
      <c r="L654">
        <v>3</v>
      </c>
      <c r="M654">
        <v>0</v>
      </c>
      <c r="N654" t="s">
        <v>325</v>
      </c>
      <c r="O654" t="s">
        <v>326</v>
      </c>
    </row>
    <row r="655" spans="1:15" x14ac:dyDescent="0.3">
      <c r="A655">
        <v>489</v>
      </c>
      <c r="B655" t="s">
        <v>323</v>
      </c>
      <c r="C655">
        <v>171</v>
      </c>
      <c r="D655" t="s">
        <v>143</v>
      </c>
      <c r="E655">
        <v>535</v>
      </c>
      <c r="F655" t="s">
        <v>1415</v>
      </c>
      <c r="G655">
        <v>5</v>
      </c>
      <c r="H655">
        <v>0</v>
      </c>
      <c r="I655">
        <v>0</v>
      </c>
      <c r="J655">
        <v>0</v>
      </c>
      <c r="K655">
        <v>3</v>
      </c>
      <c r="L655">
        <v>2</v>
      </c>
      <c r="M655">
        <v>0</v>
      </c>
      <c r="N655" t="s">
        <v>333</v>
      </c>
      <c r="O655" t="s">
        <v>326</v>
      </c>
    </row>
    <row r="656" spans="1:15" x14ac:dyDescent="0.3">
      <c r="A656">
        <v>489</v>
      </c>
      <c r="B656" t="s">
        <v>323</v>
      </c>
      <c r="C656">
        <v>171</v>
      </c>
      <c r="D656" t="s">
        <v>143</v>
      </c>
      <c r="E656">
        <v>536</v>
      </c>
      <c r="F656" t="s">
        <v>1416</v>
      </c>
      <c r="G656">
        <v>8</v>
      </c>
      <c r="H656">
        <v>0</v>
      </c>
      <c r="I656">
        <v>1</v>
      </c>
      <c r="J656">
        <v>2</v>
      </c>
      <c r="K656">
        <v>3</v>
      </c>
      <c r="L656">
        <v>2</v>
      </c>
      <c r="M656">
        <v>0</v>
      </c>
      <c r="N656" t="s">
        <v>325</v>
      </c>
      <c r="O656" t="s">
        <v>326</v>
      </c>
    </row>
    <row r="657" spans="1:15" x14ac:dyDescent="0.3">
      <c r="A657">
        <v>489</v>
      </c>
      <c r="B657" t="s">
        <v>323</v>
      </c>
      <c r="C657">
        <v>171</v>
      </c>
      <c r="D657" t="s">
        <v>143</v>
      </c>
      <c r="E657">
        <v>537</v>
      </c>
      <c r="F657" t="s">
        <v>1417</v>
      </c>
      <c r="G657">
        <v>6</v>
      </c>
      <c r="H657">
        <v>1</v>
      </c>
      <c r="I657">
        <v>2</v>
      </c>
      <c r="J657">
        <v>0</v>
      </c>
      <c r="K657">
        <v>2</v>
      </c>
      <c r="L657">
        <v>1</v>
      </c>
      <c r="M657">
        <v>0</v>
      </c>
      <c r="N657" t="s">
        <v>410</v>
      </c>
      <c r="O657" t="s">
        <v>336</v>
      </c>
    </row>
    <row r="658" spans="1:15" x14ac:dyDescent="0.3">
      <c r="A658">
        <v>489</v>
      </c>
      <c r="B658" t="s">
        <v>323</v>
      </c>
      <c r="C658">
        <v>171</v>
      </c>
      <c r="D658" t="s">
        <v>143</v>
      </c>
      <c r="E658">
        <v>538</v>
      </c>
      <c r="F658" t="s">
        <v>678</v>
      </c>
      <c r="G658">
        <v>24</v>
      </c>
      <c r="H658">
        <v>0</v>
      </c>
      <c r="I658">
        <v>3</v>
      </c>
      <c r="J658">
        <v>7</v>
      </c>
      <c r="K658">
        <v>5</v>
      </c>
      <c r="L658">
        <v>9</v>
      </c>
      <c r="M658">
        <v>0</v>
      </c>
      <c r="N658" t="s">
        <v>325</v>
      </c>
      <c r="O658" t="s">
        <v>326</v>
      </c>
    </row>
    <row r="659" spans="1:15" x14ac:dyDescent="0.3">
      <c r="A659">
        <v>489</v>
      </c>
      <c r="B659" t="s">
        <v>323</v>
      </c>
      <c r="C659">
        <v>171</v>
      </c>
      <c r="D659" t="s">
        <v>143</v>
      </c>
      <c r="E659">
        <v>539</v>
      </c>
      <c r="F659" t="s">
        <v>1418</v>
      </c>
      <c r="G659">
        <v>0</v>
      </c>
      <c r="H659">
        <v>0</v>
      </c>
      <c r="I659">
        <v>0</v>
      </c>
      <c r="J659">
        <v>0</v>
      </c>
      <c r="K659">
        <v>0</v>
      </c>
      <c r="L659">
        <v>0</v>
      </c>
      <c r="M659">
        <v>0</v>
      </c>
      <c r="N659" t="s">
        <v>414</v>
      </c>
      <c r="O659" t="s">
        <v>343</v>
      </c>
    </row>
    <row r="660" spans="1:15" x14ac:dyDescent="0.3">
      <c r="A660">
        <v>489</v>
      </c>
      <c r="B660" t="s">
        <v>323</v>
      </c>
      <c r="C660">
        <v>171</v>
      </c>
      <c r="D660" t="s">
        <v>143</v>
      </c>
      <c r="E660">
        <v>541</v>
      </c>
      <c r="F660" t="s">
        <v>910</v>
      </c>
      <c r="G660">
        <v>6</v>
      </c>
      <c r="H660">
        <v>6</v>
      </c>
      <c r="I660">
        <v>0</v>
      </c>
      <c r="J660">
        <v>0</v>
      </c>
      <c r="K660">
        <v>0</v>
      </c>
      <c r="L660">
        <v>0</v>
      </c>
      <c r="M660">
        <v>0</v>
      </c>
      <c r="N660" t="s">
        <v>325</v>
      </c>
      <c r="O660" t="s">
        <v>484</v>
      </c>
    </row>
    <row r="661" spans="1:15" x14ac:dyDescent="0.3">
      <c r="A661">
        <v>489</v>
      </c>
      <c r="B661" t="s">
        <v>323</v>
      </c>
      <c r="C661">
        <v>171</v>
      </c>
      <c r="D661" t="s">
        <v>143</v>
      </c>
      <c r="E661">
        <v>542</v>
      </c>
      <c r="F661" t="s">
        <v>1419</v>
      </c>
      <c r="G661">
        <v>4</v>
      </c>
      <c r="H661">
        <v>1</v>
      </c>
      <c r="I661">
        <v>1</v>
      </c>
      <c r="J661">
        <v>2</v>
      </c>
      <c r="K661">
        <v>0</v>
      </c>
      <c r="L661">
        <v>0</v>
      </c>
      <c r="M661">
        <v>0</v>
      </c>
      <c r="N661" t="s">
        <v>325</v>
      </c>
      <c r="O661" t="s">
        <v>484</v>
      </c>
    </row>
    <row r="662" spans="1:15" x14ac:dyDescent="0.3">
      <c r="A662">
        <v>489</v>
      </c>
      <c r="B662" t="s">
        <v>323</v>
      </c>
      <c r="C662">
        <v>171</v>
      </c>
      <c r="D662" t="s">
        <v>143</v>
      </c>
      <c r="E662">
        <v>543</v>
      </c>
      <c r="F662" t="s">
        <v>1420</v>
      </c>
      <c r="G662">
        <v>5</v>
      </c>
      <c r="H662">
        <v>0</v>
      </c>
      <c r="I662">
        <v>1</v>
      </c>
      <c r="J662">
        <v>1</v>
      </c>
      <c r="K662">
        <v>3</v>
      </c>
      <c r="L662">
        <v>0</v>
      </c>
      <c r="M662">
        <v>0</v>
      </c>
      <c r="N662" t="s">
        <v>325</v>
      </c>
      <c r="O662" t="s">
        <v>326</v>
      </c>
    </row>
    <row r="663" spans="1:15" x14ac:dyDescent="0.3">
      <c r="A663">
        <v>489</v>
      </c>
      <c r="B663" t="s">
        <v>323</v>
      </c>
      <c r="C663">
        <v>171</v>
      </c>
      <c r="D663" t="s">
        <v>143</v>
      </c>
      <c r="E663">
        <v>545</v>
      </c>
      <c r="F663" t="s">
        <v>705</v>
      </c>
      <c r="G663">
        <v>4</v>
      </c>
      <c r="H663">
        <v>0</v>
      </c>
      <c r="I663">
        <v>0</v>
      </c>
      <c r="J663">
        <v>0</v>
      </c>
      <c r="K663">
        <v>0</v>
      </c>
      <c r="L663">
        <v>4</v>
      </c>
      <c r="M663">
        <v>0</v>
      </c>
      <c r="N663" t="s">
        <v>333</v>
      </c>
      <c r="O663" t="s">
        <v>484</v>
      </c>
    </row>
    <row r="664" spans="1:15" x14ac:dyDescent="0.3">
      <c r="A664">
        <v>489</v>
      </c>
      <c r="B664" t="s">
        <v>323</v>
      </c>
      <c r="C664">
        <v>171</v>
      </c>
      <c r="D664" t="s">
        <v>143</v>
      </c>
      <c r="E664">
        <v>546</v>
      </c>
      <c r="F664" t="s">
        <v>1421</v>
      </c>
      <c r="G664">
        <v>4</v>
      </c>
      <c r="H664">
        <v>0</v>
      </c>
      <c r="I664">
        <v>0</v>
      </c>
      <c r="J664">
        <v>1</v>
      </c>
      <c r="K664">
        <v>3</v>
      </c>
      <c r="L664">
        <v>0</v>
      </c>
      <c r="M664">
        <v>0</v>
      </c>
      <c r="N664" t="s">
        <v>333</v>
      </c>
      <c r="O664" t="s">
        <v>326</v>
      </c>
    </row>
    <row r="665" spans="1:15" x14ac:dyDescent="0.3">
      <c r="A665">
        <v>489</v>
      </c>
      <c r="B665" t="s">
        <v>323</v>
      </c>
      <c r="C665">
        <v>171</v>
      </c>
      <c r="D665" t="s">
        <v>143</v>
      </c>
      <c r="E665">
        <v>547</v>
      </c>
      <c r="F665" t="s">
        <v>1422</v>
      </c>
      <c r="G665">
        <v>5</v>
      </c>
      <c r="H665">
        <v>2</v>
      </c>
      <c r="I665">
        <v>2</v>
      </c>
      <c r="J665">
        <v>0</v>
      </c>
      <c r="K665">
        <v>1</v>
      </c>
      <c r="L665">
        <v>0</v>
      </c>
      <c r="M665">
        <v>0</v>
      </c>
      <c r="N665" t="s">
        <v>325</v>
      </c>
      <c r="O665" t="s">
        <v>484</v>
      </c>
    </row>
    <row r="666" spans="1:15" x14ac:dyDescent="0.3">
      <c r="A666">
        <v>489</v>
      </c>
      <c r="B666" t="s">
        <v>323</v>
      </c>
      <c r="C666">
        <v>171</v>
      </c>
      <c r="D666" t="s">
        <v>143</v>
      </c>
      <c r="E666">
        <v>548</v>
      </c>
      <c r="F666" t="s">
        <v>1423</v>
      </c>
      <c r="G666">
        <v>5</v>
      </c>
      <c r="H666">
        <v>0</v>
      </c>
      <c r="I666">
        <v>0</v>
      </c>
      <c r="J666">
        <v>0</v>
      </c>
      <c r="K666">
        <v>5</v>
      </c>
      <c r="L666">
        <v>0</v>
      </c>
      <c r="M666">
        <v>0</v>
      </c>
      <c r="N666" t="s">
        <v>410</v>
      </c>
      <c r="O666" t="s">
        <v>326</v>
      </c>
    </row>
    <row r="667" spans="1:15" x14ac:dyDescent="0.3">
      <c r="A667">
        <v>489</v>
      </c>
      <c r="B667" t="s">
        <v>323</v>
      </c>
      <c r="C667">
        <v>171</v>
      </c>
      <c r="D667" t="s">
        <v>143</v>
      </c>
      <c r="E667">
        <v>549</v>
      </c>
      <c r="F667" t="s">
        <v>831</v>
      </c>
      <c r="G667">
        <v>6</v>
      </c>
      <c r="H667">
        <v>3</v>
      </c>
      <c r="I667">
        <v>1</v>
      </c>
      <c r="J667">
        <v>1</v>
      </c>
      <c r="K667">
        <v>1</v>
      </c>
      <c r="L667">
        <v>0</v>
      </c>
      <c r="M667">
        <v>0</v>
      </c>
      <c r="N667" t="s">
        <v>410</v>
      </c>
      <c r="O667" t="s">
        <v>336</v>
      </c>
    </row>
    <row r="668" spans="1:15" x14ac:dyDescent="0.3">
      <c r="A668">
        <v>489</v>
      </c>
      <c r="B668" t="s">
        <v>323</v>
      </c>
      <c r="C668">
        <v>171</v>
      </c>
      <c r="D668" t="s">
        <v>143</v>
      </c>
      <c r="E668">
        <v>2141</v>
      </c>
      <c r="F668" t="s">
        <v>18042</v>
      </c>
      <c r="G668">
        <v>5</v>
      </c>
      <c r="H668">
        <v>0</v>
      </c>
      <c r="I668">
        <v>0</v>
      </c>
      <c r="J668">
        <v>1</v>
      </c>
      <c r="K668">
        <v>1</v>
      </c>
      <c r="L668">
        <v>3</v>
      </c>
      <c r="M668">
        <v>0</v>
      </c>
      <c r="N668" t="s">
        <v>333</v>
      </c>
      <c r="O668" t="s">
        <v>336</v>
      </c>
    </row>
    <row r="669" spans="1:15" x14ac:dyDescent="0.3">
      <c r="A669">
        <v>490</v>
      </c>
      <c r="B669" t="s">
        <v>323</v>
      </c>
      <c r="C669">
        <v>172</v>
      </c>
      <c r="D669" t="s">
        <v>145</v>
      </c>
      <c r="E669">
        <v>847</v>
      </c>
      <c r="F669" t="s">
        <v>799</v>
      </c>
      <c r="G669">
        <v>6</v>
      </c>
      <c r="H669">
        <v>0</v>
      </c>
      <c r="I669">
        <v>6</v>
      </c>
      <c r="J669">
        <v>0</v>
      </c>
      <c r="K669">
        <v>0</v>
      </c>
      <c r="L669">
        <v>0</v>
      </c>
      <c r="M669">
        <v>0</v>
      </c>
      <c r="N669" t="s">
        <v>325</v>
      </c>
      <c r="O669" t="s">
        <v>348</v>
      </c>
    </row>
    <row r="670" spans="1:15" x14ac:dyDescent="0.3">
      <c r="A670">
        <v>490</v>
      </c>
      <c r="B670" t="s">
        <v>323</v>
      </c>
      <c r="C670">
        <v>172</v>
      </c>
      <c r="D670" t="s">
        <v>145</v>
      </c>
      <c r="E670">
        <v>849</v>
      </c>
      <c r="F670" t="s">
        <v>801</v>
      </c>
      <c r="G670">
        <v>9</v>
      </c>
      <c r="H670">
        <v>0</v>
      </c>
      <c r="I670">
        <v>0</v>
      </c>
      <c r="J670">
        <v>3</v>
      </c>
      <c r="K670">
        <v>4</v>
      </c>
      <c r="L670">
        <v>2</v>
      </c>
      <c r="M670">
        <v>0</v>
      </c>
      <c r="N670" t="s">
        <v>325</v>
      </c>
      <c r="O670" t="s">
        <v>484</v>
      </c>
    </row>
    <row r="671" spans="1:15" x14ac:dyDescent="0.3">
      <c r="A671">
        <v>490</v>
      </c>
      <c r="B671" t="s">
        <v>323</v>
      </c>
      <c r="C671">
        <v>172</v>
      </c>
      <c r="D671" t="s">
        <v>145</v>
      </c>
      <c r="E671">
        <v>850</v>
      </c>
      <c r="F671" t="s">
        <v>802</v>
      </c>
      <c r="G671">
        <v>0</v>
      </c>
      <c r="H671">
        <v>0</v>
      </c>
      <c r="I671">
        <v>0</v>
      </c>
      <c r="J671">
        <v>0</v>
      </c>
      <c r="K671">
        <v>0</v>
      </c>
      <c r="L671">
        <v>0</v>
      </c>
      <c r="M671">
        <v>0</v>
      </c>
      <c r="N671" t="s">
        <v>333</v>
      </c>
      <c r="O671" t="s">
        <v>484</v>
      </c>
    </row>
    <row r="672" spans="1:15" x14ac:dyDescent="0.3">
      <c r="A672">
        <v>490</v>
      </c>
      <c r="B672" t="s">
        <v>323</v>
      </c>
      <c r="C672">
        <v>172</v>
      </c>
      <c r="D672" t="s">
        <v>145</v>
      </c>
      <c r="E672">
        <v>852</v>
      </c>
      <c r="F672" t="s">
        <v>804</v>
      </c>
      <c r="G672">
        <v>4</v>
      </c>
      <c r="H672">
        <v>0</v>
      </c>
      <c r="I672">
        <v>0</v>
      </c>
      <c r="J672">
        <v>0</v>
      </c>
      <c r="K672">
        <v>2</v>
      </c>
      <c r="L672">
        <v>2</v>
      </c>
      <c r="M672">
        <v>0</v>
      </c>
      <c r="N672" t="s">
        <v>325</v>
      </c>
      <c r="O672" t="s">
        <v>336</v>
      </c>
    </row>
    <row r="673" spans="1:15" x14ac:dyDescent="0.3">
      <c r="A673">
        <v>490</v>
      </c>
      <c r="B673" t="s">
        <v>323</v>
      </c>
      <c r="C673">
        <v>172</v>
      </c>
      <c r="D673" t="s">
        <v>145</v>
      </c>
      <c r="E673">
        <v>853</v>
      </c>
      <c r="F673" t="s">
        <v>805</v>
      </c>
      <c r="G673">
        <v>8</v>
      </c>
      <c r="H673">
        <v>0</v>
      </c>
      <c r="I673">
        <v>4</v>
      </c>
      <c r="J673">
        <v>2</v>
      </c>
      <c r="K673">
        <v>2</v>
      </c>
      <c r="L673">
        <v>0</v>
      </c>
      <c r="M673">
        <v>0</v>
      </c>
      <c r="N673" t="s">
        <v>333</v>
      </c>
      <c r="O673" t="s">
        <v>484</v>
      </c>
    </row>
    <row r="674" spans="1:15" x14ac:dyDescent="0.3">
      <c r="A674">
        <v>490</v>
      </c>
      <c r="B674" t="s">
        <v>323</v>
      </c>
      <c r="C674">
        <v>172</v>
      </c>
      <c r="D674" t="s">
        <v>145</v>
      </c>
      <c r="E674">
        <v>855</v>
      </c>
      <c r="F674" t="s">
        <v>806</v>
      </c>
      <c r="G674">
        <v>4</v>
      </c>
      <c r="H674">
        <v>0</v>
      </c>
      <c r="I674">
        <v>4</v>
      </c>
      <c r="J674">
        <v>0</v>
      </c>
      <c r="K674">
        <v>0</v>
      </c>
      <c r="L674">
        <v>0</v>
      </c>
      <c r="M674">
        <v>0</v>
      </c>
      <c r="N674" t="s">
        <v>325</v>
      </c>
      <c r="O674" t="s">
        <v>484</v>
      </c>
    </row>
    <row r="675" spans="1:15" x14ac:dyDescent="0.3">
      <c r="A675">
        <v>490</v>
      </c>
      <c r="B675" t="s">
        <v>323</v>
      </c>
      <c r="C675">
        <v>172</v>
      </c>
      <c r="D675" t="s">
        <v>145</v>
      </c>
      <c r="E675">
        <v>856</v>
      </c>
      <c r="F675" t="s">
        <v>807</v>
      </c>
      <c r="G675">
        <v>1</v>
      </c>
      <c r="H675">
        <v>0</v>
      </c>
      <c r="I675">
        <v>1</v>
      </c>
      <c r="J675">
        <v>0</v>
      </c>
      <c r="K675">
        <v>0</v>
      </c>
      <c r="L675">
        <v>0</v>
      </c>
      <c r="M675">
        <v>0</v>
      </c>
      <c r="N675" t="s">
        <v>410</v>
      </c>
      <c r="O675" t="s">
        <v>484</v>
      </c>
    </row>
    <row r="676" spans="1:15" x14ac:dyDescent="0.3">
      <c r="A676">
        <v>490</v>
      </c>
      <c r="B676" t="s">
        <v>323</v>
      </c>
      <c r="C676">
        <v>172</v>
      </c>
      <c r="D676" t="s">
        <v>145</v>
      </c>
      <c r="E676">
        <v>857</v>
      </c>
      <c r="F676" t="s">
        <v>808</v>
      </c>
      <c r="G676">
        <v>4</v>
      </c>
      <c r="H676">
        <v>0</v>
      </c>
      <c r="I676">
        <v>0</v>
      </c>
      <c r="J676">
        <v>2</v>
      </c>
      <c r="K676">
        <v>0</v>
      </c>
      <c r="L676">
        <v>2</v>
      </c>
      <c r="M676">
        <v>0</v>
      </c>
      <c r="N676" t="s">
        <v>325</v>
      </c>
      <c r="O676" t="s">
        <v>484</v>
      </c>
    </row>
    <row r="677" spans="1:15" x14ac:dyDescent="0.3">
      <c r="A677">
        <v>490</v>
      </c>
      <c r="B677" t="s">
        <v>323</v>
      </c>
      <c r="C677">
        <v>172</v>
      </c>
      <c r="D677" t="s">
        <v>145</v>
      </c>
      <c r="E677">
        <v>858</v>
      </c>
      <c r="F677" t="s">
        <v>809</v>
      </c>
      <c r="G677">
        <v>5</v>
      </c>
      <c r="H677">
        <v>0</v>
      </c>
      <c r="I677">
        <v>1</v>
      </c>
      <c r="J677">
        <v>4</v>
      </c>
      <c r="K677">
        <v>0</v>
      </c>
      <c r="L677">
        <v>0</v>
      </c>
      <c r="M677">
        <v>0</v>
      </c>
      <c r="N677" t="s">
        <v>333</v>
      </c>
      <c r="O677" t="s">
        <v>484</v>
      </c>
    </row>
    <row r="678" spans="1:15" x14ac:dyDescent="0.3">
      <c r="A678">
        <v>490</v>
      </c>
      <c r="B678" t="s">
        <v>323</v>
      </c>
      <c r="C678">
        <v>172</v>
      </c>
      <c r="D678" t="s">
        <v>145</v>
      </c>
      <c r="E678">
        <v>862</v>
      </c>
      <c r="F678" t="s">
        <v>812</v>
      </c>
      <c r="G678">
        <v>3</v>
      </c>
      <c r="H678">
        <v>0</v>
      </c>
      <c r="I678">
        <v>0</v>
      </c>
      <c r="J678">
        <v>3</v>
      </c>
      <c r="K678">
        <v>0</v>
      </c>
      <c r="L678">
        <v>0</v>
      </c>
      <c r="M678">
        <v>0</v>
      </c>
      <c r="N678" t="s">
        <v>333</v>
      </c>
      <c r="O678" t="s">
        <v>484</v>
      </c>
    </row>
    <row r="679" spans="1:15" x14ac:dyDescent="0.3">
      <c r="A679">
        <v>490</v>
      </c>
      <c r="B679" t="s">
        <v>323</v>
      </c>
      <c r="C679">
        <v>172</v>
      </c>
      <c r="D679" t="s">
        <v>145</v>
      </c>
      <c r="E679">
        <v>864</v>
      </c>
      <c r="F679" t="s">
        <v>813</v>
      </c>
      <c r="G679">
        <v>5</v>
      </c>
      <c r="H679">
        <v>0</v>
      </c>
      <c r="I679">
        <v>3</v>
      </c>
      <c r="J679">
        <v>0</v>
      </c>
      <c r="K679">
        <v>1</v>
      </c>
      <c r="L679">
        <v>1</v>
      </c>
      <c r="M679">
        <v>0</v>
      </c>
      <c r="N679" t="s">
        <v>333</v>
      </c>
      <c r="O679" t="s">
        <v>484</v>
      </c>
    </row>
    <row r="680" spans="1:15" x14ac:dyDescent="0.3">
      <c r="A680">
        <v>490</v>
      </c>
      <c r="B680" t="s">
        <v>323</v>
      </c>
      <c r="C680">
        <v>172</v>
      </c>
      <c r="D680" t="s">
        <v>145</v>
      </c>
      <c r="E680">
        <v>866</v>
      </c>
      <c r="F680" t="s">
        <v>814</v>
      </c>
      <c r="G680">
        <v>0</v>
      </c>
      <c r="H680">
        <v>0</v>
      </c>
      <c r="I680">
        <v>0</v>
      </c>
      <c r="J680">
        <v>0</v>
      </c>
      <c r="K680">
        <v>0</v>
      </c>
      <c r="L680">
        <v>0</v>
      </c>
      <c r="M680">
        <v>0</v>
      </c>
      <c r="N680" t="s">
        <v>325</v>
      </c>
      <c r="O680" t="s">
        <v>484</v>
      </c>
    </row>
    <row r="681" spans="1:15" x14ac:dyDescent="0.3">
      <c r="A681">
        <v>490</v>
      </c>
      <c r="B681" t="s">
        <v>323</v>
      </c>
      <c r="C681">
        <v>172</v>
      </c>
      <c r="D681" t="s">
        <v>145</v>
      </c>
      <c r="E681">
        <v>868</v>
      </c>
      <c r="F681" t="s">
        <v>572</v>
      </c>
      <c r="G681">
        <v>6</v>
      </c>
      <c r="H681">
        <v>0</v>
      </c>
      <c r="I681">
        <v>0</v>
      </c>
      <c r="J681">
        <v>3</v>
      </c>
      <c r="K681">
        <v>3</v>
      </c>
      <c r="L681">
        <v>0</v>
      </c>
      <c r="M681">
        <v>0</v>
      </c>
      <c r="N681" t="s">
        <v>333</v>
      </c>
      <c r="O681" t="s">
        <v>336</v>
      </c>
    </row>
    <row r="682" spans="1:15" x14ac:dyDescent="0.3">
      <c r="A682">
        <v>490</v>
      </c>
      <c r="B682" t="s">
        <v>323</v>
      </c>
      <c r="C682">
        <v>172</v>
      </c>
      <c r="D682" t="s">
        <v>145</v>
      </c>
      <c r="E682">
        <v>869</v>
      </c>
      <c r="F682" t="s">
        <v>815</v>
      </c>
      <c r="G682">
        <v>4</v>
      </c>
      <c r="H682">
        <v>0</v>
      </c>
      <c r="I682">
        <v>1</v>
      </c>
      <c r="J682">
        <v>0</v>
      </c>
      <c r="K682">
        <v>0</v>
      </c>
      <c r="L682">
        <v>3</v>
      </c>
      <c r="M682">
        <v>0</v>
      </c>
      <c r="N682" t="s">
        <v>333</v>
      </c>
      <c r="O682" t="s">
        <v>326</v>
      </c>
    </row>
    <row r="683" spans="1:15" x14ac:dyDescent="0.3">
      <c r="A683">
        <v>490</v>
      </c>
      <c r="B683" t="s">
        <v>323</v>
      </c>
      <c r="C683">
        <v>172</v>
      </c>
      <c r="D683" t="s">
        <v>145</v>
      </c>
      <c r="E683">
        <v>871</v>
      </c>
      <c r="F683" t="s">
        <v>376</v>
      </c>
      <c r="G683">
        <v>5</v>
      </c>
      <c r="H683">
        <v>0</v>
      </c>
      <c r="I683">
        <v>0</v>
      </c>
      <c r="J683">
        <v>2</v>
      </c>
      <c r="K683">
        <v>2</v>
      </c>
      <c r="L683">
        <v>0</v>
      </c>
      <c r="M683">
        <v>1</v>
      </c>
      <c r="N683" t="s">
        <v>325</v>
      </c>
      <c r="O683" t="s">
        <v>326</v>
      </c>
    </row>
    <row r="684" spans="1:15" x14ac:dyDescent="0.3">
      <c r="A684">
        <v>490</v>
      </c>
      <c r="B684" t="s">
        <v>323</v>
      </c>
      <c r="C684">
        <v>172</v>
      </c>
      <c r="D684" t="s">
        <v>145</v>
      </c>
      <c r="E684">
        <v>874</v>
      </c>
      <c r="F684" t="s">
        <v>816</v>
      </c>
      <c r="G684">
        <v>4</v>
      </c>
      <c r="H684">
        <v>0</v>
      </c>
      <c r="I684">
        <v>1</v>
      </c>
      <c r="J684">
        <v>0</v>
      </c>
      <c r="K684">
        <v>2</v>
      </c>
      <c r="L684">
        <v>1</v>
      </c>
      <c r="M684">
        <v>0</v>
      </c>
      <c r="N684" t="s">
        <v>325</v>
      </c>
      <c r="O684" t="s">
        <v>484</v>
      </c>
    </row>
    <row r="685" spans="1:15" x14ac:dyDescent="0.3">
      <c r="A685">
        <v>490</v>
      </c>
      <c r="B685" t="s">
        <v>323</v>
      </c>
      <c r="C685">
        <v>172</v>
      </c>
      <c r="D685" t="s">
        <v>145</v>
      </c>
      <c r="E685">
        <v>1387</v>
      </c>
      <c r="F685" t="s">
        <v>817</v>
      </c>
      <c r="G685">
        <v>6</v>
      </c>
      <c r="H685">
        <v>2</v>
      </c>
      <c r="I685">
        <v>1</v>
      </c>
      <c r="J685">
        <v>1</v>
      </c>
      <c r="K685">
        <v>2</v>
      </c>
      <c r="L685">
        <v>0</v>
      </c>
      <c r="M685">
        <v>0</v>
      </c>
      <c r="N685" t="s">
        <v>333</v>
      </c>
      <c r="O685" t="s">
        <v>484</v>
      </c>
    </row>
    <row r="686" spans="1:15" x14ac:dyDescent="0.3">
      <c r="A686">
        <v>490</v>
      </c>
      <c r="B686" t="s">
        <v>323</v>
      </c>
      <c r="C686">
        <v>172</v>
      </c>
      <c r="D686" t="s">
        <v>145</v>
      </c>
      <c r="E686">
        <v>1715</v>
      </c>
      <c r="F686" t="s">
        <v>1424</v>
      </c>
      <c r="G686">
        <v>6</v>
      </c>
      <c r="H686">
        <v>0</v>
      </c>
      <c r="I686">
        <v>0</v>
      </c>
      <c r="J686">
        <v>6</v>
      </c>
      <c r="K686">
        <v>0</v>
      </c>
      <c r="L686">
        <v>0</v>
      </c>
      <c r="M686">
        <v>0</v>
      </c>
      <c r="N686" t="s">
        <v>416</v>
      </c>
      <c r="O686" t="s">
        <v>326</v>
      </c>
    </row>
    <row r="687" spans="1:15" x14ac:dyDescent="0.3">
      <c r="A687">
        <v>490</v>
      </c>
      <c r="B687" t="s">
        <v>323</v>
      </c>
      <c r="C687">
        <v>172</v>
      </c>
      <c r="D687" t="s">
        <v>145</v>
      </c>
      <c r="E687">
        <v>1716</v>
      </c>
      <c r="F687" t="s">
        <v>1425</v>
      </c>
      <c r="G687">
        <v>4</v>
      </c>
      <c r="H687">
        <v>0</v>
      </c>
      <c r="I687">
        <v>0</v>
      </c>
      <c r="J687">
        <v>3</v>
      </c>
      <c r="K687">
        <v>1</v>
      </c>
      <c r="L687">
        <v>0</v>
      </c>
      <c r="M687">
        <v>0</v>
      </c>
      <c r="N687" t="s">
        <v>333</v>
      </c>
      <c r="O687" t="s">
        <v>484</v>
      </c>
    </row>
    <row r="688" spans="1:15" x14ac:dyDescent="0.3">
      <c r="A688">
        <v>490</v>
      </c>
      <c r="B688" t="s">
        <v>323</v>
      </c>
      <c r="C688">
        <v>172</v>
      </c>
      <c r="D688" t="s">
        <v>145</v>
      </c>
      <c r="E688">
        <v>1717</v>
      </c>
      <c r="F688" t="s">
        <v>1277</v>
      </c>
      <c r="G688">
        <v>0</v>
      </c>
      <c r="H688">
        <v>0</v>
      </c>
      <c r="I688">
        <v>0</v>
      </c>
      <c r="J688">
        <v>0</v>
      </c>
      <c r="K688">
        <v>0</v>
      </c>
      <c r="L688">
        <v>0</v>
      </c>
      <c r="M688">
        <v>0</v>
      </c>
      <c r="N688" t="s">
        <v>414</v>
      </c>
      <c r="O688" t="s">
        <v>348</v>
      </c>
    </row>
    <row r="689" spans="1:15" x14ac:dyDescent="0.3">
      <c r="A689">
        <v>490</v>
      </c>
      <c r="B689" t="s">
        <v>323</v>
      </c>
      <c r="C689">
        <v>172</v>
      </c>
      <c r="D689" t="s">
        <v>145</v>
      </c>
      <c r="E689">
        <v>1719</v>
      </c>
      <c r="F689" t="s">
        <v>1426</v>
      </c>
      <c r="G689">
        <v>5</v>
      </c>
      <c r="H689">
        <v>0</v>
      </c>
      <c r="I689">
        <v>0</v>
      </c>
      <c r="J689">
        <v>5</v>
      </c>
      <c r="K689">
        <v>0</v>
      </c>
      <c r="L689">
        <v>0</v>
      </c>
      <c r="M689">
        <v>0</v>
      </c>
      <c r="N689" t="s">
        <v>325</v>
      </c>
      <c r="O689" t="s">
        <v>348</v>
      </c>
    </row>
    <row r="690" spans="1:15" x14ac:dyDescent="0.3">
      <c r="A690">
        <v>490</v>
      </c>
      <c r="B690" t="s">
        <v>323</v>
      </c>
      <c r="C690">
        <v>172</v>
      </c>
      <c r="D690" t="s">
        <v>145</v>
      </c>
      <c r="E690">
        <v>1720</v>
      </c>
      <c r="F690" t="s">
        <v>1427</v>
      </c>
      <c r="G690">
        <v>25</v>
      </c>
      <c r="H690">
        <v>0</v>
      </c>
      <c r="I690">
        <v>3</v>
      </c>
      <c r="J690">
        <v>6</v>
      </c>
      <c r="K690">
        <v>6</v>
      </c>
      <c r="L690">
        <v>3</v>
      </c>
      <c r="M690">
        <v>7</v>
      </c>
      <c r="N690" t="s">
        <v>325</v>
      </c>
      <c r="O690" t="s">
        <v>336</v>
      </c>
    </row>
    <row r="691" spans="1:15" x14ac:dyDescent="0.3">
      <c r="A691">
        <v>490</v>
      </c>
      <c r="B691" t="s">
        <v>323</v>
      </c>
      <c r="C691">
        <v>172</v>
      </c>
      <c r="D691" t="s">
        <v>145</v>
      </c>
      <c r="E691">
        <v>1721</v>
      </c>
      <c r="F691" t="s">
        <v>1428</v>
      </c>
      <c r="G691">
        <v>0</v>
      </c>
      <c r="H691">
        <v>0</v>
      </c>
      <c r="I691">
        <v>0</v>
      </c>
      <c r="J691">
        <v>0</v>
      </c>
      <c r="K691">
        <v>0</v>
      </c>
      <c r="L691">
        <v>0</v>
      </c>
      <c r="M691">
        <v>0</v>
      </c>
      <c r="N691" t="s">
        <v>325</v>
      </c>
      <c r="O691" t="s">
        <v>348</v>
      </c>
    </row>
    <row r="692" spans="1:15" x14ac:dyDescent="0.3">
      <c r="A692">
        <v>490</v>
      </c>
      <c r="B692" t="s">
        <v>323</v>
      </c>
      <c r="C692">
        <v>172</v>
      </c>
      <c r="D692" t="s">
        <v>145</v>
      </c>
      <c r="E692">
        <v>1722</v>
      </c>
      <c r="F692" t="s">
        <v>1429</v>
      </c>
      <c r="G692">
        <v>0</v>
      </c>
      <c r="H692">
        <v>0</v>
      </c>
      <c r="I692">
        <v>0</v>
      </c>
      <c r="J692">
        <v>0</v>
      </c>
      <c r="K692">
        <v>0</v>
      </c>
      <c r="L692">
        <v>0</v>
      </c>
      <c r="M692">
        <v>0</v>
      </c>
      <c r="N692" t="s">
        <v>325</v>
      </c>
      <c r="O692" t="s">
        <v>484</v>
      </c>
    </row>
    <row r="693" spans="1:15" x14ac:dyDescent="0.3">
      <c r="A693">
        <v>490</v>
      </c>
      <c r="B693" t="s">
        <v>323</v>
      </c>
      <c r="C693">
        <v>172</v>
      </c>
      <c r="D693" t="s">
        <v>145</v>
      </c>
      <c r="E693">
        <v>1723</v>
      </c>
      <c r="F693" t="s">
        <v>1430</v>
      </c>
      <c r="G693">
        <v>0</v>
      </c>
      <c r="H693">
        <v>0</v>
      </c>
      <c r="I693">
        <v>0</v>
      </c>
      <c r="J693">
        <v>0</v>
      </c>
      <c r="K693">
        <v>0</v>
      </c>
      <c r="L693">
        <v>0</v>
      </c>
      <c r="M693">
        <v>0</v>
      </c>
      <c r="N693" t="s">
        <v>325</v>
      </c>
      <c r="O693" t="s">
        <v>343</v>
      </c>
    </row>
    <row r="694" spans="1:15" x14ac:dyDescent="0.3">
      <c r="A694">
        <v>490</v>
      </c>
      <c r="B694" t="s">
        <v>323</v>
      </c>
      <c r="C694">
        <v>172</v>
      </c>
      <c r="D694" t="s">
        <v>145</v>
      </c>
      <c r="E694">
        <v>1724</v>
      </c>
      <c r="F694" t="s">
        <v>1431</v>
      </c>
      <c r="G694">
        <v>5</v>
      </c>
      <c r="H694">
        <v>5</v>
      </c>
      <c r="I694">
        <v>0</v>
      </c>
      <c r="J694">
        <v>0</v>
      </c>
      <c r="K694">
        <v>0</v>
      </c>
      <c r="L694">
        <v>0</v>
      </c>
      <c r="M694">
        <v>0</v>
      </c>
      <c r="N694" t="s">
        <v>325</v>
      </c>
      <c r="O694" t="s">
        <v>484</v>
      </c>
    </row>
    <row r="695" spans="1:15" x14ac:dyDescent="0.3">
      <c r="A695">
        <v>490</v>
      </c>
      <c r="B695" t="s">
        <v>323</v>
      </c>
      <c r="C695">
        <v>172</v>
      </c>
      <c r="D695" t="s">
        <v>145</v>
      </c>
      <c r="E695">
        <v>1725</v>
      </c>
      <c r="F695" t="s">
        <v>1432</v>
      </c>
      <c r="G695">
        <v>0</v>
      </c>
      <c r="H695">
        <v>0</v>
      </c>
      <c r="I695">
        <v>0</v>
      </c>
      <c r="J695">
        <v>0</v>
      </c>
      <c r="K695">
        <v>0</v>
      </c>
      <c r="L695">
        <v>0</v>
      </c>
      <c r="M695">
        <v>0</v>
      </c>
      <c r="N695" t="s">
        <v>325</v>
      </c>
      <c r="O695" t="s">
        <v>484</v>
      </c>
    </row>
    <row r="696" spans="1:15" x14ac:dyDescent="0.3">
      <c r="A696">
        <v>490</v>
      </c>
      <c r="B696" t="s">
        <v>323</v>
      </c>
      <c r="C696">
        <v>172</v>
      </c>
      <c r="D696" t="s">
        <v>145</v>
      </c>
      <c r="E696">
        <v>1726</v>
      </c>
      <c r="F696" t="s">
        <v>1433</v>
      </c>
      <c r="G696">
        <v>1</v>
      </c>
      <c r="H696">
        <v>0</v>
      </c>
      <c r="I696">
        <v>0</v>
      </c>
      <c r="J696">
        <v>1</v>
      </c>
      <c r="K696">
        <v>0</v>
      </c>
      <c r="L696">
        <v>0</v>
      </c>
      <c r="M696">
        <v>0</v>
      </c>
      <c r="N696" t="s">
        <v>333</v>
      </c>
      <c r="O696" t="s">
        <v>484</v>
      </c>
    </row>
    <row r="697" spans="1:15" x14ac:dyDescent="0.3">
      <c r="A697">
        <v>490</v>
      </c>
      <c r="B697" t="s">
        <v>323</v>
      </c>
      <c r="C697">
        <v>172</v>
      </c>
      <c r="D697" t="s">
        <v>145</v>
      </c>
      <c r="E697">
        <v>1727</v>
      </c>
      <c r="F697" t="s">
        <v>1434</v>
      </c>
      <c r="G697">
        <v>0</v>
      </c>
      <c r="H697">
        <v>0</v>
      </c>
      <c r="I697">
        <v>0</v>
      </c>
      <c r="J697">
        <v>0</v>
      </c>
      <c r="K697">
        <v>0</v>
      </c>
      <c r="L697">
        <v>0</v>
      </c>
      <c r="M697">
        <v>0</v>
      </c>
      <c r="N697" t="s">
        <v>325</v>
      </c>
      <c r="O697" t="s">
        <v>484</v>
      </c>
    </row>
    <row r="698" spans="1:15" x14ac:dyDescent="0.3">
      <c r="A698">
        <v>490</v>
      </c>
      <c r="B698" t="s">
        <v>323</v>
      </c>
      <c r="C698">
        <v>172</v>
      </c>
      <c r="D698" t="s">
        <v>145</v>
      </c>
      <c r="E698">
        <v>1728</v>
      </c>
      <c r="F698" t="s">
        <v>1435</v>
      </c>
      <c r="G698">
        <v>5</v>
      </c>
      <c r="H698">
        <v>0</v>
      </c>
      <c r="I698">
        <v>1</v>
      </c>
      <c r="J698">
        <v>3</v>
      </c>
      <c r="K698">
        <v>1</v>
      </c>
      <c r="L698">
        <v>0</v>
      </c>
      <c r="M698">
        <v>0</v>
      </c>
      <c r="N698" t="s">
        <v>410</v>
      </c>
      <c r="O698" t="s">
        <v>484</v>
      </c>
    </row>
    <row r="699" spans="1:15" x14ac:dyDescent="0.3">
      <c r="A699">
        <v>490</v>
      </c>
      <c r="B699" t="s">
        <v>323</v>
      </c>
      <c r="C699">
        <v>172</v>
      </c>
      <c r="D699" t="s">
        <v>145</v>
      </c>
      <c r="E699">
        <v>1729</v>
      </c>
      <c r="F699" t="s">
        <v>1436</v>
      </c>
      <c r="G699">
        <v>0</v>
      </c>
      <c r="H699">
        <v>0</v>
      </c>
      <c r="I699">
        <v>0</v>
      </c>
      <c r="J699">
        <v>0</v>
      </c>
      <c r="K699">
        <v>0</v>
      </c>
      <c r="L699">
        <v>0</v>
      </c>
      <c r="M699">
        <v>0</v>
      </c>
      <c r="N699" t="s">
        <v>325</v>
      </c>
      <c r="O699" t="s">
        <v>348</v>
      </c>
    </row>
    <row r="700" spans="1:15" x14ac:dyDescent="0.3">
      <c r="A700">
        <v>490</v>
      </c>
      <c r="B700" t="s">
        <v>323</v>
      </c>
      <c r="C700">
        <v>172</v>
      </c>
      <c r="D700" t="s">
        <v>145</v>
      </c>
      <c r="E700">
        <v>1730</v>
      </c>
      <c r="F700" t="s">
        <v>1437</v>
      </c>
      <c r="G700">
        <v>0</v>
      </c>
      <c r="H700">
        <v>0</v>
      </c>
      <c r="I700">
        <v>0</v>
      </c>
      <c r="J700">
        <v>0</v>
      </c>
      <c r="K700">
        <v>0</v>
      </c>
      <c r="L700">
        <v>0</v>
      </c>
      <c r="M700">
        <v>0</v>
      </c>
      <c r="N700" t="s">
        <v>410</v>
      </c>
      <c r="O700" t="s">
        <v>484</v>
      </c>
    </row>
    <row r="701" spans="1:15" x14ac:dyDescent="0.3">
      <c r="A701">
        <v>490</v>
      </c>
      <c r="B701" t="s">
        <v>323</v>
      </c>
      <c r="C701">
        <v>172</v>
      </c>
      <c r="D701" t="s">
        <v>145</v>
      </c>
      <c r="E701">
        <v>1731</v>
      </c>
      <c r="F701" t="s">
        <v>1438</v>
      </c>
      <c r="G701">
        <v>7</v>
      </c>
      <c r="H701">
        <v>0</v>
      </c>
      <c r="I701">
        <v>3</v>
      </c>
      <c r="J701">
        <v>4</v>
      </c>
      <c r="K701">
        <v>0</v>
      </c>
      <c r="L701">
        <v>0</v>
      </c>
      <c r="M701">
        <v>0</v>
      </c>
      <c r="N701" t="s">
        <v>410</v>
      </c>
      <c r="O701" t="s">
        <v>348</v>
      </c>
    </row>
    <row r="702" spans="1:15" x14ac:dyDescent="0.3">
      <c r="A702">
        <v>490</v>
      </c>
      <c r="B702" t="s">
        <v>323</v>
      </c>
      <c r="C702">
        <v>172</v>
      </c>
      <c r="D702" t="s">
        <v>145</v>
      </c>
      <c r="E702">
        <v>2139</v>
      </c>
      <c r="F702" t="s">
        <v>18043</v>
      </c>
      <c r="G702">
        <v>5</v>
      </c>
      <c r="H702">
        <v>0</v>
      </c>
      <c r="I702">
        <v>0</v>
      </c>
      <c r="J702">
        <v>5</v>
      </c>
      <c r="K702">
        <v>0</v>
      </c>
      <c r="L702">
        <v>0</v>
      </c>
      <c r="M702">
        <v>0</v>
      </c>
      <c r="N702" t="s">
        <v>333</v>
      </c>
      <c r="O702" t="s">
        <v>484</v>
      </c>
    </row>
    <row r="703" spans="1:15" x14ac:dyDescent="0.3">
      <c r="A703">
        <v>490</v>
      </c>
      <c r="B703" t="s">
        <v>323</v>
      </c>
      <c r="C703">
        <v>172</v>
      </c>
      <c r="D703" t="s">
        <v>145</v>
      </c>
      <c r="E703">
        <v>2140</v>
      </c>
      <c r="F703" t="s">
        <v>18044</v>
      </c>
      <c r="G703">
        <v>5</v>
      </c>
      <c r="H703">
        <v>0</v>
      </c>
      <c r="I703">
        <v>3</v>
      </c>
      <c r="J703">
        <v>2</v>
      </c>
      <c r="K703">
        <v>0</v>
      </c>
      <c r="L703">
        <v>0</v>
      </c>
      <c r="M703">
        <v>0</v>
      </c>
      <c r="N703" t="s">
        <v>333</v>
      </c>
      <c r="O703" t="s">
        <v>484</v>
      </c>
    </row>
    <row r="704" spans="1:15" x14ac:dyDescent="0.3">
      <c r="A704">
        <v>492</v>
      </c>
      <c r="B704" t="s">
        <v>323</v>
      </c>
      <c r="C704">
        <v>174</v>
      </c>
      <c r="D704" t="s">
        <v>149</v>
      </c>
      <c r="E704">
        <v>962</v>
      </c>
      <c r="F704" t="s">
        <v>1440</v>
      </c>
      <c r="G704">
        <v>7</v>
      </c>
      <c r="H704">
        <v>0</v>
      </c>
      <c r="I704">
        <v>0</v>
      </c>
      <c r="J704">
        <v>0</v>
      </c>
      <c r="K704">
        <v>4</v>
      </c>
      <c r="L704">
        <v>3</v>
      </c>
      <c r="M704">
        <v>0</v>
      </c>
      <c r="N704" t="s">
        <v>410</v>
      </c>
      <c r="O704" t="s">
        <v>343</v>
      </c>
    </row>
    <row r="705" spans="1:15" x14ac:dyDescent="0.3">
      <c r="A705">
        <v>492</v>
      </c>
      <c r="B705" t="s">
        <v>323</v>
      </c>
      <c r="C705">
        <v>174</v>
      </c>
      <c r="D705" t="s">
        <v>149</v>
      </c>
      <c r="E705">
        <v>967</v>
      </c>
      <c r="F705" t="s">
        <v>393</v>
      </c>
      <c r="G705">
        <v>4</v>
      </c>
      <c r="H705">
        <v>0</v>
      </c>
      <c r="I705">
        <v>0</v>
      </c>
      <c r="J705">
        <v>0</v>
      </c>
      <c r="K705">
        <v>0</v>
      </c>
      <c r="L705">
        <v>4</v>
      </c>
      <c r="M705">
        <v>0</v>
      </c>
      <c r="N705" t="s">
        <v>410</v>
      </c>
      <c r="O705" t="s">
        <v>336</v>
      </c>
    </row>
    <row r="706" spans="1:15" x14ac:dyDescent="0.3">
      <c r="A706">
        <v>492</v>
      </c>
      <c r="B706" t="s">
        <v>323</v>
      </c>
      <c r="C706">
        <v>174</v>
      </c>
      <c r="D706" t="s">
        <v>149</v>
      </c>
      <c r="E706">
        <v>1838</v>
      </c>
      <c r="F706" t="s">
        <v>1444</v>
      </c>
      <c r="G706">
        <v>2</v>
      </c>
      <c r="H706">
        <v>0</v>
      </c>
      <c r="I706">
        <v>0</v>
      </c>
      <c r="J706">
        <v>0</v>
      </c>
      <c r="K706">
        <v>0</v>
      </c>
      <c r="L706">
        <v>2</v>
      </c>
      <c r="M706">
        <v>0</v>
      </c>
      <c r="N706" t="s">
        <v>333</v>
      </c>
      <c r="O706" t="s">
        <v>336</v>
      </c>
    </row>
    <row r="707" spans="1:15" x14ac:dyDescent="0.3">
      <c r="A707">
        <v>492</v>
      </c>
      <c r="B707" t="s">
        <v>323</v>
      </c>
      <c r="C707">
        <v>174</v>
      </c>
      <c r="D707" t="s">
        <v>149</v>
      </c>
      <c r="E707">
        <v>2056</v>
      </c>
      <c r="F707" t="s">
        <v>18045</v>
      </c>
      <c r="G707">
        <v>6</v>
      </c>
      <c r="H707">
        <v>0</v>
      </c>
      <c r="I707">
        <v>0</v>
      </c>
      <c r="J707">
        <v>0</v>
      </c>
      <c r="K707">
        <v>3</v>
      </c>
      <c r="L707">
        <v>3</v>
      </c>
      <c r="M707">
        <v>0</v>
      </c>
      <c r="N707" t="s">
        <v>325</v>
      </c>
      <c r="O707" t="s">
        <v>348</v>
      </c>
    </row>
    <row r="708" spans="1:15" x14ac:dyDescent="0.3">
      <c r="A708">
        <v>492</v>
      </c>
      <c r="B708" t="s">
        <v>323</v>
      </c>
      <c r="C708">
        <v>174</v>
      </c>
      <c r="D708" t="s">
        <v>149</v>
      </c>
      <c r="E708">
        <v>2058</v>
      </c>
      <c r="F708" t="s">
        <v>1363</v>
      </c>
      <c r="G708">
        <v>2</v>
      </c>
      <c r="H708">
        <v>0</v>
      </c>
      <c r="I708">
        <v>0</v>
      </c>
      <c r="J708">
        <v>0</v>
      </c>
      <c r="K708">
        <v>1</v>
      </c>
      <c r="L708">
        <v>1</v>
      </c>
      <c r="M708">
        <v>0</v>
      </c>
      <c r="N708" t="s">
        <v>333</v>
      </c>
      <c r="O708" t="s">
        <v>343</v>
      </c>
    </row>
    <row r="709" spans="1:15" x14ac:dyDescent="0.3">
      <c r="A709">
        <v>492</v>
      </c>
      <c r="B709" t="s">
        <v>323</v>
      </c>
      <c r="C709">
        <v>174</v>
      </c>
      <c r="D709" t="s">
        <v>149</v>
      </c>
      <c r="E709">
        <v>2059</v>
      </c>
      <c r="F709" t="s">
        <v>18046</v>
      </c>
      <c r="G709">
        <v>3</v>
      </c>
      <c r="H709">
        <v>0</v>
      </c>
      <c r="I709">
        <v>0</v>
      </c>
      <c r="J709">
        <v>0</v>
      </c>
      <c r="K709">
        <v>2</v>
      </c>
      <c r="L709">
        <v>1</v>
      </c>
      <c r="M709">
        <v>0</v>
      </c>
      <c r="N709" t="s">
        <v>333</v>
      </c>
      <c r="O709" t="s">
        <v>326</v>
      </c>
    </row>
    <row r="710" spans="1:15" x14ac:dyDescent="0.3">
      <c r="A710">
        <v>493</v>
      </c>
      <c r="B710" t="s">
        <v>323</v>
      </c>
      <c r="C710">
        <v>175</v>
      </c>
      <c r="D710" t="s">
        <v>151</v>
      </c>
      <c r="E710">
        <v>486</v>
      </c>
      <c r="F710" t="s">
        <v>393</v>
      </c>
      <c r="G710">
        <v>7</v>
      </c>
      <c r="H710">
        <v>0</v>
      </c>
      <c r="I710">
        <v>2</v>
      </c>
      <c r="J710">
        <v>4</v>
      </c>
      <c r="K710">
        <v>1</v>
      </c>
      <c r="L710">
        <v>0</v>
      </c>
      <c r="M710">
        <v>0</v>
      </c>
      <c r="N710" t="s">
        <v>566</v>
      </c>
      <c r="O710" t="s">
        <v>326</v>
      </c>
    </row>
    <row r="711" spans="1:15" x14ac:dyDescent="0.3">
      <c r="A711">
        <v>493</v>
      </c>
      <c r="B711" t="s">
        <v>323</v>
      </c>
      <c r="C711">
        <v>175</v>
      </c>
      <c r="D711" t="s">
        <v>151</v>
      </c>
      <c r="E711">
        <v>487</v>
      </c>
      <c r="F711" t="s">
        <v>834</v>
      </c>
      <c r="G711">
        <v>6</v>
      </c>
      <c r="H711">
        <v>1</v>
      </c>
      <c r="I711">
        <v>3</v>
      </c>
      <c r="J711">
        <v>1</v>
      </c>
      <c r="K711">
        <v>1</v>
      </c>
      <c r="L711">
        <v>0</v>
      </c>
      <c r="M711">
        <v>0</v>
      </c>
      <c r="N711" t="s">
        <v>410</v>
      </c>
      <c r="O711" t="s">
        <v>343</v>
      </c>
    </row>
    <row r="712" spans="1:15" x14ac:dyDescent="0.3">
      <c r="A712">
        <v>493</v>
      </c>
      <c r="B712" t="s">
        <v>323</v>
      </c>
      <c r="C712">
        <v>175</v>
      </c>
      <c r="D712" t="s">
        <v>151</v>
      </c>
      <c r="E712">
        <v>488</v>
      </c>
      <c r="F712" t="s">
        <v>835</v>
      </c>
      <c r="G712">
        <v>6</v>
      </c>
      <c r="H712">
        <v>1</v>
      </c>
      <c r="I712">
        <v>2</v>
      </c>
      <c r="J712">
        <v>3</v>
      </c>
      <c r="K712">
        <v>0</v>
      </c>
      <c r="L712">
        <v>0</v>
      </c>
      <c r="M712">
        <v>0</v>
      </c>
      <c r="N712" t="s">
        <v>325</v>
      </c>
      <c r="O712" t="s">
        <v>326</v>
      </c>
    </row>
    <row r="713" spans="1:15" x14ac:dyDescent="0.3">
      <c r="A713">
        <v>493</v>
      </c>
      <c r="B713" t="s">
        <v>323</v>
      </c>
      <c r="C713">
        <v>175</v>
      </c>
      <c r="D713" t="s">
        <v>151</v>
      </c>
      <c r="E713">
        <v>490</v>
      </c>
      <c r="F713" t="s">
        <v>837</v>
      </c>
      <c r="G713">
        <v>6</v>
      </c>
      <c r="H713">
        <v>0</v>
      </c>
      <c r="I713">
        <v>0</v>
      </c>
      <c r="J713">
        <v>0</v>
      </c>
      <c r="K713">
        <v>0</v>
      </c>
      <c r="L713">
        <v>0</v>
      </c>
      <c r="M713">
        <v>6</v>
      </c>
      <c r="N713" t="s">
        <v>325</v>
      </c>
      <c r="O713" t="s">
        <v>329</v>
      </c>
    </row>
    <row r="714" spans="1:15" x14ac:dyDescent="0.3">
      <c r="A714">
        <v>493</v>
      </c>
      <c r="B714" t="s">
        <v>323</v>
      </c>
      <c r="C714">
        <v>175</v>
      </c>
      <c r="D714" t="s">
        <v>151</v>
      </c>
      <c r="E714">
        <v>491</v>
      </c>
      <c r="F714" t="s">
        <v>838</v>
      </c>
      <c r="G714">
        <v>5</v>
      </c>
      <c r="H714">
        <v>0</v>
      </c>
      <c r="I714">
        <v>0</v>
      </c>
      <c r="J714">
        <v>0</v>
      </c>
      <c r="K714">
        <v>0</v>
      </c>
      <c r="L714">
        <v>0</v>
      </c>
      <c r="M714">
        <v>5</v>
      </c>
      <c r="N714" t="s">
        <v>325</v>
      </c>
      <c r="O714" t="s">
        <v>348</v>
      </c>
    </row>
    <row r="715" spans="1:15" x14ac:dyDescent="0.3">
      <c r="A715">
        <v>493</v>
      </c>
      <c r="B715" t="s">
        <v>323</v>
      </c>
      <c r="C715">
        <v>175</v>
      </c>
      <c r="D715" t="s">
        <v>151</v>
      </c>
      <c r="E715">
        <v>492</v>
      </c>
      <c r="F715" t="s">
        <v>839</v>
      </c>
      <c r="G715">
        <v>7</v>
      </c>
      <c r="H715">
        <v>7</v>
      </c>
      <c r="I715">
        <v>0</v>
      </c>
      <c r="J715">
        <v>0</v>
      </c>
      <c r="K715">
        <v>0</v>
      </c>
      <c r="L715">
        <v>0</v>
      </c>
      <c r="M715">
        <v>0</v>
      </c>
      <c r="N715" t="s">
        <v>325</v>
      </c>
      <c r="O715" t="s">
        <v>484</v>
      </c>
    </row>
    <row r="716" spans="1:15" x14ac:dyDescent="0.3">
      <c r="A716">
        <v>493</v>
      </c>
      <c r="B716" t="s">
        <v>323</v>
      </c>
      <c r="C716">
        <v>175</v>
      </c>
      <c r="D716" t="s">
        <v>151</v>
      </c>
      <c r="E716">
        <v>493</v>
      </c>
      <c r="F716" t="s">
        <v>840</v>
      </c>
      <c r="G716">
        <v>4</v>
      </c>
      <c r="H716">
        <v>0</v>
      </c>
      <c r="I716">
        <v>3</v>
      </c>
      <c r="J716">
        <v>0</v>
      </c>
      <c r="K716">
        <v>1</v>
      </c>
      <c r="L716">
        <v>0</v>
      </c>
      <c r="M716">
        <v>0</v>
      </c>
      <c r="N716" t="s">
        <v>325</v>
      </c>
      <c r="O716" t="s">
        <v>329</v>
      </c>
    </row>
    <row r="717" spans="1:15" x14ac:dyDescent="0.3">
      <c r="A717">
        <v>493</v>
      </c>
      <c r="B717" t="s">
        <v>323</v>
      </c>
      <c r="C717">
        <v>175</v>
      </c>
      <c r="D717" t="s">
        <v>151</v>
      </c>
      <c r="E717">
        <v>494</v>
      </c>
      <c r="F717" t="s">
        <v>676</v>
      </c>
      <c r="G717">
        <v>9</v>
      </c>
      <c r="H717">
        <v>1</v>
      </c>
      <c r="I717">
        <v>0</v>
      </c>
      <c r="J717">
        <v>7</v>
      </c>
      <c r="K717">
        <v>1</v>
      </c>
      <c r="L717">
        <v>0</v>
      </c>
      <c r="M717">
        <v>0</v>
      </c>
      <c r="N717" t="s">
        <v>325</v>
      </c>
      <c r="O717" t="s">
        <v>326</v>
      </c>
    </row>
    <row r="718" spans="1:15" x14ac:dyDescent="0.3">
      <c r="A718">
        <v>493</v>
      </c>
      <c r="B718" t="s">
        <v>323</v>
      </c>
      <c r="C718">
        <v>175</v>
      </c>
      <c r="D718" t="s">
        <v>151</v>
      </c>
      <c r="E718">
        <v>495</v>
      </c>
      <c r="F718" t="s">
        <v>841</v>
      </c>
      <c r="G718">
        <v>5</v>
      </c>
      <c r="H718">
        <v>0</v>
      </c>
      <c r="I718">
        <v>2</v>
      </c>
      <c r="J718">
        <v>2</v>
      </c>
      <c r="K718">
        <v>1</v>
      </c>
      <c r="L718">
        <v>0</v>
      </c>
      <c r="M718">
        <v>0</v>
      </c>
      <c r="N718" t="s">
        <v>325</v>
      </c>
      <c r="O718" t="s">
        <v>326</v>
      </c>
    </row>
    <row r="719" spans="1:15" x14ac:dyDescent="0.3">
      <c r="A719">
        <v>493</v>
      </c>
      <c r="B719" t="s">
        <v>323</v>
      </c>
      <c r="C719">
        <v>175</v>
      </c>
      <c r="D719" t="s">
        <v>151</v>
      </c>
      <c r="E719">
        <v>496</v>
      </c>
      <c r="F719" t="s">
        <v>842</v>
      </c>
      <c r="G719">
        <v>5</v>
      </c>
      <c r="H719">
        <v>3</v>
      </c>
      <c r="I719">
        <v>2</v>
      </c>
      <c r="J719">
        <v>0</v>
      </c>
      <c r="K719">
        <v>0</v>
      </c>
      <c r="L719">
        <v>0</v>
      </c>
      <c r="M719">
        <v>0</v>
      </c>
      <c r="N719" t="s">
        <v>333</v>
      </c>
      <c r="O719" t="s">
        <v>343</v>
      </c>
    </row>
    <row r="720" spans="1:15" x14ac:dyDescent="0.3">
      <c r="A720">
        <v>493</v>
      </c>
      <c r="B720" t="s">
        <v>323</v>
      </c>
      <c r="C720">
        <v>175</v>
      </c>
      <c r="D720" t="s">
        <v>151</v>
      </c>
      <c r="E720">
        <v>498</v>
      </c>
      <c r="F720" t="s">
        <v>844</v>
      </c>
      <c r="G720">
        <v>10</v>
      </c>
      <c r="H720">
        <v>1</v>
      </c>
      <c r="I720">
        <v>4</v>
      </c>
      <c r="J720">
        <v>3</v>
      </c>
      <c r="K720">
        <v>2</v>
      </c>
      <c r="L720">
        <v>0</v>
      </c>
      <c r="M720">
        <v>0</v>
      </c>
      <c r="N720" t="s">
        <v>325</v>
      </c>
      <c r="O720" t="s">
        <v>326</v>
      </c>
    </row>
    <row r="721" spans="1:15" x14ac:dyDescent="0.3">
      <c r="A721">
        <v>493</v>
      </c>
      <c r="B721" t="s">
        <v>323</v>
      </c>
      <c r="C721">
        <v>175</v>
      </c>
      <c r="D721" t="s">
        <v>151</v>
      </c>
      <c r="E721">
        <v>499</v>
      </c>
      <c r="F721" t="s">
        <v>845</v>
      </c>
      <c r="G721">
        <v>6</v>
      </c>
      <c r="H721">
        <v>1</v>
      </c>
      <c r="I721">
        <v>0</v>
      </c>
      <c r="J721">
        <v>0</v>
      </c>
      <c r="K721">
        <v>0</v>
      </c>
      <c r="L721">
        <v>0</v>
      </c>
      <c r="M721">
        <v>5</v>
      </c>
      <c r="N721" t="s">
        <v>325</v>
      </c>
      <c r="O721" t="s">
        <v>348</v>
      </c>
    </row>
    <row r="722" spans="1:15" x14ac:dyDescent="0.3">
      <c r="A722">
        <v>493</v>
      </c>
      <c r="B722" t="s">
        <v>323</v>
      </c>
      <c r="C722">
        <v>175</v>
      </c>
      <c r="D722" t="s">
        <v>151</v>
      </c>
      <c r="E722">
        <v>500</v>
      </c>
      <c r="F722" t="s">
        <v>846</v>
      </c>
      <c r="G722">
        <v>5</v>
      </c>
      <c r="H722">
        <v>0</v>
      </c>
      <c r="I722">
        <v>5</v>
      </c>
      <c r="J722">
        <v>0</v>
      </c>
      <c r="K722">
        <v>0</v>
      </c>
      <c r="L722">
        <v>0</v>
      </c>
      <c r="M722">
        <v>0</v>
      </c>
      <c r="N722" t="s">
        <v>410</v>
      </c>
      <c r="O722" t="s">
        <v>348</v>
      </c>
    </row>
    <row r="723" spans="1:15" x14ac:dyDescent="0.3">
      <c r="A723">
        <v>493</v>
      </c>
      <c r="B723" t="s">
        <v>323</v>
      </c>
      <c r="C723">
        <v>175</v>
      </c>
      <c r="D723" t="s">
        <v>151</v>
      </c>
      <c r="E723">
        <v>501</v>
      </c>
      <c r="F723" t="s">
        <v>847</v>
      </c>
      <c r="G723">
        <v>7</v>
      </c>
      <c r="H723">
        <v>0</v>
      </c>
      <c r="I723">
        <v>0</v>
      </c>
      <c r="J723">
        <v>5</v>
      </c>
      <c r="K723">
        <v>2</v>
      </c>
      <c r="L723">
        <v>0</v>
      </c>
      <c r="M723">
        <v>0</v>
      </c>
      <c r="N723" t="s">
        <v>325</v>
      </c>
      <c r="O723" t="s">
        <v>326</v>
      </c>
    </row>
    <row r="724" spans="1:15" x14ac:dyDescent="0.3">
      <c r="A724">
        <v>493</v>
      </c>
      <c r="B724" t="s">
        <v>323</v>
      </c>
      <c r="C724">
        <v>175</v>
      </c>
      <c r="D724" t="s">
        <v>151</v>
      </c>
      <c r="E724">
        <v>502</v>
      </c>
      <c r="F724" t="s">
        <v>848</v>
      </c>
      <c r="G724">
        <v>8</v>
      </c>
      <c r="H724">
        <v>2</v>
      </c>
      <c r="I724">
        <v>4</v>
      </c>
      <c r="J724">
        <v>1</v>
      </c>
      <c r="K724">
        <v>0</v>
      </c>
      <c r="L724">
        <v>1</v>
      </c>
      <c r="M724">
        <v>0</v>
      </c>
      <c r="N724" t="s">
        <v>325</v>
      </c>
      <c r="O724" t="s">
        <v>326</v>
      </c>
    </row>
    <row r="725" spans="1:15" x14ac:dyDescent="0.3">
      <c r="A725">
        <v>493</v>
      </c>
      <c r="B725" t="s">
        <v>323</v>
      </c>
      <c r="C725">
        <v>175</v>
      </c>
      <c r="D725" t="s">
        <v>151</v>
      </c>
      <c r="E725">
        <v>504</v>
      </c>
      <c r="F725" t="s">
        <v>353</v>
      </c>
      <c r="G725">
        <v>7</v>
      </c>
      <c r="H725">
        <v>0</v>
      </c>
      <c r="I725">
        <v>0</v>
      </c>
      <c r="J725">
        <v>4</v>
      </c>
      <c r="K725">
        <v>2</v>
      </c>
      <c r="L725">
        <v>1</v>
      </c>
      <c r="M725">
        <v>0</v>
      </c>
      <c r="N725" t="s">
        <v>325</v>
      </c>
      <c r="O725" t="s">
        <v>326</v>
      </c>
    </row>
    <row r="726" spans="1:15" x14ac:dyDescent="0.3">
      <c r="A726">
        <v>493</v>
      </c>
      <c r="B726" t="s">
        <v>323</v>
      </c>
      <c r="C726">
        <v>175</v>
      </c>
      <c r="D726" t="s">
        <v>151</v>
      </c>
      <c r="E726">
        <v>505</v>
      </c>
      <c r="F726" t="s">
        <v>850</v>
      </c>
      <c r="G726">
        <v>21</v>
      </c>
      <c r="H726">
        <v>2</v>
      </c>
      <c r="I726">
        <v>1</v>
      </c>
      <c r="J726">
        <v>13</v>
      </c>
      <c r="K726">
        <v>3</v>
      </c>
      <c r="L726">
        <v>2</v>
      </c>
      <c r="M726">
        <v>0</v>
      </c>
      <c r="N726" t="s">
        <v>333</v>
      </c>
      <c r="O726" t="s">
        <v>326</v>
      </c>
    </row>
    <row r="727" spans="1:15" x14ac:dyDescent="0.3">
      <c r="A727">
        <v>493</v>
      </c>
      <c r="B727" t="s">
        <v>323</v>
      </c>
      <c r="C727">
        <v>175</v>
      </c>
      <c r="D727" t="s">
        <v>151</v>
      </c>
      <c r="E727">
        <v>506</v>
      </c>
      <c r="F727" t="s">
        <v>851</v>
      </c>
      <c r="G727">
        <v>25</v>
      </c>
      <c r="H727">
        <v>0</v>
      </c>
      <c r="I727">
        <v>3</v>
      </c>
      <c r="J727">
        <v>12</v>
      </c>
      <c r="K727">
        <v>6</v>
      </c>
      <c r="L727">
        <v>4</v>
      </c>
      <c r="M727">
        <v>0</v>
      </c>
      <c r="N727" t="s">
        <v>333</v>
      </c>
      <c r="O727" t="s">
        <v>326</v>
      </c>
    </row>
    <row r="728" spans="1:15" x14ac:dyDescent="0.3">
      <c r="A728">
        <v>493</v>
      </c>
      <c r="B728" t="s">
        <v>323</v>
      </c>
      <c r="C728">
        <v>175</v>
      </c>
      <c r="D728" t="s">
        <v>151</v>
      </c>
      <c r="E728">
        <v>508</v>
      </c>
      <c r="F728" t="s">
        <v>853</v>
      </c>
      <c r="G728">
        <v>11</v>
      </c>
      <c r="H728">
        <v>0</v>
      </c>
      <c r="I728">
        <v>2</v>
      </c>
      <c r="J728">
        <v>5</v>
      </c>
      <c r="K728">
        <v>3</v>
      </c>
      <c r="L728">
        <v>1</v>
      </c>
      <c r="M728">
        <v>0</v>
      </c>
      <c r="N728" t="s">
        <v>325</v>
      </c>
      <c r="O728" t="s">
        <v>326</v>
      </c>
    </row>
    <row r="729" spans="1:15" x14ac:dyDescent="0.3">
      <c r="A729">
        <v>493</v>
      </c>
      <c r="B729" t="s">
        <v>323</v>
      </c>
      <c r="C729">
        <v>175</v>
      </c>
      <c r="D729" t="s">
        <v>151</v>
      </c>
      <c r="E729">
        <v>510</v>
      </c>
      <c r="F729" t="s">
        <v>855</v>
      </c>
      <c r="G729">
        <v>6</v>
      </c>
      <c r="H729">
        <v>0</v>
      </c>
      <c r="I729">
        <v>1</v>
      </c>
      <c r="J729">
        <v>0</v>
      </c>
      <c r="K729">
        <v>0</v>
      </c>
      <c r="L729">
        <v>0</v>
      </c>
      <c r="M729">
        <v>5</v>
      </c>
      <c r="N729" t="s">
        <v>325</v>
      </c>
      <c r="O729" t="s">
        <v>343</v>
      </c>
    </row>
    <row r="730" spans="1:15" x14ac:dyDescent="0.3">
      <c r="A730">
        <v>493</v>
      </c>
      <c r="B730" t="s">
        <v>323</v>
      </c>
      <c r="C730">
        <v>175</v>
      </c>
      <c r="D730" t="s">
        <v>151</v>
      </c>
      <c r="E730">
        <v>511</v>
      </c>
      <c r="F730" t="s">
        <v>856</v>
      </c>
      <c r="G730">
        <v>6</v>
      </c>
      <c r="H730">
        <v>0</v>
      </c>
      <c r="I730">
        <v>0</v>
      </c>
      <c r="J730">
        <v>6</v>
      </c>
      <c r="K730">
        <v>0</v>
      </c>
      <c r="L730">
        <v>0</v>
      </c>
      <c r="M730">
        <v>0</v>
      </c>
      <c r="N730" t="s">
        <v>410</v>
      </c>
      <c r="O730" t="s">
        <v>343</v>
      </c>
    </row>
    <row r="731" spans="1:15" x14ac:dyDescent="0.3">
      <c r="A731">
        <v>493</v>
      </c>
      <c r="B731" t="s">
        <v>323</v>
      </c>
      <c r="C731">
        <v>175</v>
      </c>
      <c r="D731" t="s">
        <v>151</v>
      </c>
      <c r="E731">
        <v>512</v>
      </c>
      <c r="F731" t="s">
        <v>857</v>
      </c>
      <c r="G731">
        <v>5</v>
      </c>
      <c r="H731">
        <v>0</v>
      </c>
      <c r="I731">
        <v>5</v>
      </c>
      <c r="J731">
        <v>0</v>
      </c>
      <c r="K731">
        <v>0</v>
      </c>
      <c r="L731">
        <v>0</v>
      </c>
      <c r="M731">
        <v>0</v>
      </c>
      <c r="N731" t="s">
        <v>325</v>
      </c>
      <c r="O731" t="s">
        <v>348</v>
      </c>
    </row>
    <row r="732" spans="1:15" x14ac:dyDescent="0.3">
      <c r="A732">
        <v>493</v>
      </c>
      <c r="B732" t="s">
        <v>323</v>
      </c>
      <c r="C732">
        <v>175</v>
      </c>
      <c r="D732" t="s">
        <v>151</v>
      </c>
      <c r="E732">
        <v>513</v>
      </c>
      <c r="F732" t="s">
        <v>858</v>
      </c>
      <c r="G732">
        <v>4</v>
      </c>
      <c r="H732">
        <v>1</v>
      </c>
      <c r="I732">
        <v>3</v>
      </c>
      <c r="J732">
        <v>0</v>
      </c>
      <c r="K732">
        <v>0</v>
      </c>
      <c r="L732">
        <v>0</v>
      </c>
      <c r="M732">
        <v>0</v>
      </c>
      <c r="N732" t="s">
        <v>325</v>
      </c>
      <c r="O732" t="s">
        <v>348</v>
      </c>
    </row>
    <row r="733" spans="1:15" x14ac:dyDescent="0.3">
      <c r="A733">
        <v>493</v>
      </c>
      <c r="B733" t="s">
        <v>323</v>
      </c>
      <c r="C733">
        <v>175</v>
      </c>
      <c r="D733" t="s">
        <v>151</v>
      </c>
      <c r="E733">
        <v>514</v>
      </c>
      <c r="F733" t="s">
        <v>859</v>
      </c>
      <c r="G733">
        <v>6</v>
      </c>
      <c r="H733">
        <v>0</v>
      </c>
      <c r="I733">
        <v>1</v>
      </c>
      <c r="J733">
        <v>4</v>
      </c>
      <c r="K733">
        <v>1</v>
      </c>
      <c r="L733">
        <v>0</v>
      </c>
      <c r="M733">
        <v>0</v>
      </c>
      <c r="N733" t="s">
        <v>414</v>
      </c>
      <c r="O733" t="s">
        <v>326</v>
      </c>
    </row>
    <row r="734" spans="1:15" x14ac:dyDescent="0.3">
      <c r="A734">
        <v>493</v>
      </c>
      <c r="B734" t="s">
        <v>323</v>
      </c>
      <c r="C734">
        <v>175</v>
      </c>
      <c r="D734" t="s">
        <v>151</v>
      </c>
      <c r="E734">
        <v>515</v>
      </c>
      <c r="F734" t="s">
        <v>860</v>
      </c>
      <c r="G734">
        <v>14</v>
      </c>
      <c r="H734">
        <v>2</v>
      </c>
      <c r="I734">
        <v>3</v>
      </c>
      <c r="J734">
        <v>5</v>
      </c>
      <c r="K734">
        <v>4</v>
      </c>
      <c r="L734">
        <v>0</v>
      </c>
      <c r="M734">
        <v>0</v>
      </c>
      <c r="N734" t="s">
        <v>325</v>
      </c>
      <c r="O734" t="s">
        <v>326</v>
      </c>
    </row>
    <row r="735" spans="1:15" x14ac:dyDescent="0.3">
      <c r="A735">
        <v>493</v>
      </c>
      <c r="B735" t="s">
        <v>323</v>
      </c>
      <c r="C735">
        <v>175</v>
      </c>
      <c r="D735" t="s">
        <v>151</v>
      </c>
      <c r="E735">
        <v>516</v>
      </c>
      <c r="F735" t="s">
        <v>861</v>
      </c>
      <c r="G735">
        <v>18</v>
      </c>
      <c r="H735">
        <v>3</v>
      </c>
      <c r="I735">
        <v>4</v>
      </c>
      <c r="J735">
        <v>4</v>
      </c>
      <c r="K735">
        <v>6</v>
      </c>
      <c r="L735">
        <v>1</v>
      </c>
      <c r="M735">
        <v>0</v>
      </c>
      <c r="N735" t="s">
        <v>325</v>
      </c>
      <c r="O735" t="s">
        <v>326</v>
      </c>
    </row>
    <row r="736" spans="1:15" x14ac:dyDescent="0.3">
      <c r="A736">
        <v>493</v>
      </c>
      <c r="B736" t="s">
        <v>323</v>
      </c>
      <c r="C736">
        <v>175</v>
      </c>
      <c r="D736" t="s">
        <v>151</v>
      </c>
      <c r="E736">
        <v>517</v>
      </c>
      <c r="F736" t="s">
        <v>862</v>
      </c>
      <c r="G736">
        <v>6</v>
      </c>
      <c r="H736">
        <v>2</v>
      </c>
      <c r="I736">
        <v>3</v>
      </c>
      <c r="J736">
        <v>0</v>
      </c>
      <c r="K736">
        <v>1</v>
      </c>
      <c r="L736">
        <v>0</v>
      </c>
      <c r="M736">
        <v>0</v>
      </c>
      <c r="N736" t="s">
        <v>325</v>
      </c>
      <c r="O736" t="s">
        <v>326</v>
      </c>
    </row>
    <row r="737" spans="1:15" x14ac:dyDescent="0.3">
      <c r="A737">
        <v>493</v>
      </c>
      <c r="B737" t="s">
        <v>323</v>
      </c>
      <c r="C737">
        <v>175</v>
      </c>
      <c r="D737" t="s">
        <v>151</v>
      </c>
      <c r="E737">
        <v>518</v>
      </c>
      <c r="F737" t="s">
        <v>863</v>
      </c>
      <c r="G737">
        <v>5</v>
      </c>
      <c r="H737">
        <v>1</v>
      </c>
      <c r="I737">
        <v>0</v>
      </c>
      <c r="J737">
        <v>4</v>
      </c>
      <c r="K737">
        <v>0</v>
      </c>
      <c r="L737">
        <v>0</v>
      </c>
      <c r="M737">
        <v>0</v>
      </c>
      <c r="N737" t="s">
        <v>325</v>
      </c>
      <c r="O737" t="s">
        <v>326</v>
      </c>
    </row>
    <row r="738" spans="1:15" x14ac:dyDescent="0.3">
      <c r="A738">
        <v>493</v>
      </c>
      <c r="B738" t="s">
        <v>323</v>
      </c>
      <c r="C738">
        <v>175</v>
      </c>
      <c r="D738" t="s">
        <v>151</v>
      </c>
      <c r="E738">
        <v>519</v>
      </c>
      <c r="F738" t="s">
        <v>864</v>
      </c>
      <c r="G738">
        <v>6</v>
      </c>
      <c r="H738">
        <v>2</v>
      </c>
      <c r="I738">
        <v>4</v>
      </c>
      <c r="J738">
        <v>0</v>
      </c>
      <c r="K738">
        <v>0</v>
      </c>
      <c r="L738">
        <v>0</v>
      </c>
      <c r="M738">
        <v>0</v>
      </c>
      <c r="N738" t="s">
        <v>410</v>
      </c>
      <c r="O738" t="s">
        <v>336</v>
      </c>
    </row>
    <row r="739" spans="1:15" x14ac:dyDescent="0.3">
      <c r="A739">
        <v>493</v>
      </c>
      <c r="B739" t="s">
        <v>323</v>
      </c>
      <c r="C739">
        <v>175</v>
      </c>
      <c r="D739" t="s">
        <v>151</v>
      </c>
      <c r="E739">
        <v>520</v>
      </c>
      <c r="F739" t="s">
        <v>865</v>
      </c>
      <c r="G739">
        <v>6</v>
      </c>
      <c r="H739">
        <v>0</v>
      </c>
      <c r="I739">
        <v>0</v>
      </c>
      <c r="J739">
        <v>6</v>
      </c>
      <c r="K739">
        <v>0</v>
      </c>
      <c r="L739">
        <v>0</v>
      </c>
      <c r="M739">
        <v>0</v>
      </c>
      <c r="N739" t="s">
        <v>410</v>
      </c>
      <c r="O739" t="s">
        <v>484</v>
      </c>
    </row>
    <row r="740" spans="1:15" x14ac:dyDescent="0.3">
      <c r="A740">
        <v>493</v>
      </c>
      <c r="B740" t="s">
        <v>323</v>
      </c>
      <c r="C740">
        <v>175</v>
      </c>
      <c r="D740" t="s">
        <v>151</v>
      </c>
      <c r="E740">
        <v>521</v>
      </c>
      <c r="F740" t="s">
        <v>866</v>
      </c>
      <c r="G740">
        <v>6</v>
      </c>
      <c r="H740">
        <v>0</v>
      </c>
      <c r="I740">
        <v>2</v>
      </c>
      <c r="J740">
        <v>2</v>
      </c>
      <c r="K740">
        <v>2</v>
      </c>
      <c r="L740">
        <v>0</v>
      </c>
      <c r="M740">
        <v>0</v>
      </c>
      <c r="N740" t="s">
        <v>325</v>
      </c>
      <c r="O740" t="s">
        <v>329</v>
      </c>
    </row>
    <row r="741" spans="1:15" x14ac:dyDescent="0.3">
      <c r="A741">
        <v>493</v>
      </c>
      <c r="B741" t="s">
        <v>323</v>
      </c>
      <c r="C741">
        <v>175</v>
      </c>
      <c r="D741" t="s">
        <v>151</v>
      </c>
      <c r="E741">
        <v>522</v>
      </c>
      <c r="F741" t="s">
        <v>867</v>
      </c>
      <c r="G741">
        <v>34</v>
      </c>
      <c r="H741">
        <v>3</v>
      </c>
      <c r="I741">
        <v>3</v>
      </c>
      <c r="J741">
        <v>10</v>
      </c>
      <c r="K741">
        <v>12</v>
      </c>
      <c r="L741">
        <v>6</v>
      </c>
      <c r="M741">
        <v>0</v>
      </c>
      <c r="N741" t="s">
        <v>333</v>
      </c>
      <c r="O741" t="s">
        <v>326</v>
      </c>
    </row>
    <row r="742" spans="1:15" x14ac:dyDescent="0.3">
      <c r="A742">
        <v>493</v>
      </c>
      <c r="B742" t="s">
        <v>323</v>
      </c>
      <c r="C742">
        <v>175</v>
      </c>
      <c r="D742" t="s">
        <v>151</v>
      </c>
      <c r="E742">
        <v>1526</v>
      </c>
      <c r="F742" t="s">
        <v>868</v>
      </c>
      <c r="G742">
        <v>5</v>
      </c>
      <c r="H742">
        <v>1</v>
      </c>
      <c r="I742">
        <v>0</v>
      </c>
      <c r="J742">
        <v>0</v>
      </c>
      <c r="K742">
        <v>0</v>
      </c>
      <c r="L742">
        <v>0</v>
      </c>
      <c r="M742">
        <v>4</v>
      </c>
      <c r="N742" t="s">
        <v>325</v>
      </c>
      <c r="O742" t="s">
        <v>348</v>
      </c>
    </row>
    <row r="743" spans="1:15" x14ac:dyDescent="0.3">
      <c r="A743">
        <v>493</v>
      </c>
      <c r="B743" t="s">
        <v>323</v>
      </c>
      <c r="C743">
        <v>175</v>
      </c>
      <c r="D743" t="s">
        <v>151</v>
      </c>
      <c r="E743">
        <v>1527</v>
      </c>
      <c r="F743" t="s">
        <v>869</v>
      </c>
      <c r="G743">
        <v>5</v>
      </c>
      <c r="H743">
        <v>0</v>
      </c>
      <c r="I743">
        <v>5</v>
      </c>
      <c r="J743">
        <v>0</v>
      </c>
      <c r="K743">
        <v>0</v>
      </c>
      <c r="L743">
        <v>0</v>
      </c>
      <c r="M743">
        <v>0</v>
      </c>
      <c r="N743" t="s">
        <v>325</v>
      </c>
      <c r="O743" t="s">
        <v>348</v>
      </c>
    </row>
    <row r="744" spans="1:15" x14ac:dyDescent="0.3">
      <c r="A744">
        <v>493</v>
      </c>
      <c r="B744" t="s">
        <v>323</v>
      </c>
      <c r="C744">
        <v>175</v>
      </c>
      <c r="D744" t="s">
        <v>151</v>
      </c>
      <c r="E744">
        <v>1930</v>
      </c>
      <c r="F744" t="s">
        <v>1445</v>
      </c>
      <c r="G744">
        <v>29</v>
      </c>
      <c r="H744">
        <v>3</v>
      </c>
      <c r="I744">
        <v>8</v>
      </c>
      <c r="J744">
        <v>10</v>
      </c>
      <c r="K744">
        <v>4</v>
      </c>
      <c r="L744">
        <v>4</v>
      </c>
      <c r="M744">
        <v>0</v>
      </c>
      <c r="N744" t="s">
        <v>325</v>
      </c>
      <c r="O744" t="s">
        <v>326</v>
      </c>
    </row>
    <row r="745" spans="1:15" x14ac:dyDescent="0.3">
      <c r="A745">
        <v>493</v>
      </c>
      <c r="B745" t="s">
        <v>323</v>
      </c>
      <c r="C745">
        <v>175</v>
      </c>
      <c r="D745" t="s">
        <v>151</v>
      </c>
      <c r="E745">
        <v>1931</v>
      </c>
      <c r="F745" t="s">
        <v>1446</v>
      </c>
      <c r="G745">
        <v>3</v>
      </c>
      <c r="H745">
        <v>0</v>
      </c>
      <c r="I745">
        <v>0</v>
      </c>
      <c r="J745">
        <v>0</v>
      </c>
      <c r="K745">
        <v>1</v>
      </c>
      <c r="L745">
        <v>1</v>
      </c>
      <c r="M745">
        <v>1</v>
      </c>
      <c r="N745" t="s">
        <v>410</v>
      </c>
      <c r="O745" t="s">
        <v>329</v>
      </c>
    </row>
    <row r="746" spans="1:15" x14ac:dyDescent="0.3">
      <c r="A746">
        <v>493</v>
      </c>
      <c r="B746" t="s">
        <v>323</v>
      </c>
      <c r="C746">
        <v>175</v>
      </c>
      <c r="D746" t="s">
        <v>151</v>
      </c>
      <c r="E746">
        <v>1932</v>
      </c>
      <c r="F746" t="s">
        <v>1447</v>
      </c>
      <c r="G746">
        <v>7</v>
      </c>
      <c r="H746">
        <v>0</v>
      </c>
      <c r="I746">
        <v>0</v>
      </c>
      <c r="J746">
        <v>3</v>
      </c>
      <c r="K746">
        <v>3</v>
      </c>
      <c r="L746">
        <v>1</v>
      </c>
      <c r="M746">
        <v>0</v>
      </c>
      <c r="N746" t="s">
        <v>410</v>
      </c>
      <c r="O746" t="s">
        <v>343</v>
      </c>
    </row>
    <row r="747" spans="1:15" x14ac:dyDescent="0.3">
      <c r="A747">
        <v>493</v>
      </c>
      <c r="B747" t="s">
        <v>323</v>
      </c>
      <c r="C747">
        <v>175</v>
      </c>
      <c r="D747" t="s">
        <v>151</v>
      </c>
      <c r="E747">
        <v>1933</v>
      </c>
      <c r="F747" t="s">
        <v>1448</v>
      </c>
      <c r="G747">
        <v>9</v>
      </c>
      <c r="H747">
        <v>0</v>
      </c>
      <c r="I747">
        <v>0</v>
      </c>
      <c r="J747">
        <v>4</v>
      </c>
      <c r="K747">
        <v>4</v>
      </c>
      <c r="L747">
        <v>1</v>
      </c>
      <c r="M747">
        <v>0</v>
      </c>
      <c r="N747" t="s">
        <v>410</v>
      </c>
      <c r="O747" t="s">
        <v>343</v>
      </c>
    </row>
    <row r="748" spans="1:15" x14ac:dyDescent="0.3">
      <c r="A748">
        <v>494</v>
      </c>
      <c r="B748" t="s">
        <v>323</v>
      </c>
      <c r="C748">
        <v>176</v>
      </c>
      <c r="D748" t="s">
        <v>153</v>
      </c>
      <c r="E748">
        <v>374</v>
      </c>
      <c r="F748" t="s">
        <v>873</v>
      </c>
      <c r="G748">
        <v>16</v>
      </c>
      <c r="H748">
        <v>0</v>
      </c>
      <c r="I748">
        <v>1</v>
      </c>
      <c r="J748">
        <v>4</v>
      </c>
      <c r="K748">
        <v>0</v>
      </c>
      <c r="L748">
        <v>11</v>
      </c>
      <c r="M748">
        <v>0</v>
      </c>
      <c r="N748" t="s">
        <v>325</v>
      </c>
      <c r="O748" t="s">
        <v>326</v>
      </c>
    </row>
    <row r="749" spans="1:15" x14ac:dyDescent="0.3">
      <c r="A749">
        <v>494</v>
      </c>
      <c r="B749" t="s">
        <v>323</v>
      </c>
      <c r="C749">
        <v>176</v>
      </c>
      <c r="D749" t="s">
        <v>153</v>
      </c>
      <c r="E749">
        <v>376</v>
      </c>
      <c r="F749" t="s">
        <v>678</v>
      </c>
      <c r="G749">
        <v>24</v>
      </c>
      <c r="H749">
        <v>0</v>
      </c>
      <c r="I749">
        <v>1</v>
      </c>
      <c r="J749">
        <v>5</v>
      </c>
      <c r="K749">
        <v>8</v>
      </c>
      <c r="L749">
        <v>10</v>
      </c>
      <c r="M749">
        <v>0</v>
      </c>
      <c r="N749" t="s">
        <v>325</v>
      </c>
      <c r="O749" t="s">
        <v>326</v>
      </c>
    </row>
    <row r="750" spans="1:15" x14ac:dyDescent="0.3">
      <c r="A750">
        <v>494</v>
      </c>
      <c r="B750" t="s">
        <v>323</v>
      </c>
      <c r="C750">
        <v>176</v>
      </c>
      <c r="D750" t="s">
        <v>153</v>
      </c>
      <c r="E750">
        <v>377</v>
      </c>
      <c r="F750" t="s">
        <v>874</v>
      </c>
      <c r="G750">
        <v>12</v>
      </c>
      <c r="H750">
        <v>2</v>
      </c>
      <c r="I750">
        <v>1</v>
      </c>
      <c r="J750">
        <v>2</v>
      </c>
      <c r="K750">
        <v>3</v>
      </c>
      <c r="L750">
        <v>4</v>
      </c>
      <c r="M750">
        <v>0</v>
      </c>
      <c r="N750" t="s">
        <v>333</v>
      </c>
      <c r="O750" t="s">
        <v>326</v>
      </c>
    </row>
    <row r="751" spans="1:15" x14ac:dyDescent="0.3">
      <c r="A751">
        <v>494</v>
      </c>
      <c r="B751" t="s">
        <v>323</v>
      </c>
      <c r="C751">
        <v>176</v>
      </c>
      <c r="D751" t="s">
        <v>153</v>
      </c>
      <c r="E751">
        <v>379</v>
      </c>
      <c r="F751" t="s">
        <v>876</v>
      </c>
      <c r="G751">
        <v>13</v>
      </c>
      <c r="H751">
        <v>1</v>
      </c>
      <c r="I751">
        <v>1</v>
      </c>
      <c r="J751">
        <v>3</v>
      </c>
      <c r="K751">
        <v>3</v>
      </c>
      <c r="L751">
        <v>5</v>
      </c>
      <c r="M751">
        <v>0</v>
      </c>
      <c r="N751" t="s">
        <v>325</v>
      </c>
      <c r="O751" t="s">
        <v>326</v>
      </c>
    </row>
    <row r="752" spans="1:15" x14ac:dyDescent="0.3">
      <c r="A752">
        <v>494</v>
      </c>
      <c r="B752" t="s">
        <v>323</v>
      </c>
      <c r="C752">
        <v>176</v>
      </c>
      <c r="D752" t="s">
        <v>153</v>
      </c>
      <c r="E752">
        <v>381</v>
      </c>
      <c r="F752" t="s">
        <v>877</v>
      </c>
      <c r="G752">
        <v>0</v>
      </c>
      <c r="H752">
        <v>0</v>
      </c>
      <c r="I752">
        <v>0</v>
      </c>
      <c r="J752">
        <v>0</v>
      </c>
      <c r="K752">
        <v>0</v>
      </c>
      <c r="L752">
        <v>0</v>
      </c>
      <c r="M752">
        <v>0</v>
      </c>
      <c r="N752" t="s">
        <v>410</v>
      </c>
      <c r="O752" t="s">
        <v>326</v>
      </c>
    </row>
    <row r="753" spans="1:15" x14ac:dyDescent="0.3">
      <c r="A753">
        <v>494</v>
      </c>
      <c r="B753" t="s">
        <v>323</v>
      </c>
      <c r="C753">
        <v>176</v>
      </c>
      <c r="D753" t="s">
        <v>153</v>
      </c>
      <c r="E753">
        <v>382</v>
      </c>
      <c r="F753" t="s">
        <v>878</v>
      </c>
      <c r="G753">
        <v>4</v>
      </c>
      <c r="H753">
        <v>4</v>
      </c>
      <c r="I753">
        <v>0</v>
      </c>
      <c r="J753">
        <v>0</v>
      </c>
      <c r="K753">
        <v>0</v>
      </c>
      <c r="L753">
        <v>0</v>
      </c>
      <c r="M753">
        <v>0</v>
      </c>
      <c r="N753" t="s">
        <v>325</v>
      </c>
      <c r="O753" t="s">
        <v>336</v>
      </c>
    </row>
    <row r="754" spans="1:15" x14ac:dyDescent="0.3">
      <c r="A754">
        <v>494</v>
      </c>
      <c r="B754" t="s">
        <v>323</v>
      </c>
      <c r="C754">
        <v>176</v>
      </c>
      <c r="D754" t="s">
        <v>153</v>
      </c>
      <c r="E754">
        <v>386</v>
      </c>
      <c r="F754" t="s">
        <v>439</v>
      </c>
      <c r="G754">
        <v>20</v>
      </c>
      <c r="H754">
        <v>3</v>
      </c>
      <c r="I754">
        <v>3</v>
      </c>
      <c r="J754">
        <v>8</v>
      </c>
      <c r="K754">
        <v>3</v>
      </c>
      <c r="L754">
        <v>3</v>
      </c>
      <c r="M754">
        <v>0</v>
      </c>
      <c r="N754" t="s">
        <v>325</v>
      </c>
      <c r="O754" t="s">
        <v>326</v>
      </c>
    </row>
    <row r="755" spans="1:15" x14ac:dyDescent="0.3">
      <c r="A755">
        <v>494</v>
      </c>
      <c r="B755" t="s">
        <v>323</v>
      </c>
      <c r="C755">
        <v>176</v>
      </c>
      <c r="D755" t="s">
        <v>153</v>
      </c>
      <c r="E755">
        <v>387</v>
      </c>
      <c r="F755" t="s">
        <v>398</v>
      </c>
      <c r="G755">
        <v>4</v>
      </c>
      <c r="H755">
        <v>0</v>
      </c>
      <c r="I755">
        <v>3</v>
      </c>
      <c r="J755">
        <v>1</v>
      </c>
      <c r="K755">
        <v>0</v>
      </c>
      <c r="L755">
        <v>0</v>
      </c>
      <c r="M755">
        <v>0</v>
      </c>
      <c r="N755" t="s">
        <v>325</v>
      </c>
      <c r="O755" t="s">
        <v>343</v>
      </c>
    </row>
    <row r="756" spans="1:15" x14ac:dyDescent="0.3">
      <c r="A756">
        <v>494</v>
      </c>
      <c r="B756" t="s">
        <v>323</v>
      </c>
      <c r="C756">
        <v>176</v>
      </c>
      <c r="D756" t="s">
        <v>153</v>
      </c>
      <c r="E756">
        <v>388</v>
      </c>
      <c r="F756" t="s">
        <v>879</v>
      </c>
      <c r="G756">
        <v>4</v>
      </c>
      <c r="H756">
        <v>1</v>
      </c>
      <c r="I756">
        <v>2</v>
      </c>
      <c r="J756">
        <v>0</v>
      </c>
      <c r="K756">
        <v>0</v>
      </c>
      <c r="L756">
        <v>1</v>
      </c>
      <c r="M756">
        <v>0</v>
      </c>
      <c r="N756" t="s">
        <v>410</v>
      </c>
      <c r="O756" t="s">
        <v>343</v>
      </c>
    </row>
    <row r="757" spans="1:15" x14ac:dyDescent="0.3">
      <c r="A757">
        <v>494</v>
      </c>
      <c r="B757" t="s">
        <v>323</v>
      </c>
      <c r="C757">
        <v>176</v>
      </c>
      <c r="D757" t="s">
        <v>153</v>
      </c>
      <c r="E757">
        <v>389</v>
      </c>
      <c r="F757" t="s">
        <v>880</v>
      </c>
      <c r="G757">
        <v>7</v>
      </c>
      <c r="H757">
        <v>1</v>
      </c>
      <c r="I757">
        <v>1</v>
      </c>
      <c r="J757">
        <v>4</v>
      </c>
      <c r="K757">
        <v>1</v>
      </c>
      <c r="L757">
        <v>0</v>
      </c>
      <c r="M757">
        <v>0</v>
      </c>
      <c r="N757" t="s">
        <v>325</v>
      </c>
      <c r="O757" t="s">
        <v>326</v>
      </c>
    </row>
    <row r="758" spans="1:15" x14ac:dyDescent="0.3">
      <c r="A758">
        <v>494</v>
      </c>
      <c r="B758" t="s">
        <v>323</v>
      </c>
      <c r="C758">
        <v>176</v>
      </c>
      <c r="D758" t="s">
        <v>153</v>
      </c>
      <c r="E758">
        <v>392</v>
      </c>
      <c r="F758" t="s">
        <v>869</v>
      </c>
      <c r="G758">
        <v>5</v>
      </c>
      <c r="H758">
        <v>2</v>
      </c>
      <c r="I758">
        <v>2</v>
      </c>
      <c r="J758">
        <v>1</v>
      </c>
      <c r="K758">
        <v>0</v>
      </c>
      <c r="L758">
        <v>0</v>
      </c>
      <c r="M758">
        <v>0</v>
      </c>
      <c r="N758" t="s">
        <v>325</v>
      </c>
      <c r="O758" t="s">
        <v>343</v>
      </c>
    </row>
    <row r="759" spans="1:15" x14ac:dyDescent="0.3">
      <c r="A759">
        <v>494</v>
      </c>
      <c r="B759" t="s">
        <v>323</v>
      </c>
      <c r="C759">
        <v>176</v>
      </c>
      <c r="D759" t="s">
        <v>153</v>
      </c>
      <c r="E759">
        <v>393</v>
      </c>
      <c r="F759" t="s">
        <v>881</v>
      </c>
      <c r="G759">
        <v>20</v>
      </c>
      <c r="H759">
        <v>5</v>
      </c>
      <c r="I759">
        <v>3</v>
      </c>
      <c r="J759">
        <v>7</v>
      </c>
      <c r="K759">
        <v>5</v>
      </c>
      <c r="L759">
        <v>0</v>
      </c>
      <c r="M759">
        <v>0</v>
      </c>
      <c r="N759" t="s">
        <v>325</v>
      </c>
      <c r="O759" t="s">
        <v>326</v>
      </c>
    </row>
    <row r="760" spans="1:15" x14ac:dyDescent="0.3">
      <c r="A760">
        <v>494</v>
      </c>
      <c r="B760" t="s">
        <v>323</v>
      </c>
      <c r="C760">
        <v>176</v>
      </c>
      <c r="D760" t="s">
        <v>153</v>
      </c>
      <c r="E760">
        <v>394</v>
      </c>
      <c r="F760" t="s">
        <v>882</v>
      </c>
      <c r="G760">
        <v>5</v>
      </c>
      <c r="H760">
        <v>0</v>
      </c>
      <c r="I760">
        <v>0</v>
      </c>
      <c r="J760">
        <v>2</v>
      </c>
      <c r="K760">
        <v>3</v>
      </c>
      <c r="L760">
        <v>0</v>
      </c>
      <c r="M760">
        <v>0</v>
      </c>
      <c r="N760" t="s">
        <v>410</v>
      </c>
      <c r="O760" t="s">
        <v>343</v>
      </c>
    </row>
    <row r="761" spans="1:15" x14ac:dyDescent="0.3">
      <c r="A761">
        <v>494</v>
      </c>
      <c r="B761" t="s">
        <v>323</v>
      </c>
      <c r="C761">
        <v>176</v>
      </c>
      <c r="D761" t="s">
        <v>153</v>
      </c>
      <c r="E761">
        <v>395</v>
      </c>
      <c r="F761" t="s">
        <v>883</v>
      </c>
      <c r="G761">
        <v>5</v>
      </c>
      <c r="H761">
        <v>2</v>
      </c>
      <c r="I761">
        <v>1</v>
      </c>
      <c r="J761">
        <v>2</v>
      </c>
      <c r="K761">
        <v>0</v>
      </c>
      <c r="L761">
        <v>0</v>
      </c>
      <c r="M761">
        <v>0</v>
      </c>
      <c r="N761" t="s">
        <v>325</v>
      </c>
      <c r="O761" t="s">
        <v>343</v>
      </c>
    </row>
    <row r="762" spans="1:15" x14ac:dyDescent="0.3">
      <c r="A762">
        <v>494</v>
      </c>
      <c r="B762" t="s">
        <v>323</v>
      </c>
      <c r="C762">
        <v>176</v>
      </c>
      <c r="D762" t="s">
        <v>153</v>
      </c>
      <c r="E762">
        <v>396</v>
      </c>
      <c r="F762" t="s">
        <v>831</v>
      </c>
      <c r="G762">
        <v>8</v>
      </c>
      <c r="H762">
        <v>2</v>
      </c>
      <c r="I762">
        <v>2</v>
      </c>
      <c r="J762">
        <v>2</v>
      </c>
      <c r="K762">
        <v>2</v>
      </c>
      <c r="L762">
        <v>0</v>
      </c>
      <c r="M762">
        <v>0</v>
      </c>
      <c r="N762" t="s">
        <v>410</v>
      </c>
      <c r="O762" t="s">
        <v>336</v>
      </c>
    </row>
    <row r="763" spans="1:15" x14ac:dyDescent="0.3">
      <c r="A763">
        <v>494</v>
      </c>
      <c r="B763" t="s">
        <v>323</v>
      </c>
      <c r="C763">
        <v>176</v>
      </c>
      <c r="D763" t="s">
        <v>153</v>
      </c>
      <c r="E763">
        <v>397</v>
      </c>
      <c r="F763" t="s">
        <v>884</v>
      </c>
      <c r="G763">
        <v>4</v>
      </c>
      <c r="H763">
        <v>0</v>
      </c>
      <c r="I763">
        <v>3</v>
      </c>
      <c r="J763">
        <v>1</v>
      </c>
      <c r="K763">
        <v>0</v>
      </c>
      <c r="L763">
        <v>0</v>
      </c>
      <c r="M763">
        <v>0</v>
      </c>
      <c r="N763" t="s">
        <v>325</v>
      </c>
      <c r="O763" t="s">
        <v>336</v>
      </c>
    </row>
    <row r="764" spans="1:15" x14ac:dyDescent="0.3">
      <c r="A764">
        <v>494</v>
      </c>
      <c r="B764" t="s">
        <v>323</v>
      </c>
      <c r="C764">
        <v>176</v>
      </c>
      <c r="D764" t="s">
        <v>153</v>
      </c>
      <c r="E764">
        <v>398</v>
      </c>
      <c r="F764" t="s">
        <v>885</v>
      </c>
      <c r="G764">
        <v>5</v>
      </c>
      <c r="H764">
        <v>0</v>
      </c>
      <c r="I764">
        <v>1</v>
      </c>
      <c r="J764">
        <v>2</v>
      </c>
      <c r="K764">
        <v>2</v>
      </c>
      <c r="L764">
        <v>0</v>
      </c>
      <c r="M764">
        <v>0</v>
      </c>
      <c r="N764" t="s">
        <v>325</v>
      </c>
      <c r="O764" t="s">
        <v>343</v>
      </c>
    </row>
    <row r="765" spans="1:15" x14ac:dyDescent="0.3">
      <c r="A765">
        <v>494</v>
      </c>
      <c r="B765" t="s">
        <v>323</v>
      </c>
      <c r="C765">
        <v>176</v>
      </c>
      <c r="D765" t="s">
        <v>153</v>
      </c>
      <c r="E765">
        <v>1483</v>
      </c>
      <c r="F765" t="s">
        <v>890</v>
      </c>
      <c r="G765">
        <v>5</v>
      </c>
      <c r="H765">
        <v>5</v>
      </c>
      <c r="I765">
        <v>0</v>
      </c>
      <c r="J765">
        <v>0</v>
      </c>
      <c r="K765">
        <v>0</v>
      </c>
      <c r="L765">
        <v>0</v>
      </c>
      <c r="M765">
        <v>0</v>
      </c>
      <c r="N765" t="s">
        <v>325</v>
      </c>
      <c r="O765" t="s">
        <v>343</v>
      </c>
    </row>
    <row r="766" spans="1:15" x14ac:dyDescent="0.3">
      <c r="A766">
        <v>494</v>
      </c>
      <c r="B766" t="s">
        <v>323</v>
      </c>
      <c r="C766">
        <v>176</v>
      </c>
      <c r="D766" t="s">
        <v>153</v>
      </c>
      <c r="E766">
        <v>1847</v>
      </c>
      <c r="F766" t="s">
        <v>1449</v>
      </c>
      <c r="G766">
        <v>6</v>
      </c>
      <c r="H766">
        <v>0</v>
      </c>
      <c r="I766">
        <v>0</v>
      </c>
      <c r="J766">
        <v>1</v>
      </c>
      <c r="K766">
        <v>3</v>
      </c>
      <c r="L766">
        <v>2</v>
      </c>
      <c r="M766">
        <v>0</v>
      </c>
      <c r="N766" t="s">
        <v>333</v>
      </c>
      <c r="O766" t="s">
        <v>336</v>
      </c>
    </row>
    <row r="767" spans="1:15" x14ac:dyDescent="0.3">
      <c r="A767">
        <v>494</v>
      </c>
      <c r="B767" t="s">
        <v>323</v>
      </c>
      <c r="C767">
        <v>176</v>
      </c>
      <c r="D767" t="s">
        <v>153</v>
      </c>
      <c r="E767">
        <v>1848</v>
      </c>
      <c r="F767" t="s">
        <v>1450</v>
      </c>
      <c r="G767">
        <v>10</v>
      </c>
      <c r="H767">
        <v>0</v>
      </c>
      <c r="I767">
        <v>0</v>
      </c>
      <c r="J767">
        <v>7</v>
      </c>
      <c r="K767">
        <v>3</v>
      </c>
      <c r="L767">
        <v>0</v>
      </c>
      <c r="M767">
        <v>0</v>
      </c>
      <c r="N767" t="s">
        <v>325</v>
      </c>
      <c r="O767" t="s">
        <v>326</v>
      </c>
    </row>
    <row r="768" spans="1:15" x14ac:dyDescent="0.3">
      <c r="A768">
        <v>494</v>
      </c>
      <c r="B768" t="s">
        <v>323</v>
      </c>
      <c r="C768">
        <v>176</v>
      </c>
      <c r="D768" t="s">
        <v>153</v>
      </c>
      <c r="E768">
        <v>1849</v>
      </c>
      <c r="F768" t="s">
        <v>1451</v>
      </c>
      <c r="G768">
        <v>8</v>
      </c>
      <c r="H768">
        <v>0</v>
      </c>
      <c r="I768">
        <v>0</v>
      </c>
      <c r="J768">
        <v>2</v>
      </c>
      <c r="K768">
        <v>0</v>
      </c>
      <c r="L768">
        <v>6</v>
      </c>
      <c r="M768">
        <v>0</v>
      </c>
      <c r="N768" t="s">
        <v>333</v>
      </c>
      <c r="O768" t="s">
        <v>326</v>
      </c>
    </row>
    <row r="769" spans="1:15" x14ac:dyDescent="0.3">
      <c r="A769">
        <v>494</v>
      </c>
      <c r="B769" t="s">
        <v>323</v>
      </c>
      <c r="C769">
        <v>176</v>
      </c>
      <c r="D769" t="s">
        <v>153</v>
      </c>
      <c r="E769">
        <v>1852</v>
      </c>
      <c r="F769" t="s">
        <v>1453</v>
      </c>
      <c r="G769">
        <v>3</v>
      </c>
      <c r="H769">
        <v>0</v>
      </c>
      <c r="I769">
        <v>0</v>
      </c>
      <c r="J769">
        <v>3</v>
      </c>
      <c r="K769">
        <v>0</v>
      </c>
      <c r="L769">
        <v>0</v>
      </c>
      <c r="M769">
        <v>0</v>
      </c>
      <c r="N769" t="s">
        <v>325</v>
      </c>
      <c r="O769" t="s">
        <v>336</v>
      </c>
    </row>
    <row r="770" spans="1:15" x14ac:dyDescent="0.3">
      <c r="A770">
        <v>494</v>
      </c>
      <c r="B770" t="s">
        <v>323</v>
      </c>
      <c r="C770">
        <v>176</v>
      </c>
      <c r="D770" t="s">
        <v>153</v>
      </c>
      <c r="E770">
        <v>1853</v>
      </c>
      <c r="F770" t="s">
        <v>1454</v>
      </c>
      <c r="G770">
        <v>0</v>
      </c>
      <c r="H770">
        <v>0</v>
      </c>
      <c r="I770">
        <v>0</v>
      </c>
      <c r="J770">
        <v>0</v>
      </c>
      <c r="K770">
        <v>0</v>
      </c>
      <c r="L770">
        <v>0</v>
      </c>
      <c r="M770">
        <v>0</v>
      </c>
      <c r="N770" t="s">
        <v>325</v>
      </c>
      <c r="O770" t="s">
        <v>336</v>
      </c>
    </row>
    <row r="771" spans="1:15" x14ac:dyDescent="0.3">
      <c r="A771">
        <v>494</v>
      </c>
      <c r="B771" t="s">
        <v>323</v>
      </c>
      <c r="C771">
        <v>176</v>
      </c>
      <c r="D771" t="s">
        <v>153</v>
      </c>
      <c r="E771">
        <v>2045</v>
      </c>
      <c r="F771" t="s">
        <v>18047</v>
      </c>
      <c r="G771">
        <v>5</v>
      </c>
      <c r="H771">
        <v>0</v>
      </c>
      <c r="I771">
        <v>3</v>
      </c>
      <c r="J771">
        <v>1</v>
      </c>
      <c r="K771">
        <v>1</v>
      </c>
      <c r="L771">
        <v>0</v>
      </c>
      <c r="M771">
        <v>0</v>
      </c>
      <c r="N771" t="s">
        <v>325</v>
      </c>
      <c r="O771" t="s">
        <v>336</v>
      </c>
    </row>
    <row r="772" spans="1:15" x14ac:dyDescent="0.3">
      <c r="A772">
        <v>494</v>
      </c>
      <c r="B772" t="s">
        <v>323</v>
      </c>
      <c r="C772">
        <v>176</v>
      </c>
      <c r="D772" t="s">
        <v>153</v>
      </c>
      <c r="E772">
        <v>2046</v>
      </c>
      <c r="F772" t="s">
        <v>1084</v>
      </c>
      <c r="G772">
        <v>4</v>
      </c>
      <c r="H772">
        <v>0</v>
      </c>
      <c r="I772">
        <v>1</v>
      </c>
      <c r="J772">
        <v>1</v>
      </c>
      <c r="K772">
        <v>1</v>
      </c>
      <c r="L772">
        <v>1</v>
      </c>
      <c r="M772">
        <v>0</v>
      </c>
      <c r="N772" t="s">
        <v>325</v>
      </c>
      <c r="O772" t="s">
        <v>326</v>
      </c>
    </row>
    <row r="773" spans="1:15" x14ac:dyDescent="0.3">
      <c r="A773">
        <v>494</v>
      </c>
      <c r="B773" t="s">
        <v>323</v>
      </c>
      <c r="C773">
        <v>176</v>
      </c>
      <c r="D773" t="s">
        <v>153</v>
      </c>
      <c r="E773">
        <v>2047</v>
      </c>
      <c r="F773" t="s">
        <v>18048</v>
      </c>
      <c r="G773">
        <v>7</v>
      </c>
      <c r="H773">
        <v>7</v>
      </c>
      <c r="I773">
        <v>0</v>
      </c>
      <c r="J773">
        <v>0</v>
      </c>
      <c r="K773">
        <v>0</v>
      </c>
      <c r="L773">
        <v>0</v>
      </c>
      <c r="M773">
        <v>0</v>
      </c>
      <c r="N773" t="s">
        <v>325</v>
      </c>
      <c r="O773" t="s">
        <v>484</v>
      </c>
    </row>
    <row r="774" spans="1:15" x14ac:dyDescent="0.3">
      <c r="A774">
        <v>494</v>
      </c>
      <c r="B774" t="s">
        <v>323</v>
      </c>
      <c r="C774">
        <v>176</v>
      </c>
      <c r="D774" t="s">
        <v>153</v>
      </c>
      <c r="E774">
        <v>2048</v>
      </c>
      <c r="F774" t="s">
        <v>18049</v>
      </c>
      <c r="G774">
        <v>7</v>
      </c>
      <c r="H774">
        <v>0</v>
      </c>
      <c r="I774">
        <v>2</v>
      </c>
      <c r="J774">
        <v>3</v>
      </c>
      <c r="K774">
        <v>2</v>
      </c>
      <c r="L774">
        <v>0</v>
      </c>
      <c r="M774">
        <v>0</v>
      </c>
      <c r="N774" t="s">
        <v>414</v>
      </c>
      <c r="O774" t="s">
        <v>336</v>
      </c>
    </row>
    <row r="775" spans="1:15" x14ac:dyDescent="0.3">
      <c r="A775">
        <v>494</v>
      </c>
      <c r="B775" t="s">
        <v>323</v>
      </c>
      <c r="C775">
        <v>176</v>
      </c>
      <c r="D775" t="s">
        <v>153</v>
      </c>
      <c r="E775">
        <v>2049</v>
      </c>
      <c r="F775" t="s">
        <v>18050</v>
      </c>
      <c r="G775">
        <v>0</v>
      </c>
      <c r="H775">
        <v>0</v>
      </c>
      <c r="I775">
        <v>0</v>
      </c>
      <c r="J775">
        <v>0</v>
      </c>
      <c r="K775">
        <v>0</v>
      </c>
      <c r="L775">
        <v>0</v>
      </c>
      <c r="M775">
        <v>0</v>
      </c>
      <c r="N775" t="s">
        <v>325</v>
      </c>
      <c r="O775" t="s">
        <v>336</v>
      </c>
    </row>
    <row r="776" spans="1:15" x14ac:dyDescent="0.3">
      <c r="A776">
        <v>494</v>
      </c>
      <c r="B776" t="s">
        <v>323</v>
      </c>
      <c r="C776">
        <v>176</v>
      </c>
      <c r="D776" t="s">
        <v>153</v>
      </c>
      <c r="E776">
        <v>2050</v>
      </c>
      <c r="F776" t="s">
        <v>18051</v>
      </c>
      <c r="G776">
        <v>4</v>
      </c>
      <c r="H776">
        <v>0</v>
      </c>
      <c r="I776">
        <v>3</v>
      </c>
      <c r="J776">
        <v>1</v>
      </c>
      <c r="K776">
        <v>0</v>
      </c>
      <c r="L776">
        <v>0</v>
      </c>
      <c r="M776">
        <v>0</v>
      </c>
      <c r="N776" t="s">
        <v>410</v>
      </c>
      <c r="O776" t="s">
        <v>326</v>
      </c>
    </row>
    <row r="777" spans="1:15" x14ac:dyDescent="0.3">
      <c r="A777">
        <v>494</v>
      </c>
      <c r="B777" t="s">
        <v>323</v>
      </c>
      <c r="C777">
        <v>176</v>
      </c>
      <c r="D777" t="s">
        <v>153</v>
      </c>
      <c r="E777">
        <v>2051</v>
      </c>
      <c r="F777" t="s">
        <v>680</v>
      </c>
      <c r="G777">
        <v>7</v>
      </c>
      <c r="H777">
        <v>0</v>
      </c>
      <c r="I777">
        <v>0</v>
      </c>
      <c r="J777">
        <v>0</v>
      </c>
      <c r="K777">
        <v>3</v>
      </c>
      <c r="L777">
        <v>4</v>
      </c>
      <c r="M777">
        <v>0</v>
      </c>
      <c r="N777" t="s">
        <v>325</v>
      </c>
      <c r="O777" t="s">
        <v>326</v>
      </c>
    </row>
    <row r="778" spans="1:15" x14ac:dyDescent="0.3">
      <c r="A778">
        <v>494</v>
      </c>
      <c r="B778" t="s">
        <v>323</v>
      </c>
      <c r="C778">
        <v>176</v>
      </c>
      <c r="D778" t="s">
        <v>153</v>
      </c>
      <c r="E778">
        <v>2052</v>
      </c>
      <c r="F778" t="s">
        <v>18052</v>
      </c>
      <c r="G778">
        <v>4</v>
      </c>
      <c r="H778">
        <v>4</v>
      </c>
      <c r="I778">
        <v>0</v>
      </c>
      <c r="J778">
        <v>0</v>
      </c>
      <c r="K778">
        <v>0</v>
      </c>
      <c r="L778">
        <v>0</v>
      </c>
      <c r="M778">
        <v>0</v>
      </c>
      <c r="N778" t="s">
        <v>325</v>
      </c>
      <c r="O778" t="s">
        <v>343</v>
      </c>
    </row>
    <row r="779" spans="1:15" x14ac:dyDescent="0.3">
      <c r="A779">
        <v>494</v>
      </c>
      <c r="B779" t="s">
        <v>323</v>
      </c>
      <c r="C779">
        <v>176</v>
      </c>
      <c r="D779" t="s">
        <v>153</v>
      </c>
      <c r="E779">
        <v>2053</v>
      </c>
      <c r="F779" t="s">
        <v>18053</v>
      </c>
      <c r="G779">
        <v>5</v>
      </c>
      <c r="H779">
        <v>0</v>
      </c>
      <c r="I779">
        <v>0</v>
      </c>
      <c r="J779">
        <v>2</v>
      </c>
      <c r="K779">
        <v>3</v>
      </c>
      <c r="L779">
        <v>0</v>
      </c>
      <c r="M779">
        <v>0</v>
      </c>
      <c r="N779" t="s">
        <v>414</v>
      </c>
      <c r="O779" t="s">
        <v>343</v>
      </c>
    </row>
    <row r="780" spans="1:15" x14ac:dyDescent="0.3">
      <c r="A780">
        <v>494</v>
      </c>
      <c r="B780" t="s">
        <v>323</v>
      </c>
      <c r="C780">
        <v>176</v>
      </c>
      <c r="D780" t="s">
        <v>153</v>
      </c>
      <c r="E780">
        <v>2054</v>
      </c>
      <c r="F780" t="s">
        <v>18054</v>
      </c>
      <c r="G780">
        <v>7</v>
      </c>
      <c r="H780">
        <v>0</v>
      </c>
      <c r="I780">
        <v>2</v>
      </c>
      <c r="J780">
        <v>2</v>
      </c>
      <c r="K780">
        <v>3</v>
      </c>
      <c r="L780">
        <v>0</v>
      </c>
      <c r="M780">
        <v>0</v>
      </c>
      <c r="N780" t="s">
        <v>410</v>
      </c>
      <c r="O780" t="s">
        <v>343</v>
      </c>
    </row>
    <row r="781" spans="1:15" x14ac:dyDescent="0.3">
      <c r="A781">
        <v>495</v>
      </c>
      <c r="B781" t="s">
        <v>323</v>
      </c>
      <c r="C781">
        <v>177</v>
      </c>
      <c r="D781" t="s">
        <v>155</v>
      </c>
      <c r="E781">
        <v>2177</v>
      </c>
      <c r="F781" t="s">
        <v>18055</v>
      </c>
      <c r="G781">
        <v>1</v>
      </c>
      <c r="H781">
        <v>0</v>
      </c>
      <c r="I781">
        <v>0</v>
      </c>
      <c r="J781">
        <v>0</v>
      </c>
      <c r="K781">
        <v>1</v>
      </c>
      <c r="L781">
        <v>0</v>
      </c>
      <c r="M781">
        <v>0</v>
      </c>
      <c r="N781" t="s">
        <v>325</v>
      </c>
      <c r="O781" t="s">
        <v>484</v>
      </c>
    </row>
    <row r="782" spans="1:15" x14ac:dyDescent="0.3">
      <c r="A782">
        <v>495</v>
      </c>
      <c r="B782" t="s">
        <v>323</v>
      </c>
      <c r="C782">
        <v>177</v>
      </c>
      <c r="D782" t="s">
        <v>155</v>
      </c>
      <c r="E782">
        <v>2178</v>
      </c>
      <c r="F782" t="s">
        <v>18056</v>
      </c>
      <c r="G782">
        <v>2</v>
      </c>
      <c r="H782">
        <v>0</v>
      </c>
      <c r="I782">
        <v>0</v>
      </c>
      <c r="J782">
        <v>0</v>
      </c>
      <c r="K782">
        <v>2</v>
      </c>
      <c r="L782">
        <v>0</v>
      </c>
      <c r="M782">
        <v>0</v>
      </c>
      <c r="N782" t="s">
        <v>325</v>
      </c>
      <c r="O782" t="s">
        <v>336</v>
      </c>
    </row>
    <row r="783" spans="1:15" x14ac:dyDescent="0.3">
      <c r="A783">
        <v>495</v>
      </c>
      <c r="B783" t="s">
        <v>323</v>
      </c>
      <c r="C783">
        <v>177</v>
      </c>
      <c r="D783" t="s">
        <v>155</v>
      </c>
      <c r="E783">
        <v>2179</v>
      </c>
      <c r="F783" t="s">
        <v>18057</v>
      </c>
      <c r="G783">
        <v>1</v>
      </c>
      <c r="H783">
        <v>0</v>
      </c>
      <c r="I783">
        <v>0</v>
      </c>
      <c r="J783">
        <v>0</v>
      </c>
      <c r="K783">
        <v>1</v>
      </c>
      <c r="L783">
        <v>0</v>
      </c>
      <c r="M783">
        <v>0</v>
      </c>
      <c r="N783" t="s">
        <v>325</v>
      </c>
      <c r="O783" t="s">
        <v>336</v>
      </c>
    </row>
    <row r="784" spans="1:15" x14ac:dyDescent="0.3">
      <c r="A784">
        <v>495</v>
      </c>
      <c r="B784" t="s">
        <v>323</v>
      </c>
      <c r="C784">
        <v>177</v>
      </c>
      <c r="D784" t="s">
        <v>155</v>
      </c>
      <c r="E784">
        <v>2180</v>
      </c>
      <c r="F784" t="s">
        <v>893</v>
      </c>
      <c r="G784">
        <v>2</v>
      </c>
      <c r="H784">
        <v>0</v>
      </c>
      <c r="I784">
        <v>0</v>
      </c>
      <c r="J784">
        <v>0</v>
      </c>
      <c r="K784">
        <v>2</v>
      </c>
      <c r="L784">
        <v>0</v>
      </c>
      <c r="M784">
        <v>0</v>
      </c>
      <c r="N784" t="s">
        <v>325</v>
      </c>
      <c r="O784" t="s">
        <v>336</v>
      </c>
    </row>
    <row r="785" spans="1:15" x14ac:dyDescent="0.3">
      <c r="A785">
        <v>497</v>
      </c>
      <c r="B785" t="s">
        <v>323</v>
      </c>
      <c r="C785">
        <v>179</v>
      </c>
      <c r="D785" t="s">
        <v>159</v>
      </c>
      <c r="E785">
        <v>710</v>
      </c>
      <c r="F785" t="s">
        <v>896</v>
      </c>
      <c r="G785">
        <v>8</v>
      </c>
      <c r="H785">
        <v>1</v>
      </c>
      <c r="I785">
        <v>4</v>
      </c>
      <c r="J785">
        <v>3</v>
      </c>
      <c r="K785">
        <v>0</v>
      </c>
      <c r="L785">
        <v>0</v>
      </c>
      <c r="M785">
        <v>0</v>
      </c>
      <c r="N785" t="s">
        <v>333</v>
      </c>
      <c r="O785" t="s">
        <v>326</v>
      </c>
    </row>
    <row r="786" spans="1:15" x14ac:dyDescent="0.3">
      <c r="A786">
        <v>497</v>
      </c>
      <c r="B786" t="s">
        <v>323</v>
      </c>
      <c r="C786">
        <v>179</v>
      </c>
      <c r="D786" t="s">
        <v>159</v>
      </c>
      <c r="E786">
        <v>712</v>
      </c>
      <c r="F786" t="s">
        <v>898</v>
      </c>
      <c r="G786">
        <v>6</v>
      </c>
      <c r="H786">
        <v>0</v>
      </c>
      <c r="I786">
        <v>3</v>
      </c>
      <c r="J786">
        <v>3</v>
      </c>
      <c r="K786">
        <v>0</v>
      </c>
      <c r="L786">
        <v>0</v>
      </c>
      <c r="M786">
        <v>0</v>
      </c>
      <c r="N786" t="s">
        <v>333</v>
      </c>
      <c r="O786" t="s">
        <v>326</v>
      </c>
    </row>
    <row r="787" spans="1:15" x14ac:dyDescent="0.3">
      <c r="A787">
        <v>497</v>
      </c>
      <c r="B787" t="s">
        <v>323</v>
      </c>
      <c r="C787">
        <v>179</v>
      </c>
      <c r="D787" t="s">
        <v>159</v>
      </c>
      <c r="E787">
        <v>713</v>
      </c>
      <c r="F787" t="s">
        <v>899</v>
      </c>
      <c r="G787">
        <v>6</v>
      </c>
      <c r="H787">
        <v>0</v>
      </c>
      <c r="I787">
        <v>0</v>
      </c>
      <c r="J787">
        <v>6</v>
      </c>
      <c r="K787">
        <v>0</v>
      </c>
      <c r="L787">
        <v>0</v>
      </c>
      <c r="M787">
        <v>0</v>
      </c>
      <c r="N787" t="s">
        <v>566</v>
      </c>
      <c r="O787" t="s">
        <v>336</v>
      </c>
    </row>
    <row r="788" spans="1:15" x14ac:dyDescent="0.3">
      <c r="A788">
        <v>497</v>
      </c>
      <c r="B788" t="s">
        <v>323</v>
      </c>
      <c r="C788">
        <v>179</v>
      </c>
      <c r="D788" t="s">
        <v>159</v>
      </c>
      <c r="E788">
        <v>714</v>
      </c>
      <c r="F788" t="s">
        <v>900</v>
      </c>
      <c r="G788">
        <v>5</v>
      </c>
      <c r="H788">
        <v>0</v>
      </c>
      <c r="I788">
        <v>0</v>
      </c>
      <c r="J788">
        <v>1</v>
      </c>
      <c r="K788">
        <v>1</v>
      </c>
      <c r="L788">
        <v>2</v>
      </c>
      <c r="M788">
        <v>1</v>
      </c>
      <c r="N788" t="s">
        <v>333</v>
      </c>
      <c r="O788" t="s">
        <v>336</v>
      </c>
    </row>
    <row r="789" spans="1:15" x14ac:dyDescent="0.3">
      <c r="A789">
        <v>497</v>
      </c>
      <c r="B789" t="s">
        <v>323</v>
      </c>
      <c r="C789">
        <v>179</v>
      </c>
      <c r="D789" t="s">
        <v>159</v>
      </c>
      <c r="E789">
        <v>715</v>
      </c>
      <c r="F789" t="s">
        <v>901</v>
      </c>
      <c r="G789">
        <v>6</v>
      </c>
      <c r="H789">
        <v>0</v>
      </c>
      <c r="I789">
        <v>0</v>
      </c>
      <c r="J789">
        <v>2</v>
      </c>
      <c r="K789">
        <v>2</v>
      </c>
      <c r="L789">
        <v>2</v>
      </c>
      <c r="M789">
        <v>0</v>
      </c>
      <c r="N789" t="s">
        <v>325</v>
      </c>
      <c r="O789" t="s">
        <v>336</v>
      </c>
    </row>
    <row r="790" spans="1:15" x14ac:dyDescent="0.3">
      <c r="A790">
        <v>497</v>
      </c>
      <c r="B790" t="s">
        <v>323</v>
      </c>
      <c r="C790">
        <v>179</v>
      </c>
      <c r="D790" t="s">
        <v>159</v>
      </c>
      <c r="E790">
        <v>717</v>
      </c>
      <c r="F790" t="s">
        <v>902</v>
      </c>
      <c r="G790">
        <v>9</v>
      </c>
      <c r="H790">
        <v>1</v>
      </c>
      <c r="I790">
        <v>3</v>
      </c>
      <c r="J790">
        <v>4</v>
      </c>
      <c r="K790">
        <v>1</v>
      </c>
      <c r="L790">
        <v>0</v>
      </c>
      <c r="M790">
        <v>0</v>
      </c>
      <c r="N790" t="s">
        <v>325</v>
      </c>
      <c r="O790" t="s">
        <v>343</v>
      </c>
    </row>
    <row r="791" spans="1:15" x14ac:dyDescent="0.3">
      <c r="A791">
        <v>497</v>
      </c>
      <c r="B791" t="s">
        <v>323</v>
      </c>
      <c r="C791">
        <v>179</v>
      </c>
      <c r="D791" t="s">
        <v>159</v>
      </c>
      <c r="E791">
        <v>718</v>
      </c>
      <c r="F791" t="s">
        <v>903</v>
      </c>
      <c r="G791">
        <v>7</v>
      </c>
      <c r="H791">
        <v>0</v>
      </c>
      <c r="I791">
        <v>4</v>
      </c>
      <c r="J791">
        <v>2</v>
      </c>
      <c r="K791">
        <v>0</v>
      </c>
      <c r="L791">
        <v>1</v>
      </c>
      <c r="M791">
        <v>0</v>
      </c>
      <c r="N791" t="s">
        <v>333</v>
      </c>
      <c r="O791" t="s">
        <v>336</v>
      </c>
    </row>
    <row r="792" spans="1:15" x14ac:dyDescent="0.3">
      <c r="A792">
        <v>497</v>
      </c>
      <c r="B792" t="s">
        <v>323</v>
      </c>
      <c r="C792">
        <v>179</v>
      </c>
      <c r="D792" t="s">
        <v>159</v>
      </c>
      <c r="E792">
        <v>719</v>
      </c>
      <c r="F792" t="s">
        <v>904</v>
      </c>
      <c r="G792">
        <v>7</v>
      </c>
      <c r="H792">
        <v>0</v>
      </c>
      <c r="I792">
        <v>2</v>
      </c>
      <c r="J792">
        <v>5</v>
      </c>
      <c r="K792">
        <v>0</v>
      </c>
      <c r="L792">
        <v>0</v>
      </c>
      <c r="M792">
        <v>0</v>
      </c>
      <c r="N792" t="s">
        <v>325</v>
      </c>
      <c r="O792" t="s">
        <v>343</v>
      </c>
    </row>
    <row r="793" spans="1:15" x14ac:dyDescent="0.3">
      <c r="A793">
        <v>497</v>
      </c>
      <c r="B793" t="s">
        <v>323</v>
      </c>
      <c r="C793">
        <v>179</v>
      </c>
      <c r="D793" t="s">
        <v>159</v>
      </c>
      <c r="E793">
        <v>720</v>
      </c>
      <c r="F793" t="s">
        <v>905</v>
      </c>
      <c r="G793">
        <v>7</v>
      </c>
      <c r="H793">
        <v>2</v>
      </c>
      <c r="I793">
        <v>1</v>
      </c>
      <c r="J793">
        <v>4</v>
      </c>
      <c r="K793">
        <v>0</v>
      </c>
      <c r="L793">
        <v>0</v>
      </c>
      <c r="M793">
        <v>0</v>
      </c>
      <c r="N793" t="s">
        <v>333</v>
      </c>
      <c r="O793" t="s">
        <v>336</v>
      </c>
    </row>
    <row r="794" spans="1:15" x14ac:dyDescent="0.3">
      <c r="A794">
        <v>497</v>
      </c>
      <c r="B794" t="s">
        <v>323</v>
      </c>
      <c r="C794">
        <v>179</v>
      </c>
      <c r="D794" t="s">
        <v>159</v>
      </c>
      <c r="E794">
        <v>722</v>
      </c>
      <c r="F794" t="s">
        <v>906</v>
      </c>
      <c r="G794">
        <v>6</v>
      </c>
      <c r="H794">
        <v>1</v>
      </c>
      <c r="I794">
        <v>3</v>
      </c>
      <c r="J794">
        <v>2</v>
      </c>
      <c r="K794">
        <v>0</v>
      </c>
      <c r="L794">
        <v>0</v>
      </c>
      <c r="M794">
        <v>0</v>
      </c>
      <c r="N794" t="s">
        <v>325</v>
      </c>
      <c r="O794" t="s">
        <v>336</v>
      </c>
    </row>
    <row r="795" spans="1:15" x14ac:dyDescent="0.3">
      <c r="A795">
        <v>497</v>
      </c>
      <c r="B795" t="s">
        <v>323</v>
      </c>
      <c r="C795">
        <v>179</v>
      </c>
      <c r="D795" t="s">
        <v>159</v>
      </c>
      <c r="E795">
        <v>723</v>
      </c>
      <c r="F795" t="s">
        <v>907</v>
      </c>
      <c r="G795">
        <v>2</v>
      </c>
      <c r="H795">
        <v>1</v>
      </c>
      <c r="I795">
        <v>0</v>
      </c>
      <c r="J795">
        <v>1</v>
      </c>
      <c r="K795">
        <v>0</v>
      </c>
      <c r="L795">
        <v>0</v>
      </c>
      <c r="M795">
        <v>0</v>
      </c>
      <c r="N795" t="s">
        <v>325</v>
      </c>
      <c r="O795" t="s">
        <v>348</v>
      </c>
    </row>
    <row r="796" spans="1:15" x14ac:dyDescent="0.3">
      <c r="A796">
        <v>497</v>
      </c>
      <c r="B796" t="s">
        <v>323</v>
      </c>
      <c r="C796">
        <v>179</v>
      </c>
      <c r="D796" t="s">
        <v>159</v>
      </c>
      <c r="E796">
        <v>724</v>
      </c>
      <c r="F796" t="s">
        <v>908</v>
      </c>
      <c r="G796">
        <v>21</v>
      </c>
      <c r="H796">
        <v>0</v>
      </c>
      <c r="I796">
        <v>2</v>
      </c>
      <c r="J796">
        <v>10</v>
      </c>
      <c r="K796">
        <v>0</v>
      </c>
      <c r="L796">
        <v>0</v>
      </c>
      <c r="M796">
        <v>9</v>
      </c>
      <c r="N796" t="s">
        <v>333</v>
      </c>
      <c r="O796" t="s">
        <v>326</v>
      </c>
    </row>
    <row r="797" spans="1:15" x14ac:dyDescent="0.3">
      <c r="A797">
        <v>497</v>
      </c>
      <c r="B797" t="s">
        <v>323</v>
      </c>
      <c r="C797">
        <v>179</v>
      </c>
      <c r="D797" t="s">
        <v>159</v>
      </c>
      <c r="E797">
        <v>725</v>
      </c>
      <c r="F797" t="s">
        <v>909</v>
      </c>
      <c r="G797">
        <v>9</v>
      </c>
      <c r="H797">
        <v>0</v>
      </c>
      <c r="I797">
        <v>0</v>
      </c>
      <c r="J797">
        <v>4</v>
      </c>
      <c r="K797">
        <v>1</v>
      </c>
      <c r="L797">
        <v>3</v>
      </c>
      <c r="M797">
        <v>1</v>
      </c>
      <c r="N797" t="s">
        <v>333</v>
      </c>
      <c r="O797" t="s">
        <v>326</v>
      </c>
    </row>
    <row r="798" spans="1:15" x14ac:dyDescent="0.3">
      <c r="A798">
        <v>497</v>
      </c>
      <c r="B798" t="s">
        <v>323</v>
      </c>
      <c r="C798">
        <v>179</v>
      </c>
      <c r="D798" t="s">
        <v>159</v>
      </c>
      <c r="E798">
        <v>726</v>
      </c>
      <c r="F798" t="s">
        <v>910</v>
      </c>
      <c r="G798">
        <v>8</v>
      </c>
      <c r="H798">
        <v>6</v>
      </c>
      <c r="I798">
        <v>1</v>
      </c>
      <c r="J798">
        <v>1</v>
      </c>
      <c r="K798">
        <v>0</v>
      </c>
      <c r="L798">
        <v>0</v>
      </c>
      <c r="M798">
        <v>0</v>
      </c>
      <c r="N798" t="s">
        <v>333</v>
      </c>
      <c r="O798" t="s">
        <v>336</v>
      </c>
    </row>
    <row r="799" spans="1:15" x14ac:dyDescent="0.3">
      <c r="A799">
        <v>497</v>
      </c>
      <c r="B799" t="s">
        <v>323</v>
      </c>
      <c r="C799">
        <v>179</v>
      </c>
      <c r="D799" t="s">
        <v>159</v>
      </c>
      <c r="E799">
        <v>729</v>
      </c>
      <c r="F799" t="s">
        <v>911</v>
      </c>
      <c r="G799">
        <v>2</v>
      </c>
      <c r="H799">
        <v>0</v>
      </c>
      <c r="I799">
        <v>0</v>
      </c>
      <c r="J799">
        <v>2</v>
      </c>
      <c r="K799">
        <v>0</v>
      </c>
      <c r="L799">
        <v>0</v>
      </c>
      <c r="M799">
        <v>0</v>
      </c>
      <c r="N799" t="s">
        <v>325</v>
      </c>
      <c r="O799" t="s">
        <v>343</v>
      </c>
    </row>
    <row r="800" spans="1:15" x14ac:dyDescent="0.3">
      <c r="A800">
        <v>497</v>
      </c>
      <c r="B800" t="s">
        <v>323</v>
      </c>
      <c r="C800">
        <v>179</v>
      </c>
      <c r="D800" t="s">
        <v>159</v>
      </c>
      <c r="E800">
        <v>730</v>
      </c>
      <c r="F800" t="s">
        <v>912</v>
      </c>
      <c r="G800">
        <v>18</v>
      </c>
      <c r="H800">
        <v>0</v>
      </c>
      <c r="I800">
        <v>4</v>
      </c>
      <c r="J800">
        <v>4</v>
      </c>
      <c r="K800">
        <v>2</v>
      </c>
      <c r="L800">
        <v>2</v>
      </c>
      <c r="M800">
        <v>6</v>
      </c>
      <c r="N800" t="s">
        <v>333</v>
      </c>
      <c r="O800" t="s">
        <v>326</v>
      </c>
    </row>
    <row r="801" spans="1:15" x14ac:dyDescent="0.3">
      <c r="A801">
        <v>497</v>
      </c>
      <c r="B801" t="s">
        <v>323</v>
      </c>
      <c r="C801">
        <v>179</v>
      </c>
      <c r="D801" t="s">
        <v>159</v>
      </c>
      <c r="E801">
        <v>731</v>
      </c>
      <c r="F801" t="s">
        <v>913</v>
      </c>
      <c r="G801">
        <v>31</v>
      </c>
      <c r="H801">
        <v>0</v>
      </c>
      <c r="I801">
        <v>5</v>
      </c>
      <c r="J801">
        <v>10</v>
      </c>
      <c r="K801">
        <v>6</v>
      </c>
      <c r="L801">
        <v>4</v>
      </c>
      <c r="M801">
        <v>6</v>
      </c>
      <c r="N801" t="s">
        <v>333</v>
      </c>
      <c r="O801" t="s">
        <v>326</v>
      </c>
    </row>
    <row r="802" spans="1:15" x14ac:dyDescent="0.3">
      <c r="A802">
        <v>497</v>
      </c>
      <c r="B802" t="s">
        <v>323</v>
      </c>
      <c r="C802">
        <v>179</v>
      </c>
      <c r="D802" t="s">
        <v>159</v>
      </c>
      <c r="E802">
        <v>733</v>
      </c>
      <c r="F802" t="s">
        <v>914</v>
      </c>
      <c r="G802">
        <v>8</v>
      </c>
      <c r="H802">
        <v>0</v>
      </c>
      <c r="I802">
        <v>1</v>
      </c>
      <c r="J802">
        <v>6</v>
      </c>
      <c r="K802">
        <v>1</v>
      </c>
      <c r="L802">
        <v>0</v>
      </c>
      <c r="M802">
        <v>0</v>
      </c>
      <c r="N802" t="s">
        <v>410</v>
      </c>
      <c r="O802" t="s">
        <v>326</v>
      </c>
    </row>
    <row r="803" spans="1:15" x14ac:dyDescent="0.3">
      <c r="A803">
        <v>497</v>
      </c>
      <c r="B803" t="s">
        <v>323</v>
      </c>
      <c r="C803">
        <v>179</v>
      </c>
      <c r="D803" t="s">
        <v>159</v>
      </c>
      <c r="E803">
        <v>734</v>
      </c>
      <c r="F803" t="s">
        <v>915</v>
      </c>
      <c r="G803">
        <v>5</v>
      </c>
      <c r="H803">
        <v>0</v>
      </c>
      <c r="I803">
        <v>0</v>
      </c>
      <c r="J803">
        <v>1</v>
      </c>
      <c r="K803">
        <v>4</v>
      </c>
      <c r="L803">
        <v>0</v>
      </c>
      <c r="M803">
        <v>0</v>
      </c>
      <c r="N803" t="s">
        <v>333</v>
      </c>
      <c r="O803" t="s">
        <v>336</v>
      </c>
    </row>
    <row r="804" spans="1:15" x14ac:dyDescent="0.3">
      <c r="A804">
        <v>497</v>
      </c>
      <c r="B804" t="s">
        <v>323</v>
      </c>
      <c r="C804">
        <v>179</v>
      </c>
      <c r="D804" t="s">
        <v>159</v>
      </c>
      <c r="E804">
        <v>735</v>
      </c>
      <c r="F804" t="s">
        <v>916</v>
      </c>
      <c r="G804">
        <v>8</v>
      </c>
      <c r="H804">
        <v>0</v>
      </c>
      <c r="I804">
        <v>6</v>
      </c>
      <c r="J804">
        <v>2</v>
      </c>
      <c r="K804">
        <v>0</v>
      </c>
      <c r="L804">
        <v>0</v>
      </c>
      <c r="M804">
        <v>0</v>
      </c>
      <c r="N804" t="s">
        <v>325</v>
      </c>
      <c r="O804" t="s">
        <v>343</v>
      </c>
    </row>
    <row r="805" spans="1:15" x14ac:dyDescent="0.3">
      <c r="A805">
        <v>497</v>
      </c>
      <c r="B805" t="s">
        <v>323</v>
      </c>
      <c r="C805">
        <v>179</v>
      </c>
      <c r="D805" t="s">
        <v>159</v>
      </c>
      <c r="E805">
        <v>737</v>
      </c>
      <c r="F805" t="s">
        <v>917</v>
      </c>
      <c r="G805">
        <v>8</v>
      </c>
      <c r="H805">
        <v>0</v>
      </c>
      <c r="I805">
        <v>4</v>
      </c>
      <c r="J805">
        <v>4</v>
      </c>
      <c r="K805">
        <v>0</v>
      </c>
      <c r="L805">
        <v>0</v>
      </c>
      <c r="M805">
        <v>0</v>
      </c>
      <c r="N805" t="s">
        <v>333</v>
      </c>
      <c r="O805" t="s">
        <v>336</v>
      </c>
    </row>
    <row r="806" spans="1:15" x14ac:dyDescent="0.3">
      <c r="A806">
        <v>497</v>
      </c>
      <c r="B806" t="s">
        <v>323</v>
      </c>
      <c r="C806">
        <v>179</v>
      </c>
      <c r="D806" t="s">
        <v>159</v>
      </c>
      <c r="E806">
        <v>738</v>
      </c>
      <c r="F806" t="s">
        <v>918</v>
      </c>
      <c r="G806">
        <v>16</v>
      </c>
      <c r="H806">
        <v>0</v>
      </c>
      <c r="I806">
        <v>6</v>
      </c>
      <c r="J806">
        <v>8</v>
      </c>
      <c r="K806">
        <v>0</v>
      </c>
      <c r="L806">
        <v>0</v>
      </c>
      <c r="M806">
        <v>2</v>
      </c>
      <c r="N806" t="s">
        <v>333</v>
      </c>
      <c r="O806" t="s">
        <v>326</v>
      </c>
    </row>
    <row r="807" spans="1:15" x14ac:dyDescent="0.3">
      <c r="A807">
        <v>497</v>
      </c>
      <c r="B807" t="s">
        <v>323</v>
      </c>
      <c r="C807">
        <v>179</v>
      </c>
      <c r="D807" t="s">
        <v>159</v>
      </c>
      <c r="E807">
        <v>739</v>
      </c>
      <c r="F807" t="s">
        <v>919</v>
      </c>
      <c r="G807">
        <v>43</v>
      </c>
      <c r="H807">
        <v>0</v>
      </c>
      <c r="I807">
        <v>6</v>
      </c>
      <c r="J807">
        <v>4</v>
      </c>
      <c r="K807">
        <v>8</v>
      </c>
      <c r="L807">
        <v>12</v>
      </c>
      <c r="M807">
        <v>13</v>
      </c>
      <c r="N807" t="s">
        <v>333</v>
      </c>
      <c r="O807" t="s">
        <v>326</v>
      </c>
    </row>
    <row r="808" spans="1:15" x14ac:dyDescent="0.3">
      <c r="A808">
        <v>497</v>
      </c>
      <c r="B808" t="s">
        <v>323</v>
      </c>
      <c r="C808">
        <v>179</v>
      </c>
      <c r="D808" t="s">
        <v>159</v>
      </c>
      <c r="E808">
        <v>740</v>
      </c>
      <c r="F808" t="s">
        <v>920</v>
      </c>
      <c r="G808">
        <v>5</v>
      </c>
      <c r="H808">
        <v>1</v>
      </c>
      <c r="I808">
        <v>0</v>
      </c>
      <c r="J808">
        <v>4</v>
      </c>
      <c r="K808">
        <v>0</v>
      </c>
      <c r="L808">
        <v>0</v>
      </c>
      <c r="M808">
        <v>0</v>
      </c>
      <c r="N808" t="s">
        <v>325</v>
      </c>
      <c r="O808" t="s">
        <v>348</v>
      </c>
    </row>
    <row r="809" spans="1:15" x14ac:dyDescent="0.3">
      <c r="A809">
        <v>497</v>
      </c>
      <c r="B809" t="s">
        <v>323</v>
      </c>
      <c r="C809">
        <v>179</v>
      </c>
      <c r="D809" t="s">
        <v>159</v>
      </c>
      <c r="E809">
        <v>741</v>
      </c>
      <c r="F809" t="s">
        <v>921</v>
      </c>
      <c r="G809">
        <v>6</v>
      </c>
      <c r="H809">
        <v>0</v>
      </c>
      <c r="I809">
        <v>0</v>
      </c>
      <c r="J809">
        <v>0</v>
      </c>
      <c r="K809">
        <v>0</v>
      </c>
      <c r="L809">
        <v>0</v>
      </c>
      <c r="M809">
        <v>6</v>
      </c>
      <c r="N809" t="s">
        <v>333</v>
      </c>
      <c r="O809" t="s">
        <v>326</v>
      </c>
    </row>
    <row r="810" spans="1:15" x14ac:dyDescent="0.3">
      <c r="A810">
        <v>497</v>
      </c>
      <c r="B810" t="s">
        <v>323</v>
      </c>
      <c r="C810">
        <v>179</v>
      </c>
      <c r="D810" t="s">
        <v>159</v>
      </c>
      <c r="E810">
        <v>742</v>
      </c>
      <c r="F810" t="s">
        <v>884</v>
      </c>
      <c r="G810">
        <v>7</v>
      </c>
      <c r="H810">
        <v>2</v>
      </c>
      <c r="I810">
        <v>4</v>
      </c>
      <c r="J810">
        <v>1</v>
      </c>
      <c r="K810">
        <v>0</v>
      </c>
      <c r="L810">
        <v>0</v>
      </c>
      <c r="M810">
        <v>0</v>
      </c>
      <c r="N810" t="s">
        <v>333</v>
      </c>
      <c r="O810" t="s">
        <v>336</v>
      </c>
    </row>
    <row r="811" spans="1:15" x14ac:dyDescent="0.3">
      <c r="A811">
        <v>497</v>
      </c>
      <c r="B811" t="s">
        <v>323</v>
      </c>
      <c r="C811">
        <v>179</v>
      </c>
      <c r="D811" t="s">
        <v>159</v>
      </c>
      <c r="E811">
        <v>743</v>
      </c>
      <c r="F811" t="s">
        <v>831</v>
      </c>
      <c r="G811">
        <v>6</v>
      </c>
      <c r="H811">
        <v>0</v>
      </c>
      <c r="I811">
        <v>0</v>
      </c>
      <c r="J811">
        <v>2</v>
      </c>
      <c r="K811">
        <v>2</v>
      </c>
      <c r="L811">
        <v>2</v>
      </c>
      <c r="M811">
        <v>0</v>
      </c>
      <c r="N811" t="s">
        <v>325</v>
      </c>
      <c r="O811" t="s">
        <v>484</v>
      </c>
    </row>
    <row r="812" spans="1:15" x14ac:dyDescent="0.3">
      <c r="A812">
        <v>497</v>
      </c>
      <c r="B812" t="s">
        <v>323</v>
      </c>
      <c r="C812">
        <v>179</v>
      </c>
      <c r="D812" t="s">
        <v>159</v>
      </c>
      <c r="E812">
        <v>745</v>
      </c>
      <c r="F812" t="s">
        <v>922</v>
      </c>
      <c r="G812">
        <v>7</v>
      </c>
      <c r="H812">
        <v>0</v>
      </c>
      <c r="I812">
        <v>2</v>
      </c>
      <c r="J812">
        <v>4</v>
      </c>
      <c r="K812">
        <v>1</v>
      </c>
      <c r="L812">
        <v>0</v>
      </c>
      <c r="M812">
        <v>0</v>
      </c>
      <c r="N812" t="s">
        <v>325</v>
      </c>
      <c r="O812" t="s">
        <v>326</v>
      </c>
    </row>
    <row r="813" spans="1:15" x14ac:dyDescent="0.3">
      <c r="A813">
        <v>497</v>
      </c>
      <c r="B813" t="s">
        <v>323</v>
      </c>
      <c r="C813">
        <v>179</v>
      </c>
      <c r="D813" t="s">
        <v>159</v>
      </c>
      <c r="E813">
        <v>1093</v>
      </c>
      <c r="F813" t="s">
        <v>924</v>
      </c>
      <c r="G813">
        <v>9</v>
      </c>
      <c r="H813">
        <v>0</v>
      </c>
      <c r="I813">
        <v>2</v>
      </c>
      <c r="J813">
        <v>2</v>
      </c>
      <c r="K813">
        <v>0</v>
      </c>
      <c r="L813">
        <v>2</v>
      </c>
      <c r="M813">
        <v>3</v>
      </c>
      <c r="N813" t="s">
        <v>333</v>
      </c>
      <c r="O813" t="s">
        <v>326</v>
      </c>
    </row>
    <row r="814" spans="1:15" x14ac:dyDescent="0.3">
      <c r="A814">
        <v>497</v>
      </c>
      <c r="B814" t="s">
        <v>323</v>
      </c>
      <c r="C814">
        <v>179</v>
      </c>
      <c r="D814" t="s">
        <v>159</v>
      </c>
      <c r="E814">
        <v>1094</v>
      </c>
      <c r="F814" t="s">
        <v>925</v>
      </c>
      <c r="G814">
        <v>6</v>
      </c>
      <c r="H814">
        <v>2</v>
      </c>
      <c r="I814">
        <v>2</v>
      </c>
      <c r="J814">
        <v>2</v>
      </c>
      <c r="K814">
        <v>0</v>
      </c>
      <c r="L814">
        <v>0</v>
      </c>
      <c r="M814">
        <v>0</v>
      </c>
      <c r="N814" t="s">
        <v>333</v>
      </c>
      <c r="O814" t="s">
        <v>336</v>
      </c>
    </row>
    <row r="815" spans="1:15" x14ac:dyDescent="0.3">
      <c r="A815">
        <v>497</v>
      </c>
      <c r="B815" t="s">
        <v>323</v>
      </c>
      <c r="C815">
        <v>179</v>
      </c>
      <c r="D815" t="s">
        <v>159</v>
      </c>
      <c r="E815">
        <v>1095</v>
      </c>
      <c r="F815" t="s">
        <v>926</v>
      </c>
      <c r="G815">
        <v>7</v>
      </c>
      <c r="H815">
        <v>0</v>
      </c>
      <c r="I815">
        <v>0</v>
      </c>
      <c r="J815">
        <v>7</v>
      </c>
      <c r="K815">
        <v>0</v>
      </c>
      <c r="L815">
        <v>0</v>
      </c>
      <c r="M815">
        <v>0</v>
      </c>
      <c r="N815" t="s">
        <v>333</v>
      </c>
      <c r="O815" t="s">
        <v>326</v>
      </c>
    </row>
    <row r="816" spans="1:15" x14ac:dyDescent="0.3">
      <c r="A816">
        <v>497</v>
      </c>
      <c r="B816" t="s">
        <v>323</v>
      </c>
      <c r="C816">
        <v>179</v>
      </c>
      <c r="D816" t="s">
        <v>159</v>
      </c>
      <c r="E816">
        <v>1333</v>
      </c>
      <c r="F816" t="s">
        <v>927</v>
      </c>
      <c r="G816">
        <v>4</v>
      </c>
      <c r="H816">
        <v>0</v>
      </c>
      <c r="I816">
        <v>0</v>
      </c>
      <c r="J816">
        <v>2</v>
      </c>
      <c r="K816">
        <v>1</v>
      </c>
      <c r="L816">
        <v>1</v>
      </c>
      <c r="M816">
        <v>0</v>
      </c>
      <c r="N816" t="s">
        <v>333</v>
      </c>
      <c r="O816" t="s">
        <v>336</v>
      </c>
    </row>
    <row r="817" spans="1:15" x14ac:dyDescent="0.3">
      <c r="A817">
        <v>497</v>
      </c>
      <c r="B817" t="s">
        <v>323</v>
      </c>
      <c r="C817">
        <v>179</v>
      </c>
      <c r="D817" t="s">
        <v>159</v>
      </c>
      <c r="E817">
        <v>1334</v>
      </c>
      <c r="F817" t="s">
        <v>928</v>
      </c>
      <c r="G817">
        <v>0</v>
      </c>
      <c r="H817">
        <v>0</v>
      </c>
      <c r="I817">
        <v>0</v>
      </c>
      <c r="J817">
        <v>0</v>
      </c>
      <c r="K817">
        <v>0</v>
      </c>
      <c r="L817">
        <v>0</v>
      </c>
      <c r="M817">
        <v>0</v>
      </c>
      <c r="N817" t="s">
        <v>410</v>
      </c>
      <c r="O817" t="s">
        <v>326</v>
      </c>
    </row>
    <row r="818" spans="1:15" x14ac:dyDescent="0.3">
      <c r="A818">
        <v>497</v>
      </c>
      <c r="B818" t="s">
        <v>323</v>
      </c>
      <c r="C818">
        <v>179</v>
      </c>
      <c r="D818" t="s">
        <v>159</v>
      </c>
      <c r="E818">
        <v>1714</v>
      </c>
      <c r="F818" t="s">
        <v>1387</v>
      </c>
      <c r="G818">
        <v>2</v>
      </c>
      <c r="H818">
        <v>0</v>
      </c>
      <c r="I818">
        <v>0</v>
      </c>
      <c r="J818">
        <v>2</v>
      </c>
      <c r="K818">
        <v>0</v>
      </c>
      <c r="L818">
        <v>0</v>
      </c>
      <c r="M818">
        <v>0</v>
      </c>
      <c r="N818" t="s">
        <v>325</v>
      </c>
      <c r="O818" t="s">
        <v>348</v>
      </c>
    </row>
    <row r="819" spans="1:15" x14ac:dyDescent="0.3">
      <c r="A819">
        <v>497</v>
      </c>
      <c r="B819" t="s">
        <v>323</v>
      </c>
      <c r="C819">
        <v>179</v>
      </c>
      <c r="D819" t="s">
        <v>159</v>
      </c>
      <c r="E819">
        <v>1855</v>
      </c>
      <c r="F819" t="s">
        <v>1455</v>
      </c>
      <c r="G819">
        <v>7</v>
      </c>
      <c r="H819">
        <v>0</v>
      </c>
      <c r="I819">
        <v>5</v>
      </c>
      <c r="J819">
        <v>2</v>
      </c>
      <c r="K819">
        <v>0</v>
      </c>
      <c r="L819">
        <v>0</v>
      </c>
      <c r="M819">
        <v>0</v>
      </c>
      <c r="N819" t="s">
        <v>333</v>
      </c>
      <c r="O819" t="s">
        <v>326</v>
      </c>
    </row>
    <row r="820" spans="1:15" x14ac:dyDescent="0.3">
      <c r="A820">
        <v>497</v>
      </c>
      <c r="B820" t="s">
        <v>323</v>
      </c>
      <c r="C820">
        <v>179</v>
      </c>
      <c r="D820" t="s">
        <v>159</v>
      </c>
      <c r="E820">
        <v>2060</v>
      </c>
      <c r="F820" t="s">
        <v>18058</v>
      </c>
      <c r="G820">
        <v>13</v>
      </c>
      <c r="H820">
        <v>1</v>
      </c>
      <c r="I820">
        <v>5</v>
      </c>
      <c r="J820">
        <v>7</v>
      </c>
      <c r="K820">
        <v>0</v>
      </c>
      <c r="L820">
        <v>0</v>
      </c>
      <c r="M820">
        <v>0</v>
      </c>
      <c r="N820" t="s">
        <v>333</v>
      </c>
      <c r="O820" t="s">
        <v>326</v>
      </c>
    </row>
    <row r="821" spans="1:15" x14ac:dyDescent="0.3">
      <c r="A821">
        <v>497</v>
      </c>
      <c r="B821" t="s">
        <v>323</v>
      </c>
      <c r="C821">
        <v>179</v>
      </c>
      <c r="D821" t="s">
        <v>159</v>
      </c>
      <c r="E821">
        <v>2061</v>
      </c>
      <c r="F821" t="s">
        <v>18059</v>
      </c>
      <c r="G821">
        <v>6</v>
      </c>
      <c r="H821">
        <v>0</v>
      </c>
      <c r="I821">
        <v>2</v>
      </c>
      <c r="J821">
        <v>2</v>
      </c>
      <c r="K821">
        <v>2</v>
      </c>
      <c r="L821">
        <v>0</v>
      </c>
      <c r="M821">
        <v>0</v>
      </c>
      <c r="N821" t="s">
        <v>333</v>
      </c>
      <c r="O821" t="s">
        <v>326</v>
      </c>
    </row>
    <row r="822" spans="1:15" x14ac:dyDescent="0.3">
      <c r="A822">
        <v>498</v>
      </c>
      <c r="B822" t="s">
        <v>323</v>
      </c>
      <c r="C822">
        <v>180</v>
      </c>
      <c r="D822" t="s">
        <v>161</v>
      </c>
      <c r="E822">
        <v>800</v>
      </c>
      <c r="F822" t="s">
        <v>474</v>
      </c>
      <c r="G822">
        <v>18</v>
      </c>
      <c r="H822">
        <v>1</v>
      </c>
      <c r="I822">
        <v>2</v>
      </c>
      <c r="J822">
        <v>3</v>
      </c>
      <c r="K822">
        <v>7</v>
      </c>
      <c r="L822">
        <v>5</v>
      </c>
      <c r="M822">
        <v>0</v>
      </c>
      <c r="N822" t="s">
        <v>325</v>
      </c>
      <c r="O822" t="s">
        <v>326</v>
      </c>
    </row>
    <row r="823" spans="1:15" x14ac:dyDescent="0.3">
      <c r="A823">
        <v>498</v>
      </c>
      <c r="B823" t="s">
        <v>323</v>
      </c>
      <c r="C823">
        <v>180</v>
      </c>
      <c r="D823" t="s">
        <v>161</v>
      </c>
      <c r="E823">
        <v>801</v>
      </c>
      <c r="F823" t="s">
        <v>929</v>
      </c>
      <c r="G823">
        <v>22</v>
      </c>
      <c r="H823">
        <v>0</v>
      </c>
      <c r="I823">
        <v>3</v>
      </c>
      <c r="J823">
        <v>9</v>
      </c>
      <c r="K823">
        <v>5</v>
      </c>
      <c r="L823">
        <v>4</v>
      </c>
      <c r="M823">
        <v>1</v>
      </c>
      <c r="N823" t="s">
        <v>325</v>
      </c>
      <c r="O823" t="s">
        <v>326</v>
      </c>
    </row>
    <row r="824" spans="1:15" x14ac:dyDescent="0.3">
      <c r="A824">
        <v>498</v>
      </c>
      <c r="B824" t="s">
        <v>323</v>
      </c>
      <c r="C824">
        <v>180</v>
      </c>
      <c r="D824" t="s">
        <v>161</v>
      </c>
      <c r="E824">
        <v>802</v>
      </c>
      <c r="F824" t="s">
        <v>930</v>
      </c>
      <c r="G824">
        <v>8</v>
      </c>
      <c r="H824">
        <v>0</v>
      </c>
      <c r="I824">
        <v>0</v>
      </c>
      <c r="J824">
        <v>2</v>
      </c>
      <c r="K824">
        <v>3</v>
      </c>
      <c r="L824">
        <v>2</v>
      </c>
      <c r="M824">
        <v>1</v>
      </c>
      <c r="N824" t="s">
        <v>333</v>
      </c>
      <c r="O824" t="s">
        <v>326</v>
      </c>
    </row>
    <row r="825" spans="1:15" x14ac:dyDescent="0.3">
      <c r="A825">
        <v>498</v>
      </c>
      <c r="B825" t="s">
        <v>323</v>
      </c>
      <c r="C825">
        <v>180</v>
      </c>
      <c r="D825" t="s">
        <v>161</v>
      </c>
      <c r="E825">
        <v>803</v>
      </c>
      <c r="F825" t="s">
        <v>931</v>
      </c>
      <c r="G825">
        <v>4</v>
      </c>
      <c r="H825">
        <v>0</v>
      </c>
      <c r="I825">
        <v>3</v>
      </c>
      <c r="J825">
        <v>1</v>
      </c>
      <c r="K825">
        <v>0</v>
      </c>
      <c r="L825">
        <v>0</v>
      </c>
      <c r="M825">
        <v>0</v>
      </c>
      <c r="N825" t="s">
        <v>333</v>
      </c>
      <c r="O825" t="s">
        <v>326</v>
      </c>
    </row>
    <row r="826" spans="1:15" x14ac:dyDescent="0.3">
      <c r="A826">
        <v>498</v>
      </c>
      <c r="B826" t="s">
        <v>323</v>
      </c>
      <c r="C826">
        <v>180</v>
      </c>
      <c r="D826" t="s">
        <v>161</v>
      </c>
      <c r="E826">
        <v>806</v>
      </c>
      <c r="F826" t="s">
        <v>932</v>
      </c>
      <c r="G826">
        <v>5</v>
      </c>
      <c r="H826">
        <v>0</v>
      </c>
      <c r="I826">
        <v>1</v>
      </c>
      <c r="J826">
        <v>0</v>
      </c>
      <c r="K826">
        <v>2</v>
      </c>
      <c r="L826">
        <v>0</v>
      </c>
      <c r="M826">
        <v>2</v>
      </c>
      <c r="N826" t="s">
        <v>333</v>
      </c>
      <c r="O826" t="s">
        <v>326</v>
      </c>
    </row>
    <row r="827" spans="1:15" x14ac:dyDescent="0.3">
      <c r="A827">
        <v>498</v>
      </c>
      <c r="B827" t="s">
        <v>323</v>
      </c>
      <c r="C827">
        <v>180</v>
      </c>
      <c r="D827" t="s">
        <v>161</v>
      </c>
      <c r="E827">
        <v>808</v>
      </c>
      <c r="F827" t="s">
        <v>933</v>
      </c>
      <c r="G827">
        <v>15</v>
      </c>
      <c r="H827">
        <v>0</v>
      </c>
      <c r="I827">
        <v>1</v>
      </c>
      <c r="J827">
        <v>5</v>
      </c>
      <c r="K827">
        <v>4</v>
      </c>
      <c r="L827">
        <v>3</v>
      </c>
      <c r="M827">
        <v>2</v>
      </c>
      <c r="N827" t="s">
        <v>325</v>
      </c>
      <c r="O827" t="s">
        <v>326</v>
      </c>
    </row>
    <row r="828" spans="1:15" x14ac:dyDescent="0.3">
      <c r="A828">
        <v>498</v>
      </c>
      <c r="B828" t="s">
        <v>323</v>
      </c>
      <c r="C828">
        <v>180</v>
      </c>
      <c r="D828" t="s">
        <v>161</v>
      </c>
      <c r="E828">
        <v>809</v>
      </c>
      <c r="F828" t="s">
        <v>934</v>
      </c>
      <c r="G828">
        <v>1</v>
      </c>
      <c r="H828">
        <v>0</v>
      </c>
      <c r="I828">
        <v>0</v>
      </c>
      <c r="J828">
        <v>1</v>
      </c>
      <c r="K828">
        <v>0</v>
      </c>
      <c r="L828">
        <v>0</v>
      </c>
      <c r="M828">
        <v>0</v>
      </c>
      <c r="N828" t="s">
        <v>325</v>
      </c>
      <c r="O828" t="s">
        <v>329</v>
      </c>
    </row>
    <row r="829" spans="1:15" x14ac:dyDescent="0.3">
      <c r="A829">
        <v>498</v>
      </c>
      <c r="B829" t="s">
        <v>323</v>
      </c>
      <c r="C829">
        <v>180</v>
      </c>
      <c r="D829" t="s">
        <v>161</v>
      </c>
      <c r="E829">
        <v>810</v>
      </c>
      <c r="F829" t="s">
        <v>935</v>
      </c>
      <c r="G829">
        <v>11</v>
      </c>
      <c r="H829">
        <v>2</v>
      </c>
      <c r="I829">
        <v>1</v>
      </c>
      <c r="J829">
        <v>3</v>
      </c>
      <c r="K829">
        <v>1</v>
      </c>
      <c r="L829">
        <v>4</v>
      </c>
      <c r="M829">
        <v>0</v>
      </c>
      <c r="N829" t="s">
        <v>325</v>
      </c>
      <c r="O829" t="s">
        <v>326</v>
      </c>
    </row>
    <row r="830" spans="1:15" x14ac:dyDescent="0.3">
      <c r="A830">
        <v>498</v>
      </c>
      <c r="B830" t="s">
        <v>323</v>
      </c>
      <c r="C830">
        <v>180</v>
      </c>
      <c r="D830" t="s">
        <v>161</v>
      </c>
      <c r="E830">
        <v>811</v>
      </c>
      <c r="F830" t="s">
        <v>936</v>
      </c>
      <c r="G830">
        <v>5</v>
      </c>
      <c r="H830">
        <v>0</v>
      </c>
      <c r="I830">
        <v>1</v>
      </c>
      <c r="J830">
        <v>1</v>
      </c>
      <c r="K830">
        <v>1</v>
      </c>
      <c r="L830">
        <v>2</v>
      </c>
      <c r="M830">
        <v>0</v>
      </c>
      <c r="N830" t="s">
        <v>333</v>
      </c>
      <c r="O830" t="s">
        <v>329</v>
      </c>
    </row>
    <row r="831" spans="1:15" x14ac:dyDescent="0.3">
      <c r="A831">
        <v>498</v>
      </c>
      <c r="B831" t="s">
        <v>323</v>
      </c>
      <c r="C831">
        <v>180</v>
      </c>
      <c r="D831" t="s">
        <v>161</v>
      </c>
      <c r="E831">
        <v>814</v>
      </c>
      <c r="F831" t="s">
        <v>640</v>
      </c>
      <c r="G831">
        <v>8</v>
      </c>
      <c r="H831">
        <v>0</v>
      </c>
      <c r="I831">
        <v>0</v>
      </c>
      <c r="J831">
        <v>0</v>
      </c>
      <c r="K831">
        <v>0</v>
      </c>
      <c r="L831">
        <v>3</v>
      </c>
      <c r="M831">
        <v>5</v>
      </c>
      <c r="N831" t="s">
        <v>333</v>
      </c>
      <c r="O831" t="s">
        <v>326</v>
      </c>
    </row>
    <row r="832" spans="1:15" x14ac:dyDescent="0.3">
      <c r="A832">
        <v>498</v>
      </c>
      <c r="B832" t="s">
        <v>323</v>
      </c>
      <c r="C832">
        <v>180</v>
      </c>
      <c r="D832" t="s">
        <v>161</v>
      </c>
      <c r="E832">
        <v>815</v>
      </c>
      <c r="F832" t="s">
        <v>937</v>
      </c>
      <c r="G832">
        <v>5</v>
      </c>
      <c r="H832">
        <v>0</v>
      </c>
      <c r="I832">
        <v>0</v>
      </c>
      <c r="J832">
        <v>1</v>
      </c>
      <c r="K832">
        <v>1</v>
      </c>
      <c r="L832">
        <v>3</v>
      </c>
      <c r="M832">
        <v>0</v>
      </c>
      <c r="N832" t="s">
        <v>333</v>
      </c>
      <c r="O832" t="s">
        <v>326</v>
      </c>
    </row>
    <row r="833" spans="1:15" x14ac:dyDescent="0.3">
      <c r="A833">
        <v>498</v>
      </c>
      <c r="B833" t="s">
        <v>323</v>
      </c>
      <c r="C833">
        <v>180</v>
      </c>
      <c r="D833" t="s">
        <v>161</v>
      </c>
      <c r="E833">
        <v>816</v>
      </c>
      <c r="F833" t="s">
        <v>938</v>
      </c>
      <c r="G833">
        <v>9</v>
      </c>
      <c r="H833">
        <v>1</v>
      </c>
      <c r="I833">
        <v>4</v>
      </c>
      <c r="J833">
        <v>4</v>
      </c>
      <c r="K833">
        <v>0</v>
      </c>
      <c r="L833">
        <v>0</v>
      </c>
      <c r="M833">
        <v>0</v>
      </c>
      <c r="N833" t="s">
        <v>325</v>
      </c>
      <c r="O833" t="s">
        <v>326</v>
      </c>
    </row>
    <row r="834" spans="1:15" x14ac:dyDescent="0.3">
      <c r="A834">
        <v>498</v>
      </c>
      <c r="B834" t="s">
        <v>323</v>
      </c>
      <c r="C834">
        <v>180</v>
      </c>
      <c r="D834" t="s">
        <v>161</v>
      </c>
      <c r="E834">
        <v>818</v>
      </c>
      <c r="F834" t="s">
        <v>939</v>
      </c>
      <c r="G834">
        <v>12</v>
      </c>
      <c r="H834">
        <v>1</v>
      </c>
      <c r="I834">
        <v>1</v>
      </c>
      <c r="J834">
        <v>6</v>
      </c>
      <c r="K834">
        <v>3</v>
      </c>
      <c r="L834">
        <v>0</v>
      </c>
      <c r="M834">
        <v>1</v>
      </c>
      <c r="N834" t="s">
        <v>333</v>
      </c>
      <c r="O834" t="s">
        <v>326</v>
      </c>
    </row>
    <row r="835" spans="1:15" x14ac:dyDescent="0.3">
      <c r="A835">
        <v>498</v>
      </c>
      <c r="B835" t="s">
        <v>323</v>
      </c>
      <c r="C835">
        <v>180</v>
      </c>
      <c r="D835" t="s">
        <v>161</v>
      </c>
      <c r="E835">
        <v>819</v>
      </c>
      <c r="F835" t="s">
        <v>940</v>
      </c>
      <c r="G835">
        <v>9</v>
      </c>
      <c r="H835">
        <v>2</v>
      </c>
      <c r="I835">
        <v>1</v>
      </c>
      <c r="J835">
        <v>3</v>
      </c>
      <c r="K835">
        <v>1</v>
      </c>
      <c r="L835">
        <v>1</v>
      </c>
      <c r="M835">
        <v>1</v>
      </c>
      <c r="N835" t="s">
        <v>333</v>
      </c>
      <c r="O835" t="s">
        <v>326</v>
      </c>
    </row>
    <row r="836" spans="1:15" x14ac:dyDescent="0.3">
      <c r="A836">
        <v>498</v>
      </c>
      <c r="B836" t="s">
        <v>323</v>
      </c>
      <c r="C836">
        <v>180</v>
      </c>
      <c r="D836" t="s">
        <v>161</v>
      </c>
      <c r="E836">
        <v>820</v>
      </c>
      <c r="F836" t="s">
        <v>941</v>
      </c>
      <c r="G836">
        <v>6</v>
      </c>
      <c r="H836">
        <v>6</v>
      </c>
      <c r="I836">
        <v>0</v>
      </c>
      <c r="J836">
        <v>0</v>
      </c>
      <c r="K836">
        <v>0</v>
      </c>
      <c r="L836">
        <v>0</v>
      </c>
      <c r="M836">
        <v>0</v>
      </c>
      <c r="N836" t="s">
        <v>333</v>
      </c>
      <c r="O836" t="s">
        <v>336</v>
      </c>
    </row>
    <row r="837" spans="1:15" x14ac:dyDescent="0.3">
      <c r="A837">
        <v>498</v>
      </c>
      <c r="B837" t="s">
        <v>323</v>
      </c>
      <c r="C837">
        <v>180</v>
      </c>
      <c r="D837" t="s">
        <v>161</v>
      </c>
      <c r="E837">
        <v>822</v>
      </c>
      <c r="F837" t="s">
        <v>943</v>
      </c>
      <c r="G837">
        <v>6</v>
      </c>
      <c r="H837">
        <v>0</v>
      </c>
      <c r="I837">
        <v>5</v>
      </c>
      <c r="J837">
        <v>0</v>
      </c>
      <c r="K837">
        <v>0</v>
      </c>
      <c r="L837">
        <v>0</v>
      </c>
      <c r="M837">
        <v>1</v>
      </c>
      <c r="N837" t="s">
        <v>325</v>
      </c>
      <c r="O837" t="s">
        <v>343</v>
      </c>
    </row>
    <row r="838" spans="1:15" x14ac:dyDescent="0.3">
      <c r="A838">
        <v>498</v>
      </c>
      <c r="B838" t="s">
        <v>323</v>
      </c>
      <c r="C838">
        <v>180</v>
      </c>
      <c r="D838" t="s">
        <v>161</v>
      </c>
      <c r="E838">
        <v>824</v>
      </c>
      <c r="F838" t="s">
        <v>944</v>
      </c>
      <c r="G838">
        <v>17</v>
      </c>
      <c r="H838">
        <v>2</v>
      </c>
      <c r="I838">
        <v>1</v>
      </c>
      <c r="J838">
        <v>2</v>
      </c>
      <c r="K838">
        <v>2</v>
      </c>
      <c r="L838">
        <v>2</v>
      </c>
      <c r="M838">
        <v>8</v>
      </c>
      <c r="N838" t="s">
        <v>325</v>
      </c>
      <c r="O838" t="s">
        <v>326</v>
      </c>
    </row>
    <row r="839" spans="1:15" x14ac:dyDescent="0.3">
      <c r="A839">
        <v>498</v>
      </c>
      <c r="B839" t="s">
        <v>323</v>
      </c>
      <c r="C839">
        <v>180</v>
      </c>
      <c r="D839" t="s">
        <v>161</v>
      </c>
      <c r="E839">
        <v>825</v>
      </c>
      <c r="F839" t="s">
        <v>945</v>
      </c>
      <c r="G839">
        <v>26</v>
      </c>
      <c r="H839">
        <v>0</v>
      </c>
      <c r="I839">
        <v>0</v>
      </c>
      <c r="J839">
        <v>3</v>
      </c>
      <c r="K839">
        <v>13</v>
      </c>
      <c r="L839">
        <v>10</v>
      </c>
      <c r="M839">
        <v>0</v>
      </c>
      <c r="N839" t="s">
        <v>325</v>
      </c>
      <c r="O839" t="s">
        <v>336</v>
      </c>
    </row>
    <row r="840" spans="1:15" x14ac:dyDescent="0.3">
      <c r="A840">
        <v>498</v>
      </c>
      <c r="B840" t="s">
        <v>323</v>
      </c>
      <c r="C840">
        <v>180</v>
      </c>
      <c r="D840" t="s">
        <v>161</v>
      </c>
      <c r="E840">
        <v>826</v>
      </c>
      <c r="F840" t="s">
        <v>946</v>
      </c>
      <c r="G840">
        <v>4</v>
      </c>
      <c r="H840">
        <v>0</v>
      </c>
      <c r="I840">
        <v>0</v>
      </c>
      <c r="J840">
        <v>2</v>
      </c>
      <c r="K840">
        <v>2</v>
      </c>
      <c r="L840">
        <v>0</v>
      </c>
      <c r="M840">
        <v>0</v>
      </c>
      <c r="N840" t="s">
        <v>325</v>
      </c>
      <c r="O840" t="s">
        <v>336</v>
      </c>
    </row>
    <row r="841" spans="1:15" x14ac:dyDescent="0.3">
      <c r="A841">
        <v>498</v>
      </c>
      <c r="B841" t="s">
        <v>323</v>
      </c>
      <c r="C841">
        <v>180</v>
      </c>
      <c r="D841" t="s">
        <v>161</v>
      </c>
      <c r="E841">
        <v>827</v>
      </c>
      <c r="F841" t="s">
        <v>947</v>
      </c>
      <c r="G841">
        <v>21</v>
      </c>
      <c r="H841">
        <v>3</v>
      </c>
      <c r="I841">
        <v>2</v>
      </c>
      <c r="J841">
        <v>2</v>
      </c>
      <c r="K841">
        <v>5</v>
      </c>
      <c r="L841">
        <v>6</v>
      </c>
      <c r="M841">
        <v>3</v>
      </c>
      <c r="N841" t="s">
        <v>325</v>
      </c>
      <c r="O841" t="s">
        <v>326</v>
      </c>
    </row>
    <row r="842" spans="1:15" x14ac:dyDescent="0.3">
      <c r="A842">
        <v>498</v>
      </c>
      <c r="B842" t="s">
        <v>323</v>
      </c>
      <c r="C842">
        <v>180</v>
      </c>
      <c r="D842" t="s">
        <v>161</v>
      </c>
      <c r="E842">
        <v>828</v>
      </c>
      <c r="F842" t="s">
        <v>948</v>
      </c>
      <c r="G842">
        <v>7</v>
      </c>
      <c r="H842">
        <v>1</v>
      </c>
      <c r="I842">
        <v>1</v>
      </c>
      <c r="J842">
        <v>1</v>
      </c>
      <c r="K842">
        <v>3</v>
      </c>
      <c r="L842">
        <v>1</v>
      </c>
      <c r="M842">
        <v>0</v>
      </c>
      <c r="N842" t="s">
        <v>333</v>
      </c>
      <c r="O842" t="s">
        <v>326</v>
      </c>
    </row>
    <row r="843" spans="1:15" x14ac:dyDescent="0.3">
      <c r="A843">
        <v>498</v>
      </c>
      <c r="B843" t="s">
        <v>323</v>
      </c>
      <c r="C843">
        <v>180</v>
      </c>
      <c r="D843" t="s">
        <v>161</v>
      </c>
      <c r="E843">
        <v>829</v>
      </c>
      <c r="F843" t="s">
        <v>949</v>
      </c>
      <c r="G843">
        <v>10</v>
      </c>
      <c r="H843">
        <v>0</v>
      </c>
      <c r="I843">
        <v>0</v>
      </c>
      <c r="J843">
        <v>3</v>
      </c>
      <c r="K843">
        <v>2</v>
      </c>
      <c r="L843">
        <v>1</v>
      </c>
      <c r="M843">
        <v>4</v>
      </c>
      <c r="N843" t="s">
        <v>333</v>
      </c>
      <c r="O843" t="s">
        <v>326</v>
      </c>
    </row>
    <row r="844" spans="1:15" x14ac:dyDescent="0.3">
      <c r="A844">
        <v>498</v>
      </c>
      <c r="B844" t="s">
        <v>323</v>
      </c>
      <c r="C844">
        <v>180</v>
      </c>
      <c r="D844" t="s">
        <v>161</v>
      </c>
      <c r="E844">
        <v>832</v>
      </c>
      <c r="F844" t="s">
        <v>951</v>
      </c>
      <c r="G844">
        <v>9</v>
      </c>
      <c r="H844">
        <v>0</v>
      </c>
      <c r="I844">
        <v>0</v>
      </c>
      <c r="J844">
        <v>2</v>
      </c>
      <c r="K844">
        <v>3</v>
      </c>
      <c r="L844">
        <v>4</v>
      </c>
      <c r="M844">
        <v>0</v>
      </c>
      <c r="N844" t="s">
        <v>325</v>
      </c>
      <c r="O844" t="s">
        <v>326</v>
      </c>
    </row>
    <row r="845" spans="1:15" x14ac:dyDescent="0.3">
      <c r="A845">
        <v>498</v>
      </c>
      <c r="B845" t="s">
        <v>323</v>
      </c>
      <c r="C845">
        <v>180</v>
      </c>
      <c r="D845" t="s">
        <v>161</v>
      </c>
      <c r="E845">
        <v>833</v>
      </c>
      <c r="F845" t="s">
        <v>952</v>
      </c>
      <c r="G845">
        <v>10</v>
      </c>
      <c r="H845">
        <v>1</v>
      </c>
      <c r="I845">
        <v>1</v>
      </c>
      <c r="J845">
        <v>1</v>
      </c>
      <c r="K845">
        <v>2</v>
      </c>
      <c r="L845">
        <v>3</v>
      </c>
      <c r="M845">
        <v>2</v>
      </c>
      <c r="N845" t="s">
        <v>325</v>
      </c>
      <c r="O845" t="s">
        <v>326</v>
      </c>
    </row>
    <row r="846" spans="1:15" x14ac:dyDescent="0.3">
      <c r="A846">
        <v>498</v>
      </c>
      <c r="B846" t="s">
        <v>323</v>
      </c>
      <c r="C846">
        <v>180</v>
      </c>
      <c r="D846" t="s">
        <v>161</v>
      </c>
      <c r="E846">
        <v>834</v>
      </c>
      <c r="F846" t="s">
        <v>393</v>
      </c>
      <c r="G846">
        <v>4</v>
      </c>
      <c r="H846">
        <v>0</v>
      </c>
      <c r="I846">
        <v>0</v>
      </c>
      <c r="J846">
        <v>3</v>
      </c>
      <c r="K846">
        <v>1</v>
      </c>
      <c r="L846">
        <v>0</v>
      </c>
      <c r="M846">
        <v>0</v>
      </c>
      <c r="N846" t="s">
        <v>566</v>
      </c>
      <c r="O846" t="s">
        <v>336</v>
      </c>
    </row>
    <row r="847" spans="1:15" x14ac:dyDescent="0.3">
      <c r="A847">
        <v>498</v>
      </c>
      <c r="B847" t="s">
        <v>323</v>
      </c>
      <c r="C847">
        <v>180</v>
      </c>
      <c r="D847" t="s">
        <v>161</v>
      </c>
      <c r="E847">
        <v>2116</v>
      </c>
      <c r="F847" t="s">
        <v>18060</v>
      </c>
      <c r="G847">
        <v>8</v>
      </c>
      <c r="H847">
        <v>0</v>
      </c>
      <c r="I847">
        <v>3</v>
      </c>
      <c r="J847">
        <v>1</v>
      </c>
      <c r="K847">
        <v>3</v>
      </c>
      <c r="L847">
        <v>0</v>
      </c>
      <c r="M847">
        <v>1</v>
      </c>
      <c r="N847" t="s">
        <v>333</v>
      </c>
      <c r="O847" t="s">
        <v>326</v>
      </c>
    </row>
    <row r="848" spans="1:15" x14ac:dyDescent="0.3">
      <c r="A848">
        <v>498</v>
      </c>
      <c r="B848" t="s">
        <v>323</v>
      </c>
      <c r="C848">
        <v>180</v>
      </c>
      <c r="D848" t="s">
        <v>161</v>
      </c>
      <c r="E848">
        <v>2117</v>
      </c>
      <c r="F848" t="s">
        <v>18061</v>
      </c>
      <c r="G848">
        <v>6</v>
      </c>
      <c r="H848">
        <v>1</v>
      </c>
      <c r="I848">
        <v>0</v>
      </c>
      <c r="J848">
        <v>0</v>
      </c>
      <c r="K848">
        <v>4</v>
      </c>
      <c r="L848">
        <v>0</v>
      </c>
      <c r="M848">
        <v>1</v>
      </c>
      <c r="N848" t="s">
        <v>325</v>
      </c>
      <c r="O848" t="s">
        <v>348</v>
      </c>
    </row>
    <row r="849" spans="1:15" x14ac:dyDescent="0.3">
      <c r="A849">
        <v>498</v>
      </c>
      <c r="B849" t="s">
        <v>323</v>
      </c>
      <c r="C849">
        <v>180</v>
      </c>
      <c r="D849" t="s">
        <v>161</v>
      </c>
      <c r="E849">
        <v>2118</v>
      </c>
      <c r="F849" t="s">
        <v>998</v>
      </c>
      <c r="G849">
        <v>4</v>
      </c>
      <c r="H849">
        <v>1</v>
      </c>
      <c r="I849">
        <v>3</v>
      </c>
      <c r="J849">
        <v>0</v>
      </c>
      <c r="K849">
        <v>0</v>
      </c>
      <c r="L849">
        <v>0</v>
      </c>
      <c r="M849">
        <v>0</v>
      </c>
      <c r="N849" t="s">
        <v>333</v>
      </c>
      <c r="O849" t="s">
        <v>326</v>
      </c>
    </row>
    <row r="850" spans="1:15" x14ac:dyDescent="0.3">
      <c r="A850">
        <v>498</v>
      </c>
      <c r="B850" t="s">
        <v>323</v>
      </c>
      <c r="C850">
        <v>180</v>
      </c>
      <c r="D850" t="s">
        <v>161</v>
      </c>
      <c r="E850">
        <v>2119</v>
      </c>
      <c r="F850" t="s">
        <v>18062</v>
      </c>
      <c r="G850">
        <v>7</v>
      </c>
      <c r="H850">
        <v>1</v>
      </c>
      <c r="I850">
        <v>4</v>
      </c>
      <c r="J850">
        <v>0</v>
      </c>
      <c r="K850">
        <v>2</v>
      </c>
      <c r="L850">
        <v>0</v>
      </c>
      <c r="M850">
        <v>0</v>
      </c>
      <c r="N850" t="s">
        <v>333</v>
      </c>
      <c r="O850" t="s">
        <v>326</v>
      </c>
    </row>
    <row r="851" spans="1:15" x14ac:dyDescent="0.3">
      <c r="A851">
        <v>498</v>
      </c>
      <c r="B851" t="s">
        <v>323</v>
      </c>
      <c r="C851">
        <v>180</v>
      </c>
      <c r="D851" t="s">
        <v>161</v>
      </c>
      <c r="E851">
        <v>2120</v>
      </c>
      <c r="F851" t="s">
        <v>18063</v>
      </c>
      <c r="G851">
        <v>6</v>
      </c>
      <c r="H851">
        <v>0</v>
      </c>
      <c r="I851">
        <v>1</v>
      </c>
      <c r="J851">
        <v>2</v>
      </c>
      <c r="K851">
        <v>3</v>
      </c>
      <c r="L851">
        <v>0</v>
      </c>
      <c r="M851">
        <v>0</v>
      </c>
      <c r="N851" t="s">
        <v>325</v>
      </c>
      <c r="O851" t="s">
        <v>326</v>
      </c>
    </row>
    <row r="852" spans="1:15" x14ac:dyDescent="0.3">
      <c r="A852">
        <v>498</v>
      </c>
      <c r="B852" t="s">
        <v>323</v>
      </c>
      <c r="C852">
        <v>180</v>
      </c>
      <c r="D852" t="s">
        <v>161</v>
      </c>
      <c r="E852">
        <v>2121</v>
      </c>
      <c r="F852" t="s">
        <v>18064</v>
      </c>
      <c r="G852">
        <v>5</v>
      </c>
      <c r="H852">
        <v>1</v>
      </c>
      <c r="I852">
        <v>0</v>
      </c>
      <c r="J852">
        <v>0</v>
      </c>
      <c r="K852">
        <v>3</v>
      </c>
      <c r="L852">
        <v>1</v>
      </c>
      <c r="M852">
        <v>0</v>
      </c>
      <c r="N852" t="s">
        <v>325</v>
      </c>
      <c r="O852" t="s">
        <v>348</v>
      </c>
    </row>
    <row r="853" spans="1:15" x14ac:dyDescent="0.3">
      <c r="A853">
        <v>499</v>
      </c>
      <c r="B853" t="s">
        <v>323</v>
      </c>
      <c r="C853">
        <v>181</v>
      </c>
      <c r="D853" t="s">
        <v>163</v>
      </c>
      <c r="E853">
        <v>1015</v>
      </c>
      <c r="F853" t="s">
        <v>953</v>
      </c>
      <c r="G853">
        <v>9</v>
      </c>
      <c r="H853">
        <v>0</v>
      </c>
      <c r="I853">
        <v>0</v>
      </c>
      <c r="J853">
        <v>0</v>
      </c>
      <c r="K853">
        <v>0</v>
      </c>
      <c r="L853">
        <v>0</v>
      </c>
      <c r="M853">
        <v>9</v>
      </c>
      <c r="N853" t="s">
        <v>325</v>
      </c>
      <c r="O853" t="s">
        <v>329</v>
      </c>
    </row>
    <row r="854" spans="1:15" x14ac:dyDescent="0.3">
      <c r="A854">
        <v>499</v>
      </c>
      <c r="B854" t="s">
        <v>323</v>
      </c>
      <c r="C854">
        <v>181</v>
      </c>
      <c r="D854" t="s">
        <v>163</v>
      </c>
      <c r="E854">
        <v>1019</v>
      </c>
      <c r="F854" t="s">
        <v>781</v>
      </c>
      <c r="G854">
        <v>7</v>
      </c>
      <c r="H854">
        <v>7</v>
      </c>
      <c r="I854">
        <v>0</v>
      </c>
      <c r="J854">
        <v>0</v>
      </c>
      <c r="K854">
        <v>0</v>
      </c>
      <c r="L854">
        <v>0</v>
      </c>
      <c r="M854">
        <v>0</v>
      </c>
      <c r="N854" t="s">
        <v>325</v>
      </c>
      <c r="O854" t="s">
        <v>336</v>
      </c>
    </row>
    <row r="855" spans="1:15" x14ac:dyDescent="0.3">
      <c r="A855">
        <v>499</v>
      </c>
      <c r="B855" t="s">
        <v>323</v>
      </c>
      <c r="C855">
        <v>181</v>
      </c>
      <c r="D855" t="s">
        <v>163</v>
      </c>
      <c r="E855">
        <v>1020</v>
      </c>
      <c r="F855" t="s">
        <v>911</v>
      </c>
      <c r="G855">
        <v>4</v>
      </c>
      <c r="H855">
        <v>0</v>
      </c>
      <c r="I855">
        <v>0</v>
      </c>
      <c r="J855">
        <v>0</v>
      </c>
      <c r="K855">
        <v>0</v>
      </c>
      <c r="L855">
        <v>0</v>
      </c>
      <c r="M855">
        <v>4</v>
      </c>
      <c r="N855" t="s">
        <v>325</v>
      </c>
      <c r="O855" t="s">
        <v>336</v>
      </c>
    </row>
    <row r="856" spans="1:15" x14ac:dyDescent="0.3">
      <c r="A856">
        <v>499</v>
      </c>
      <c r="B856" t="s">
        <v>323</v>
      </c>
      <c r="C856">
        <v>181</v>
      </c>
      <c r="D856" t="s">
        <v>163</v>
      </c>
      <c r="E856">
        <v>1021</v>
      </c>
      <c r="F856" t="s">
        <v>955</v>
      </c>
      <c r="G856">
        <v>0</v>
      </c>
      <c r="H856">
        <v>0</v>
      </c>
      <c r="I856">
        <v>0</v>
      </c>
      <c r="J856">
        <v>0</v>
      </c>
      <c r="K856">
        <v>0</v>
      </c>
      <c r="L856">
        <v>0</v>
      </c>
      <c r="M856">
        <v>0</v>
      </c>
      <c r="N856" t="s">
        <v>333</v>
      </c>
      <c r="O856" t="s">
        <v>329</v>
      </c>
    </row>
    <row r="857" spans="1:15" x14ac:dyDescent="0.3">
      <c r="A857">
        <v>499</v>
      </c>
      <c r="B857" t="s">
        <v>323</v>
      </c>
      <c r="C857">
        <v>181</v>
      </c>
      <c r="D857" t="s">
        <v>163</v>
      </c>
      <c r="E857">
        <v>1025</v>
      </c>
      <c r="F857" t="s">
        <v>959</v>
      </c>
      <c r="G857">
        <v>7</v>
      </c>
      <c r="H857">
        <v>0</v>
      </c>
      <c r="I857">
        <v>0</v>
      </c>
      <c r="J857">
        <v>0</v>
      </c>
      <c r="K857">
        <v>0</v>
      </c>
      <c r="L857">
        <v>0</v>
      </c>
      <c r="M857">
        <v>7</v>
      </c>
      <c r="N857" t="s">
        <v>325</v>
      </c>
      <c r="O857" t="s">
        <v>348</v>
      </c>
    </row>
    <row r="858" spans="1:15" x14ac:dyDescent="0.3">
      <c r="A858">
        <v>499</v>
      </c>
      <c r="B858" t="s">
        <v>323</v>
      </c>
      <c r="C858">
        <v>181</v>
      </c>
      <c r="D858" t="s">
        <v>163</v>
      </c>
      <c r="E858">
        <v>1026</v>
      </c>
      <c r="F858" t="s">
        <v>960</v>
      </c>
      <c r="G858">
        <v>0</v>
      </c>
      <c r="H858">
        <v>0</v>
      </c>
      <c r="I858">
        <v>0</v>
      </c>
      <c r="J858">
        <v>0</v>
      </c>
      <c r="K858">
        <v>0</v>
      </c>
      <c r="L858">
        <v>0</v>
      </c>
      <c r="M858">
        <v>0</v>
      </c>
      <c r="N858" t="s">
        <v>333</v>
      </c>
      <c r="O858" t="s">
        <v>329</v>
      </c>
    </row>
    <row r="859" spans="1:15" x14ac:dyDescent="0.3">
      <c r="A859">
        <v>499</v>
      </c>
      <c r="B859" t="s">
        <v>323</v>
      </c>
      <c r="C859">
        <v>181</v>
      </c>
      <c r="D859" t="s">
        <v>163</v>
      </c>
      <c r="E859">
        <v>1029</v>
      </c>
      <c r="F859" t="s">
        <v>962</v>
      </c>
      <c r="G859">
        <v>17</v>
      </c>
      <c r="H859">
        <v>0</v>
      </c>
      <c r="I859">
        <v>0</v>
      </c>
      <c r="J859">
        <v>0</v>
      </c>
      <c r="K859">
        <v>0</v>
      </c>
      <c r="L859">
        <v>0</v>
      </c>
      <c r="M859">
        <v>17</v>
      </c>
      <c r="N859" t="s">
        <v>325</v>
      </c>
      <c r="O859" t="s">
        <v>336</v>
      </c>
    </row>
    <row r="860" spans="1:15" x14ac:dyDescent="0.3">
      <c r="A860">
        <v>499</v>
      </c>
      <c r="B860" t="s">
        <v>323</v>
      </c>
      <c r="C860">
        <v>181</v>
      </c>
      <c r="D860" t="s">
        <v>163</v>
      </c>
      <c r="E860">
        <v>1030</v>
      </c>
      <c r="F860" t="s">
        <v>782</v>
      </c>
      <c r="G860">
        <v>4</v>
      </c>
      <c r="H860">
        <v>0</v>
      </c>
      <c r="I860">
        <v>0</v>
      </c>
      <c r="J860">
        <v>0</v>
      </c>
      <c r="K860">
        <v>0</v>
      </c>
      <c r="L860">
        <v>0</v>
      </c>
      <c r="M860">
        <v>4</v>
      </c>
      <c r="N860" t="s">
        <v>333</v>
      </c>
      <c r="O860" t="s">
        <v>336</v>
      </c>
    </row>
    <row r="861" spans="1:15" x14ac:dyDescent="0.3">
      <c r="A861">
        <v>499</v>
      </c>
      <c r="B861" t="s">
        <v>323</v>
      </c>
      <c r="C861">
        <v>181</v>
      </c>
      <c r="D861" t="s">
        <v>163</v>
      </c>
      <c r="E861">
        <v>1031</v>
      </c>
      <c r="F861" t="s">
        <v>831</v>
      </c>
      <c r="G861">
        <v>6</v>
      </c>
      <c r="H861">
        <v>0</v>
      </c>
      <c r="I861">
        <v>0</v>
      </c>
      <c r="J861">
        <v>0</v>
      </c>
      <c r="K861">
        <v>0</v>
      </c>
      <c r="L861">
        <v>0</v>
      </c>
      <c r="M861">
        <v>6</v>
      </c>
      <c r="N861" t="s">
        <v>325</v>
      </c>
      <c r="O861" t="s">
        <v>343</v>
      </c>
    </row>
    <row r="862" spans="1:15" x14ac:dyDescent="0.3">
      <c r="A862">
        <v>499</v>
      </c>
      <c r="B862" t="s">
        <v>323</v>
      </c>
      <c r="C862">
        <v>181</v>
      </c>
      <c r="D862" t="s">
        <v>163</v>
      </c>
      <c r="E862">
        <v>1032</v>
      </c>
      <c r="F862" t="s">
        <v>963</v>
      </c>
      <c r="G862">
        <v>6</v>
      </c>
      <c r="H862">
        <v>0</v>
      </c>
      <c r="I862">
        <v>0</v>
      </c>
      <c r="J862">
        <v>0</v>
      </c>
      <c r="K862">
        <v>0</v>
      </c>
      <c r="L862">
        <v>0</v>
      </c>
      <c r="M862">
        <v>6</v>
      </c>
      <c r="N862" t="s">
        <v>325</v>
      </c>
      <c r="O862" t="s">
        <v>336</v>
      </c>
    </row>
    <row r="863" spans="1:15" x14ac:dyDescent="0.3">
      <c r="A863">
        <v>499</v>
      </c>
      <c r="B863" t="s">
        <v>323</v>
      </c>
      <c r="C863">
        <v>181</v>
      </c>
      <c r="D863" t="s">
        <v>163</v>
      </c>
      <c r="E863">
        <v>1033</v>
      </c>
      <c r="F863" t="s">
        <v>964</v>
      </c>
      <c r="G863">
        <v>4</v>
      </c>
      <c r="H863">
        <v>0</v>
      </c>
      <c r="I863">
        <v>0</v>
      </c>
      <c r="J863">
        <v>0</v>
      </c>
      <c r="K863">
        <v>0</v>
      </c>
      <c r="L863">
        <v>0</v>
      </c>
      <c r="M863">
        <v>4</v>
      </c>
      <c r="N863" t="s">
        <v>325</v>
      </c>
      <c r="O863" t="s">
        <v>484</v>
      </c>
    </row>
    <row r="864" spans="1:15" x14ac:dyDescent="0.3">
      <c r="A864">
        <v>499</v>
      </c>
      <c r="B864" t="s">
        <v>323</v>
      </c>
      <c r="C864">
        <v>181</v>
      </c>
      <c r="D864" t="s">
        <v>163</v>
      </c>
      <c r="E864">
        <v>1034</v>
      </c>
      <c r="F864" t="s">
        <v>665</v>
      </c>
      <c r="G864">
        <v>9</v>
      </c>
      <c r="H864">
        <v>0</v>
      </c>
      <c r="I864">
        <v>0</v>
      </c>
      <c r="J864">
        <v>0</v>
      </c>
      <c r="K864">
        <v>0</v>
      </c>
      <c r="L864">
        <v>0</v>
      </c>
      <c r="M864">
        <v>9</v>
      </c>
      <c r="N864" t="s">
        <v>333</v>
      </c>
      <c r="O864" t="s">
        <v>336</v>
      </c>
    </row>
    <row r="865" spans="1:15" x14ac:dyDescent="0.3">
      <c r="A865">
        <v>499</v>
      </c>
      <c r="B865" t="s">
        <v>323</v>
      </c>
      <c r="C865">
        <v>181</v>
      </c>
      <c r="D865" t="s">
        <v>163</v>
      </c>
      <c r="E865">
        <v>1035</v>
      </c>
      <c r="F865" t="s">
        <v>819</v>
      </c>
      <c r="G865">
        <v>4</v>
      </c>
      <c r="H865">
        <v>0</v>
      </c>
      <c r="I865">
        <v>0</v>
      </c>
      <c r="J865">
        <v>0</v>
      </c>
      <c r="K865">
        <v>0</v>
      </c>
      <c r="L865">
        <v>0</v>
      </c>
      <c r="M865">
        <v>4</v>
      </c>
      <c r="N865" t="s">
        <v>325</v>
      </c>
      <c r="O865" t="s">
        <v>336</v>
      </c>
    </row>
    <row r="866" spans="1:15" x14ac:dyDescent="0.3">
      <c r="A866">
        <v>499</v>
      </c>
      <c r="B866" t="s">
        <v>323</v>
      </c>
      <c r="C866">
        <v>181</v>
      </c>
      <c r="D866" t="s">
        <v>163</v>
      </c>
      <c r="E866">
        <v>1592</v>
      </c>
      <c r="F866" t="s">
        <v>965</v>
      </c>
      <c r="G866">
        <v>3</v>
      </c>
      <c r="H866">
        <v>0</v>
      </c>
      <c r="I866">
        <v>0</v>
      </c>
      <c r="J866">
        <v>0</v>
      </c>
      <c r="K866">
        <v>3</v>
      </c>
      <c r="L866">
        <v>0</v>
      </c>
      <c r="M866">
        <v>0</v>
      </c>
      <c r="N866" t="s">
        <v>333</v>
      </c>
      <c r="O866" t="s">
        <v>484</v>
      </c>
    </row>
    <row r="867" spans="1:15" x14ac:dyDescent="0.3">
      <c r="A867">
        <v>499</v>
      </c>
      <c r="B867" t="s">
        <v>323</v>
      </c>
      <c r="C867">
        <v>181</v>
      </c>
      <c r="D867" t="s">
        <v>163</v>
      </c>
      <c r="E867">
        <v>2249</v>
      </c>
      <c r="F867" t="s">
        <v>18065</v>
      </c>
      <c r="G867">
        <v>6</v>
      </c>
      <c r="H867">
        <v>0</v>
      </c>
      <c r="I867">
        <v>0</v>
      </c>
      <c r="J867">
        <v>0</v>
      </c>
      <c r="K867">
        <v>0</v>
      </c>
      <c r="L867">
        <v>0</v>
      </c>
      <c r="M867">
        <v>6</v>
      </c>
      <c r="N867" t="s">
        <v>333</v>
      </c>
      <c r="O867" t="s">
        <v>336</v>
      </c>
    </row>
    <row r="868" spans="1:15" x14ac:dyDescent="0.3">
      <c r="A868">
        <v>499</v>
      </c>
      <c r="B868" t="s">
        <v>323</v>
      </c>
      <c r="C868">
        <v>181</v>
      </c>
      <c r="D868" t="s">
        <v>163</v>
      </c>
      <c r="E868">
        <v>2250</v>
      </c>
      <c r="F868" t="s">
        <v>18066</v>
      </c>
      <c r="G868">
        <v>4</v>
      </c>
      <c r="H868">
        <v>0</v>
      </c>
      <c r="I868">
        <v>0</v>
      </c>
      <c r="J868">
        <v>0</v>
      </c>
      <c r="K868">
        <v>0</v>
      </c>
      <c r="L868">
        <v>0</v>
      </c>
      <c r="M868">
        <v>4</v>
      </c>
      <c r="N868" t="s">
        <v>325</v>
      </c>
      <c r="O868" t="s">
        <v>336</v>
      </c>
    </row>
    <row r="869" spans="1:15" x14ac:dyDescent="0.3">
      <c r="A869">
        <v>499</v>
      </c>
      <c r="B869" t="s">
        <v>323</v>
      </c>
      <c r="C869">
        <v>181</v>
      </c>
      <c r="D869" t="s">
        <v>163</v>
      </c>
      <c r="E869">
        <v>2251</v>
      </c>
      <c r="F869" t="s">
        <v>18067</v>
      </c>
      <c r="G869">
        <v>9</v>
      </c>
      <c r="H869">
        <v>0</v>
      </c>
      <c r="I869">
        <v>0</v>
      </c>
      <c r="J869">
        <v>0</v>
      </c>
      <c r="K869">
        <v>0</v>
      </c>
      <c r="L869">
        <v>0</v>
      </c>
      <c r="M869">
        <v>9</v>
      </c>
      <c r="N869" t="s">
        <v>333</v>
      </c>
      <c r="O869" t="s">
        <v>336</v>
      </c>
    </row>
    <row r="870" spans="1:15" x14ac:dyDescent="0.3">
      <c r="A870">
        <v>499</v>
      </c>
      <c r="B870" t="s">
        <v>323</v>
      </c>
      <c r="C870">
        <v>181</v>
      </c>
      <c r="D870" t="s">
        <v>163</v>
      </c>
      <c r="E870">
        <v>2252</v>
      </c>
      <c r="F870" t="s">
        <v>322</v>
      </c>
      <c r="G870">
        <v>10</v>
      </c>
      <c r="H870">
        <v>0</v>
      </c>
      <c r="I870">
        <v>0</v>
      </c>
      <c r="J870">
        <v>0</v>
      </c>
      <c r="K870">
        <v>0</v>
      </c>
      <c r="L870">
        <v>0</v>
      </c>
      <c r="M870">
        <v>10</v>
      </c>
      <c r="N870" t="s">
        <v>333</v>
      </c>
      <c r="O870" t="s">
        <v>336</v>
      </c>
    </row>
    <row r="871" spans="1:15" x14ac:dyDescent="0.3">
      <c r="A871">
        <v>500</v>
      </c>
      <c r="B871" t="s">
        <v>323</v>
      </c>
      <c r="C871">
        <v>182</v>
      </c>
      <c r="D871" t="s">
        <v>165</v>
      </c>
      <c r="E871">
        <v>1684</v>
      </c>
      <c r="F871" t="s">
        <v>1457</v>
      </c>
      <c r="G871">
        <v>7</v>
      </c>
      <c r="H871">
        <v>0</v>
      </c>
      <c r="I871">
        <v>4</v>
      </c>
      <c r="J871">
        <v>1</v>
      </c>
      <c r="K871">
        <v>2</v>
      </c>
      <c r="L871">
        <v>0</v>
      </c>
      <c r="M871">
        <v>0</v>
      </c>
      <c r="N871" t="s">
        <v>566</v>
      </c>
      <c r="O871" t="s">
        <v>336</v>
      </c>
    </row>
    <row r="872" spans="1:15" x14ac:dyDescent="0.3">
      <c r="A872">
        <v>500</v>
      </c>
      <c r="B872" t="s">
        <v>323</v>
      </c>
      <c r="C872">
        <v>182</v>
      </c>
      <c r="D872" t="s">
        <v>165</v>
      </c>
      <c r="E872">
        <v>1685</v>
      </c>
      <c r="F872" t="s">
        <v>1458</v>
      </c>
      <c r="G872">
        <v>7</v>
      </c>
      <c r="H872">
        <v>0</v>
      </c>
      <c r="I872">
        <v>7</v>
      </c>
      <c r="J872">
        <v>0</v>
      </c>
      <c r="K872">
        <v>0</v>
      </c>
      <c r="L872">
        <v>0</v>
      </c>
      <c r="M872">
        <v>0</v>
      </c>
      <c r="N872" t="s">
        <v>566</v>
      </c>
      <c r="O872" t="s">
        <v>484</v>
      </c>
    </row>
    <row r="873" spans="1:15" x14ac:dyDescent="0.3">
      <c r="A873">
        <v>500</v>
      </c>
      <c r="B873" t="s">
        <v>323</v>
      </c>
      <c r="C873">
        <v>182</v>
      </c>
      <c r="D873" t="s">
        <v>165</v>
      </c>
      <c r="E873">
        <v>1686</v>
      </c>
      <c r="F873" t="s">
        <v>1459</v>
      </c>
      <c r="G873">
        <v>6</v>
      </c>
      <c r="H873">
        <v>3</v>
      </c>
      <c r="I873">
        <v>2</v>
      </c>
      <c r="J873">
        <v>0</v>
      </c>
      <c r="K873">
        <v>0</v>
      </c>
      <c r="L873">
        <v>1</v>
      </c>
      <c r="M873">
        <v>0</v>
      </c>
      <c r="N873" t="s">
        <v>414</v>
      </c>
      <c r="O873" t="s">
        <v>484</v>
      </c>
    </row>
    <row r="874" spans="1:15" x14ac:dyDescent="0.3">
      <c r="A874">
        <v>500</v>
      </c>
      <c r="B874" t="s">
        <v>323</v>
      </c>
      <c r="C874">
        <v>182</v>
      </c>
      <c r="D874" t="s">
        <v>165</v>
      </c>
      <c r="E874">
        <v>1688</v>
      </c>
      <c r="F874" t="s">
        <v>1461</v>
      </c>
      <c r="G874">
        <v>6</v>
      </c>
      <c r="H874">
        <v>2</v>
      </c>
      <c r="I874">
        <v>0</v>
      </c>
      <c r="J874">
        <v>2</v>
      </c>
      <c r="K874">
        <v>1</v>
      </c>
      <c r="L874">
        <v>1</v>
      </c>
      <c r="M874">
        <v>0</v>
      </c>
      <c r="N874" t="s">
        <v>416</v>
      </c>
      <c r="O874" t="s">
        <v>484</v>
      </c>
    </row>
    <row r="875" spans="1:15" x14ac:dyDescent="0.3">
      <c r="A875">
        <v>500</v>
      </c>
      <c r="B875" t="s">
        <v>323</v>
      </c>
      <c r="C875">
        <v>182</v>
      </c>
      <c r="D875" t="s">
        <v>165</v>
      </c>
      <c r="E875">
        <v>1689</v>
      </c>
      <c r="F875" t="s">
        <v>1462</v>
      </c>
      <c r="G875">
        <v>6</v>
      </c>
      <c r="H875">
        <v>3</v>
      </c>
      <c r="I875">
        <v>2</v>
      </c>
      <c r="J875">
        <v>1</v>
      </c>
      <c r="K875">
        <v>0</v>
      </c>
      <c r="L875">
        <v>0</v>
      </c>
      <c r="M875">
        <v>0</v>
      </c>
      <c r="N875" t="s">
        <v>414</v>
      </c>
      <c r="O875" t="s">
        <v>484</v>
      </c>
    </row>
    <row r="876" spans="1:15" x14ac:dyDescent="0.3">
      <c r="A876">
        <v>500</v>
      </c>
      <c r="B876" t="s">
        <v>323</v>
      </c>
      <c r="C876">
        <v>182</v>
      </c>
      <c r="D876" t="s">
        <v>165</v>
      </c>
      <c r="E876">
        <v>1691</v>
      </c>
      <c r="F876" t="s">
        <v>1464</v>
      </c>
      <c r="G876">
        <v>5</v>
      </c>
      <c r="H876">
        <v>0</v>
      </c>
      <c r="I876">
        <v>1</v>
      </c>
      <c r="J876">
        <v>1</v>
      </c>
      <c r="K876">
        <v>2</v>
      </c>
      <c r="L876">
        <v>0</v>
      </c>
      <c r="M876">
        <v>1</v>
      </c>
      <c r="N876" t="s">
        <v>416</v>
      </c>
      <c r="O876" t="s">
        <v>336</v>
      </c>
    </row>
    <row r="877" spans="1:15" x14ac:dyDescent="0.3">
      <c r="A877">
        <v>500</v>
      </c>
      <c r="B877" t="s">
        <v>323</v>
      </c>
      <c r="C877">
        <v>182</v>
      </c>
      <c r="D877" t="s">
        <v>165</v>
      </c>
      <c r="E877">
        <v>1692</v>
      </c>
      <c r="F877" t="s">
        <v>444</v>
      </c>
      <c r="G877">
        <v>4</v>
      </c>
      <c r="H877">
        <v>1</v>
      </c>
      <c r="I877">
        <v>2</v>
      </c>
      <c r="J877">
        <v>1</v>
      </c>
      <c r="K877">
        <v>0</v>
      </c>
      <c r="L877">
        <v>0</v>
      </c>
      <c r="M877">
        <v>0</v>
      </c>
      <c r="N877" t="s">
        <v>410</v>
      </c>
      <c r="O877" t="s">
        <v>484</v>
      </c>
    </row>
    <row r="878" spans="1:15" x14ac:dyDescent="0.3">
      <c r="A878">
        <v>500</v>
      </c>
      <c r="B878" t="s">
        <v>323</v>
      </c>
      <c r="C878">
        <v>182</v>
      </c>
      <c r="D878" t="s">
        <v>165</v>
      </c>
      <c r="E878">
        <v>1693</v>
      </c>
      <c r="F878" t="s">
        <v>1465</v>
      </c>
      <c r="G878">
        <v>6</v>
      </c>
      <c r="H878">
        <v>0</v>
      </c>
      <c r="I878">
        <v>0</v>
      </c>
      <c r="J878">
        <v>6</v>
      </c>
      <c r="K878">
        <v>0</v>
      </c>
      <c r="L878">
        <v>0</v>
      </c>
      <c r="M878">
        <v>0</v>
      </c>
      <c r="N878" t="s">
        <v>416</v>
      </c>
      <c r="O878" t="s">
        <v>336</v>
      </c>
    </row>
    <row r="879" spans="1:15" x14ac:dyDescent="0.3">
      <c r="A879">
        <v>500</v>
      </c>
      <c r="B879" t="s">
        <v>323</v>
      </c>
      <c r="C879">
        <v>182</v>
      </c>
      <c r="D879" t="s">
        <v>165</v>
      </c>
      <c r="E879">
        <v>1694</v>
      </c>
      <c r="F879" t="s">
        <v>863</v>
      </c>
      <c r="G879">
        <v>6</v>
      </c>
      <c r="H879">
        <v>2</v>
      </c>
      <c r="I879">
        <v>2</v>
      </c>
      <c r="J879">
        <v>2</v>
      </c>
      <c r="K879">
        <v>0</v>
      </c>
      <c r="L879">
        <v>0</v>
      </c>
      <c r="M879">
        <v>0</v>
      </c>
      <c r="N879" t="s">
        <v>416</v>
      </c>
      <c r="O879" t="s">
        <v>484</v>
      </c>
    </row>
    <row r="880" spans="1:15" x14ac:dyDescent="0.3">
      <c r="A880">
        <v>500</v>
      </c>
      <c r="B880" t="s">
        <v>323</v>
      </c>
      <c r="C880">
        <v>182</v>
      </c>
      <c r="D880" t="s">
        <v>165</v>
      </c>
      <c r="E880">
        <v>1696</v>
      </c>
      <c r="F880" t="s">
        <v>1466</v>
      </c>
      <c r="G880">
        <v>5</v>
      </c>
      <c r="H880">
        <v>3</v>
      </c>
      <c r="I880">
        <v>1</v>
      </c>
      <c r="J880">
        <v>1</v>
      </c>
      <c r="K880">
        <v>0</v>
      </c>
      <c r="L880">
        <v>0</v>
      </c>
      <c r="M880">
        <v>0</v>
      </c>
      <c r="N880" t="s">
        <v>410</v>
      </c>
      <c r="O880" t="s">
        <v>484</v>
      </c>
    </row>
    <row r="881" spans="1:15" x14ac:dyDescent="0.3">
      <c r="A881">
        <v>500</v>
      </c>
      <c r="B881" t="s">
        <v>323</v>
      </c>
      <c r="C881">
        <v>182</v>
      </c>
      <c r="D881" t="s">
        <v>165</v>
      </c>
      <c r="E881">
        <v>1697</v>
      </c>
      <c r="F881" t="s">
        <v>1467</v>
      </c>
      <c r="G881">
        <v>6</v>
      </c>
      <c r="H881">
        <v>4</v>
      </c>
      <c r="I881">
        <v>2</v>
      </c>
      <c r="J881">
        <v>0</v>
      </c>
      <c r="K881">
        <v>0</v>
      </c>
      <c r="L881">
        <v>0</v>
      </c>
      <c r="M881">
        <v>0</v>
      </c>
      <c r="N881" t="s">
        <v>566</v>
      </c>
      <c r="O881" t="s">
        <v>484</v>
      </c>
    </row>
    <row r="882" spans="1:15" x14ac:dyDescent="0.3">
      <c r="A882">
        <v>500</v>
      </c>
      <c r="B882" t="s">
        <v>323</v>
      </c>
      <c r="C882">
        <v>182</v>
      </c>
      <c r="D882" t="s">
        <v>165</v>
      </c>
      <c r="E882">
        <v>1698</v>
      </c>
      <c r="F882" t="s">
        <v>1240</v>
      </c>
      <c r="G882">
        <v>4</v>
      </c>
      <c r="H882">
        <v>3</v>
      </c>
      <c r="I882">
        <v>1</v>
      </c>
      <c r="J882">
        <v>0</v>
      </c>
      <c r="K882">
        <v>0</v>
      </c>
      <c r="L882">
        <v>0</v>
      </c>
      <c r="M882">
        <v>0</v>
      </c>
      <c r="N882" t="s">
        <v>410</v>
      </c>
      <c r="O882" t="s">
        <v>484</v>
      </c>
    </row>
    <row r="883" spans="1:15" x14ac:dyDescent="0.3">
      <c r="A883">
        <v>500</v>
      </c>
      <c r="B883" t="s">
        <v>323</v>
      </c>
      <c r="C883">
        <v>182</v>
      </c>
      <c r="D883" t="s">
        <v>165</v>
      </c>
      <c r="E883">
        <v>1699</v>
      </c>
      <c r="F883" t="s">
        <v>884</v>
      </c>
      <c r="G883">
        <v>6</v>
      </c>
      <c r="H883">
        <v>5</v>
      </c>
      <c r="I883">
        <v>1</v>
      </c>
      <c r="J883">
        <v>0</v>
      </c>
      <c r="K883">
        <v>0</v>
      </c>
      <c r="L883">
        <v>0</v>
      </c>
      <c r="M883">
        <v>0</v>
      </c>
      <c r="N883" t="s">
        <v>414</v>
      </c>
      <c r="O883" t="s">
        <v>484</v>
      </c>
    </row>
    <row r="884" spans="1:15" x14ac:dyDescent="0.3">
      <c r="A884">
        <v>500</v>
      </c>
      <c r="B884" t="s">
        <v>323</v>
      </c>
      <c r="C884">
        <v>182</v>
      </c>
      <c r="D884" t="s">
        <v>165</v>
      </c>
      <c r="E884">
        <v>1700</v>
      </c>
      <c r="F884" t="s">
        <v>680</v>
      </c>
      <c r="G884">
        <v>6</v>
      </c>
      <c r="H884">
        <v>0</v>
      </c>
      <c r="I884">
        <v>0</v>
      </c>
      <c r="J884">
        <v>0</v>
      </c>
      <c r="K884">
        <v>4</v>
      </c>
      <c r="L884">
        <v>0</v>
      </c>
      <c r="M884">
        <v>2</v>
      </c>
      <c r="N884" t="s">
        <v>414</v>
      </c>
      <c r="O884" t="s">
        <v>484</v>
      </c>
    </row>
    <row r="885" spans="1:15" x14ac:dyDescent="0.3">
      <c r="A885">
        <v>500</v>
      </c>
      <c r="B885" t="s">
        <v>323</v>
      </c>
      <c r="C885">
        <v>182</v>
      </c>
      <c r="D885" t="s">
        <v>165</v>
      </c>
      <c r="E885">
        <v>1701</v>
      </c>
      <c r="F885" t="s">
        <v>781</v>
      </c>
      <c r="G885">
        <v>5</v>
      </c>
      <c r="H885">
        <v>5</v>
      </c>
      <c r="I885">
        <v>0</v>
      </c>
      <c r="J885">
        <v>0</v>
      </c>
      <c r="K885">
        <v>0</v>
      </c>
      <c r="L885">
        <v>0</v>
      </c>
      <c r="M885">
        <v>0</v>
      </c>
      <c r="N885" t="s">
        <v>410</v>
      </c>
      <c r="O885" t="s">
        <v>484</v>
      </c>
    </row>
    <row r="886" spans="1:15" x14ac:dyDescent="0.3">
      <c r="A886">
        <v>500</v>
      </c>
      <c r="B886" t="s">
        <v>323</v>
      </c>
      <c r="C886">
        <v>182</v>
      </c>
      <c r="D886" t="s">
        <v>165</v>
      </c>
      <c r="E886">
        <v>1702</v>
      </c>
      <c r="F886" t="s">
        <v>897</v>
      </c>
      <c r="G886">
        <v>4</v>
      </c>
      <c r="H886">
        <v>0</v>
      </c>
      <c r="I886">
        <v>2</v>
      </c>
      <c r="J886">
        <v>1</v>
      </c>
      <c r="K886">
        <v>1</v>
      </c>
      <c r="L886">
        <v>0</v>
      </c>
      <c r="M886">
        <v>0</v>
      </c>
      <c r="N886" t="s">
        <v>414</v>
      </c>
      <c r="O886" t="s">
        <v>484</v>
      </c>
    </row>
    <row r="887" spans="1:15" x14ac:dyDescent="0.3">
      <c r="A887">
        <v>500</v>
      </c>
      <c r="B887" t="s">
        <v>323</v>
      </c>
      <c r="C887">
        <v>182</v>
      </c>
      <c r="D887" t="s">
        <v>165</v>
      </c>
      <c r="E887">
        <v>1703</v>
      </c>
      <c r="F887" t="s">
        <v>666</v>
      </c>
      <c r="G887">
        <v>5</v>
      </c>
      <c r="H887">
        <v>0</v>
      </c>
      <c r="I887">
        <v>1</v>
      </c>
      <c r="J887">
        <v>2</v>
      </c>
      <c r="K887">
        <v>1</v>
      </c>
      <c r="L887">
        <v>1</v>
      </c>
      <c r="M887">
        <v>0</v>
      </c>
      <c r="N887" t="s">
        <v>333</v>
      </c>
      <c r="O887" t="s">
        <v>336</v>
      </c>
    </row>
    <row r="888" spans="1:15" x14ac:dyDescent="0.3">
      <c r="A888">
        <v>500</v>
      </c>
      <c r="B888" t="s">
        <v>323</v>
      </c>
      <c r="C888">
        <v>182</v>
      </c>
      <c r="D888" t="s">
        <v>165</v>
      </c>
      <c r="E888">
        <v>1704</v>
      </c>
      <c r="F888" t="s">
        <v>1468</v>
      </c>
      <c r="G888">
        <v>4</v>
      </c>
      <c r="H888">
        <v>0</v>
      </c>
      <c r="I888">
        <v>0</v>
      </c>
      <c r="J888">
        <v>1</v>
      </c>
      <c r="K888">
        <v>3</v>
      </c>
      <c r="L888">
        <v>0</v>
      </c>
      <c r="M888">
        <v>0</v>
      </c>
      <c r="N888" t="s">
        <v>410</v>
      </c>
      <c r="O888" t="s">
        <v>336</v>
      </c>
    </row>
    <row r="889" spans="1:15" x14ac:dyDescent="0.3">
      <c r="A889">
        <v>500</v>
      </c>
      <c r="B889" t="s">
        <v>323</v>
      </c>
      <c r="C889">
        <v>182</v>
      </c>
      <c r="D889" t="s">
        <v>165</v>
      </c>
      <c r="E889">
        <v>1705</v>
      </c>
      <c r="F889" t="s">
        <v>1469</v>
      </c>
      <c r="G889">
        <v>4</v>
      </c>
      <c r="H889">
        <v>0</v>
      </c>
      <c r="I889">
        <v>0</v>
      </c>
      <c r="J889">
        <v>1</v>
      </c>
      <c r="K889">
        <v>2</v>
      </c>
      <c r="L889">
        <v>1</v>
      </c>
      <c r="M889">
        <v>0</v>
      </c>
      <c r="N889" t="s">
        <v>333</v>
      </c>
      <c r="O889" t="s">
        <v>336</v>
      </c>
    </row>
    <row r="890" spans="1:15" x14ac:dyDescent="0.3">
      <c r="A890">
        <v>500</v>
      </c>
      <c r="B890" t="s">
        <v>323</v>
      </c>
      <c r="C890">
        <v>182</v>
      </c>
      <c r="D890" t="s">
        <v>165</v>
      </c>
      <c r="E890">
        <v>1706</v>
      </c>
      <c r="F890" t="s">
        <v>1470</v>
      </c>
      <c r="G890">
        <v>2</v>
      </c>
      <c r="H890">
        <v>1</v>
      </c>
      <c r="I890">
        <v>0</v>
      </c>
      <c r="J890">
        <v>0</v>
      </c>
      <c r="K890">
        <v>0</v>
      </c>
      <c r="L890">
        <v>0</v>
      </c>
      <c r="M890">
        <v>1</v>
      </c>
      <c r="N890" t="s">
        <v>333</v>
      </c>
      <c r="O890" t="s">
        <v>336</v>
      </c>
    </row>
    <row r="891" spans="1:15" x14ac:dyDescent="0.3">
      <c r="A891">
        <v>500</v>
      </c>
      <c r="B891" t="s">
        <v>323</v>
      </c>
      <c r="C891">
        <v>182</v>
      </c>
      <c r="D891" t="s">
        <v>165</v>
      </c>
      <c r="E891">
        <v>1709</v>
      </c>
      <c r="F891" t="s">
        <v>1472</v>
      </c>
      <c r="G891">
        <v>4</v>
      </c>
      <c r="H891">
        <v>3</v>
      </c>
      <c r="I891">
        <v>0</v>
      </c>
      <c r="J891">
        <v>0</v>
      </c>
      <c r="K891">
        <v>1</v>
      </c>
      <c r="L891">
        <v>0</v>
      </c>
      <c r="M891">
        <v>0</v>
      </c>
      <c r="N891" t="s">
        <v>410</v>
      </c>
      <c r="O891" t="s">
        <v>484</v>
      </c>
    </row>
    <row r="892" spans="1:15" x14ac:dyDescent="0.3">
      <c r="A892">
        <v>500</v>
      </c>
      <c r="B892" t="s">
        <v>323</v>
      </c>
      <c r="C892">
        <v>182</v>
      </c>
      <c r="D892" t="s">
        <v>165</v>
      </c>
      <c r="E892">
        <v>2196</v>
      </c>
      <c r="F892" t="s">
        <v>883</v>
      </c>
      <c r="G892">
        <v>6</v>
      </c>
      <c r="H892">
        <v>0</v>
      </c>
      <c r="I892">
        <v>3</v>
      </c>
      <c r="J892">
        <v>1</v>
      </c>
      <c r="K892">
        <v>1</v>
      </c>
      <c r="L892">
        <v>1</v>
      </c>
      <c r="M892">
        <v>0</v>
      </c>
      <c r="N892" t="s">
        <v>416</v>
      </c>
      <c r="O892" t="s">
        <v>484</v>
      </c>
    </row>
    <row r="893" spans="1:15" x14ac:dyDescent="0.3">
      <c r="A893">
        <v>500</v>
      </c>
      <c r="B893" t="s">
        <v>323</v>
      </c>
      <c r="C893">
        <v>182</v>
      </c>
      <c r="D893" t="s">
        <v>165</v>
      </c>
      <c r="E893">
        <v>2197</v>
      </c>
      <c r="F893" t="s">
        <v>18068</v>
      </c>
      <c r="G893">
        <v>3</v>
      </c>
      <c r="H893">
        <v>2</v>
      </c>
      <c r="I893">
        <v>0</v>
      </c>
      <c r="J893">
        <v>1</v>
      </c>
      <c r="K893">
        <v>0</v>
      </c>
      <c r="L893">
        <v>0</v>
      </c>
      <c r="M893">
        <v>0</v>
      </c>
      <c r="N893" t="s">
        <v>410</v>
      </c>
      <c r="O893" t="s">
        <v>343</v>
      </c>
    </row>
    <row r="894" spans="1:15" x14ac:dyDescent="0.3">
      <c r="A894">
        <v>500</v>
      </c>
      <c r="B894" t="s">
        <v>323</v>
      </c>
      <c r="C894">
        <v>182</v>
      </c>
      <c r="D894" t="s">
        <v>165</v>
      </c>
      <c r="E894">
        <v>2237</v>
      </c>
      <c r="F894" t="s">
        <v>18050</v>
      </c>
      <c r="G894">
        <v>5</v>
      </c>
      <c r="H894">
        <v>5</v>
      </c>
      <c r="I894">
        <v>0</v>
      </c>
      <c r="J894">
        <v>0</v>
      </c>
      <c r="K894">
        <v>0</v>
      </c>
      <c r="L894">
        <v>0</v>
      </c>
      <c r="M894">
        <v>0</v>
      </c>
      <c r="N894" t="s">
        <v>410</v>
      </c>
      <c r="O894" t="s">
        <v>484</v>
      </c>
    </row>
    <row r="895" spans="1:15" x14ac:dyDescent="0.3">
      <c r="A895">
        <v>500</v>
      </c>
      <c r="B895" t="s">
        <v>323</v>
      </c>
      <c r="C895">
        <v>182</v>
      </c>
      <c r="D895" t="s">
        <v>165</v>
      </c>
      <c r="E895">
        <v>2240</v>
      </c>
      <c r="F895" t="s">
        <v>833</v>
      </c>
      <c r="G895">
        <v>6</v>
      </c>
      <c r="H895">
        <v>0</v>
      </c>
      <c r="I895">
        <v>0</v>
      </c>
      <c r="J895">
        <v>2</v>
      </c>
      <c r="K895">
        <v>3</v>
      </c>
      <c r="L895">
        <v>0</v>
      </c>
      <c r="M895">
        <v>1</v>
      </c>
      <c r="N895" t="s">
        <v>416</v>
      </c>
      <c r="O895" t="s">
        <v>326</v>
      </c>
    </row>
    <row r="896" spans="1:15" x14ac:dyDescent="0.3">
      <c r="A896">
        <v>500</v>
      </c>
      <c r="B896" t="s">
        <v>323</v>
      </c>
      <c r="C896">
        <v>182</v>
      </c>
      <c r="D896" t="s">
        <v>165</v>
      </c>
      <c r="E896">
        <v>2241</v>
      </c>
      <c r="F896" t="s">
        <v>18069</v>
      </c>
      <c r="G896">
        <v>6</v>
      </c>
      <c r="H896">
        <v>0</v>
      </c>
      <c r="I896">
        <v>0</v>
      </c>
      <c r="J896">
        <v>6</v>
      </c>
      <c r="K896">
        <v>0</v>
      </c>
      <c r="L896">
        <v>0</v>
      </c>
      <c r="M896">
        <v>0</v>
      </c>
      <c r="N896" t="s">
        <v>566</v>
      </c>
      <c r="O896" t="s">
        <v>484</v>
      </c>
    </row>
    <row r="897" spans="1:15" x14ac:dyDescent="0.3">
      <c r="A897">
        <v>501</v>
      </c>
      <c r="B897" t="s">
        <v>323</v>
      </c>
      <c r="C897">
        <v>183</v>
      </c>
      <c r="D897" t="s">
        <v>167</v>
      </c>
      <c r="E897">
        <v>349</v>
      </c>
      <c r="F897" t="s">
        <v>393</v>
      </c>
      <c r="G897">
        <v>3</v>
      </c>
      <c r="H897">
        <v>0</v>
      </c>
      <c r="I897">
        <v>0</v>
      </c>
      <c r="J897">
        <v>1</v>
      </c>
      <c r="K897">
        <v>2</v>
      </c>
      <c r="L897">
        <v>0</v>
      </c>
      <c r="M897">
        <v>0</v>
      </c>
      <c r="N897" t="s">
        <v>414</v>
      </c>
      <c r="O897" t="s">
        <v>326</v>
      </c>
    </row>
    <row r="898" spans="1:15" x14ac:dyDescent="0.3">
      <c r="A898">
        <v>501</v>
      </c>
      <c r="B898" t="s">
        <v>323</v>
      </c>
      <c r="C898">
        <v>183</v>
      </c>
      <c r="D898" t="s">
        <v>167</v>
      </c>
      <c r="E898">
        <v>353</v>
      </c>
      <c r="F898" t="s">
        <v>816</v>
      </c>
      <c r="G898">
        <v>4</v>
      </c>
      <c r="H898">
        <v>0</v>
      </c>
      <c r="I898">
        <v>0</v>
      </c>
      <c r="J898">
        <v>2</v>
      </c>
      <c r="K898">
        <v>2</v>
      </c>
      <c r="L898">
        <v>0</v>
      </c>
      <c r="M898">
        <v>0</v>
      </c>
      <c r="N898" t="s">
        <v>333</v>
      </c>
      <c r="O898" t="s">
        <v>326</v>
      </c>
    </row>
    <row r="899" spans="1:15" x14ac:dyDescent="0.3">
      <c r="A899">
        <v>501</v>
      </c>
      <c r="B899" t="s">
        <v>323</v>
      </c>
      <c r="C899">
        <v>183</v>
      </c>
      <c r="D899" t="s">
        <v>167</v>
      </c>
      <c r="E899">
        <v>1710</v>
      </c>
      <c r="F899" t="s">
        <v>1473</v>
      </c>
      <c r="G899">
        <v>4</v>
      </c>
      <c r="H899">
        <v>0</v>
      </c>
      <c r="I899">
        <v>0</v>
      </c>
      <c r="J899">
        <v>3</v>
      </c>
      <c r="K899">
        <v>1</v>
      </c>
      <c r="L899">
        <v>0</v>
      </c>
      <c r="M899">
        <v>0</v>
      </c>
      <c r="N899" t="s">
        <v>325</v>
      </c>
      <c r="O899" t="s">
        <v>348</v>
      </c>
    </row>
    <row r="900" spans="1:15" x14ac:dyDescent="0.3">
      <c r="A900">
        <v>501</v>
      </c>
      <c r="B900" t="s">
        <v>323</v>
      </c>
      <c r="C900">
        <v>183</v>
      </c>
      <c r="D900" t="s">
        <v>167</v>
      </c>
      <c r="E900">
        <v>2077</v>
      </c>
      <c r="F900" t="s">
        <v>18070</v>
      </c>
      <c r="G900">
        <v>3</v>
      </c>
      <c r="H900">
        <v>0</v>
      </c>
      <c r="I900">
        <v>0</v>
      </c>
      <c r="J900">
        <v>2</v>
      </c>
      <c r="K900">
        <v>1</v>
      </c>
      <c r="L900">
        <v>0</v>
      </c>
      <c r="M900">
        <v>0</v>
      </c>
      <c r="N900" t="s">
        <v>325</v>
      </c>
      <c r="O900" t="s">
        <v>329</v>
      </c>
    </row>
    <row r="901" spans="1:15" x14ac:dyDescent="0.3">
      <c r="A901">
        <v>501</v>
      </c>
      <c r="B901" t="s">
        <v>323</v>
      </c>
      <c r="C901">
        <v>183</v>
      </c>
      <c r="D901" t="s">
        <v>167</v>
      </c>
      <c r="E901">
        <v>2078</v>
      </c>
      <c r="F901" t="s">
        <v>18071</v>
      </c>
      <c r="G901">
        <v>3</v>
      </c>
      <c r="H901">
        <v>0</v>
      </c>
      <c r="I901">
        <v>0</v>
      </c>
      <c r="J901">
        <v>2</v>
      </c>
      <c r="K901">
        <v>1</v>
      </c>
      <c r="L901">
        <v>0</v>
      </c>
      <c r="M901">
        <v>0</v>
      </c>
      <c r="N901" t="s">
        <v>333</v>
      </c>
      <c r="O901" t="s">
        <v>326</v>
      </c>
    </row>
    <row r="902" spans="1:15" x14ac:dyDescent="0.3">
      <c r="A902">
        <v>501</v>
      </c>
      <c r="B902" t="s">
        <v>323</v>
      </c>
      <c r="C902">
        <v>183</v>
      </c>
      <c r="D902" t="s">
        <v>167</v>
      </c>
      <c r="E902">
        <v>2079</v>
      </c>
      <c r="F902" t="s">
        <v>640</v>
      </c>
      <c r="G902">
        <v>5</v>
      </c>
      <c r="H902">
        <v>0</v>
      </c>
      <c r="I902">
        <v>0</v>
      </c>
      <c r="J902">
        <v>0</v>
      </c>
      <c r="K902">
        <v>2</v>
      </c>
      <c r="L902">
        <v>3</v>
      </c>
      <c r="M902">
        <v>0</v>
      </c>
      <c r="N902" t="s">
        <v>333</v>
      </c>
      <c r="O902" t="s">
        <v>326</v>
      </c>
    </row>
    <row r="903" spans="1:15" x14ac:dyDescent="0.3">
      <c r="A903">
        <v>503</v>
      </c>
      <c r="B903" t="s">
        <v>323</v>
      </c>
      <c r="C903">
        <v>185</v>
      </c>
      <c r="D903" t="s">
        <v>171</v>
      </c>
      <c r="E903">
        <v>1892</v>
      </c>
      <c r="F903" t="s">
        <v>1474</v>
      </c>
      <c r="G903">
        <v>6</v>
      </c>
      <c r="H903">
        <v>0</v>
      </c>
      <c r="I903">
        <v>3</v>
      </c>
      <c r="J903">
        <v>2</v>
      </c>
      <c r="K903">
        <v>0</v>
      </c>
      <c r="L903">
        <v>1</v>
      </c>
      <c r="M903">
        <v>0</v>
      </c>
      <c r="N903" t="s">
        <v>333</v>
      </c>
      <c r="O903" t="s">
        <v>326</v>
      </c>
    </row>
    <row r="904" spans="1:15" x14ac:dyDescent="0.3">
      <c r="A904">
        <v>503</v>
      </c>
      <c r="B904" t="s">
        <v>323</v>
      </c>
      <c r="C904">
        <v>185</v>
      </c>
      <c r="D904" t="s">
        <v>171</v>
      </c>
      <c r="E904">
        <v>1893</v>
      </c>
      <c r="F904" t="s">
        <v>1475</v>
      </c>
      <c r="G904">
        <v>15</v>
      </c>
      <c r="H904">
        <v>0</v>
      </c>
      <c r="I904">
        <v>4</v>
      </c>
      <c r="J904">
        <v>6</v>
      </c>
      <c r="K904">
        <v>1</v>
      </c>
      <c r="L904">
        <v>2</v>
      </c>
      <c r="M904">
        <v>2</v>
      </c>
      <c r="N904" t="s">
        <v>333</v>
      </c>
      <c r="O904" t="s">
        <v>326</v>
      </c>
    </row>
    <row r="905" spans="1:15" x14ac:dyDescent="0.3">
      <c r="A905">
        <v>503</v>
      </c>
      <c r="B905" t="s">
        <v>323</v>
      </c>
      <c r="C905">
        <v>185</v>
      </c>
      <c r="D905" t="s">
        <v>171</v>
      </c>
      <c r="E905">
        <v>1894</v>
      </c>
      <c r="F905" t="s">
        <v>432</v>
      </c>
      <c r="G905">
        <v>5</v>
      </c>
      <c r="H905">
        <v>0</v>
      </c>
      <c r="I905">
        <v>1</v>
      </c>
      <c r="J905">
        <v>2</v>
      </c>
      <c r="K905">
        <v>0</v>
      </c>
      <c r="L905">
        <v>1</v>
      </c>
      <c r="M905">
        <v>1</v>
      </c>
      <c r="N905" t="s">
        <v>325</v>
      </c>
      <c r="O905" t="s">
        <v>348</v>
      </c>
    </row>
    <row r="906" spans="1:15" x14ac:dyDescent="0.3">
      <c r="A906">
        <v>503</v>
      </c>
      <c r="B906" t="s">
        <v>323</v>
      </c>
      <c r="C906">
        <v>185</v>
      </c>
      <c r="D906" t="s">
        <v>171</v>
      </c>
      <c r="E906">
        <v>1895</v>
      </c>
      <c r="F906" t="s">
        <v>825</v>
      </c>
      <c r="G906">
        <v>9</v>
      </c>
      <c r="H906">
        <v>0</v>
      </c>
      <c r="I906">
        <v>0</v>
      </c>
      <c r="J906">
        <v>5</v>
      </c>
      <c r="K906">
        <v>1</v>
      </c>
      <c r="L906">
        <v>3</v>
      </c>
      <c r="M906">
        <v>0</v>
      </c>
      <c r="N906" t="s">
        <v>325</v>
      </c>
      <c r="O906" t="s">
        <v>343</v>
      </c>
    </row>
    <row r="907" spans="1:15" x14ac:dyDescent="0.3">
      <c r="A907">
        <v>503</v>
      </c>
      <c r="B907" t="s">
        <v>323</v>
      </c>
      <c r="C907">
        <v>185</v>
      </c>
      <c r="D907" t="s">
        <v>171</v>
      </c>
      <c r="E907">
        <v>1896</v>
      </c>
      <c r="F907" t="s">
        <v>1476</v>
      </c>
      <c r="G907">
        <v>8</v>
      </c>
      <c r="H907">
        <v>0</v>
      </c>
      <c r="I907">
        <v>1</v>
      </c>
      <c r="J907">
        <v>5</v>
      </c>
      <c r="K907">
        <v>0</v>
      </c>
      <c r="L907">
        <v>2</v>
      </c>
      <c r="M907">
        <v>0</v>
      </c>
      <c r="N907" t="s">
        <v>333</v>
      </c>
      <c r="O907" t="s">
        <v>336</v>
      </c>
    </row>
    <row r="908" spans="1:15" x14ac:dyDescent="0.3">
      <c r="A908">
        <v>503</v>
      </c>
      <c r="B908" t="s">
        <v>323</v>
      </c>
      <c r="C908">
        <v>185</v>
      </c>
      <c r="D908" t="s">
        <v>171</v>
      </c>
      <c r="E908">
        <v>1897</v>
      </c>
      <c r="F908" t="s">
        <v>1450</v>
      </c>
      <c r="G908">
        <v>7</v>
      </c>
      <c r="H908">
        <v>0</v>
      </c>
      <c r="I908">
        <v>2</v>
      </c>
      <c r="J908">
        <v>3</v>
      </c>
      <c r="K908">
        <v>0</v>
      </c>
      <c r="L908">
        <v>0</v>
      </c>
      <c r="M908">
        <v>2</v>
      </c>
      <c r="N908" t="s">
        <v>333</v>
      </c>
      <c r="O908" t="s">
        <v>336</v>
      </c>
    </row>
    <row r="909" spans="1:15" x14ac:dyDescent="0.3">
      <c r="A909">
        <v>503</v>
      </c>
      <c r="B909" t="s">
        <v>323</v>
      </c>
      <c r="C909">
        <v>185</v>
      </c>
      <c r="D909" t="s">
        <v>171</v>
      </c>
      <c r="E909">
        <v>1898</v>
      </c>
      <c r="F909" t="s">
        <v>398</v>
      </c>
      <c r="G909">
        <v>4</v>
      </c>
      <c r="H909">
        <v>0</v>
      </c>
      <c r="I909">
        <v>1</v>
      </c>
      <c r="J909">
        <v>2</v>
      </c>
      <c r="K909">
        <v>0</v>
      </c>
      <c r="L909">
        <v>1</v>
      </c>
      <c r="M909">
        <v>0</v>
      </c>
      <c r="N909" t="s">
        <v>325</v>
      </c>
      <c r="O909" t="s">
        <v>348</v>
      </c>
    </row>
    <row r="910" spans="1:15" x14ac:dyDescent="0.3">
      <c r="A910">
        <v>503</v>
      </c>
      <c r="B910" t="s">
        <v>323</v>
      </c>
      <c r="C910">
        <v>185</v>
      </c>
      <c r="D910" t="s">
        <v>171</v>
      </c>
      <c r="E910">
        <v>1899</v>
      </c>
      <c r="F910" t="s">
        <v>1477</v>
      </c>
      <c r="G910">
        <v>13</v>
      </c>
      <c r="H910">
        <v>0</v>
      </c>
      <c r="I910">
        <v>1</v>
      </c>
      <c r="J910">
        <v>5</v>
      </c>
      <c r="K910">
        <v>0</v>
      </c>
      <c r="L910">
        <v>2</v>
      </c>
      <c r="M910">
        <v>5</v>
      </c>
      <c r="N910" t="s">
        <v>333</v>
      </c>
      <c r="O910" t="s">
        <v>336</v>
      </c>
    </row>
    <row r="911" spans="1:15" x14ac:dyDescent="0.3">
      <c r="A911">
        <v>503</v>
      </c>
      <c r="B911" t="s">
        <v>323</v>
      </c>
      <c r="C911">
        <v>185</v>
      </c>
      <c r="D911" t="s">
        <v>171</v>
      </c>
      <c r="E911">
        <v>1900</v>
      </c>
      <c r="F911" t="s">
        <v>353</v>
      </c>
      <c r="G911">
        <v>4</v>
      </c>
      <c r="H911">
        <v>0</v>
      </c>
      <c r="I911">
        <v>0</v>
      </c>
      <c r="J911">
        <v>0</v>
      </c>
      <c r="K911">
        <v>1</v>
      </c>
      <c r="L911">
        <v>3</v>
      </c>
      <c r="M911">
        <v>0</v>
      </c>
      <c r="N911" t="s">
        <v>333</v>
      </c>
      <c r="O911" t="s">
        <v>326</v>
      </c>
    </row>
    <row r="912" spans="1:15" x14ac:dyDescent="0.3">
      <c r="A912">
        <v>503</v>
      </c>
      <c r="B912" t="s">
        <v>323</v>
      </c>
      <c r="C912">
        <v>185</v>
      </c>
      <c r="D912" t="s">
        <v>171</v>
      </c>
      <c r="E912">
        <v>1901</v>
      </c>
      <c r="F912" t="s">
        <v>1478</v>
      </c>
      <c r="G912">
        <v>5</v>
      </c>
      <c r="H912">
        <v>0</v>
      </c>
      <c r="I912">
        <v>0</v>
      </c>
      <c r="J912">
        <v>1</v>
      </c>
      <c r="K912">
        <v>1</v>
      </c>
      <c r="L912">
        <v>3</v>
      </c>
      <c r="M912">
        <v>0</v>
      </c>
      <c r="N912" t="s">
        <v>325</v>
      </c>
      <c r="O912" t="s">
        <v>336</v>
      </c>
    </row>
    <row r="913" spans="1:15" x14ac:dyDescent="0.3">
      <c r="A913">
        <v>505</v>
      </c>
      <c r="B913" t="s">
        <v>323</v>
      </c>
      <c r="C913">
        <v>187</v>
      </c>
      <c r="D913" t="s">
        <v>176</v>
      </c>
      <c r="E913">
        <v>525</v>
      </c>
      <c r="F913" t="s">
        <v>349</v>
      </c>
      <c r="G913">
        <v>8</v>
      </c>
      <c r="H913">
        <v>0</v>
      </c>
      <c r="I913">
        <v>3</v>
      </c>
      <c r="J913">
        <v>3</v>
      </c>
      <c r="K913">
        <v>2</v>
      </c>
      <c r="L913">
        <v>0</v>
      </c>
      <c r="M913">
        <v>0</v>
      </c>
      <c r="N913" t="s">
        <v>566</v>
      </c>
      <c r="O913" t="s">
        <v>336</v>
      </c>
    </row>
    <row r="914" spans="1:15" x14ac:dyDescent="0.3">
      <c r="A914">
        <v>505</v>
      </c>
      <c r="B914" t="s">
        <v>323</v>
      </c>
      <c r="C914">
        <v>187</v>
      </c>
      <c r="D914" t="s">
        <v>176</v>
      </c>
      <c r="E914">
        <v>526</v>
      </c>
      <c r="F914" t="s">
        <v>760</v>
      </c>
      <c r="G914">
        <v>9</v>
      </c>
      <c r="H914">
        <v>2</v>
      </c>
      <c r="I914">
        <v>7</v>
      </c>
      <c r="J914">
        <v>0</v>
      </c>
      <c r="K914">
        <v>0</v>
      </c>
      <c r="L914">
        <v>0</v>
      </c>
      <c r="M914">
        <v>0</v>
      </c>
      <c r="N914" t="s">
        <v>416</v>
      </c>
      <c r="O914" t="s">
        <v>343</v>
      </c>
    </row>
    <row r="915" spans="1:15" x14ac:dyDescent="0.3">
      <c r="A915">
        <v>505</v>
      </c>
      <c r="B915" t="s">
        <v>323</v>
      </c>
      <c r="C915">
        <v>187</v>
      </c>
      <c r="D915" t="s">
        <v>176</v>
      </c>
      <c r="E915">
        <v>1234</v>
      </c>
      <c r="F915" t="s">
        <v>985</v>
      </c>
      <c r="G915">
        <v>8</v>
      </c>
      <c r="H915">
        <v>6</v>
      </c>
      <c r="I915">
        <v>2</v>
      </c>
      <c r="J915">
        <v>0</v>
      </c>
      <c r="K915">
        <v>0</v>
      </c>
      <c r="L915">
        <v>0</v>
      </c>
      <c r="M915">
        <v>0</v>
      </c>
      <c r="N915" t="s">
        <v>325</v>
      </c>
      <c r="O915" t="s">
        <v>484</v>
      </c>
    </row>
    <row r="916" spans="1:15" x14ac:dyDescent="0.3">
      <c r="A916">
        <v>505</v>
      </c>
      <c r="B916" t="s">
        <v>323</v>
      </c>
      <c r="C916">
        <v>187</v>
      </c>
      <c r="D916" t="s">
        <v>176</v>
      </c>
      <c r="E916">
        <v>1235</v>
      </c>
      <c r="F916" t="s">
        <v>986</v>
      </c>
      <c r="G916">
        <v>8</v>
      </c>
      <c r="H916">
        <v>0</v>
      </c>
      <c r="I916">
        <v>4</v>
      </c>
      <c r="J916">
        <v>4</v>
      </c>
      <c r="K916">
        <v>0</v>
      </c>
      <c r="L916">
        <v>0</v>
      </c>
      <c r="M916">
        <v>0</v>
      </c>
      <c r="N916" t="s">
        <v>414</v>
      </c>
      <c r="O916" t="s">
        <v>343</v>
      </c>
    </row>
    <row r="917" spans="1:15" x14ac:dyDescent="0.3">
      <c r="A917">
        <v>505</v>
      </c>
      <c r="B917" t="s">
        <v>323</v>
      </c>
      <c r="C917">
        <v>187</v>
      </c>
      <c r="D917" t="s">
        <v>176</v>
      </c>
      <c r="E917">
        <v>1236</v>
      </c>
      <c r="F917" t="s">
        <v>987</v>
      </c>
      <c r="G917">
        <v>7</v>
      </c>
      <c r="H917">
        <v>7</v>
      </c>
      <c r="I917">
        <v>0</v>
      </c>
      <c r="J917">
        <v>0</v>
      </c>
      <c r="K917">
        <v>0</v>
      </c>
      <c r="L917">
        <v>0</v>
      </c>
      <c r="M917">
        <v>0</v>
      </c>
      <c r="N917" t="s">
        <v>410</v>
      </c>
      <c r="O917" t="s">
        <v>329</v>
      </c>
    </row>
    <row r="918" spans="1:15" x14ac:dyDescent="0.3">
      <c r="A918">
        <v>505</v>
      </c>
      <c r="B918" t="s">
        <v>323</v>
      </c>
      <c r="C918">
        <v>187</v>
      </c>
      <c r="D918" t="s">
        <v>176</v>
      </c>
      <c r="E918">
        <v>1238</v>
      </c>
      <c r="F918" t="s">
        <v>988</v>
      </c>
      <c r="G918">
        <v>7</v>
      </c>
      <c r="H918">
        <v>0</v>
      </c>
      <c r="I918">
        <v>3</v>
      </c>
      <c r="J918">
        <v>3</v>
      </c>
      <c r="K918">
        <v>1</v>
      </c>
      <c r="L918">
        <v>0</v>
      </c>
      <c r="M918">
        <v>0</v>
      </c>
      <c r="N918" t="s">
        <v>325</v>
      </c>
      <c r="O918" t="s">
        <v>326</v>
      </c>
    </row>
    <row r="919" spans="1:15" x14ac:dyDescent="0.3">
      <c r="A919">
        <v>505</v>
      </c>
      <c r="B919" t="s">
        <v>323</v>
      </c>
      <c r="C919">
        <v>187</v>
      </c>
      <c r="D919" t="s">
        <v>176</v>
      </c>
      <c r="E919">
        <v>1239</v>
      </c>
      <c r="F919" t="s">
        <v>989</v>
      </c>
      <c r="G919">
        <v>9</v>
      </c>
      <c r="H919">
        <v>0</v>
      </c>
      <c r="I919">
        <v>2</v>
      </c>
      <c r="J919">
        <v>4</v>
      </c>
      <c r="K919">
        <v>3</v>
      </c>
      <c r="L919">
        <v>0</v>
      </c>
      <c r="M919">
        <v>0</v>
      </c>
      <c r="N919" t="s">
        <v>325</v>
      </c>
      <c r="O919" t="s">
        <v>326</v>
      </c>
    </row>
    <row r="920" spans="1:15" x14ac:dyDescent="0.3">
      <c r="A920">
        <v>505</v>
      </c>
      <c r="B920" t="s">
        <v>323</v>
      </c>
      <c r="C920">
        <v>187</v>
      </c>
      <c r="D920" t="s">
        <v>176</v>
      </c>
      <c r="E920">
        <v>1240</v>
      </c>
      <c r="F920" t="s">
        <v>897</v>
      </c>
      <c r="G920">
        <v>6</v>
      </c>
      <c r="H920">
        <v>0</v>
      </c>
      <c r="I920">
        <v>2</v>
      </c>
      <c r="J920">
        <v>3</v>
      </c>
      <c r="K920">
        <v>1</v>
      </c>
      <c r="L920">
        <v>0</v>
      </c>
      <c r="M920">
        <v>0</v>
      </c>
      <c r="N920" t="s">
        <v>410</v>
      </c>
      <c r="O920" t="s">
        <v>343</v>
      </c>
    </row>
    <row r="921" spans="1:15" x14ac:dyDescent="0.3">
      <c r="A921">
        <v>505</v>
      </c>
      <c r="B921" t="s">
        <v>323</v>
      </c>
      <c r="C921">
        <v>187</v>
      </c>
      <c r="D921" t="s">
        <v>176</v>
      </c>
      <c r="E921">
        <v>1241</v>
      </c>
      <c r="F921" t="s">
        <v>648</v>
      </c>
      <c r="G921">
        <v>9</v>
      </c>
      <c r="H921">
        <v>0</v>
      </c>
      <c r="I921">
        <v>0</v>
      </c>
      <c r="J921">
        <v>5</v>
      </c>
      <c r="K921">
        <v>4</v>
      </c>
      <c r="L921">
        <v>0</v>
      </c>
      <c r="M921">
        <v>0</v>
      </c>
      <c r="N921" t="s">
        <v>410</v>
      </c>
      <c r="O921" t="s">
        <v>326</v>
      </c>
    </row>
    <row r="922" spans="1:15" x14ac:dyDescent="0.3">
      <c r="A922">
        <v>505</v>
      </c>
      <c r="B922" t="s">
        <v>323</v>
      </c>
      <c r="C922">
        <v>187</v>
      </c>
      <c r="D922" t="s">
        <v>176</v>
      </c>
      <c r="E922">
        <v>1242</v>
      </c>
      <c r="F922" t="s">
        <v>990</v>
      </c>
      <c r="G922">
        <v>8</v>
      </c>
      <c r="H922">
        <v>0</v>
      </c>
      <c r="I922">
        <v>0</v>
      </c>
      <c r="J922">
        <v>3</v>
      </c>
      <c r="K922">
        <v>3</v>
      </c>
      <c r="L922">
        <v>2</v>
      </c>
      <c r="M922">
        <v>0</v>
      </c>
      <c r="N922" t="s">
        <v>325</v>
      </c>
      <c r="O922" t="s">
        <v>326</v>
      </c>
    </row>
    <row r="923" spans="1:15" x14ac:dyDescent="0.3">
      <c r="A923">
        <v>505</v>
      </c>
      <c r="B923" t="s">
        <v>323</v>
      </c>
      <c r="C923">
        <v>187</v>
      </c>
      <c r="D923" t="s">
        <v>176</v>
      </c>
      <c r="E923">
        <v>1243</v>
      </c>
      <c r="F923" t="s">
        <v>663</v>
      </c>
      <c r="G923">
        <v>8</v>
      </c>
      <c r="H923">
        <v>0</v>
      </c>
      <c r="I923">
        <v>4</v>
      </c>
      <c r="J923">
        <v>4</v>
      </c>
      <c r="K923">
        <v>0</v>
      </c>
      <c r="L923">
        <v>0</v>
      </c>
      <c r="M923">
        <v>0</v>
      </c>
      <c r="N923" t="s">
        <v>416</v>
      </c>
      <c r="O923" t="s">
        <v>484</v>
      </c>
    </row>
    <row r="924" spans="1:15" x14ac:dyDescent="0.3">
      <c r="A924">
        <v>505</v>
      </c>
      <c r="B924" t="s">
        <v>323</v>
      </c>
      <c r="C924">
        <v>187</v>
      </c>
      <c r="D924" t="s">
        <v>176</v>
      </c>
      <c r="E924">
        <v>1244</v>
      </c>
      <c r="F924" t="s">
        <v>991</v>
      </c>
      <c r="G924">
        <v>6</v>
      </c>
      <c r="H924">
        <v>2</v>
      </c>
      <c r="I924">
        <v>4</v>
      </c>
      <c r="J924">
        <v>0</v>
      </c>
      <c r="K924">
        <v>0</v>
      </c>
      <c r="L924">
        <v>0</v>
      </c>
      <c r="M924">
        <v>0</v>
      </c>
      <c r="N924" t="s">
        <v>325</v>
      </c>
      <c r="O924" t="s">
        <v>348</v>
      </c>
    </row>
    <row r="925" spans="1:15" x14ac:dyDescent="0.3">
      <c r="A925">
        <v>505</v>
      </c>
      <c r="B925" t="s">
        <v>323</v>
      </c>
      <c r="C925">
        <v>187</v>
      </c>
      <c r="D925" t="s">
        <v>176</v>
      </c>
      <c r="E925">
        <v>1246</v>
      </c>
      <c r="F925" t="s">
        <v>992</v>
      </c>
      <c r="G925">
        <v>5</v>
      </c>
      <c r="H925">
        <v>2</v>
      </c>
      <c r="I925">
        <v>3</v>
      </c>
      <c r="J925">
        <v>0</v>
      </c>
      <c r="K925">
        <v>0</v>
      </c>
      <c r="L925">
        <v>0</v>
      </c>
      <c r="M925">
        <v>0</v>
      </c>
      <c r="N925" t="s">
        <v>325</v>
      </c>
      <c r="O925" t="s">
        <v>348</v>
      </c>
    </row>
    <row r="926" spans="1:15" x14ac:dyDescent="0.3">
      <c r="A926">
        <v>505</v>
      </c>
      <c r="B926" t="s">
        <v>323</v>
      </c>
      <c r="C926">
        <v>187</v>
      </c>
      <c r="D926" t="s">
        <v>176</v>
      </c>
      <c r="E926">
        <v>1247</v>
      </c>
      <c r="F926" t="s">
        <v>993</v>
      </c>
      <c r="G926">
        <v>31</v>
      </c>
      <c r="H926">
        <v>5</v>
      </c>
      <c r="I926">
        <v>10</v>
      </c>
      <c r="J926">
        <v>10</v>
      </c>
      <c r="K926">
        <v>3</v>
      </c>
      <c r="L926">
        <v>3</v>
      </c>
      <c r="M926">
        <v>0</v>
      </c>
      <c r="N926" t="s">
        <v>325</v>
      </c>
      <c r="O926" t="s">
        <v>326</v>
      </c>
    </row>
    <row r="927" spans="1:15" x14ac:dyDescent="0.3">
      <c r="A927">
        <v>505</v>
      </c>
      <c r="B927" t="s">
        <v>323</v>
      </c>
      <c r="C927">
        <v>187</v>
      </c>
      <c r="D927" t="s">
        <v>176</v>
      </c>
      <c r="E927">
        <v>1248</v>
      </c>
      <c r="F927" t="s">
        <v>994</v>
      </c>
      <c r="G927">
        <v>9</v>
      </c>
      <c r="H927">
        <v>1</v>
      </c>
      <c r="I927">
        <v>2</v>
      </c>
      <c r="J927">
        <v>2</v>
      </c>
      <c r="K927">
        <v>2</v>
      </c>
      <c r="L927">
        <v>2</v>
      </c>
      <c r="M927">
        <v>0</v>
      </c>
      <c r="N927" t="s">
        <v>333</v>
      </c>
      <c r="O927" t="s">
        <v>326</v>
      </c>
    </row>
    <row r="928" spans="1:15" x14ac:dyDescent="0.3">
      <c r="A928">
        <v>505</v>
      </c>
      <c r="B928" t="s">
        <v>323</v>
      </c>
      <c r="C928">
        <v>187</v>
      </c>
      <c r="D928" t="s">
        <v>176</v>
      </c>
      <c r="E928">
        <v>1249</v>
      </c>
      <c r="F928" t="s">
        <v>647</v>
      </c>
      <c r="G928">
        <v>9</v>
      </c>
      <c r="H928">
        <v>3</v>
      </c>
      <c r="I928">
        <v>3</v>
      </c>
      <c r="J928">
        <v>3</v>
      </c>
      <c r="K928">
        <v>0</v>
      </c>
      <c r="L928">
        <v>0</v>
      </c>
      <c r="M928">
        <v>0</v>
      </c>
      <c r="N928" t="s">
        <v>325</v>
      </c>
      <c r="O928" t="s">
        <v>326</v>
      </c>
    </row>
    <row r="929" spans="1:15" x14ac:dyDescent="0.3">
      <c r="A929">
        <v>505</v>
      </c>
      <c r="B929" t="s">
        <v>323</v>
      </c>
      <c r="C929">
        <v>187</v>
      </c>
      <c r="D929" t="s">
        <v>176</v>
      </c>
      <c r="E929">
        <v>1250</v>
      </c>
      <c r="F929" t="s">
        <v>995</v>
      </c>
      <c r="G929">
        <v>5</v>
      </c>
      <c r="H929">
        <v>1</v>
      </c>
      <c r="I929">
        <v>4</v>
      </c>
      <c r="J929">
        <v>0</v>
      </c>
      <c r="K929">
        <v>0</v>
      </c>
      <c r="L929">
        <v>0</v>
      </c>
      <c r="M929">
        <v>0</v>
      </c>
      <c r="N929" t="s">
        <v>325</v>
      </c>
      <c r="O929" t="s">
        <v>348</v>
      </c>
    </row>
    <row r="930" spans="1:15" x14ac:dyDescent="0.3">
      <c r="A930">
        <v>505</v>
      </c>
      <c r="B930" t="s">
        <v>323</v>
      </c>
      <c r="C930">
        <v>187</v>
      </c>
      <c r="D930" t="s">
        <v>176</v>
      </c>
      <c r="E930">
        <v>1251</v>
      </c>
      <c r="F930" t="s">
        <v>996</v>
      </c>
      <c r="G930">
        <v>7</v>
      </c>
      <c r="H930">
        <v>2</v>
      </c>
      <c r="I930">
        <v>3</v>
      </c>
      <c r="J930">
        <v>2</v>
      </c>
      <c r="K930">
        <v>0</v>
      </c>
      <c r="L930">
        <v>0</v>
      </c>
      <c r="M930">
        <v>0</v>
      </c>
      <c r="N930" t="s">
        <v>325</v>
      </c>
      <c r="O930" t="s">
        <v>326</v>
      </c>
    </row>
    <row r="931" spans="1:15" x14ac:dyDescent="0.3">
      <c r="A931">
        <v>505</v>
      </c>
      <c r="B931" t="s">
        <v>323</v>
      </c>
      <c r="C931">
        <v>187</v>
      </c>
      <c r="D931" t="s">
        <v>176</v>
      </c>
      <c r="E931">
        <v>1252</v>
      </c>
      <c r="F931" t="s">
        <v>997</v>
      </c>
      <c r="G931">
        <v>8</v>
      </c>
      <c r="H931">
        <v>4</v>
      </c>
      <c r="I931">
        <v>2</v>
      </c>
      <c r="J931">
        <v>2</v>
      </c>
      <c r="K931">
        <v>0</v>
      </c>
      <c r="L931">
        <v>0</v>
      </c>
      <c r="M931">
        <v>0</v>
      </c>
      <c r="N931" t="s">
        <v>325</v>
      </c>
      <c r="O931" t="s">
        <v>326</v>
      </c>
    </row>
    <row r="932" spans="1:15" x14ac:dyDescent="0.3">
      <c r="A932">
        <v>505</v>
      </c>
      <c r="B932" t="s">
        <v>323</v>
      </c>
      <c r="C932">
        <v>187</v>
      </c>
      <c r="D932" t="s">
        <v>176</v>
      </c>
      <c r="E932">
        <v>1254</v>
      </c>
      <c r="F932" t="s">
        <v>998</v>
      </c>
      <c r="G932">
        <v>8</v>
      </c>
      <c r="H932">
        <v>3</v>
      </c>
      <c r="I932">
        <v>3</v>
      </c>
      <c r="J932">
        <v>2</v>
      </c>
      <c r="K932">
        <v>0</v>
      </c>
      <c r="L932">
        <v>0</v>
      </c>
      <c r="M932">
        <v>0</v>
      </c>
      <c r="N932" t="s">
        <v>333</v>
      </c>
      <c r="O932" t="s">
        <v>326</v>
      </c>
    </row>
    <row r="933" spans="1:15" x14ac:dyDescent="0.3">
      <c r="A933">
        <v>505</v>
      </c>
      <c r="B933" t="s">
        <v>323</v>
      </c>
      <c r="C933">
        <v>187</v>
      </c>
      <c r="D933" t="s">
        <v>176</v>
      </c>
      <c r="E933">
        <v>1255</v>
      </c>
      <c r="F933" t="s">
        <v>999</v>
      </c>
      <c r="G933">
        <v>2</v>
      </c>
      <c r="H933">
        <v>2</v>
      </c>
      <c r="I933">
        <v>0</v>
      </c>
      <c r="J933">
        <v>0</v>
      </c>
      <c r="K933">
        <v>0</v>
      </c>
      <c r="L933">
        <v>0</v>
      </c>
      <c r="M933">
        <v>0</v>
      </c>
      <c r="N933" t="s">
        <v>325</v>
      </c>
      <c r="O933" t="s">
        <v>326</v>
      </c>
    </row>
    <row r="934" spans="1:15" x14ac:dyDescent="0.3">
      <c r="A934">
        <v>505</v>
      </c>
      <c r="B934" t="s">
        <v>323</v>
      </c>
      <c r="C934">
        <v>187</v>
      </c>
      <c r="D934" t="s">
        <v>176</v>
      </c>
      <c r="E934">
        <v>1256</v>
      </c>
      <c r="F934" t="s">
        <v>1000</v>
      </c>
      <c r="G934">
        <v>7</v>
      </c>
      <c r="H934">
        <v>0</v>
      </c>
      <c r="I934">
        <v>4</v>
      </c>
      <c r="J934">
        <v>3</v>
      </c>
      <c r="K934">
        <v>0</v>
      </c>
      <c r="L934">
        <v>0</v>
      </c>
      <c r="M934">
        <v>0</v>
      </c>
      <c r="N934" t="s">
        <v>325</v>
      </c>
      <c r="O934" t="s">
        <v>348</v>
      </c>
    </row>
    <row r="935" spans="1:15" x14ac:dyDescent="0.3">
      <c r="A935">
        <v>505</v>
      </c>
      <c r="B935" t="s">
        <v>323</v>
      </c>
      <c r="C935">
        <v>187</v>
      </c>
      <c r="D935" t="s">
        <v>176</v>
      </c>
      <c r="E935">
        <v>1257</v>
      </c>
      <c r="F935" t="s">
        <v>1001</v>
      </c>
      <c r="G935">
        <v>6</v>
      </c>
      <c r="H935">
        <v>3</v>
      </c>
      <c r="I935">
        <v>3</v>
      </c>
      <c r="J935">
        <v>0</v>
      </c>
      <c r="K935">
        <v>0</v>
      </c>
      <c r="L935">
        <v>0</v>
      </c>
      <c r="M935">
        <v>0</v>
      </c>
      <c r="N935" t="s">
        <v>325</v>
      </c>
      <c r="O935" t="s">
        <v>348</v>
      </c>
    </row>
    <row r="936" spans="1:15" x14ac:dyDescent="0.3">
      <c r="A936">
        <v>505</v>
      </c>
      <c r="B936" t="s">
        <v>323</v>
      </c>
      <c r="C936">
        <v>187</v>
      </c>
      <c r="D936" t="s">
        <v>176</v>
      </c>
      <c r="E936">
        <v>1258</v>
      </c>
      <c r="F936" t="s">
        <v>1002</v>
      </c>
      <c r="G936">
        <v>8</v>
      </c>
      <c r="H936">
        <v>0</v>
      </c>
      <c r="I936">
        <v>5</v>
      </c>
      <c r="J936">
        <v>2</v>
      </c>
      <c r="K936">
        <v>1</v>
      </c>
      <c r="L936">
        <v>0</v>
      </c>
      <c r="M936">
        <v>0</v>
      </c>
      <c r="N936" t="s">
        <v>325</v>
      </c>
      <c r="O936" t="s">
        <v>348</v>
      </c>
    </row>
    <row r="937" spans="1:15" x14ac:dyDescent="0.3">
      <c r="A937">
        <v>505</v>
      </c>
      <c r="B937" t="s">
        <v>323</v>
      </c>
      <c r="C937">
        <v>187</v>
      </c>
      <c r="D937" t="s">
        <v>176</v>
      </c>
      <c r="E937">
        <v>1259</v>
      </c>
      <c r="F937" t="s">
        <v>1003</v>
      </c>
      <c r="G937">
        <v>5</v>
      </c>
      <c r="H937">
        <v>1</v>
      </c>
      <c r="I937">
        <v>3</v>
      </c>
      <c r="J937">
        <v>1</v>
      </c>
      <c r="K937">
        <v>0</v>
      </c>
      <c r="L937">
        <v>0</v>
      </c>
      <c r="M937">
        <v>0</v>
      </c>
      <c r="N937" t="s">
        <v>325</v>
      </c>
      <c r="O937" t="s">
        <v>326</v>
      </c>
    </row>
    <row r="938" spans="1:15" x14ac:dyDescent="0.3">
      <c r="A938">
        <v>505</v>
      </c>
      <c r="B938" t="s">
        <v>323</v>
      </c>
      <c r="C938">
        <v>187</v>
      </c>
      <c r="D938" t="s">
        <v>176</v>
      </c>
      <c r="E938">
        <v>1260</v>
      </c>
      <c r="F938" t="s">
        <v>1004</v>
      </c>
      <c r="G938">
        <v>11</v>
      </c>
      <c r="H938">
        <v>0</v>
      </c>
      <c r="I938">
        <v>0</v>
      </c>
      <c r="J938">
        <v>4</v>
      </c>
      <c r="K938">
        <v>5</v>
      </c>
      <c r="L938">
        <v>2</v>
      </c>
      <c r="M938">
        <v>0</v>
      </c>
      <c r="N938" t="s">
        <v>416</v>
      </c>
      <c r="O938" t="s">
        <v>329</v>
      </c>
    </row>
    <row r="939" spans="1:15" x14ac:dyDescent="0.3">
      <c r="A939">
        <v>505</v>
      </c>
      <c r="B939" t="s">
        <v>323</v>
      </c>
      <c r="C939">
        <v>187</v>
      </c>
      <c r="D939" t="s">
        <v>176</v>
      </c>
      <c r="E939">
        <v>1543</v>
      </c>
      <c r="F939" t="s">
        <v>1005</v>
      </c>
      <c r="G939">
        <v>6</v>
      </c>
      <c r="H939">
        <v>0</v>
      </c>
      <c r="I939">
        <v>0</v>
      </c>
      <c r="J939">
        <v>3</v>
      </c>
      <c r="K939">
        <v>3</v>
      </c>
      <c r="L939">
        <v>0</v>
      </c>
      <c r="M939">
        <v>0</v>
      </c>
      <c r="N939" t="s">
        <v>325</v>
      </c>
      <c r="O939" t="s">
        <v>348</v>
      </c>
    </row>
    <row r="940" spans="1:15" x14ac:dyDescent="0.3">
      <c r="A940">
        <v>505</v>
      </c>
      <c r="B940" t="s">
        <v>323</v>
      </c>
      <c r="C940">
        <v>187</v>
      </c>
      <c r="D940" t="s">
        <v>176</v>
      </c>
      <c r="E940">
        <v>1544</v>
      </c>
      <c r="F940" t="s">
        <v>1006</v>
      </c>
      <c r="G940">
        <v>8</v>
      </c>
      <c r="H940">
        <v>0</v>
      </c>
      <c r="I940">
        <v>2</v>
      </c>
      <c r="J940">
        <v>3</v>
      </c>
      <c r="K940">
        <v>3</v>
      </c>
      <c r="L940">
        <v>0</v>
      </c>
      <c r="M940">
        <v>0</v>
      </c>
      <c r="N940" t="s">
        <v>325</v>
      </c>
      <c r="O940" t="s">
        <v>484</v>
      </c>
    </row>
    <row r="941" spans="1:15" x14ac:dyDescent="0.3">
      <c r="A941">
        <v>505</v>
      </c>
      <c r="B941" t="s">
        <v>323</v>
      </c>
      <c r="C941">
        <v>187</v>
      </c>
      <c r="D941" t="s">
        <v>176</v>
      </c>
      <c r="E941">
        <v>1546</v>
      </c>
      <c r="F941" t="s">
        <v>1007</v>
      </c>
      <c r="G941">
        <v>15</v>
      </c>
      <c r="H941">
        <v>5</v>
      </c>
      <c r="I941">
        <v>7</v>
      </c>
      <c r="J941">
        <v>3</v>
      </c>
      <c r="K941">
        <v>0</v>
      </c>
      <c r="L941">
        <v>0</v>
      </c>
      <c r="M941">
        <v>0</v>
      </c>
      <c r="N941" t="s">
        <v>410</v>
      </c>
      <c r="O941" t="s">
        <v>326</v>
      </c>
    </row>
    <row r="942" spans="1:15" x14ac:dyDescent="0.3">
      <c r="A942">
        <v>506</v>
      </c>
      <c r="B942" t="s">
        <v>323</v>
      </c>
      <c r="C942">
        <v>188</v>
      </c>
      <c r="D942" t="s">
        <v>178</v>
      </c>
      <c r="E942">
        <v>1261</v>
      </c>
      <c r="F942" t="s">
        <v>1484</v>
      </c>
      <c r="G942">
        <v>19</v>
      </c>
      <c r="H942">
        <v>0</v>
      </c>
      <c r="I942">
        <v>3</v>
      </c>
      <c r="J942">
        <v>5</v>
      </c>
      <c r="K942">
        <v>0</v>
      </c>
      <c r="L942">
        <v>3</v>
      </c>
      <c r="M942">
        <v>8</v>
      </c>
      <c r="N942" t="s">
        <v>333</v>
      </c>
      <c r="O942" t="s">
        <v>326</v>
      </c>
    </row>
    <row r="943" spans="1:15" x14ac:dyDescent="0.3">
      <c r="A943">
        <v>506</v>
      </c>
      <c r="B943" t="s">
        <v>323</v>
      </c>
      <c r="C943">
        <v>188</v>
      </c>
      <c r="D943" t="s">
        <v>178</v>
      </c>
      <c r="E943">
        <v>1262</v>
      </c>
      <c r="F943" t="s">
        <v>1485</v>
      </c>
      <c r="G943">
        <v>4</v>
      </c>
      <c r="H943">
        <v>0</v>
      </c>
      <c r="I943">
        <v>0</v>
      </c>
      <c r="J943">
        <v>0</v>
      </c>
      <c r="K943">
        <v>0</v>
      </c>
      <c r="L943">
        <v>0</v>
      </c>
      <c r="M943">
        <v>4</v>
      </c>
      <c r="N943" t="s">
        <v>325</v>
      </c>
      <c r="O943" t="s">
        <v>329</v>
      </c>
    </row>
    <row r="944" spans="1:15" x14ac:dyDescent="0.3">
      <c r="A944">
        <v>506</v>
      </c>
      <c r="B944" t="s">
        <v>323</v>
      </c>
      <c r="C944">
        <v>188</v>
      </c>
      <c r="D944" t="s">
        <v>178</v>
      </c>
      <c r="E944">
        <v>1263</v>
      </c>
      <c r="F944" t="s">
        <v>1486</v>
      </c>
      <c r="G944">
        <v>3</v>
      </c>
      <c r="H944">
        <v>0</v>
      </c>
      <c r="I944">
        <v>3</v>
      </c>
      <c r="J944">
        <v>0</v>
      </c>
      <c r="K944">
        <v>0</v>
      </c>
      <c r="L944">
        <v>0</v>
      </c>
      <c r="M944">
        <v>0</v>
      </c>
      <c r="N944" t="s">
        <v>414</v>
      </c>
      <c r="O944" t="s">
        <v>343</v>
      </c>
    </row>
    <row r="945" spans="1:15" x14ac:dyDescent="0.3">
      <c r="A945">
        <v>506</v>
      </c>
      <c r="B945" t="s">
        <v>323</v>
      </c>
      <c r="C945">
        <v>188</v>
      </c>
      <c r="D945" t="s">
        <v>178</v>
      </c>
      <c r="E945">
        <v>1264</v>
      </c>
      <c r="F945" t="s">
        <v>1487</v>
      </c>
      <c r="G945">
        <v>15</v>
      </c>
      <c r="H945">
        <v>0</v>
      </c>
      <c r="I945">
        <v>0</v>
      </c>
      <c r="J945">
        <v>0</v>
      </c>
      <c r="K945">
        <v>0</v>
      </c>
      <c r="L945">
        <v>0</v>
      </c>
      <c r="M945">
        <v>15</v>
      </c>
      <c r="N945" t="s">
        <v>410</v>
      </c>
      <c r="O945" t="s">
        <v>329</v>
      </c>
    </row>
    <row r="946" spans="1:15" x14ac:dyDescent="0.3">
      <c r="A946">
        <v>506</v>
      </c>
      <c r="B946" t="s">
        <v>323</v>
      </c>
      <c r="C946">
        <v>188</v>
      </c>
      <c r="D946" t="s">
        <v>178</v>
      </c>
      <c r="E946">
        <v>1265</v>
      </c>
      <c r="F946" t="s">
        <v>500</v>
      </c>
      <c r="G946">
        <v>8</v>
      </c>
      <c r="H946">
        <v>0</v>
      </c>
      <c r="I946">
        <v>8</v>
      </c>
      <c r="J946">
        <v>0</v>
      </c>
      <c r="K946">
        <v>0</v>
      </c>
      <c r="L946">
        <v>0</v>
      </c>
      <c r="M946">
        <v>0</v>
      </c>
      <c r="N946" t="s">
        <v>566</v>
      </c>
      <c r="O946" t="s">
        <v>348</v>
      </c>
    </row>
    <row r="947" spans="1:15" x14ac:dyDescent="0.3">
      <c r="A947">
        <v>506</v>
      </c>
      <c r="B947" t="s">
        <v>323</v>
      </c>
      <c r="C947">
        <v>188</v>
      </c>
      <c r="D947" t="s">
        <v>178</v>
      </c>
      <c r="E947">
        <v>1266</v>
      </c>
      <c r="F947" t="s">
        <v>366</v>
      </c>
      <c r="G947">
        <v>6</v>
      </c>
      <c r="H947">
        <v>0</v>
      </c>
      <c r="I947">
        <v>6</v>
      </c>
      <c r="J947">
        <v>0</v>
      </c>
      <c r="K947">
        <v>0</v>
      </c>
      <c r="L947">
        <v>0</v>
      </c>
      <c r="M947">
        <v>0</v>
      </c>
      <c r="N947" t="s">
        <v>414</v>
      </c>
      <c r="O947" t="s">
        <v>348</v>
      </c>
    </row>
    <row r="948" spans="1:15" x14ac:dyDescent="0.3">
      <c r="A948">
        <v>506</v>
      </c>
      <c r="B948" t="s">
        <v>323</v>
      </c>
      <c r="C948">
        <v>188</v>
      </c>
      <c r="D948" t="s">
        <v>178</v>
      </c>
      <c r="E948">
        <v>1267</v>
      </c>
      <c r="F948" t="s">
        <v>1488</v>
      </c>
      <c r="G948">
        <v>5</v>
      </c>
      <c r="H948">
        <v>5</v>
      </c>
      <c r="I948">
        <v>0</v>
      </c>
      <c r="J948">
        <v>0</v>
      </c>
      <c r="K948">
        <v>0</v>
      </c>
      <c r="L948">
        <v>0</v>
      </c>
      <c r="M948">
        <v>0</v>
      </c>
      <c r="N948" t="s">
        <v>325</v>
      </c>
      <c r="O948" t="s">
        <v>329</v>
      </c>
    </row>
    <row r="949" spans="1:15" x14ac:dyDescent="0.3">
      <c r="A949">
        <v>506</v>
      </c>
      <c r="B949" t="s">
        <v>323</v>
      </c>
      <c r="C949">
        <v>188</v>
      </c>
      <c r="D949" t="s">
        <v>178</v>
      </c>
      <c r="E949">
        <v>1268</v>
      </c>
      <c r="F949" t="s">
        <v>1489</v>
      </c>
      <c r="G949">
        <v>15</v>
      </c>
      <c r="H949">
        <v>0</v>
      </c>
      <c r="I949">
        <v>0</v>
      </c>
      <c r="J949">
        <v>0</v>
      </c>
      <c r="K949">
        <v>0</v>
      </c>
      <c r="L949">
        <v>0</v>
      </c>
      <c r="M949">
        <v>15</v>
      </c>
      <c r="N949" t="s">
        <v>325</v>
      </c>
      <c r="O949" t="s">
        <v>326</v>
      </c>
    </row>
    <row r="950" spans="1:15" x14ac:dyDescent="0.3">
      <c r="A950">
        <v>506</v>
      </c>
      <c r="B950" t="s">
        <v>323</v>
      </c>
      <c r="C950">
        <v>188</v>
      </c>
      <c r="D950" t="s">
        <v>178</v>
      </c>
      <c r="E950">
        <v>1269</v>
      </c>
      <c r="F950" t="s">
        <v>359</v>
      </c>
      <c r="G950">
        <v>10</v>
      </c>
      <c r="H950">
        <v>0</v>
      </c>
      <c r="I950">
        <v>10</v>
      </c>
      <c r="J950">
        <v>0</v>
      </c>
      <c r="K950">
        <v>0</v>
      </c>
      <c r="L950">
        <v>0</v>
      </c>
      <c r="M950">
        <v>0</v>
      </c>
      <c r="N950" t="s">
        <v>566</v>
      </c>
      <c r="O950" t="s">
        <v>348</v>
      </c>
    </row>
    <row r="951" spans="1:15" x14ac:dyDescent="0.3">
      <c r="A951">
        <v>506</v>
      </c>
      <c r="B951" t="s">
        <v>323</v>
      </c>
      <c r="C951">
        <v>188</v>
      </c>
      <c r="D951" t="s">
        <v>178</v>
      </c>
      <c r="E951">
        <v>1270</v>
      </c>
      <c r="F951" t="s">
        <v>1490</v>
      </c>
      <c r="G951">
        <v>5</v>
      </c>
      <c r="H951">
        <v>5</v>
      </c>
      <c r="I951">
        <v>0</v>
      </c>
      <c r="J951">
        <v>0</v>
      </c>
      <c r="K951">
        <v>0</v>
      </c>
      <c r="L951">
        <v>0</v>
      </c>
      <c r="M951">
        <v>0</v>
      </c>
      <c r="N951" t="s">
        <v>325</v>
      </c>
      <c r="O951" t="s">
        <v>329</v>
      </c>
    </row>
    <row r="952" spans="1:15" x14ac:dyDescent="0.3">
      <c r="A952">
        <v>506</v>
      </c>
      <c r="B952" t="s">
        <v>323</v>
      </c>
      <c r="C952">
        <v>188</v>
      </c>
      <c r="D952" t="s">
        <v>178</v>
      </c>
      <c r="E952">
        <v>1271</v>
      </c>
      <c r="F952" t="s">
        <v>1491</v>
      </c>
      <c r="G952">
        <v>29</v>
      </c>
      <c r="H952">
        <v>0</v>
      </c>
      <c r="I952">
        <v>0</v>
      </c>
      <c r="J952">
        <v>0</v>
      </c>
      <c r="K952">
        <v>0</v>
      </c>
      <c r="L952">
        <v>0</v>
      </c>
      <c r="M952">
        <v>29</v>
      </c>
      <c r="N952" t="s">
        <v>325</v>
      </c>
      <c r="O952" t="s">
        <v>326</v>
      </c>
    </row>
    <row r="953" spans="1:15" x14ac:dyDescent="0.3">
      <c r="A953">
        <v>506</v>
      </c>
      <c r="B953" t="s">
        <v>323</v>
      </c>
      <c r="C953">
        <v>188</v>
      </c>
      <c r="D953" t="s">
        <v>178</v>
      </c>
      <c r="E953">
        <v>1272</v>
      </c>
      <c r="F953" t="s">
        <v>1492</v>
      </c>
      <c r="G953">
        <v>10</v>
      </c>
      <c r="H953">
        <v>0</v>
      </c>
      <c r="I953">
        <v>0</v>
      </c>
      <c r="J953">
        <v>10</v>
      </c>
      <c r="K953">
        <v>0</v>
      </c>
      <c r="L953">
        <v>0</v>
      </c>
      <c r="M953">
        <v>0</v>
      </c>
      <c r="N953" t="s">
        <v>410</v>
      </c>
      <c r="O953" t="s">
        <v>348</v>
      </c>
    </row>
    <row r="954" spans="1:15" x14ac:dyDescent="0.3">
      <c r="A954">
        <v>506</v>
      </c>
      <c r="B954" t="s">
        <v>323</v>
      </c>
      <c r="C954">
        <v>188</v>
      </c>
      <c r="D954" t="s">
        <v>178</v>
      </c>
      <c r="E954">
        <v>1273</v>
      </c>
      <c r="F954" t="s">
        <v>1493</v>
      </c>
      <c r="G954">
        <v>8</v>
      </c>
      <c r="H954">
        <v>0</v>
      </c>
      <c r="I954">
        <v>0</v>
      </c>
      <c r="J954">
        <v>0</v>
      </c>
      <c r="K954">
        <v>0</v>
      </c>
      <c r="L954">
        <v>0</v>
      </c>
      <c r="M954">
        <v>8</v>
      </c>
      <c r="N954" t="s">
        <v>325</v>
      </c>
      <c r="O954" t="s">
        <v>326</v>
      </c>
    </row>
    <row r="955" spans="1:15" x14ac:dyDescent="0.3">
      <c r="A955">
        <v>506</v>
      </c>
      <c r="B955" t="s">
        <v>323</v>
      </c>
      <c r="C955">
        <v>188</v>
      </c>
      <c r="D955" t="s">
        <v>178</v>
      </c>
      <c r="E955">
        <v>1274</v>
      </c>
      <c r="F955" t="s">
        <v>1494</v>
      </c>
      <c r="G955">
        <v>24</v>
      </c>
      <c r="H955">
        <v>0</v>
      </c>
      <c r="I955">
        <v>0</v>
      </c>
      <c r="J955">
        <v>0</v>
      </c>
      <c r="K955">
        <v>0</v>
      </c>
      <c r="L955">
        <v>0</v>
      </c>
      <c r="M955">
        <v>24</v>
      </c>
      <c r="N955" t="s">
        <v>333</v>
      </c>
      <c r="O955" t="s">
        <v>326</v>
      </c>
    </row>
    <row r="956" spans="1:15" x14ac:dyDescent="0.3">
      <c r="A956">
        <v>506</v>
      </c>
      <c r="B956" t="s">
        <v>323</v>
      </c>
      <c r="C956">
        <v>188</v>
      </c>
      <c r="D956" t="s">
        <v>178</v>
      </c>
      <c r="E956">
        <v>1275</v>
      </c>
      <c r="F956" t="s">
        <v>1495</v>
      </c>
      <c r="G956">
        <v>20</v>
      </c>
      <c r="H956">
        <v>0</v>
      </c>
      <c r="I956">
        <v>0</v>
      </c>
      <c r="J956">
        <v>0</v>
      </c>
      <c r="K956">
        <v>0</v>
      </c>
      <c r="L956">
        <v>0</v>
      </c>
      <c r="M956">
        <v>20</v>
      </c>
      <c r="N956" t="s">
        <v>333</v>
      </c>
      <c r="O956" t="s">
        <v>326</v>
      </c>
    </row>
    <row r="957" spans="1:15" x14ac:dyDescent="0.3">
      <c r="A957">
        <v>506</v>
      </c>
      <c r="B957" t="s">
        <v>323</v>
      </c>
      <c r="C957">
        <v>188</v>
      </c>
      <c r="D957" t="s">
        <v>178</v>
      </c>
      <c r="E957">
        <v>1276</v>
      </c>
      <c r="F957" t="s">
        <v>1496</v>
      </c>
      <c r="G957">
        <v>6</v>
      </c>
      <c r="H957">
        <v>0</v>
      </c>
      <c r="I957">
        <v>0</v>
      </c>
      <c r="J957">
        <v>6</v>
      </c>
      <c r="K957">
        <v>0</v>
      </c>
      <c r="L957">
        <v>0</v>
      </c>
      <c r="M957">
        <v>0</v>
      </c>
      <c r="N957" t="s">
        <v>566</v>
      </c>
      <c r="O957" t="s">
        <v>336</v>
      </c>
    </row>
    <row r="958" spans="1:15" x14ac:dyDescent="0.3">
      <c r="A958">
        <v>506</v>
      </c>
      <c r="B958" t="s">
        <v>323</v>
      </c>
      <c r="C958">
        <v>188</v>
      </c>
      <c r="D958" t="s">
        <v>178</v>
      </c>
      <c r="E958">
        <v>1277</v>
      </c>
      <c r="F958" t="s">
        <v>972</v>
      </c>
      <c r="G958">
        <v>5</v>
      </c>
      <c r="H958">
        <v>0</v>
      </c>
      <c r="I958">
        <v>0</v>
      </c>
      <c r="J958">
        <v>0</v>
      </c>
      <c r="K958">
        <v>0</v>
      </c>
      <c r="L958">
        <v>0</v>
      </c>
      <c r="M958">
        <v>5</v>
      </c>
      <c r="N958" t="s">
        <v>566</v>
      </c>
      <c r="O958" t="s">
        <v>336</v>
      </c>
    </row>
    <row r="959" spans="1:15" x14ac:dyDescent="0.3">
      <c r="A959">
        <v>506</v>
      </c>
      <c r="B959" t="s">
        <v>323</v>
      </c>
      <c r="C959">
        <v>188</v>
      </c>
      <c r="D959" t="s">
        <v>178</v>
      </c>
      <c r="E959">
        <v>1278</v>
      </c>
      <c r="F959" t="s">
        <v>1497</v>
      </c>
      <c r="G959">
        <v>13</v>
      </c>
      <c r="H959">
        <v>0</v>
      </c>
      <c r="I959">
        <v>0</v>
      </c>
      <c r="J959">
        <v>0</v>
      </c>
      <c r="K959">
        <v>0</v>
      </c>
      <c r="L959">
        <v>0</v>
      </c>
      <c r="M959">
        <v>13</v>
      </c>
      <c r="N959" t="s">
        <v>325</v>
      </c>
      <c r="O959" t="s">
        <v>326</v>
      </c>
    </row>
    <row r="960" spans="1:15" x14ac:dyDescent="0.3">
      <c r="A960">
        <v>506</v>
      </c>
      <c r="B960" t="s">
        <v>323</v>
      </c>
      <c r="C960">
        <v>188</v>
      </c>
      <c r="D960" t="s">
        <v>178</v>
      </c>
      <c r="E960">
        <v>1279</v>
      </c>
      <c r="F960" t="s">
        <v>381</v>
      </c>
      <c r="G960">
        <v>6</v>
      </c>
      <c r="H960">
        <v>0</v>
      </c>
      <c r="I960">
        <v>0</v>
      </c>
      <c r="J960">
        <v>0</v>
      </c>
      <c r="K960">
        <v>0</v>
      </c>
      <c r="L960">
        <v>0</v>
      </c>
      <c r="M960">
        <v>6</v>
      </c>
      <c r="N960" t="s">
        <v>325</v>
      </c>
      <c r="O960" t="s">
        <v>326</v>
      </c>
    </row>
    <row r="961" spans="1:15" x14ac:dyDescent="0.3">
      <c r="A961">
        <v>506</v>
      </c>
      <c r="B961" t="s">
        <v>323</v>
      </c>
      <c r="C961">
        <v>188</v>
      </c>
      <c r="D961" t="s">
        <v>178</v>
      </c>
      <c r="E961">
        <v>1280</v>
      </c>
      <c r="F961" t="s">
        <v>1498</v>
      </c>
      <c r="G961">
        <v>2</v>
      </c>
      <c r="H961">
        <v>0</v>
      </c>
      <c r="I961">
        <v>0</v>
      </c>
      <c r="J961">
        <v>0</v>
      </c>
      <c r="K961">
        <v>0</v>
      </c>
      <c r="L961">
        <v>0</v>
      </c>
      <c r="M961">
        <v>2</v>
      </c>
      <c r="N961" t="s">
        <v>325</v>
      </c>
      <c r="O961" t="s">
        <v>336</v>
      </c>
    </row>
    <row r="962" spans="1:15" x14ac:dyDescent="0.3">
      <c r="A962">
        <v>506</v>
      </c>
      <c r="B962" t="s">
        <v>323</v>
      </c>
      <c r="C962">
        <v>188</v>
      </c>
      <c r="D962" t="s">
        <v>178</v>
      </c>
      <c r="E962">
        <v>1281</v>
      </c>
      <c r="F962" t="s">
        <v>1499</v>
      </c>
      <c r="G962">
        <v>13</v>
      </c>
      <c r="H962">
        <v>0</v>
      </c>
      <c r="I962">
        <v>0</v>
      </c>
      <c r="J962">
        <v>0</v>
      </c>
      <c r="K962">
        <v>0</v>
      </c>
      <c r="L962">
        <v>0</v>
      </c>
      <c r="M962">
        <v>13</v>
      </c>
      <c r="N962" t="s">
        <v>333</v>
      </c>
      <c r="O962" t="s">
        <v>326</v>
      </c>
    </row>
    <row r="963" spans="1:15" x14ac:dyDescent="0.3">
      <c r="A963">
        <v>506</v>
      </c>
      <c r="B963" t="s">
        <v>323</v>
      </c>
      <c r="C963">
        <v>188</v>
      </c>
      <c r="D963" t="s">
        <v>178</v>
      </c>
      <c r="E963">
        <v>1282</v>
      </c>
      <c r="F963" t="s">
        <v>1500</v>
      </c>
      <c r="G963">
        <v>20</v>
      </c>
      <c r="H963">
        <v>0</v>
      </c>
      <c r="I963">
        <v>0</v>
      </c>
      <c r="J963">
        <v>0</v>
      </c>
      <c r="K963">
        <v>0</v>
      </c>
      <c r="L963">
        <v>0</v>
      </c>
      <c r="M963">
        <v>20</v>
      </c>
      <c r="N963" t="s">
        <v>410</v>
      </c>
      <c r="O963" t="s">
        <v>343</v>
      </c>
    </row>
    <row r="964" spans="1:15" x14ac:dyDescent="0.3">
      <c r="A964">
        <v>506</v>
      </c>
      <c r="B964" t="s">
        <v>323</v>
      </c>
      <c r="C964">
        <v>188</v>
      </c>
      <c r="D964" t="s">
        <v>178</v>
      </c>
      <c r="E964">
        <v>1283</v>
      </c>
      <c r="F964" t="s">
        <v>1501</v>
      </c>
      <c r="G964">
        <v>5</v>
      </c>
      <c r="H964">
        <v>5</v>
      </c>
      <c r="I964">
        <v>0</v>
      </c>
      <c r="J964">
        <v>0</v>
      </c>
      <c r="K964">
        <v>0</v>
      </c>
      <c r="L964">
        <v>0</v>
      </c>
      <c r="M964">
        <v>0</v>
      </c>
      <c r="N964" t="s">
        <v>325</v>
      </c>
      <c r="O964" t="s">
        <v>329</v>
      </c>
    </row>
    <row r="965" spans="1:15" x14ac:dyDescent="0.3">
      <c r="A965">
        <v>506</v>
      </c>
      <c r="B965" t="s">
        <v>323</v>
      </c>
      <c r="C965">
        <v>188</v>
      </c>
      <c r="D965" t="s">
        <v>178</v>
      </c>
      <c r="E965">
        <v>1918</v>
      </c>
      <c r="F965" t="s">
        <v>1502</v>
      </c>
      <c r="G965">
        <v>9</v>
      </c>
      <c r="H965">
        <v>0</v>
      </c>
      <c r="I965">
        <v>0</v>
      </c>
      <c r="J965">
        <v>0</v>
      </c>
      <c r="K965">
        <v>0</v>
      </c>
      <c r="L965">
        <v>0</v>
      </c>
      <c r="M965">
        <v>9</v>
      </c>
      <c r="N965" t="s">
        <v>325</v>
      </c>
      <c r="O965" t="s">
        <v>326</v>
      </c>
    </row>
    <row r="966" spans="1:15" x14ac:dyDescent="0.3">
      <c r="A966">
        <v>507</v>
      </c>
      <c r="B966" t="s">
        <v>323</v>
      </c>
      <c r="C966">
        <v>189</v>
      </c>
      <c r="D966" t="s">
        <v>180</v>
      </c>
      <c r="E966">
        <v>410</v>
      </c>
      <c r="F966" t="s">
        <v>1008</v>
      </c>
      <c r="G966">
        <v>6</v>
      </c>
      <c r="H966">
        <v>2</v>
      </c>
      <c r="I966">
        <v>3</v>
      </c>
      <c r="J966">
        <v>1</v>
      </c>
      <c r="K966">
        <v>0</v>
      </c>
      <c r="L966">
        <v>0</v>
      </c>
      <c r="M966">
        <v>0</v>
      </c>
      <c r="N966" t="s">
        <v>325</v>
      </c>
      <c r="O966" t="s">
        <v>348</v>
      </c>
    </row>
    <row r="967" spans="1:15" x14ac:dyDescent="0.3">
      <c r="A967">
        <v>507</v>
      </c>
      <c r="B967" t="s">
        <v>323</v>
      </c>
      <c r="C967">
        <v>189</v>
      </c>
      <c r="D967" t="s">
        <v>180</v>
      </c>
      <c r="E967">
        <v>411</v>
      </c>
      <c r="F967" t="s">
        <v>1009</v>
      </c>
      <c r="G967">
        <v>6</v>
      </c>
      <c r="H967">
        <v>0</v>
      </c>
      <c r="I967">
        <v>1</v>
      </c>
      <c r="J967">
        <v>1</v>
      </c>
      <c r="K967">
        <v>3</v>
      </c>
      <c r="L967">
        <v>1</v>
      </c>
      <c r="M967">
        <v>0</v>
      </c>
      <c r="N967" t="s">
        <v>325</v>
      </c>
      <c r="O967" t="s">
        <v>326</v>
      </c>
    </row>
    <row r="968" spans="1:15" x14ac:dyDescent="0.3">
      <c r="A968">
        <v>507</v>
      </c>
      <c r="B968" t="s">
        <v>323</v>
      </c>
      <c r="C968">
        <v>189</v>
      </c>
      <c r="D968" t="s">
        <v>180</v>
      </c>
      <c r="E968">
        <v>412</v>
      </c>
      <c r="F968" t="s">
        <v>1010</v>
      </c>
      <c r="G968">
        <v>5</v>
      </c>
      <c r="H968">
        <v>3</v>
      </c>
      <c r="I968">
        <v>2</v>
      </c>
      <c r="J968">
        <v>0</v>
      </c>
      <c r="K968">
        <v>0</v>
      </c>
      <c r="L968">
        <v>0</v>
      </c>
      <c r="M968">
        <v>0</v>
      </c>
      <c r="N968" t="s">
        <v>414</v>
      </c>
      <c r="O968" t="s">
        <v>348</v>
      </c>
    </row>
    <row r="969" spans="1:15" x14ac:dyDescent="0.3">
      <c r="A969">
        <v>507</v>
      </c>
      <c r="B969" t="s">
        <v>323</v>
      </c>
      <c r="C969">
        <v>189</v>
      </c>
      <c r="D969" t="s">
        <v>180</v>
      </c>
      <c r="E969">
        <v>413</v>
      </c>
      <c r="F969" t="s">
        <v>1011</v>
      </c>
      <c r="G969">
        <v>5</v>
      </c>
      <c r="H969">
        <v>1</v>
      </c>
      <c r="I969">
        <v>2</v>
      </c>
      <c r="J969">
        <v>0</v>
      </c>
      <c r="K969">
        <v>1</v>
      </c>
      <c r="L969">
        <v>1</v>
      </c>
      <c r="M969">
        <v>0</v>
      </c>
      <c r="N969" t="s">
        <v>414</v>
      </c>
      <c r="O969" t="s">
        <v>348</v>
      </c>
    </row>
    <row r="970" spans="1:15" x14ac:dyDescent="0.3">
      <c r="A970">
        <v>507</v>
      </c>
      <c r="B970" t="s">
        <v>323</v>
      </c>
      <c r="C970">
        <v>189</v>
      </c>
      <c r="D970" t="s">
        <v>180</v>
      </c>
      <c r="E970">
        <v>414</v>
      </c>
      <c r="F970" t="s">
        <v>1012</v>
      </c>
      <c r="G970">
        <v>5</v>
      </c>
      <c r="H970">
        <v>5</v>
      </c>
      <c r="I970">
        <v>0</v>
      </c>
      <c r="J970">
        <v>0</v>
      </c>
      <c r="K970">
        <v>0</v>
      </c>
      <c r="L970">
        <v>0</v>
      </c>
      <c r="M970">
        <v>0</v>
      </c>
      <c r="N970" t="s">
        <v>325</v>
      </c>
      <c r="O970" t="s">
        <v>329</v>
      </c>
    </row>
    <row r="971" spans="1:15" x14ac:dyDescent="0.3">
      <c r="A971">
        <v>507</v>
      </c>
      <c r="B971" t="s">
        <v>323</v>
      </c>
      <c r="C971">
        <v>189</v>
      </c>
      <c r="D971" t="s">
        <v>180</v>
      </c>
      <c r="E971">
        <v>415</v>
      </c>
      <c r="F971" t="s">
        <v>1013</v>
      </c>
      <c r="G971">
        <v>4</v>
      </c>
      <c r="H971">
        <v>0</v>
      </c>
      <c r="I971">
        <v>1</v>
      </c>
      <c r="J971">
        <v>1</v>
      </c>
      <c r="K971">
        <v>1</v>
      </c>
      <c r="L971">
        <v>1</v>
      </c>
      <c r="M971">
        <v>0</v>
      </c>
      <c r="N971" t="s">
        <v>333</v>
      </c>
      <c r="O971" t="s">
        <v>326</v>
      </c>
    </row>
    <row r="972" spans="1:15" x14ac:dyDescent="0.3">
      <c r="A972">
        <v>507</v>
      </c>
      <c r="B972" t="s">
        <v>323</v>
      </c>
      <c r="C972">
        <v>189</v>
      </c>
      <c r="D972" t="s">
        <v>180</v>
      </c>
      <c r="E972">
        <v>416</v>
      </c>
      <c r="F972" t="s">
        <v>1014</v>
      </c>
      <c r="G972">
        <v>6</v>
      </c>
      <c r="H972">
        <v>0</v>
      </c>
      <c r="I972">
        <v>0</v>
      </c>
      <c r="J972">
        <v>1</v>
      </c>
      <c r="K972">
        <v>4</v>
      </c>
      <c r="L972">
        <v>1</v>
      </c>
      <c r="M972">
        <v>0</v>
      </c>
      <c r="N972" t="s">
        <v>333</v>
      </c>
      <c r="O972" t="s">
        <v>326</v>
      </c>
    </row>
    <row r="973" spans="1:15" x14ac:dyDescent="0.3">
      <c r="A973">
        <v>507</v>
      </c>
      <c r="B973" t="s">
        <v>323</v>
      </c>
      <c r="C973">
        <v>189</v>
      </c>
      <c r="D973" t="s">
        <v>180</v>
      </c>
      <c r="E973">
        <v>417</v>
      </c>
      <c r="F973" t="s">
        <v>1015</v>
      </c>
      <c r="G973">
        <v>1</v>
      </c>
      <c r="H973">
        <v>0</v>
      </c>
      <c r="I973">
        <v>1</v>
      </c>
      <c r="J973">
        <v>0</v>
      </c>
      <c r="K973">
        <v>0</v>
      </c>
      <c r="L973">
        <v>0</v>
      </c>
      <c r="M973">
        <v>0</v>
      </c>
      <c r="N973" t="s">
        <v>325</v>
      </c>
      <c r="O973" t="s">
        <v>329</v>
      </c>
    </row>
    <row r="974" spans="1:15" x14ac:dyDescent="0.3">
      <c r="A974">
        <v>507</v>
      </c>
      <c r="B974" t="s">
        <v>323</v>
      </c>
      <c r="C974">
        <v>189</v>
      </c>
      <c r="D974" t="s">
        <v>180</v>
      </c>
      <c r="E974">
        <v>418</v>
      </c>
      <c r="F974" t="s">
        <v>1016</v>
      </c>
      <c r="G974">
        <v>0</v>
      </c>
      <c r="H974">
        <v>0</v>
      </c>
      <c r="I974">
        <v>0</v>
      </c>
      <c r="J974">
        <v>0</v>
      </c>
      <c r="K974">
        <v>0</v>
      </c>
      <c r="L974">
        <v>0</v>
      </c>
      <c r="M974">
        <v>0</v>
      </c>
      <c r="N974" t="s">
        <v>333</v>
      </c>
      <c r="O974" t="s">
        <v>326</v>
      </c>
    </row>
    <row r="975" spans="1:15" x14ac:dyDescent="0.3">
      <c r="A975">
        <v>507</v>
      </c>
      <c r="B975" t="s">
        <v>323</v>
      </c>
      <c r="C975">
        <v>189</v>
      </c>
      <c r="D975" t="s">
        <v>180</v>
      </c>
      <c r="E975">
        <v>419</v>
      </c>
      <c r="F975" t="s">
        <v>1017</v>
      </c>
      <c r="G975">
        <v>4</v>
      </c>
      <c r="H975">
        <v>0</v>
      </c>
      <c r="I975">
        <v>1</v>
      </c>
      <c r="J975">
        <v>2</v>
      </c>
      <c r="K975">
        <v>1</v>
      </c>
      <c r="L975">
        <v>0</v>
      </c>
      <c r="M975">
        <v>0</v>
      </c>
      <c r="N975" t="s">
        <v>325</v>
      </c>
      <c r="O975" t="s">
        <v>326</v>
      </c>
    </row>
    <row r="976" spans="1:15" x14ac:dyDescent="0.3">
      <c r="A976">
        <v>507</v>
      </c>
      <c r="B976" t="s">
        <v>323</v>
      </c>
      <c r="C976">
        <v>189</v>
      </c>
      <c r="D976" t="s">
        <v>180</v>
      </c>
      <c r="E976">
        <v>420</v>
      </c>
      <c r="F976" t="s">
        <v>1018</v>
      </c>
      <c r="G976">
        <v>5</v>
      </c>
      <c r="H976">
        <v>0</v>
      </c>
      <c r="I976">
        <v>4</v>
      </c>
      <c r="J976">
        <v>1</v>
      </c>
      <c r="K976">
        <v>0</v>
      </c>
      <c r="L976">
        <v>0</v>
      </c>
      <c r="M976">
        <v>0</v>
      </c>
      <c r="N976" t="s">
        <v>333</v>
      </c>
      <c r="O976" t="s">
        <v>329</v>
      </c>
    </row>
    <row r="977" spans="1:15" x14ac:dyDescent="0.3">
      <c r="A977">
        <v>507</v>
      </c>
      <c r="B977" t="s">
        <v>323</v>
      </c>
      <c r="C977">
        <v>189</v>
      </c>
      <c r="D977" t="s">
        <v>180</v>
      </c>
      <c r="E977">
        <v>421</v>
      </c>
      <c r="F977" t="s">
        <v>1019</v>
      </c>
      <c r="G977">
        <v>6</v>
      </c>
      <c r="H977">
        <v>1</v>
      </c>
      <c r="I977">
        <v>0</v>
      </c>
      <c r="J977">
        <v>3</v>
      </c>
      <c r="K977">
        <v>0</v>
      </c>
      <c r="L977">
        <v>2</v>
      </c>
      <c r="M977">
        <v>0</v>
      </c>
      <c r="N977" t="s">
        <v>410</v>
      </c>
      <c r="O977" t="s">
        <v>326</v>
      </c>
    </row>
    <row r="978" spans="1:15" x14ac:dyDescent="0.3">
      <c r="A978">
        <v>507</v>
      </c>
      <c r="B978" t="s">
        <v>323</v>
      </c>
      <c r="C978">
        <v>189</v>
      </c>
      <c r="D978" t="s">
        <v>180</v>
      </c>
      <c r="E978">
        <v>422</v>
      </c>
      <c r="F978" t="s">
        <v>1020</v>
      </c>
      <c r="G978">
        <v>7</v>
      </c>
      <c r="H978">
        <v>6</v>
      </c>
      <c r="I978">
        <v>0</v>
      </c>
      <c r="J978">
        <v>0</v>
      </c>
      <c r="K978">
        <v>1</v>
      </c>
      <c r="L978">
        <v>0</v>
      </c>
      <c r="M978">
        <v>0</v>
      </c>
      <c r="N978" t="s">
        <v>410</v>
      </c>
      <c r="O978" t="s">
        <v>329</v>
      </c>
    </row>
    <row r="979" spans="1:15" x14ac:dyDescent="0.3">
      <c r="A979">
        <v>507</v>
      </c>
      <c r="B979" t="s">
        <v>323</v>
      </c>
      <c r="C979">
        <v>189</v>
      </c>
      <c r="D979" t="s">
        <v>180</v>
      </c>
      <c r="E979">
        <v>423</v>
      </c>
      <c r="F979" t="s">
        <v>1021</v>
      </c>
      <c r="G979">
        <v>4</v>
      </c>
      <c r="H979">
        <v>0</v>
      </c>
      <c r="I979">
        <v>0</v>
      </c>
      <c r="J979">
        <v>1</v>
      </c>
      <c r="K979">
        <v>0</v>
      </c>
      <c r="L979">
        <v>3</v>
      </c>
      <c r="M979">
        <v>0</v>
      </c>
      <c r="N979" t="s">
        <v>333</v>
      </c>
      <c r="O979" t="s">
        <v>326</v>
      </c>
    </row>
    <row r="980" spans="1:15" x14ac:dyDescent="0.3">
      <c r="A980">
        <v>507</v>
      </c>
      <c r="B980" t="s">
        <v>323</v>
      </c>
      <c r="C980">
        <v>189</v>
      </c>
      <c r="D980" t="s">
        <v>180</v>
      </c>
      <c r="E980">
        <v>424</v>
      </c>
      <c r="F980" t="s">
        <v>523</v>
      </c>
      <c r="G980">
        <v>4</v>
      </c>
      <c r="H980">
        <v>0</v>
      </c>
      <c r="I980">
        <v>0</v>
      </c>
      <c r="J980">
        <v>3</v>
      </c>
      <c r="K980">
        <v>1</v>
      </c>
      <c r="L980">
        <v>0</v>
      </c>
      <c r="M980">
        <v>0</v>
      </c>
      <c r="N980" t="s">
        <v>410</v>
      </c>
      <c r="O980" t="s">
        <v>326</v>
      </c>
    </row>
    <row r="981" spans="1:15" x14ac:dyDescent="0.3">
      <c r="A981">
        <v>507</v>
      </c>
      <c r="B981" t="s">
        <v>323</v>
      </c>
      <c r="C981">
        <v>189</v>
      </c>
      <c r="D981" t="s">
        <v>180</v>
      </c>
      <c r="E981">
        <v>425</v>
      </c>
      <c r="F981" t="s">
        <v>1022</v>
      </c>
      <c r="G981">
        <v>5</v>
      </c>
      <c r="H981">
        <v>4</v>
      </c>
      <c r="I981">
        <v>1</v>
      </c>
      <c r="J981">
        <v>0</v>
      </c>
      <c r="K981">
        <v>0</v>
      </c>
      <c r="L981">
        <v>0</v>
      </c>
      <c r="M981">
        <v>0</v>
      </c>
      <c r="N981" t="s">
        <v>410</v>
      </c>
      <c r="O981" t="s">
        <v>348</v>
      </c>
    </row>
    <row r="982" spans="1:15" x14ac:dyDescent="0.3">
      <c r="A982">
        <v>507</v>
      </c>
      <c r="B982" t="s">
        <v>323</v>
      </c>
      <c r="C982">
        <v>189</v>
      </c>
      <c r="D982" t="s">
        <v>180</v>
      </c>
      <c r="E982">
        <v>426</v>
      </c>
      <c r="F982" t="s">
        <v>1023</v>
      </c>
      <c r="G982">
        <v>4</v>
      </c>
      <c r="H982">
        <v>0</v>
      </c>
      <c r="I982">
        <v>1</v>
      </c>
      <c r="J982">
        <v>2</v>
      </c>
      <c r="K982">
        <v>1</v>
      </c>
      <c r="L982">
        <v>0</v>
      </c>
      <c r="M982">
        <v>0</v>
      </c>
      <c r="N982" t="s">
        <v>325</v>
      </c>
      <c r="O982" t="s">
        <v>326</v>
      </c>
    </row>
    <row r="983" spans="1:15" x14ac:dyDescent="0.3">
      <c r="A983">
        <v>507</v>
      </c>
      <c r="B983" t="s">
        <v>323</v>
      </c>
      <c r="C983">
        <v>189</v>
      </c>
      <c r="D983" t="s">
        <v>180</v>
      </c>
      <c r="E983">
        <v>428</v>
      </c>
      <c r="F983" t="s">
        <v>1024</v>
      </c>
      <c r="G983">
        <v>4</v>
      </c>
      <c r="H983">
        <v>0</v>
      </c>
      <c r="I983">
        <v>1</v>
      </c>
      <c r="J983">
        <v>2</v>
      </c>
      <c r="K983">
        <v>1</v>
      </c>
      <c r="L983">
        <v>0</v>
      </c>
      <c r="M983">
        <v>0</v>
      </c>
      <c r="N983" t="s">
        <v>410</v>
      </c>
      <c r="O983" t="s">
        <v>348</v>
      </c>
    </row>
    <row r="984" spans="1:15" x14ac:dyDescent="0.3">
      <c r="A984">
        <v>507</v>
      </c>
      <c r="B984" t="s">
        <v>323</v>
      </c>
      <c r="C984">
        <v>189</v>
      </c>
      <c r="D984" t="s">
        <v>180</v>
      </c>
      <c r="E984">
        <v>430</v>
      </c>
      <c r="F984" t="s">
        <v>1025</v>
      </c>
      <c r="G984">
        <v>6</v>
      </c>
      <c r="H984">
        <v>0</v>
      </c>
      <c r="I984">
        <v>2</v>
      </c>
      <c r="J984">
        <v>4</v>
      </c>
      <c r="K984">
        <v>0</v>
      </c>
      <c r="L984">
        <v>0</v>
      </c>
      <c r="M984">
        <v>0</v>
      </c>
      <c r="N984" t="s">
        <v>410</v>
      </c>
      <c r="O984" t="s">
        <v>326</v>
      </c>
    </row>
    <row r="985" spans="1:15" x14ac:dyDescent="0.3">
      <c r="A985">
        <v>507</v>
      </c>
      <c r="B985" t="s">
        <v>323</v>
      </c>
      <c r="C985">
        <v>189</v>
      </c>
      <c r="D985" t="s">
        <v>180</v>
      </c>
      <c r="E985">
        <v>431</v>
      </c>
      <c r="F985" t="s">
        <v>381</v>
      </c>
      <c r="G985">
        <v>5</v>
      </c>
      <c r="H985">
        <v>0</v>
      </c>
      <c r="I985">
        <v>0</v>
      </c>
      <c r="J985">
        <v>1</v>
      </c>
      <c r="K985">
        <v>3</v>
      </c>
      <c r="L985">
        <v>1</v>
      </c>
      <c r="M985">
        <v>0</v>
      </c>
      <c r="N985" t="s">
        <v>410</v>
      </c>
      <c r="O985" t="s">
        <v>326</v>
      </c>
    </row>
    <row r="986" spans="1:15" x14ac:dyDescent="0.3">
      <c r="A986">
        <v>507</v>
      </c>
      <c r="B986" t="s">
        <v>323</v>
      </c>
      <c r="C986">
        <v>189</v>
      </c>
      <c r="D986" t="s">
        <v>180</v>
      </c>
      <c r="E986">
        <v>432</v>
      </c>
      <c r="F986" t="s">
        <v>447</v>
      </c>
      <c r="G986">
        <v>3</v>
      </c>
      <c r="H986">
        <v>0</v>
      </c>
      <c r="I986">
        <v>0</v>
      </c>
      <c r="J986">
        <v>0</v>
      </c>
      <c r="K986">
        <v>0</v>
      </c>
      <c r="L986">
        <v>3</v>
      </c>
      <c r="M986">
        <v>0</v>
      </c>
      <c r="N986" t="s">
        <v>325</v>
      </c>
      <c r="O986" t="s">
        <v>326</v>
      </c>
    </row>
    <row r="987" spans="1:15" x14ac:dyDescent="0.3">
      <c r="A987">
        <v>507</v>
      </c>
      <c r="B987" t="s">
        <v>323</v>
      </c>
      <c r="C987">
        <v>189</v>
      </c>
      <c r="D987" t="s">
        <v>180</v>
      </c>
      <c r="E987">
        <v>433</v>
      </c>
      <c r="F987" t="s">
        <v>1026</v>
      </c>
      <c r="G987">
        <v>3</v>
      </c>
      <c r="H987">
        <v>0</v>
      </c>
      <c r="I987">
        <v>1</v>
      </c>
      <c r="J987">
        <v>0</v>
      </c>
      <c r="K987">
        <v>1</v>
      </c>
      <c r="L987">
        <v>1</v>
      </c>
      <c r="M987">
        <v>0</v>
      </c>
      <c r="N987" t="s">
        <v>333</v>
      </c>
      <c r="O987" t="s">
        <v>326</v>
      </c>
    </row>
    <row r="988" spans="1:15" x14ac:dyDescent="0.3">
      <c r="A988">
        <v>507</v>
      </c>
      <c r="B988" t="s">
        <v>323</v>
      </c>
      <c r="C988">
        <v>189</v>
      </c>
      <c r="D988" t="s">
        <v>180</v>
      </c>
      <c r="E988">
        <v>434</v>
      </c>
      <c r="F988" t="s">
        <v>1027</v>
      </c>
      <c r="G988">
        <v>6</v>
      </c>
      <c r="H988">
        <v>0</v>
      </c>
      <c r="I988">
        <v>2</v>
      </c>
      <c r="J988">
        <v>2</v>
      </c>
      <c r="K988">
        <v>2</v>
      </c>
      <c r="L988">
        <v>0</v>
      </c>
      <c r="M988">
        <v>0</v>
      </c>
      <c r="N988" t="s">
        <v>410</v>
      </c>
      <c r="O988" t="s">
        <v>336</v>
      </c>
    </row>
    <row r="989" spans="1:15" x14ac:dyDescent="0.3">
      <c r="A989">
        <v>507</v>
      </c>
      <c r="B989" t="s">
        <v>323</v>
      </c>
      <c r="C989">
        <v>189</v>
      </c>
      <c r="D989" t="s">
        <v>180</v>
      </c>
      <c r="E989">
        <v>436</v>
      </c>
      <c r="F989" t="s">
        <v>1028</v>
      </c>
      <c r="G989">
        <v>5</v>
      </c>
      <c r="H989">
        <v>0</v>
      </c>
      <c r="I989">
        <v>0</v>
      </c>
      <c r="J989">
        <v>3</v>
      </c>
      <c r="K989">
        <v>2</v>
      </c>
      <c r="L989">
        <v>0</v>
      </c>
      <c r="M989">
        <v>0</v>
      </c>
      <c r="N989" t="s">
        <v>410</v>
      </c>
      <c r="O989" t="s">
        <v>326</v>
      </c>
    </row>
    <row r="990" spans="1:15" x14ac:dyDescent="0.3">
      <c r="A990">
        <v>507</v>
      </c>
      <c r="B990" t="s">
        <v>323</v>
      </c>
      <c r="C990">
        <v>189</v>
      </c>
      <c r="D990" t="s">
        <v>180</v>
      </c>
      <c r="E990">
        <v>437</v>
      </c>
      <c r="F990" t="s">
        <v>1029</v>
      </c>
      <c r="G990">
        <v>3</v>
      </c>
      <c r="H990">
        <v>0</v>
      </c>
      <c r="I990">
        <v>0</v>
      </c>
      <c r="J990">
        <v>1</v>
      </c>
      <c r="K990">
        <v>0</v>
      </c>
      <c r="L990">
        <v>2</v>
      </c>
      <c r="M990">
        <v>0</v>
      </c>
      <c r="N990" t="s">
        <v>325</v>
      </c>
      <c r="O990" t="s">
        <v>326</v>
      </c>
    </row>
    <row r="991" spans="1:15" x14ac:dyDescent="0.3">
      <c r="A991">
        <v>507</v>
      </c>
      <c r="B991" t="s">
        <v>323</v>
      </c>
      <c r="C991">
        <v>189</v>
      </c>
      <c r="D991" t="s">
        <v>180</v>
      </c>
      <c r="E991">
        <v>438</v>
      </c>
      <c r="F991" t="s">
        <v>1030</v>
      </c>
      <c r="G991">
        <v>1</v>
      </c>
      <c r="H991">
        <v>0</v>
      </c>
      <c r="I991">
        <v>1</v>
      </c>
      <c r="J991">
        <v>0</v>
      </c>
      <c r="K991">
        <v>0</v>
      </c>
      <c r="L991">
        <v>0</v>
      </c>
      <c r="M991">
        <v>0</v>
      </c>
      <c r="N991" t="s">
        <v>325</v>
      </c>
      <c r="O991" t="s">
        <v>329</v>
      </c>
    </row>
    <row r="992" spans="1:15" x14ac:dyDescent="0.3">
      <c r="A992">
        <v>507</v>
      </c>
      <c r="B992" t="s">
        <v>323</v>
      </c>
      <c r="C992">
        <v>189</v>
      </c>
      <c r="D992" t="s">
        <v>180</v>
      </c>
      <c r="E992">
        <v>439</v>
      </c>
      <c r="F992" t="s">
        <v>1031</v>
      </c>
      <c r="G992">
        <v>6</v>
      </c>
      <c r="H992">
        <v>2</v>
      </c>
      <c r="I992">
        <v>1</v>
      </c>
      <c r="J992">
        <v>2</v>
      </c>
      <c r="K992">
        <v>1</v>
      </c>
      <c r="L992">
        <v>0</v>
      </c>
      <c r="M992">
        <v>0</v>
      </c>
      <c r="N992" t="s">
        <v>410</v>
      </c>
      <c r="O992" t="s">
        <v>326</v>
      </c>
    </row>
    <row r="993" spans="1:15" x14ac:dyDescent="0.3">
      <c r="A993">
        <v>507</v>
      </c>
      <c r="B993" t="s">
        <v>323</v>
      </c>
      <c r="C993">
        <v>189</v>
      </c>
      <c r="D993" t="s">
        <v>180</v>
      </c>
      <c r="E993">
        <v>440</v>
      </c>
      <c r="F993" t="s">
        <v>1032</v>
      </c>
      <c r="G993">
        <v>6</v>
      </c>
      <c r="H993">
        <v>1</v>
      </c>
      <c r="I993">
        <v>2</v>
      </c>
      <c r="J993">
        <v>1</v>
      </c>
      <c r="K993">
        <v>1</v>
      </c>
      <c r="L993">
        <v>1</v>
      </c>
      <c r="M993">
        <v>0</v>
      </c>
      <c r="N993" t="s">
        <v>414</v>
      </c>
      <c r="O993" t="s">
        <v>348</v>
      </c>
    </row>
    <row r="994" spans="1:15" x14ac:dyDescent="0.3">
      <c r="A994">
        <v>507</v>
      </c>
      <c r="B994" t="s">
        <v>323</v>
      </c>
      <c r="C994">
        <v>189</v>
      </c>
      <c r="D994" t="s">
        <v>180</v>
      </c>
      <c r="E994">
        <v>1336</v>
      </c>
      <c r="F994" t="s">
        <v>1033</v>
      </c>
      <c r="G994">
        <v>6</v>
      </c>
      <c r="H994">
        <v>1</v>
      </c>
      <c r="I994">
        <v>1</v>
      </c>
      <c r="J994">
        <v>1</v>
      </c>
      <c r="K994">
        <v>1</v>
      </c>
      <c r="L994">
        <v>2</v>
      </c>
      <c r="M994">
        <v>0</v>
      </c>
      <c r="N994" t="s">
        <v>414</v>
      </c>
      <c r="O994" t="s">
        <v>336</v>
      </c>
    </row>
    <row r="995" spans="1:15" x14ac:dyDescent="0.3">
      <c r="A995">
        <v>507</v>
      </c>
      <c r="B995" t="s">
        <v>323</v>
      </c>
      <c r="C995">
        <v>189</v>
      </c>
      <c r="D995" t="s">
        <v>180</v>
      </c>
      <c r="E995">
        <v>1337</v>
      </c>
      <c r="F995" t="s">
        <v>1034</v>
      </c>
      <c r="G995">
        <v>3</v>
      </c>
      <c r="H995">
        <v>3</v>
      </c>
      <c r="I995">
        <v>0</v>
      </c>
      <c r="J995">
        <v>0</v>
      </c>
      <c r="K995">
        <v>0</v>
      </c>
      <c r="L995">
        <v>0</v>
      </c>
      <c r="M995">
        <v>0</v>
      </c>
      <c r="N995" t="s">
        <v>325</v>
      </c>
      <c r="O995" t="s">
        <v>329</v>
      </c>
    </row>
    <row r="996" spans="1:15" x14ac:dyDescent="0.3">
      <c r="A996">
        <v>507</v>
      </c>
      <c r="B996" t="s">
        <v>323</v>
      </c>
      <c r="C996">
        <v>189</v>
      </c>
      <c r="D996" t="s">
        <v>180</v>
      </c>
      <c r="E996">
        <v>1338</v>
      </c>
      <c r="F996" t="s">
        <v>1035</v>
      </c>
      <c r="G996">
        <v>5</v>
      </c>
      <c r="H996">
        <v>0</v>
      </c>
      <c r="I996">
        <v>2</v>
      </c>
      <c r="J996">
        <v>1</v>
      </c>
      <c r="K996">
        <v>2</v>
      </c>
      <c r="L996">
        <v>0</v>
      </c>
      <c r="M996">
        <v>0</v>
      </c>
      <c r="N996" t="s">
        <v>414</v>
      </c>
      <c r="O996" t="s">
        <v>348</v>
      </c>
    </row>
    <row r="997" spans="1:15" x14ac:dyDescent="0.3">
      <c r="A997">
        <v>507</v>
      </c>
      <c r="B997" t="s">
        <v>323</v>
      </c>
      <c r="C997">
        <v>189</v>
      </c>
      <c r="D997" t="s">
        <v>180</v>
      </c>
      <c r="E997">
        <v>1339</v>
      </c>
      <c r="F997" t="s">
        <v>1036</v>
      </c>
      <c r="G997">
        <v>5</v>
      </c>
      <c r="H997">
        <v>0</v>
      </c>
      <c r="I997">
        <v>0</v>
      </c>
      <c r="J997">
        <v>4</v>
      </c>
      <c r="K997">
        <v>1</v>
      </c>
      <c r="L997">
        <v>0</v>
      </c>
      <c r="M997">
        <v>0</v>
      </c>
      <c r="N997" t="s">
        <v>566</v>
      </c>
      <c r="O997" t="s">
        <v>336</v>
      </c>
    </row>
    <row r="998" spans="1:15" x14ac:dyDescent="0.3">
      <c r="A998">
        <v>507</v>
      </c>
      <c r="B998" t="s">
        <v>323</v>
      </c>
      <c r="C998">
        <v>189</v>
      </c>
      <c r="D998" t="s">
        <v>180</v>
      </c>
      <c r="E998">
        <v>1887</v>
      </c>
      <c r="F998" t="s">
        <v>1503</v>
      </c>
      <c r="G998">
        <v>6</v>
      </c>
      <c r="H998">
        <v>0</v>
      </c>
      <c r="I998">
        <v>3</v>
      </c>
      <c r="J998">
        <v>2</v>
      </c>
      <c r="K998">
        <v>1</v>
      </c>
      <c r="L998">
        <v>0</v>
      </c>
      <c r="M998">
        <v>0</v>
      </c>
      <c r="N998" t="s">
        <v>333</v>
      </c>
      <c r="O998" t="s">
        <v>326</v>
      </c>
    </row>
    <row r="999" spans="1:15" x14ac:dyDescent="0.3">
      <c r="A999">
        <v>507</v>
      </c>
      <c r="B999" t="s">
        <v>323</v>
      </c>
      <c r="C999">
        <v>189</v>
      </c>
      <c r="D999" t="s">
        <v>180</v>
      </c>
      <c r="E999">
        <v>1888</v>
      </c>
      <c r="F999" t="s">
        <v>1504</v>
      </c>
      <c r="G999">
        <v>10</v>
      </c>
      <c r="H999">
        <v>1</v>
      </c>
      <c r="I999">
        <v>4</v>
      </c>
      <c r="J999">
        <v>3</v>
      </c>
      <c r="K999">
        <v>1</v>
      </c>
      <c r="L999">
        <v>1</v>
      </c>
      <c r="M999">
        <v>0</v>
      </c>
      <c r="N999" t="s">
        <v>333</v>
      </c>
      <c r="O999" t="s">
        <v>326</v>
      </c>
    </row>
    <row r="1000" spans="1:15" x14ac:dyDescent="0.3">
      <c r="A1000">
        <v>507</v>
      </c>
      <c r="B1000" t="s">
        <v>323</v>
      </c>
      <c r="C1000">
        <v>189</v>
      </c>
      <c r="D1000" t="s">
        <v>180</v>
      </c>
      <c r="E1000">
        <v>1889</v>
      </c>
      <c r="F1000" t="s">
        <v>1505</v>
      </c>
      <c r="G1000">
        <v>4</v>
      </c>
      <c r="H1000">
        <v>1</v>
      </c>
      <c r="I1000">
        <v>0</v>
      </c>
      <c r="J1000">
        <v>2</v>
      </c>
      <c r="K1000">
        <v>1</v>
      </c>
      <c r="L1000">
        <v>0</v>
      </c>
      <c r="M1000">
        <v>0</v>
      </c>
      <c r="N1000" t="s">
        <v>325</v>
      </c>
      <c r="O1000" t="s">
        <v>348</v>
      </c>
    </row>
    <row r="1001" spans="1:15" x14ac:dyDescent="0.3">
      <c r="A1001">
        <v>507</v>
      </c>
      <c r="B1001" t="s">
        <v>323</v>
      </c>
      <c r="C1001">
        <v>189</v>
      </c>
      <c r="D1001" t="s">
        <v>180</v>
      </c>
      <c r="E1001">
        <v>1890</v>
      </c>
      <c r="F1001" t="s">
        <v>1506</v>
      </c>
      <c r="G1001">
        <v>6</v>
      </c>
      <c r="H1001">
        <v>0</v>
      </c>
      <c r="I1001">
        <v>3</v>
      </c>
      <c r="J1001">
        <v>2</v>
      </c>
      <c r="K1001">
        <v>0</v>
      </c>
      <c r="L1001">
        <v>1</v>
      </c>
      <c r="M1001">
        <v>0</v>
      </c>
      <c r="N1001" t="s">
        <v>410</v>
      </c>
      <c r="O1001" t="s">
        <v>348</v>
      </c>
    </row>
    <row r="1002" spans="1:15" x14ac:dyDescent="0.3">
      <c r="A1002">
        <v>507</v>
      </c>
      <c r="B1002" t="s">
        <v>323</v>
      </c>
      <c r="C1002">
        <v>189</v>
      </c>
      <c r="D1002" t="s">
        <v>180</v>
      </c>
      <c r="E1002">
        <v>2082</v>
      </c>
      <c r="F1002" t="s">
        <v>18072</v>
      </c>
      <c r="G1002">
        <v>5</v>
      </c>
      <c r="H1002">
        <v>4</v>
      </c>
      <c r="I1002">
        <v>1</v>
      </c>
      <c r="J1002">
        <v>0</v>
      </c>
      <c r="K1002">
        <v>0</v>
      </c>
      <c r="L1002">
        <v>0</v>
      </c>
      <c r="M1002">
        <v>0</v>
      </c>
      <c r="N1002" t="s">
        <v>325</v>
      </c>
      <c r="O1002" t="s">
        <v>336</v>
      </c>
    </row>
    <row r="1003" spans="1:15" x14ac:dyDescent="0.3">
      <c r="A1003">
        <v>507</v>
      </c>
      <c r="B1003" t="s">
        <v>323</v>
      </c>
      <c r="C1003">
        <v>189</v>
      </c>
      <c r="D1003" t="s">
        <v>180</v>
      </c>
      <c r="E1003">
        <v>2083</v>
      </c>
      <c r="F1003" t="s">
        <v>18073</v>
      </c>
      <c r="G1003">
        <v>10</v>
      </c>
      <c r="H1003">
        <v>2</v>
      </c>
      <c r="I1003">
        <v>2</v>
      </c>
      <c r="J1003">
        <v>5</v>
      </c>
      <c r="K1003">
        <v>1</v>
      </c>
      <c r="L1003">
        <v>0</v>
      </c>
      <c r="M1003">
        <v>0</v>
      </c>
      <c r="N1003" t="s">
        <v>325</v>
      </c>
      <c r="O1003" t="s">
        <v>326</v>
      </c>
    </row>
    <row r="1004" spans="1:15" x14ac:dyDescent="0.3">
      <c r="A1004">
        <v>508</v>
      </c>
      <c r="B1004" t="s">
        <v>323</v>
      </c>
      <c r="C1004">
        <v>190</v>
      </c>
      <c r="D1004" t="s">
        <v>182</v>
      </c>
      <c r="E1004">
        <v>2206</v>
      </c>
      <c r="F1004" t="s">
        <v>1413</v>
      </c>
      <c r="G1004">
        <v>2</v>
      </c>
      <c r="H1004">
        <v>0</v>
      </c>
      <c r="I1004">
        <v>1</v>
      </c>
      <c r="J1004">
        <v>1</v>
      </c>
      <c r="K1004">
        <v>0</v>
      </c>
      <c r="L1004">
        <v>0</v>
      </c>
      <c r="M1004">
        <v>0</v>
      </c>
      <c r="N1004" t="s">
        <v>333</v>
      </c>
      <c r="O1004" t="s">
        <v>336</v>
      </c>
    </row>
    <row r="1005" spans="1:15" x14ac:dyDescent="0.3">
      <c r="A1005">
        <v>508</v>
      </c>
      <c r="B1005" t="s">
        <v>323</v>
      </c>
      <c r="C1005">
        <v>190</v>
      </c>
      <c r="D1005" t="s">
        <v>182</v>
      </c>
      <c r="E1005">
        <v>2207</v>
      </c>
      <c r="F1005" t="s">
        <v>503</v>
      </c>
      <c r="G1005">
        <v>4</v>
      </c>
      <c r="H1005">
        <v>0</v>
      </c>
      <c r="I1005">
        <v>2</v>
      </c>
      <c r="J1005">
        <v>2</v>
      </c>
      <c r="K1005">
        <v>0</v>
      </c>
      <c r="L1005">
        <v>0</v>
      </c>
      <c r="M1005">
        <v>0</v>
      </c>
      <c r="N1005" t="s">
        <v>416</v>
      </c>
      <c r="O1005" t="s">
        <v>336</v>
      </c>
    </row>
    <row r="1006" spans="1:15" x14ac:dyDescent="0.3">
      <c r="A1006">
        <v>508</v>
      </c>
      <c r="B1006" t="s">
        <v>323</v>
      </c>
      <c r="C1006">
        <v>190</v>
      </c>
      <c r="D1006" t="s">
        <v>182</v>
      </c>
      <c r="E1006">
        <v>2208</v>
      </c>
      <c r="F1006" t="s">
        <v>1507</v>
      </c>
      <c r="G1006">
        <v>2</v>
      </c>
      <c r="H1006">
        <v>0</v>
      </c>
      <c r="I1006">
        <v>1</v>
      </c>
      <c r="J1006">
        <v>1</v>
      </c>
      <c r="K1006">
        <v>0</v>
      </c>
      <c r="L1006">
        <v>0</v>
      </c>
      <c r="M1006">
        <v>0</v>
      </c>
      <c r="N1006" t="s">
        <v>333</v>
      </c>
      <c r="O1006" t="s">
        <v>336</v>
      </c>
    </row>
    <row r="1007" spans="1:15" x14ac:dyDescent="0.3">
      <c r="A1007">
        <v>508</v>
      </c>
      <c r="B1007" t="s">
        <v>323</v>
      </c>
      <c r="C1007">
        <v>190</v>
      </c>
      <c r="D1007" t="s">
        <v>182</v>
      </c>
      <c r="E1007">
        <v>2209</v>
      </c>
      <c r="F1007" t="s">
        <v>1509</v>
      </c>
      <c r="G1007">
        <v>3</v>
      </c>
      <c r="H1007">
        <v>0</v>
      </c>
      <c r="I1007">
        <v>0</v>
      </c>
      <c r="J1007">
        <v>2</v>
      </c>
      <c r="K1007">
        <v>0</v>
      </c>
      <c r="L1007">
        <v>1</v>
      </c>
      <c r="M1007">
        <v>0</v>
      </c>
      <c r="N1007" t="s">
        <v>333</v>
      </c>
      <c r="O1007" t="s">
        <v>336</v>
      </c>
    </row>
    <row r="1008" spans="1:15" x14ac:dyDescent="0.3">
      <c r="A1008">
        <v>508</v>
      </c>
      <c r="B1008" t="s">
        <v>323</v>
      </c>
      <c r="C1008">
        <v>190</v>
      </c>
      <c r="D1008" t="s">
        <v>182</v>
      </c>
      <c r="E1008">
        <v>2210</v>
      </c>
      <c r="F1008" t="s">
        <v>1510</v>
      </c>
      <c r="G1008">
        <v>2</v>
      </c>
      <c r="H1008">
        <v>0</v>
      </c>
      <c r="I1008">
        <v>0</v>
      </c>
      <c r="J1008">
        <v>2</v>
      </c>
      <c r="K1008">
        <v>0</v>
      </c>
      <c r="L1008">
        <v>0</v>
      </c>
      <c r="M1008">
        <v>0</v>
      </c>
      <c r="N1008" t="s">
        <v>325</v>
      </c>
      <c r="O1008" t="s">
        <v>336</v>
      </c>
    </row>
    <row r="1009" spans="1:15" x14ac:dyDescent="0.3">
      <c r="A1009">
        <v>508</v>
      </c>
      <c r="B1009" t="s">
        <v>323</v>
      </c>
      <c r="C1009">
        <v>190</v>
      </c>
      <c r="D1009" t="s">
        <v>182</v>
      </c>
      <c r="E1009">
        <v>2211</v>
      </c>
      <c r="F1009" t="s">
        <v>1511</v>
      </c>
      <c r="G1009">
        <v>2</v>
      </c>
      <c r="H1009">
        <v>0</v>
      </c>
      <c r="I1009">
        <v>0</v>
      </c>
      <c r="J1009">
        <v>2</v>
      </c>
      <c r="K1009">
        <v>0</v>
      </c>
      <c r="L1009">
        <v>0</v>
      </c>
      <c r="M1009">
        <v>0</v>
      </c>
      <c r="N1009" t="s">
        <v>333</v>
      </c>
      <c r="O1009" t="s">
        <v>336</v>
      </c>
    </row>
    <row r="1010" spans="1:15" x14ac:dyDescent="0.3">
      <c r="A1010">
        <v>508</v>
      </c>
      <c r="B1010" t="s">
        <v>323</v>
      </c>
      <c r="C1010">
        <v>190</v>
      </c>
      <c r="D1010" t="s">
        <v>182</v>
      </c>
      <c r="E1010">
        <v>2212</v>
      </c>
      <c r="F1010" t="s">
        <v>18074</v>
      </c>
      <c r="G1010">
        <v>21</v>
      </c>
      <c r="H1010">
        <v>0</v>
      </c>
      <c r="I1010">
        <v>13</v>
      </c>
      <c r="J1010">
        <v>5</v>
      </c>
      <c r="K1010">
        <v>3</v>
      </c>
      <c r="L1010">
        <v>0</v>
      </c>
      <c r="M1010">
        <v>0</v>
      </c>
      <c r="N1010" t="s">
        <v>333</v>
      </c>
      <c r="O1010" t="s">
        <v>336</v>
      </c>
    </row>
    <row r="1011" spans="1:15" x14ac:dyDescent="0.3">
      <c r="A1011">
        <v>508</v>
      </c>
      <c r="B1011" t="s">
        <v>323</v>
      </c>
      <c r="C1011">
        <v>190</v>
      </c>
      <c r="D1011" t="s">
        <v>182</v>
      </c>
      <c r="E1011">
        <v>2213</v>
      </c>
      <c r="F1011" t="s">
        <v>1512</v>
      </c>
      <c r="G1011">
        <v>4</v>
      </c>
      <c r="H1011">
        <v>0</v>
      </c>
      <c r="I1011">
        <v>2</v>
      </c>
      <c r="J1011">
        <v>2</v>
      </c>
      <c r="K1011">
        <v>0</v>
      </c>
      <c r="L1011">
        <v>0</v>
      </c>
      <c r="M1011">
        <v>0</v>
      </c>
      <c r="N1011" t="s">
        <v>325</v>
      </c>
      <c r="O1011" t="s">
        <v>329</v>
      </c>
    </row>
    <row r="1012" spans="1:15" x14ac:dyDescent="0.3">
      <c r="A1012">
        <v>508</v>
      </c>
      <c r="B1012" t="s">
        <v>323</v>
      </c>
      <c r="C1012">
        <v>190</v>
      </c>
      <c r="D1012" t="s">
        <v>182</v>
      </c>
      <c r="E1012">
        <v>2214</v>
      </c>
      <c r="F1012" t="s">
        <v>376</v>
      </c>
      <c r="G1012">
        <v>2</v>
      </c>
      <c r="H1012">
        <v>0</v>
      </c>
      <c r="I1012">
        <v>0</v>
      </c>
      <c r="J1012">
        <v>2</v>
      </c>
      <c r="K1012">
        <v>0</v>
      </c>
      <c r="L1012">
        <v>0</v>
      </c>
      <c r="M1012">
        <v>0</v>
      </c>
      <c r="N1012" t="s">
        <v>333</v>
      </c>
      <c r="O1012" t="s">
        <v>336</v>
      </c>
    </row>
    <row r="1013" spans="1:15" x14ac:dyDescent="0.3">
      <c r="A1013">
        <v>508</v>
      </c>
      <c r="B1013" t="s">
        <v>323</v>
      </c>
      <c r="C1013">
        <v>190</v>
      </c>
      <c r="D1013" t="s">
        <v>182</v>
      </c>
      <c r="E1013">
        <v>2215</v>
      </c>
      <c r="F1013" t="s">
        <v>1514</v>
      </c>
      <c r="G1013">
        <v>4</v>
      </c>
      <c r="H1013">
        <v>0</v>
      </c>
      <c r="I1013">
        <v>2</v>
      </c>
      <c r="J1013">
        <v>1</v>
      </c>
      <c r="K1013">
        <v>1</v>
      </c>
      <c r="L1013">
        <v>0</v>
      </c>
      <c r="M1013">
        <v>0</v>
      </c>
      <c r="N1013" t="s">
        <v>325</v>
      </c>
      <c r="O1013" t="s">
        <v>329</v>
      </c>
    </row>
    <row r="1014" spans="1:15" x14ac:dyDescent="0.3">
      <c r="A1014">
        <v>508</v>
      </c>
      <c r="B1014" t="s">
        <v>323</v>
      </c>
      <c r="C1014">
        <v>190</v>
      </c>
      <c r="D1014" t="s">
        <v>182</v>
      </c>
      <c r="E1014">
        <v>2216</v>
      </c>
      <c r="F1014" t="s">
        <v>1515</v>
      </c>
      <c r="G1014">
        <v>2</v>
      </c>
      <c r="H1014">
        <v>0</v>
      </c>
      <c r="I1014">
        <v>0</v>
      </c>
      <c r="J1014">
        <v>0</v>
      </c>
      <c r="K1014">
        <v>2</v>
      </c>
      <c r="L1014">
        <v>0</v>
      </c>
      <c r="M1014">
        <v>0</v>
      </c>
      <c r="N1014" t="s">
        <v>333</v>
      </c>
      <c r="O1014" t="s">
        <v>329</v>
      </c>
    </row>
    <row r="1015" spans="1:15" x14ac:dyDescent="0.3">
      <c r="A1015">
        <v>508</v>
      </c>
      <c r="B1015" t="s">
        <v>323</v>
      </c>
      <c r="C1015">
        <v>190</v>
      </c>
      <c r="D1015" t="s">
        <v>182</v>
      </c>
      <c r="E1015">
        <v>2217</v>
      </c>
      <c r="F1015" t="s">
        <v>1516</v>
      </c>
      <c r="G1015">
        <v>7</v>
      </c>
      <c r="H1015">
        <v>0</v>
      </c>
      <c r="I1015">
        <v>4</v>
      </c>
      <c r="J1015">
        <v>1</v>
      </c>
      <c r="K1015">
        <v>0</v>
      </c>
      <c r="L1015">
        <v>2</v>
      </c>
      <c r="M1015">
        <v>0</v>
      </c>
      <c r="N1015" t="s">
        <v>333</v>
      </c>
      <c r="O1015" t="s">
        <v>336</v>
      </c>
    </row>
    <row r="1016" spans="1:15" x14ac:dyDescent="0.3">
      <c r="A1016">
        <v>508</v>
      </c>
      <c r="B1016" t="s">
        <v>323</v>
      </c>
      <c r="C1016">
        <v>190</v>
      </c>
      <c r="D1016" t="s">
        <v>182</v>
      </c>
      <c r="E1016">
        <v>2218</v>
      </c>
      <c r="F1016" t="s">
        <v>18075</v>
      </c>
      <c r="G1016">
        <v>1</v>
      </c>
      <c r="H1016">
        <v>0</v>
      </c>
      <c r="I1016">
        <v>1</v>
      </c>
      <c r="J1016">
        <v>0</v>
      </c>
      <c r="K1016">
        <v>0</v>
      </c>
      <c r="L1016">
        <v>0</v>
      </c>
      <c r="M1016">
        <v>0</v>
      </c>
      <c r="N1016" t="s">
        <v>333</v>
      </c>
      <c r="O1016" t="s">
        <v>336</v>
      </c>
    </row>
    <row r="1017" spans="1:15" x14ac:dyDescent="0.3">
      <c r="A1017">
        <v>508</v>
      </c>
      <c r="B1017" t="s">
        <v>323</v>
      </c>
      <c r="C1017">
        <v>190</v>
      </c>
      <c r="D1017" t="s">
        <v>182</v>
      </c>
      <c r="E1017">
        <v>2219</v>
      </c>
      <c r="F1017" t="s">
        <v>18076</v>
      </c>
      <c r="G1017">
        <v>2</v>
      </c>
      <c r="H1017">
        <v>0</v>
      </c>
      <c r="I1017">
        <v>0</v>
      </c>
      <c r="J1017">
        <v>1</v>
      </c>
      <c r="K1017">
        <v>1</v>
      </c>
      <c r="L1017">
        <v>0</v>
      </c>
      <c r="M1017">
        <v>0</v>
      </c>
      <c r="N1017" t="s">
        <v>333</v>
      </c>
      <c r="O1017" t="s">
        <v>336</v>
      </c>
    </row>
    <row r="1018" spans="1:15" x14ac:dyDescent="0.3">
      <c r="A1018">
        <v>508</v>
      </c>
      <c r="B1018" t="s">
        <v>323</v>
      </c>
      <c r="C1018">
        <v>190</v>
      </c>
      <c r="D1018" t="s">
        <v>182</v>
      </c>
      <c r="E1018">
        <v>2220</v>
      </c>
      <c r="F1018" t="s">
        <v>639</v>
      </c>
      <c r="G1018">
        <v>4</v>
      </c>
      <c r="H1018">
        <v>1</v>
      </c>
      <c r="I1018">
        <v>0</v>
      </c>
      <c r="J1018">
        <v>3</v>
      </c>
      <c r="K1018">
        <v>0</v>
      </c>
      <c r="L1018">
        <v>0</v>
      </c>
      <c r="M1018">
        <v>0</v>
      </c>
      <c r="N1018" t="s">
        <v>325</v>
      </c>
      <c r="O1018" t="s">
        <v>336</v>
      </c>
    </row>
    <row r="1019" spans="1:15" x14ac:dyDescent="0.3">
      <c r="A1019">
        <v>508</v>
      </c>
      <c r="B1019" t="s">
        <v>323</v>
      </c>
      <c r="C1019">
        <v>190</v>
      </c>
      <c r="D1019" t="s">
        <v>182</v>
      </c>
      <c r="E1019">
        <v>2221</v>
      </c>
      <c r="F1019" t="s">
        <v>1518</v>
      </c>
      <c r="G1019">
        <v>6</v>
      </c>
      <c r="H1019">
        <v>0</v>
      </c>
      <c r="I1019">
        <v>0</v>
      </c>
      <c r="J1019">
        <v>4</v>
      </c>
      <c r="K1019">
        <v>2</v>
      </c>
      <c r="L1019">
        <v>0</v>
      </c>
      <c r="M1019">
        <v>0</v>
      </c>
      <c r="N1019" t="s">
        <v>333</v>
      </c>
      <c r="O1019" t="s">
        <v>336</v>
      </c>
    </row>
    <row r="1020" spans="1:15" x14ac:dyDescent="0.3">
      <c r="A1020">
        <v>508</v>
      </c>
      <c r="B1020" t="s">
        <v>323</v>
      </c>
      <c r="C1020">
        <v>190</v>
      </c>
      <c r="D1020" t="s">
        <v>182</v>
      </c>
      <c r="E1020">
        <v>2222</v>
      </c>
      <c r="F1020" t="s">
        <v>1519</v>
      </c>
      <c r="G1020">
        <v>1</v>
      </c>
      <c r="H1020">
        <v>0</v>
      </c>
      <c r="I1020">
        <v>1</v>
      </c>
      <c r="J1020">
        <v>0</v>
      </c>
      <c r="K1020">
        <v>0</v>
      </c>
      <c r="L1020">
        <v>0</v>
      </c>
      <c r="M1020">
        <v>0</v>
      </c>
      <c r="N1020" t="s">
        <v>333</v>
      </c>
      <c r="O1020" t="s">
        <v>336</v>
      </c>
    </row>
    <row r="1021" spans="1:15" x14ac:dyDescent="0.3">
      <c r="A1021">
        <v>508</v>
      </c>
      <c r="B1021" t="s">
        <v>323</v>
      </c>
      <c r="C1021">
        <v>190</v>
      </c>
      <c r="D1021" t="s">
        <v>182</v>
      </c>
      <c r="E1021">
        <v>2223</v>
      </c>
      <c r="F1021" t="s">
        <v>1520</v>
      </c>
      <c r="G1021">
        <v>3</v>
      </c>
      <c r="H1021">
        <v>0</v>
      </c>
      <c r="I1021">
        <v>0</v>
      </c>
      <c r="J1021">
        <v>1</v>
      </c>
      <c r="K1021">
        <v>1</v>
      </c>
      <c r="L1021">
        <v>1</v>
      </c>
      <c r="M1021">
        <v>0</v>
      </c>
      <c r="N1021" t="s">
        <v>333</v>
      </c>
      <c r="O1021" t="s">
        <v>336</v>
      </c>
    </row>
    <row r="1022" spans="1:15" x14ac:dyDescent="0.3">
      <c r="A1022">
        <v>508</v>
      </c>
      <c r="B1022" t="s">
        <v>323</v>
      </c>
      <c r="C1022">
        <v>190</v>
      </c>
      <c r="D1022" t="s">
        <v>182</v>
      </c>
      <c r="E1022">
        <v>2224</v>
      </c>
      <c r="F1022" t="s">
        <v>1521</v>
      </c>
      <c r="G1022">
        <v>3</v>
      </c>
      <c r="H1022">
        <v>0</v>
      </c>
      <c r="I1022">
        <v>1</v>
      </c>
      <c r="J1022">
        <v>0</v>
      </c>
      <c r="K1022">
        <v>1</v>
      </c>
      <c r="L1022">
        <v>1</v>
      </c>
      <c r="M1022">
        <v>0</v>
      </c>
      <c r="N1022" t="s">
        <v>325</v>
      </c>
      <c r="O1022" t="s">
        <v>336</v>
      </c>
    </row>
    <row r="1023" spans="1:15" x14ac:dyDescent="0.3">
      <c r="A1023">
        <v>508</v>
      </c>
      <c r="B1023" t="s">
        <v>323</v>
      </c>
      <c r="C1023">
        <v>190</v>
      </c>
      <c r="D1023" t="s">
        <v>182</v>
      </c>
      <c r="E1023">
        <v>2225</v>
      </c>
      <c r="F1023" t="s">
        <v>390</v>
      </c>
      <c r="G1023">
        <v>1</v>
      </c>
      <c r="H1023">
        <v>0</v>
      </c>
      <c r="I1023">
        <v>1</v>
      </c>
      <c r="J1023">
        <v>0</v>
      </c>
      <c r="K1023">
        <v>0</v>
      </c>
      <c r="L1023">
        <v>0</v>
      </c>
      <c r="M1023">
        <v>0</v>
      </c>
      <c r="N1023" t="s">
        <v>333</v>
      </c>
      <c r="O1023" t="s">
        <v>336</v>
      </c>
    </row>
    <row r="1024" spans="1:15" x14ac:dyDescent="0.3">
      <c r="A1024">
        <v>508</v>
      </c>
      <c r="B1024" t="s">
        <v>323</v>
      </c>
      <c r="C1024">
        <v>190</v>
      </c>
      <c r="D1024" t="s">
        <v>182</v>
      </c>
      <c r="E1024">
        <v>2226</v>
      </c>
      <c r="F1024" t="s">
        <v>18077</v>
      </c>
      <c r="G1024">
        <v>4</v>
      </c>
      <c r="H1024">
        <v>0</v>
      </c>
      <c r="I1024">
        <v>1</v>
      </c>
      <c r="J1024">
        <v>1</v>
      </c>
      <c r="K1024">
        <v>2</v>
      </c>
      <c r="L1024">
        <v>0</v>
      </c>
      <c r="M1024">
        <v>0</v>
      </c>
      <c r="N1024" t="s">
        <v>333</v>
      </c>
      <c r="O1024" t="s">
        <v>336</v>
      </c>
    </row>
    <row r="1025" spans="1:15" x14ac:dyDescent="0.3">
      <c r="A1025">
        <v>508</v>
      </c>
      <c r="B1025" t="s">
        <v>323</v>
      </c>
      <c r="C1025">
        <v>190</v>
      </c>
      <c r="D1025" t="s">
        <v>182</v>
      </c>
      <c r="E1025">
        <v>2227</v>
      </c>
      <c r="F1025" t="s">
        <v>529</v>
      </c>
      <c r="G1025">
        <v>3</v>
      </c>
      <c r="H1025">
        <v>0</v>
      </c>
      <c r="I1025">
        <v>1</v>
      </c>
      <c r="J1025">
        <v>0</v>
      </c>
      <c r="K1025">
        <v>1</v>
      </c>
      <c r="L1025">
        <v>1</v>
      </c>
      <c r="M1025">
        <v>0</v>
      </c>
      <c r="N1025" t="s">
        <v>325</v>
      </c>
      <c r="O1025" t="s">
        <v>336</v>
      </c>
    </row>
    <row r="1026" spans="1:15" x14ac:dyDescent="0.3">
      <c r="A1026">
        <v>511</v>
      </c>
      <c r="B1026" t="s">
        <v>323</v>
      </c>
      <c r="C1026">
        <v>193</v>
      </c>
      <c r="D1026" t="s">
        <v>188</v>
      </c>
      <c r="E1026">
        <v>594</v>
      </c>
      <c r="F1026" t="s">
        <v>18078</v>
      </c>
      <c r="G1026">
        <v>4</v>
      </c>
      <c r="H1026">
        <v>0</v>
      </c>
      <c r="I1026">
        <v>0</v>
      </c>
      <c r="J1026">
        <v>0</v>
      </c>
      <c r="K1026">
        <v>0</v>
      </c>
      <c r="L1026">
        <v>0</v>
      </c>
      <c r="M1026">
        <v>4</v>
      </c>
      <c r="N1026" t="s">
        <v>333</v>
      </c>
      <c r="O1026" t="s">
        <v>326</v>
      </c>
    </row>
    <row r="1027" spans="1:15" x14ac:dyDescent="0.3">
      <c r="A1027">
        <v>511</v>
      </c>
      <c r="B1027" t="s">
        <v>323</v>
      </c>
      <c r="C1027">
        <v>193</v>
      </c>
      <c r="D1027" t="s">
        <v>188</v>
      </c>
      <c r="E1027">
        <v>595</v>
      </c>
      <c r="F1027" t="s">
        <v>18079</v>
      </c>
      <c r="G1027">
        <v>3</v>
      </c>
      <c r="H1027">
        <v>0</v>
      </c>
      <c r="I1027">
        <v>0</v>
      </c>
      <c r="J1027">
        <v>0</v>
      </c>
      <c r="K1027">
        <v>0</v>
      </c>
      <c r="L1027">
        <v>0</v>
      </c>
      <c r="M1027">
        <v>3</v>
      </c>
      <c r="N1027" t="s">
        <v>333</v>
      </c>
      <c r="O1027" t="s">
        <v>326</v>
      </c>
    </row>
    <row r="1028" spans="1:15" x14ac:dyDescent="0.3">
      <c r="A1028">
        <v>511</v>
      </c>
      <c r="B1028" t="s">
        <v>323</v>
      </c>
      <c r="C1028">
        <v>193</v>
      </c>
      <c r="D1028" t="s">
        <v>188</v>
      </c>
      <c r="E1028">
        <v>596</v>
      </c>
      <c r="F1028" t="s">
        <v>18080</v>
      </c>
      <c r="G1028">
        <v>7</v>
      </c>
      <c r="H1028">
        <v>0</v>
      </c>
      <c r="I1028">
        <v>0</v>
      </c>
      <c r="J1028">
        <v>0</v>
      </c>
      <c r="K1028">
        <v>0</v>
      </c>
      <c r="L1028">
        <v>0</v>
      </c>
      <c r="M1028">
        <v>7</v>
      </c>
      <c r="N1028" t="s">
        <v>325</v>
      </c>
      <c r="O1028" t="s">
        <v>326</v>
      </c>
    </row>
    <row r="1029" spans="1:15" x14ac:dyDescent="0.3">
      <c r="A1029">
        <v>511</v>
      </c>
      <c r="B1029" t="s">
        <v>323</v>
      </c>
      <c r="C1029">
        <v>193</v>
      </c>
      <c r="D1029" t="s">
        <v>188</v>
      </c>
      <c r="E1029">
        <v>597</v>
      </c>
      <c r="F1029" t="s">
        <v>18081</v>
      </c>
      <c r="G1029">
        <v>2</v>
      </c>
      <c r="H1029">
        <v>0</v>
      </c>
      <c r="I1029">
        <v>0</v>
      </c>
      <c r="J1029">
        <v>0</v>
      </c>
      <c r="K1029">
        <v>0</v>
      </c>
      <c r="L1029">
        <v>0</v>
      </c>
      <c r="M1029">
        <v>2</v>
      </c>
      <c r="N1029" t="s">
        <v>333</v>
      </c>
      <c r="O1029" t="s">
        <v>326</v>
      </c>
    </row>
    <row r="1030" spans="1:15" x14ac:dyDescent="0.3">
      <c r="A1030">
        <v>511</v>
      </c>
      <c r="B1030" t="s">
        <v>323</v>
      </c>
      <c r="C1030">
        <v>193</v>
      </c>
      <c r="D1030" t="s">
        <v>188</v>
      </c>
      <c r="E1030">
        <v>598</v>
      </c>
      <c r="F1030" t="s">
        <v>18082</v>
      </c>
      <c r="G1030">
        <v>2</v>
      </c>
      <c r="H1030">
        <v>0</v>
      </c>
      <c r="I1030">
        <v>0</v>
      </c>
      <c r="J1030">
        <v>0</v>
      </c>
      <c r="K1030">
        <v>0</v>
      </c>
      <c r="L1030">
        <v>0</v>
      </c>
      <c r="M1030">
        <v>2</v>
      </c>
      <c r="N1030" t="s">
        <v>333</v>
      </c>
      <c r="O1030" t="s">
        <v>326</v>
      </c>
    </row>
    <row r="1031" spans="1:15" x14ac:dyDescent="0.3">
      <c r="A1031">
        <v>511</v>
      </c>
      <c r="B1031" t="s">
        <v>323</v>
      </c>
      <c r="C1031">
        <v>193</v>
      </c>
      <c r="D1031" t="s">
        <v>188</v>
      </c>
      <c r="E1031">
        <v>602</v>
      </c>
      <c r="F1031" t="s">
        <v>18083</v>
      </c>
      <c r="G1031">
        <v>3</v>
      </c>
      <c r="H1031">
        <v>0</v>
      </c>
      <c r="I1031">
        <v>0</v>
      </c>
      <c r="J1031">
        <v>0</v>
      </c>
      <c r="K1031">
        <v>0</v>
      </c>
      <c r="L1031">
        <v>0</v>
      </c>
      <c r="M1031">
        <v>3</v>
      </c>
      <c r="N1031" t="s">
        <v>333</v>
      </c>
      <c r="O1031" t="s">
        <v>326</v>
      </c>
    </row>
    <row r="1032" spans="1:15" x14ac:dyDescent="0.3">
      <c r="A1032">
        <v>511</v>
      </c>
      <c r="B1032" t="s">
        <v>323</v>
      </c>
      <c r="C1032">
        <v>193</v>
      </c>
      <c r="D1032" t="s">
        <v>188</v>
      </c>
      <c r="E1032">
        <v>603</v>
      </c>
      <c r="F1032" t="s">
        <v>18084</v>
      </c>
      <c r="G1032">
        <v>4</v>
      </c>
      <c r="H1032">
        <v>0</v>
      </c>
      <c r="I1032">
        <v>0</v>
      </c>
      <c r="J1032">
        <v>0</v>
      </c>
      <c r="K1032">
        <v>0</v>
      </c>
      <c r="L1032">
        <v>0</v>
      </c>
      <c r="M1032">
        <v>4</v>
      </c>
      <c r="N1032" t="s">
        <v>325</v>
      </c>
      <c r="O1032" t="s">
        <v>326</v>
      </c>
    </row>
    <row r="1033" spans="1:15" x14ac:dyDescent="0.3">
      <c r="A1033">
        <v>511</v>
      </c>
      <c r="B1033" t="s">
        <v>323</v>
      </c>
      <c r="C1033">
        <v>193</v>
      </c>
      <c r="D1033" t="s">
        <v>188</v>
      </c>
      <c r="E1033">
        <v>2133</v>
      </c>
      <c r="F1033" t="s">
        <v>18085</v>
      </c>
      <c r="G1033">
        <v>5</v>
      </c>
      <c r="H1033">
        <v>0</v>
      </c>
      <c r="I1033">
        <v>0</v>
      </c>
      <c r="J1033">
        <v>0</v>
      </c>
      <c r="K1033">
        <v>0</v>
      </c>
      <c r="L1033">
        <v>0</v>
      </c>
      <c r="M1033">
        <v>5</v>
      </c>
      <c r="N1033" t="s">
        <v>333</v>
      </c>
      <c r="O1033" t="s">
        <v>326</v>
      </c>
    </row>
    <row r="1034" spans="1:15" x14ac:dyDescent="0.3">
      <c r="A1034">
        <v>511</v>
      </c>
      <c r="B1034" t="s">
        <v>323</v>
      </c>
      <c r="C1034">
        <v>193</v>
      </c>
      <c r="D1034" t="s">
        <v>188</v>
      </c>
      <c r="E1034">
        <v>2136</v>
      </c>
      <c r="F1034" t="s">
        <v>18086</v>
      </c>
      <c r="G1034">
        <v>5</v>
      </c>
      <c r="H1034">
        <v>0</v>
      </c>
      <c r="I1034">
        <v>0</v>
      </c>
      <c r="J1034">
        <v>0</v>
      </c>
      <c r="K1034">
        <v>0</v>
      </c>
      <c r="L1034">
        <v>0</v>
      </c>
      <c r="M1034">
        <v>5</v>
      </c>
      <c r="N1034" t="s">
        <v>333</v>
      </c>
      <c r="O1034" t="s">
        <v>326</v>
      </c>
    </row>
    <row r="1035" spans="1:15" x14ac:dyDescent="0.3">
      <c r="A1035">
        <v>511</v>
      </c>
      <c r="B1035" t="s">
        <v>323</v>
      </c>
      <c r="C1035">
        <v>193</v>
      </c>
      <c r="D1035" t="s">
        <v>188</v>
      </c>
      <c r="E1035">
        <v>2137</v>
      </c>
      <c r="F1035" t="s">
        <v>18087</v>
      </c>
      <c r="G1035">
        <v>3</v>
      </c>
      <c r="H1035">
        <v>0</v>
      </c>
      <c r="I1035">
        <v>0</v>
      </c>
      <c r="J1035">
        <v>0</v>
      </c>
      <c r="K1035">
        <v>0</v>
      </c>
      <c r="L1035">
        <v>0</v>
      </c>
      <c r="M1035">
        <v>3</v>
      </c>
      <c r="N1035" t="s">
        <v>333</v>
      </c>
      <c r="O1035" t="s">
        <v>326</v>
      </c>
    </row>
    <row r="1036" spans="1:15" x14ac:dyDescent="0.3">
      <c r="A1036">
        <v>514</v>
      </c>
      <c r="B1036" t="s">
        <v>323</v>
      </c>
      <c r="C1036">
        <v>196</v>
      </c>
      <c r="D1036" t="s">
        <v>195</v>
      </c>
      <c r="E1036">
        <v>1886</v>
      </c>
      <c r="F1036" t="s">
        <v>1545</v>
      </c>
      <c r="G1036">
        <v>5</v>
      </c>
      <c r="H1036">
        <v>0</v>
      </c>
      <c r="I1036">
        <v>1</v>
      </c>
      <c r="J1036">
        <v>4</v>
      </c>
      <c r="K1036">
        <v>0</v>
      </c>
      <c r="L1036">
        <v>0</v>
      </c>
      <c r="M1036">
        <v>0</v>
      </c>
      <c r="N1036" t="s">
        <v>410</v>
      </c>
      <c r="O1036" t="s">
        <v>329</v>
      </c>
    </row>
    <row r="1037" spans="1:15" x14ac:dyDescent="0.3">
      <c r="A1037">
        <v>515</v>
      </c>
      <c r="B1037" t="s">
        <v>323</v>
      </c>
      <c r="C1037">
        <v>197</v>
      </c>
      <c r="D1037" t="s">
        <v>197</v>
      </c>
      <c r="E1037">
        <v>1468</v>
      </c>
      <c r="F1037" t="s">
        <v>1045</v>
      </c>
      <c r="G1037">
        <v>5</v>
      </c>
      <c r="H1037">
        <v>0</v>
      </c>
      <c r="I1037">
        <v>0</v>
      </c>
      <c r="J1037">
        <v>0</v>
      </c>
      <c r="K1037">
        <v>0</v>
      </c>
      <c r="L1037">
        <v>0</v>
      </c>
      <c r="M1037">
        <v>5</v>
      </c>
      <c r="N1037" t="s">
        <v>325</v>
      </c>
      <c r="O1037" t="s">
        <v>336</v>
      </c>
    </row>
    <row r="1038" spans="1:15" x14ac:dyDescent="0.3">
      <c r="A1038">
        <v>516</v>
      </c>
      <c r="B1038" t="s">
        <v>323</v>
      </c>
      <c r="C1038">
        <v>198</v>
      </c>
      <c r="D1038" t="s">
        <v>200</v>
      </c>
      <c r="E1038">
        <v>1224</v>
      </c>
      <c r="F1038" t="s">
        <v>1046</v>
      </c>
      <c r="G1038">
        <v>15</v>
      </c>
      <c r="H1038">
        <v>0</v>
      </c>
      <c r="I1038">
        <v>0</v>
      </c>
      <c r="J1038">
        <v>0</v>
      </c>
      <c r="K1038">
        <v>0</v>
      </c>
      <c r="L1038">
        <v>0</v>
      </c>
      <c r="M1038">
        <v>15</v>
      </c>
      <c r="N1038" t="s">
        <v>325</v>
      </c>
      <c r="O1038" t="s">
        <v>336</v>
      </c>
    </row>
    <row r="1039" spans="1:15" x14ac:dyDescent="0.3">
      <c r="A1039">
        <v>516</v>
      </c>
      <c r="B1039" t="s">
        <v>323</v>
      </c>
      <c r="C1039">
        <v>198</v>
      </c>
      <c r="D1039" t="s">
        <v>200</v>
      </c>
      <c r="E1039">
        <v>1225</v>
      </c>
      <c r="F1039" t="s">
        <v>1047</v>
      </c>
      <c r="G1039">
        <v>2</v>
      </c>
      <c r="H1039">
        <v>0</v>
      </c>
      <c r="I1039">
        <v>0</v>
      </c>
      <c r="J1039">
        <v>0</v>
      </c>
      <c r="K1039">
        <v>0</v>
      </c>
      <c r="L1039">
        <v>0</v>
      </c>
      <c r="M1039">
        <v>2</v>
      </c>
      <c r="N1039" t="s">
        <v>333</v>
      </c>
      <c r="O1039" t="s">
        <v>336</v>
      </c>
    </row>
    <row r="1040" spans="1:15" x14ac:dyDescent="0.3">
      <c r="A1040">
        <v>516</v>
      </c>
      <c r="B1040" t="s">
        <v>323</v>
      </c>
      <c r="C1040">
        <v>198</v>
      </c>
      <c r="D1040" t="s">
        <v>200</v>
      </c>
      <c r="E1040">
        <v>1227</v>
      </c>
      <c r="F1040" t="s">
        <v>1049</v>
      </c>
      <c r="G1040">
        <v>2</v>
      </c>
      <c r="H1040">
        <v>0</v>
      </c>
      <c r="I1040">
        <v>0</v>
      </c>
      <c r="J1040">
        <v>0</v>
      </c>
      <c r="K1040">
        <v>0</v>
      </c>
      <c r="L1040">
        <v>0</v>
      </c>
      <c r="M1040">
        <v>2</v>
      </c>
      <c r="N1040" t="s">
        <v>333</v>
      </c>
      <c r="O1040" t="s">
        <v>336</v>
      </c>
    </row>
    <row r="1041" spans="1:15" x14ac:dyDescent="0.3">
      <c r="A1041">
        <v>516</v>
      </c>
      <c r="B1041" t="s">
        <v>323</v>
      </c>
      <c r="C1041">
        <v>198</v>
      </c>
      <c r="D1041" t="s">
        <v>200</v>
      </c>
      <c r="E1041">
        <v>1228</v>
      </c>
      <c r="F1041" t="s">
        <v>1050</v>
      </c>
      <c r="G1041">
        <v>2</v>
      </c>
      <c r="H1041">
        <v>0</v>
      </c>
      <c r="I1041">
        <v>0</v>
      </c>
      <c r="J1041">
        <v>0</v>
      </c>
      <c r="K1041">
        <v>0</v>
      </c>
      <c r="L1041">
        <v>0</v>
      </c>
      <c r="M1041">
        <v>2</v>
      </c>
      <c r="N1041" t="s">
        <v>325</v>
      </c>
      <c r="O1041" t="s">
        <v>336</v>
      </c>
    </row>
    <row r="1042" spans="1:15" x14ac:dyDescent="0.3">
      <c r="A1042">
        <v>516</v>
      </c>
      <c r="B1042" t="s">
        <v>323</v>
      </c>
      <c r="C1042">
        <v>198</v>
      </c>
      <c r="D1042" t="s">
        <v>200</v>
      </c>
      <c r="E1042">
        <v>1229</v>
      </c>
      <c r="F1042" t="s">
        <v>1051</v>
      </c>
      <c r="G1042">
        <v>2</v>
      </c>
      <c r="H1042">
        <v>0</v>
      </c>
      <c r="I1042">
        <v>0</v>
      </c>
      <c r="J1042">
        <v>0</v>
      </c>
      <c r="K1042">
        <v>0</v>
      </c>
      <c r="L1042">
        <v>0</v>
      </c>
      <c r="M1042">
        <v>2</v>
      </c>
      <c r="N1042" t="s">
        <v>333</v>
      </c>
      <c r="O1042" t="s">
        <v>336</v>
      </c>
    </row>
    <row r="1043" spans="1:15" x14ac:dyDescent="0.3">
      <c r="A1043">
        <v>516</v>
      </c>
      <c r="B1043" t="s">
        <v>323</v>
      </c>
      <c r="C1043">
        <v>198</v>
      </c>
      <c r="D1043" t="s">
        <v>200</v>
      </c>
      <c r="E1043">
        <v>1231</v>
      </c>
      <c r="F1043" t="s">
        <v>1053</v>
      </c>
      <c r="G1043">
        <v>2</v>
      </c>
      <c r="H1043">
        <v>0</v>
      </c>
      <c r="I1043">
        <v>0</v>
      </c>
      <c r="J1043">
        <v>0</v>
      </c>
      <c r="K1043">
        <v>0</v>
      </c>
      <c r="L1043">
        <v>0</v>
      </c>
      <c r="M1043">
        <v>2</v>
      </c>
      <c r="N1043" t="s">
        <v>325</v>
      </c>
      <c r="O1043" t="s">
        <v>336</v>
      </c>
    </row>
    <row r="1044" spans="1:15" x14ac:dyDescent="0.3">
      <c r="A1044">
        <v>516</v>
      </c>
      <c r="B1044" t="s">
        <v>323</v>
      </c>
      <c r="C1044">
        <v>198</v>
      </c>
      <c r="D1044" t="s">
        <v>200</v>
      </c>
      <c r="E1044">
        <v>1232</v>
      </c>
      <c r="F1044" t="s">
        <v>1054</v>
      </c>
      <c r="G1044">
        <v>6</v>
      </c>
      <c r="H1044">
        <v>0</v>
      </c>
      <c r="I1044">
        <v>0</v>
      </c>
      <c r="J1044">
        <v>0</v>
      </c>
      <c r="K1044">
        <v>0</v>
      </c>
      <c r="L1044">
        <v>0</v>
      </c>
      <c r="M1044">
        <v>6</v>
      </c>
      <c r="N1044" t="s">
        <v>325</v>
      </c>
      <c r="O1044" t="s">
        <v>336</v>
      </c>
    </row>
    <row r="1045" spans="1:15" x14ac:dyDescent="0.3">
      <c r="A1045">
        <v>516</v>
      </c>
      <c r="B1045" t="s">
        <v>323</v>
      </c>
      <c r="C1045">
        <v>198</v>
      </c>
      <c r="D1045" t="s">
        <v>200</v>
      </c>
      <c r="E1045">
        <v>1558</v>
      </c>
      <c r="F1045" t="s">
        <v>1056</v>
      </c>
      <c r="G1045">
        <v>2</v>
      </c>
      <c r="H1045">
        <v>0</v>
      </c>
      <c r="I1045">
        <v>0</v>
      </c>
      <c r="J1045">
        <v>0</v>
      </c>
      <c r="K1045">
        <v>0</v>
      </c>
      <c r="L1045">
        <v>0</v>
      </c>
      <c r="M1045">
        <v>2</v>
      </c>
      <c r="N1045" t="s">
        <v>333</v>
      </c>
      <c r="O1045" t="s">
        <v>336</v>
      </c>
    </row>
    <row r="1046" spans="1:15" x14ac:dyDescent="0.3">
      <c r="A1046">
        <v>516</v>
      </c>
      <c r="B1046" t="s">
        <v>323</v>
      </c>
      <c r="C1046">
        <v>198</v>
      </c>
      <c r="D1046" t="s">
        <v>200</v>
      </c>
      <c r="E1046">
        <v>2138</v>
      </c>
      <c r="F1046" t="s">
        <v>18088</v>
      </c>
      <c r="G1046">
        <v>2</v>
      </c>
      <c r="H1046">
        <v>0</v>
      </c>
      <c r="I1046">
        <v>0</v>
      </c>
      <c r="J1046">
        <v>0</v>
      </c>
      <c r="K1046">
        <v>0</v>
      </c>
      <c r="L1046">
        <v>0</v>
      </c>
      <c r="M1046">
        <v>2</v>
      </c>
      <c r="N1046" t="s">
        <v>333</v>
      </c>
      <c r="O1046" t="s">
        <v>336</v>
      </c>
    </row>
    <row r="1047" spans="1:15" x14ac:dyDescent="0.3">
      <c r="A1047">
        <v>518</v>
      </c>
      <c r="B1047" t="s">
        <v>323</v>
      </c>
      <c r="C1047">
        <v>200</v>
      </c>
      <c r="D1047" t="s">
        <v>204</v>
      </c>
      <c r="E1047">
        <v>2107</v>
      </c>
      <c r="F1047" t="s">
        <v>393</v>
      </c>
      <c r="G1047">
        <v>3</v>
      </c>
      <c r="H1047">
        <v>0</v>
      </c>
      <c r="I1047">
        <v>0</v>
      </c>
      <c r="J1047">
        <v>0</v>
      </c>
      <c r="K1047">
        <v>0</v>
      </c>
      <c r="L1047">
        <v>3</v>
      </c>
      <c r="M1047">
        <v>0</v>
      </c>
      <c r="N1047" t="s">
        <v>333</v>
      </c>
      <c r="O1047" t="s">
        <v>326</v>
      </c>
    </row>
    <row r="1048" spans="1:15" x14ac:dyDescent="0.3">
      <c r="A1048">
        <v>522</v>
      </c>
      <c r="B1048" t="s">
        <v>323</v>
      </c>
      <c r="C1048">
        <v>204</v>
      </c>
      <c r="D1048" t="s">
        <v>212</v>
      </c>
      <c r="E1048">
        <v>314</v>
      </c>
      <c r="F1048" t="s">
        <v>1061</v>
      </c>
      <c r="G1048">
        <v>7</v>
      </c>
      <c r="H1048">
        <v>1</v>
      </c>
      <c r="I1048">
        <v>1</v>
      </c>
      <c r="J1048">
        <v>3</v>
      </c>
      <c r="K1048">
        <v>2</v>
      </c>
      <c r="L1048">
        <v>0</v>
      </c>
      <c r="M1048">
        <v>0</v>
      </c>
      <c r="N1048" t="s">
        <v>325</v>
      </c>
      <c r="O1048" t="s">
        <v>336</v>
      </c>
    </row>
    <row r="1049" spans="1:15" x14ac:dyDescent="0.3">
      <c r="A1049">
        <v>522</v>
      </c>
      <c r="B1049" t="s">
        <v>323</v>
      </c>
      <c r="C1049">
        <v>204</v>
      </c>
      <c r="D1049" t="s">
        <v>212</v>
      </c>
      <c r="E1049">
        <v>315</v>
      </c>
      <c r="F1049" t="s">
        <v>1062</v>
      </c>
      <c r="G1049">
        <v>5</v>
      </c>
      <c r="H1049">
        <v>0</v>
      </c>
      <c r="I1049">
        <v>0</v>
      </c>
      <c r="J1049">
        <v>0</v>
      </c>
      <c r="K1049">
        <v>1</v>
      </c>
      <c r="L1049">
        <v>0</v>
      </c>
      <c r="M1049">
        <v>4</v>
      </c>
      <c r="N1049" t="s">
        <v>325</v>
      </c>
      <c r="O1049" t="s">
        <v>326</v>
      </c>
    </row>
    <row r="1050" spans="1:15" x14ac:dyDescent="0.3">
      <c r="A1050">
        <v>522</v>
      </c>
      <c r="B1050" t="s">
        <v>323</v>
      </c>
      <c r="C1050">
        <v>204</v>
      </c>
      <c r="D1050" t="s">
        <v>212</v>
      </c>
      <c r="E1050">
        <v>316</v>
      </c>
      <c r="F1050" t="s">
        <v>1063</v>
      </c>
      <c r="G1050">
        <v>3</v>
      </c>
      <c r="H1050">
        <v>0</v>
      </c>
      <c r="I1050">
        <v>1</v>
      </c>
      <c r="J1050">
        <v>0</v>
      </c>
      <c r="K1050">
        <v>2</v>
      </c>
      <c r="L1050">
        <v>0</v>
      </c>
      <c r="M1050">
        <v>0</v>
      </c>
      <c r="N1050" t="s">
        <v>325</v>
      </c>
      <c r="O1050" t="s">
        <v>343</v>
      </c>
    </row>
    <row r="1051" spans="1:15" x14ac:dyDescent="0.3">
      <c r="A1051">
        <v>522</v>
      </c>
      <c r="B1051" t="s">
        <v>323</v>
      </c>
      <c r="C1051">
        <v>204</v>
      </c>
      <c r="D1051" t="s">
        <v>212</v>
      </c>
      <c r="E1051">
        <v>317</v>
      </c>
      <c r="F1051" t="s">
        <v>1064</v>
      </c>
      <c r="G1051">
        <v>3</v>
      </c>
      <c r="H1051">
        <v>0</v>
      </c>
      <c r="I1051">
        <v>0</v>
      </c>
      <c r="J1051">
        <v>0</v>
      </c>
      <c r="K1051">
        <v>0</v>
      </c>
      <c r="L1051">
        <v>1</v>
      </c>
      <c r="M1051">
        <v>2</v>
      </c>
      <c r="N1051" t="s">
        <v>333</v>
      </c>
      <c r="O1051" t="s">
        <v>326</v>
      </c>
    </row>
    <row r="1052" spans="1:15" x14ac:dyDescent="0.3">
      <c r="A1052">
        <v>522</v>
      </c>
      <c r="B1052" t="s">
        <v>323</v>
      </c>
      <c r="C1052">
        <v>204</v>
      </c>
      <c r="D1052" t="s">
        <v>212</v>
      </c>
      <c r="E1052">
        <v>318</v>
      </c>
      <c r="F1052" t="s">
        <v>1065</v>
      </c>
      <c r="G1052">
        <v>2</v>
      </c>
      <c r="H1052">
        <v>0</v>
      </c>
      <c r="I1052">
        <v>0</v>
      </c>
      <c r="J1052">
        <v>2</v>
      </c>
      <c r="K1052">
        <v>0</v>
      </c>
      <c r="L1052">
        <v>0</v>
      </c>
      <c r="M1052">
        <v>0</v>
      </c>
      <c r="N1052" t="s">
        <v>410</v>
      </c>
      <c r="O1052" t="s">
        <v>348</v>
      </c>
    </row>
    <row r="1053" spans="1:15" x14ac:dyDescent="0.3">
      <c r="A1053">
        <v>522</v>
      </c>
      <c r="B1053" t="s">
        <v>323</v>
      </c>
      <c r="C1053">
        <v>204</v>
      </c>
      <c r="D1053" t="s">
        <v>212</v>
      </c>
      <c r="E1053">
        <v>319</v>
      </c>
      <c r="F1053" t="s">
        <v>531</v>
      </c>
      <c r="G1053">
        <v>5</v>
      </c>
      <c r="H1053">
        <v>0</v>
      </c>
      <c r="I1053">
        <v>0</v>
      </c>
      <c r="J1053">
        <v>0</v>
      </c>
      <c r="K1053">
        <v>0</v>
      </c>
      <c r="L1053">
        <v>1</v>
      </c>
      <c r="M1053">
        <v>4</v>
      </c>
      <c r="N1053" t="s">
        <v>333</v>
      </c>
      <c r="O1053" t="s">
        <v>326</v>
      </c>
    </row>
    <row r="1054" spans="1:15" x14ac:dyDescent="0.3">
      <c r="A1054">
        <v>522</v>
      </c>
      <c r="B1054" t="s">
        <v>323</v>
      </c>
      <c r="C1054">
        <v>204</v>
      </c>
      <c r="D1054" t="s">
        <v>212</v>
      </c>
      <c r="E1054">
        <v>320</v>
      </c>
      <c r="F1054" t="s">
        <v>322</v>
      </c>
      <c r="G1054">
        <v>3</v>
      </c>
      <c r="H1054">
        <v>0</v>
      </c>
      <c r="I1054">
        <v>0</v>
      </c>
      <c r="J1054">
        <v>2</v>
      </c>
      <c r="K1054">
        <v>0</v>
      </c>
      <c r="L1054">
        <v>1</v>
      </c>
      <c r="M1054">
        <v>0</v>
      </c>
      <c r="N1054" t="s">
        <v>325</v>
      </c>
      <c r="O1054" t="s">
        <v>326</v>
      </c>
    </row>
    <row r="1055" spans="1:15" x14ac:dyDescent="0.3">
      <c r="A1055">
        <v>522</v>
      </c>
      <c r="B1055" t="s">
        <v>323</v>
      </c>
      <c r="C1055">
        <v>204</v>
      </c>
      <c r="D1055" t="s">
        <v>212</v>
      </c>
      <c r="E1055">
        <v>961</v>
      </c>
      <c r="F1055" t="s">
        <v>393</v>
      </c>
      <c r="G1055">
        <v>3</v>
      </c>
      <c r="H1055">
        <v>0</v>
      </c>
      <c r="I1055">
        <v>0</v>
      </c>
      <c r="J1055">
        <v>2</v>
      </c>
      <c r="K1055">
        <v>1</v>
      </c>
      <c r="L1055">
        <v>0</v>
      </c>
      <c r="M1055">
        <v>0</v>
      </c>
      <c r="N1055" t="s">
        <v>566</v>
      </c>
      <c r="O1055" t="s">
        <v>326</v>
      </c>
    </row>
    <row r="1056" spans="1:15" x14ac:dyDescent="0.3">
      <c r="A1056">
        <v>522</v>
      </c>
      <c r="B1056" t="s">
        <v>323</v>
      </c>
      <c r="C1056">
        <v>204</v>
      </c>
      <c r="D1056" t="s">
        <v>212</v>
      </c>
      <c r="E1056">
        <v>1475</v>
      </c>
      <c r="F1056" t="s">
        <v>1067</v>
      </c>
      <c r="G1056">
        <v>0</v>
      </c>
      <c r="H1056">
        <v>0</v>
      </c>
      <c r="I1056">
        <v>0</v>
      </c>
      <c r="J1056">
        <v>0</v>
      </c>
      <c r="K1056">
        <v>0</v>
      </c>
      <c r="L1056">
        <v>0</v>
      </c>
      <c r="M1056">
        <v>0</v>
      </c>
      <c r="N1056" t="s">
        <v>333</v>
      </c>
      <c r="O1056" t="s">
        <v>336</v>
      </c>
    </row>
    <row r="1057" spans="1:15" x14ac:dyDescent="0.3">
      <c r="A1057">
        <v>522</v>
      </c>
      <c r="B1057" t="s">
        <v>323</v>
      </c>
      <c r="C1057">
        <v>204</v>
      </c>
      <c r="D1057" t="s">
        <v>212</v>
      </c>
      <c r="E1057">
        <v>1477</v>
      </c>
      <c r="F1057" t="s">
        <v>1069</v>
      </c>
      <c r="G1057">
        <v>5</v>
      </c>
      <c r="H1057">
        <v>0</v>
      </c>
      <c r="I1057">
        <v>0</v>
      </c>
      <c r="J1057">
        <v>0</v>
      </c>
      <c r="K1057">
        <v>0</v>
      </c>
      <c r="L1057">
        <v>0</v>
      </c>
      <c r="M1057">
        <v>5</v>
      </c>
      <c r="N1057" t="s">
        <v>325</v>
      </c>
      <c r="O1057" t="s">
        <v>343</v>
      </c>
    </row>
    <row r="1058" spans="1:15" x14ac:dyDescent="0.3">
      <c r="A1058">
        <v>522</v>
      </c>
      <c r="B1058" t="s">
        <v>323</v>
      </c>
      <c r="C1058">
        <v>204</v>
      </c>
      <c r="D1058" t="s">
        <v>212</v>
      </c>
      <c r="E1058">
        <v>1919</v>
      </c>
      <c r="F1058" t="s">
        <v>1548</v>
      </c>
      <c r="G1058">
        <v>14</v>
      </c>
      <c r="H1058">
        <v>0</v>
      </c>
      <c r="I1058">
        <v>2</v>
      </c>
      <c r="J1058">
        <v>2</v>
      </c>
      <c r="K1058">
        <v>4</v>
      </c>
      <c r="L1058">
        <v>2</v>
      </c>
      <c r="M1058">
        <v>4</v>
      </c>
      <c r="N1058" t="s">
        <v>410</v>
      </c>
      <c r="O1058" t="s">
        <v>326</v>
      </c>
    </row>
    <row r="1059" spans="1:15" x14ac:dyDescent="0.3">
      <c r="A1059">
        <v>522</v>
      </c>
      <c r="B1059" t="s">
        <v>323</v>
      </c>
      <c r="C1059">
        <v>204</v>
      </c>
      <c r="D1059" t="s">
        <v>212</v>
      </c>
      <c r="E1059">
        <v>2122</v>
      </c>
      <c r="F1059" t="s">
        <v>18089</v>
      </c>
      <c r="G1059">
        <v>5</v>
      </c>
      <c r="H1059">
        <v>0</v>
      </c>
      <c r="I1059">
        <v>0</v>
      </c>
      <c r="J1059">
        <v>1</v>
      </c>
      <c r="K1059">
        <v>0</v>
      </c>
      <c r="L1059">
        <v>2</v>
      </c>
      <c r="M1059">
        <v>2</v>
      </c>
      <c r="N1059" t="s">
        <v>410</v>
      </c>
      <c r="O1059" t="s">
        <v>326</v>
      </c>
    </row>
    <row r="1060" spans="1:15" x14ac:dyDescent="0.3">
      <c r="A1060">
        <v>522</v>
      </c>
      <c r="B1060" t="s">
        <v>323</v>
      </c>
      <c r="C1060">
        <v>204</v>
      </c>
      <c r="D1060" t="s">
        <v>212</v>
      </c>
      <c r="E1060">
        <v>2123</v>
      </c>
      <c r="F1060" t="s">
        <v>18090</v>
      </c>
      <c r="G1060">
        <v>5</v>
      </c>
      <c r="H1060">
        <v>0</v>
      </c>
      <c r="I1060">
        <v>1</v>
      </c>
      <c r="J1060">
        <v>2</v>
      </c>
      <c r="K1060">
        <v>0</v>
      </c>
      <c r="L1060">
        <v>2</v>
      </c>
      <c r="M1060">
        <v>0</v>
      </c>
      <c r="N1060" t="s">
        <v>333</v>
      </c>
      <c r="O1060" t="s">
        <v>326</v>
      </c>
    </row>
    <row r="1061" spans="1:15" x14ac:dyDescent="0.3">
      <c r="A1061">
        <v>522</v>
      </c>
      <c r="B1061" t="s">
        <v>323</v>
      </c>
      <c r="C1061">
        <v>204</v>
      </c>
      <c r="D1061" t="s">
        <v>212</v>
      </c>
      <c r="E1061">
        <v>2124</v>
      </c>
      <c r="F1061" t="s">
        <v>660</v>
      </c>
      <c r="G1061">
        <v>5</v>
      </c>
      <c r="H1061">
        <v>0</v>
      </c>
      <c r="I1061">
        <v>1</v>
      </c>
      <c r="J1061">
        <v>2</v>
      </c>
      <c r="K1061">
        <v>0</v>
      </c>
      <c r="L1061">
        <v>0</v>
      </c>
      <c r="M1061">
        <v>2</v>
      </c>
      <c r="N1061" t="s">
        <v>325</v>
      </c>
      <c r="O1061" t="s">
        <v>326</v>
      </c>
    </row>
    <row r="1062" spans="1:15" x14ac:dyDescent="0.3">
      <c r="A1062">
        <v>523</v>
      </c>
      <c r="B1062" t="s">
        <v>323</v>
      </c>
      <c r="C1062">
        <v>206</v>
      </c>
      <c r="D1062" t="s">
        <v>214</v>
      </c>
      <c r="E1062">
        <v>347</v>
      </c>
      <c r="F1062" t="s">
        <v>1071</v>
      </c>
      <c r="G1062">
        <v>7</v>
      </c>
      <c r="H1062">
        <v>0</v>
      </c>
      <c r="I1062">
        <v>1</v>
      </c>
      <c r="J1062">
        <v>6</v>
      </c>
      <c r="K1062">
        <v>0</v>
      </c>
      <c r="L1062">
        <v>0</v>
      </c>
      <c r="M1062">
        <v>0</v>
      </c>
      <c r="N1062" t="s">
        <v>325</v>
      </c>
      <c r="O1062" t="s">
        <v>348</v>
      </c>
    </row>
    <row r="1063" spans="1:15" x14ac:dyDescent="0.3">
      <c r="A1063">
        <v>523</v>
      </c>
      <c r="B1063" t="s">
        <v>323</v>
      </c>
      <c r="C1063">
        <v>206</v>
      </c>
      <c r="D1063" t="s">
        <v>214</v>
      </c>
      <c r="E1063">
        <v>348</v>
      </c>
      <c r="F1063" t="s">
        <v>349</v>
      </c>
      <c r="G1063">
        <v>4</v>
      </c>
      <c r="H1063">
        <v>0</v>
      </c>
      <c r="I1063">
        <v>0</v>
      </c>
      <c r="J1063">
        <v>4</v>
      </c>
      <c r="K1063">
        <v>0</v>
      </c>
      <c r="L1063">
        <v>0</v>
      </c>
      <c r="M1063">
        <v>0</v>
      </c>
      <c r="N1063" t="s">
        <v>410</v>
      </c>
      <c r="O1063" t="s">
        <v>336</v>
      </c>
    </row>
    <row r="1064" spans="1:15" x14ac:dyDescent="0.3">
      <c r="A1064">
        <v>523</v>
      </c>
      <c r="B1064" t="s">
        <v>323</v>
      </c>
      <c r="C1064">
        <v>206</v>
      </c>
      <c r="D1064" t="s">
        <v>214</v>
      </c>
      <c r="E1064">
        <v>2114</v>
      </c>
      <c r="F1064" t="s">
        <v>18091</v>
      </c>
      <c r="G1064">
        <v>6</v>
      </c>
      <c r="H1064">
        <v>0</v>
      </c>
      <c r="I1064">
        <v>1</v>
      </c>
      <c r="J1064">
        <v>2</v>
      </c>
      <c r="K1064">
        <v>2</v>
      </c>
      <c r="L1064">
        <v>1</v>
      </c>
      <c r="M1064">
        <v>0</v>
      </c>
      <c r="N1064" t="s">
        <v>325</v>
      </c>
      <c r="O1064" t="s">
        <v>343</v>
      </c>
    </row>
    <row r="1065" spans="1:15" x14ac:dyDescent="0.3">
      <c r="A1065">
        <v>525</v>
      </c>
      <c r="B1065" t="s">
        <v>313</v>
      </c>
      <c r="C1065">
        <v>209</v>
      </c>
      <c r="D1065" t="s">
        <v>220</v>
      </c>
      <c r="E1065">
        <v>1780</v>
      </c>
      <c r="F1065" t="s">
        <v>393</v>
      </c>
      <c r="G1065">
        <v>0</v>
      </c>
      <c r="H1065">
        <v>0</v>
      </c>
      <c r="I1065">
        <v>0</v>
      </c>
      <c r="J1065">
        <v>5</v>
      </c>
      <c r="K1065">
        <v>1</v>
      </c>
      <c r="L1065">
        <v>0</v>
      </c>
      <c r="M1065">
        <v>0</v>
      </c>
      <c r="N1065" t="s">
        <v>566</v>
      </c>
      <c r="O1065" t="s">
        <v>336</v>
      </c>
    </row>
    <row r="1066" spans="1:15" x14ac:dyDescent="0.3">
      <c r="A1066">
        <v>526</v>
      </c>
      <c r="B1066" t="s">
        <v>323</v>
      </c>
      <c r="C1066">
        <v>210</v>
      </c>
      <c r="D1066" t="s">
        <v>222</v>
      </c>
      <c r="E1066">
        <v>942</v>
      </c>
      <c r="F1066" t="s">
        <v>18092</v>
      </c>
      <c r="G1066">
        <v>7</v>
      </c>
      <c r="H1066">
        <v>0</v>
      </c>
      <c r="I1066">
        <v>2</v>
      </c>
      <c r="J1066">
        <v>2</v>
      </c>
      <c r="K1066">
        <v>2</v>
      </c>
      <c r="L1066">
        <v>1</v>
      </c>
      <c r="M1066">
        <v>0</v>
      </c>
      <c r="N1066" t="s">
        <v>325</v>
      </c>
      <c r="O1066" t="s">
        <v>484</v>
      </c>
    </row>
    <row r="1067" spans="1:15" x14ac:dyDescent="0.3">
      <c r="A1067">
        <v>526</v>
      </c>
      <c r="B1067" t="s">
        <v>323</v>
      </c>
      <c r="C1067">
        <v>210</v>
      </c>
      <c r="D1067" t="s">
        <v>222</v>
      </c>
      <c r="E1067">
        <v>943</v>
      </c>
      <c r="F1067" t="s">
        <v>18093</v>
      </c>
      <c r="G1067">
        <v>3</v>
      </c>
      <c r="H1067">
        <v>0</v>
      </c>
      <c r="I1067">
        <v>1</v>
      </c>
      <c r="J1067">
        <v>2</v>
      </c>
      <c r="K1067">
        <v>0</v>
      </c>
      <c r="L1067">
        <v>0</v>
      </c>
      <c r="M1067">
        <v>0</v>
      </c>
      <c r="N1067" t="s">
        <v>325</v>
      </c>
      <c r="O1067" t="s">
        <v>484</v>
      </c>
    </row>
    <row r="1068" spans="1:15" x14ac:dyDescent="0.3">
      <c r="A1068">
        <v>526</v>
      </c>
      <c r="B1068" t="s">
        <v>323</v>
      </c>
      <c r="C1068">
        <v>210</v>
      </c>
      <c r="D1068" t="s">
        <v>222</v>
      </c>
      <c r="E1068">
        <v>944</v>
      </c>
      <c r="F1068" t="s">
        <v>315</v>
      </c>
      <c r="G1068">
        <v>5</v>
      </c>
      <c r="H1068">
        <v>0</v>
      </c>
      <c r="I1068">
        <v>1</v>
      </c>
      <c r="J1068">
        <v>2</v>
      </c>
      <c r="K1068">
        <v>2</v>
      </c>
      <c r="L1068">
        <v>0</v>
      </c>
      <c r="M1068">
        <v>0</v>
      </c>
      <c r="N1068" t="s">
        <v>333</v>
      </c>
      <c r="O1068" t="s">
        <v>336</v>
      </c>
    </row>
    <row r="1069" spans="1:15" x14ac:dyDescent="0.3">
      <c r="A1069">
        <v>526</v>
      </c>
      <c r="B1069" t="s">
        <v>323</v>
      </c>
      <c r="C1069">
        <v>210</v>
      </c>
      <c r="D1069" t="s">
        <v>222</v>
      </c>
      <c r="E1069">
        <v>948</v>
      </c>
      <c r="F1069" t="s">
        <v>531</v>
      </c>
      <c r="G1069">
        <v>4</v>
      </c>
      <c r="H1069">
        <v>0</v>
      </c>
      <c r="I1069">
        <v>0</v>
      </c>
      <c r="J1069">
        <v>0</v>
      </c>
      <c r="K1069">
        <v>0</v>
      </c>
      <c r="L1069">
        <v>2</v>
      </c>
      <c r="M1069">
        <v>2</v>
      </c>
      <c r="N1069" t="s">
        <v>333</v>
      </c>
      <c r="O1069" t="s">
        <v>336</v>
      </c>
    </row>
    <row r="1070" spans="1:15" x14ac:dyDescent="0.3">
      <c r="A1070">
        <v>526</v>
      </c>
      <c r="B1070" t="s">
        <v>323</v>
      </c>
      <c r="C1070">
        <v>210</v>
      </c>
      <c r="D1070" t="s">
        <v>222</v>
      </c>
      <c r="E1070">
        <v>949</v>
      </c>
      <c r="F1070" t="s">
        <v>393</v>
      </c>
      <c r="G1070">
        <v>5</v>
      </c>
      <c r="H1070">
        <v>0</v>
      </c>
      <c r="I1070">
        <v>1</v>
      </c>
      <c r="J1070">
        <v>3</v>
      </c>
      <c r="K1070">
        <v>0</v>
      </c>
      <c r="L1070">
        <v>1</v>
      </c>
      <c r="M1070">
        <v>0</v>
      </c>
      <c r="N1070" t="s">
        <v>410</v>
      </c>
      <c r="O1070" t="s">
        <v>336</v>
      </c>
    </row>
    <row r="1071" spans="1:15" x14ac:dyDescent="0.3">
      <c r="A1071">
        <v>527</v>
      </c>
      <c r="B1071" t="s">
        <v>323</v>
      </c>
      <c r="C1071">
        <v>212</v>
      </c>
      <c r="D1071" t="s">
        <v>226</v>
      </c>
      <c r="E1071">
        <v>1505</v>
      </c>
      <c r="F1071" t="s">
        <v>1077</v>
      </c>
      <c r="G1071">
        <v>9</v>
      </c>
      <c r="H1071">
        <v>0</v>
      </c>
      <c r="I1071">
        <v>2</v>
      </c>
      <c r="J1071">
        <v>2</v>
      </c>
      <c r="K1071">
        <v>4</v>
      </c>
      <c r="L1071">
        <v>1</v>
      </c>
      <c r="M1071">
        <v>0</v>
      </c>
      <c r="N1071" t="s">
        <v>416</v>
      </c>
      <c r="O1071" t="s">
        <v>336</v>
      </c>
    </row>
    <row r="1072" spans="1:15" x14ac:dyDescent="0.3">
      <c r="A1072">
        <v>528</v>
      </c>
      <c r="B1072" t="s">
        <v>323</v>
      </c>
      <c r="C1072">
        <v>213</v>
      </c>
      <c r="D1072" t="s">
        <v>228</v>
      </c>
      <c r="E1072">
        <v>2162</v>
      </c>
      <c r="F1072" t="s">
        <v>18094</v>
      </c>
      <c r="G1072">
        <v>2</v>
      </c>
      <c r="H1072">
        <v>0</v>
      </c>
      <c r="I1072">
        <v>0</v>
      </c>
      <c r="J1072">
        <v>0</v>
      </c>
      <c r="K1072">
        <v>0</v>
      </c>
      <c r="L1072">
        <v>0</v>
      </c>
      <c r="M1072">
        <v>2</v>
      </c>
      <c r="N1072" t="s">
        <v>333</v>
      </c>
      <c r="O1072" t="s">
        <v>336</v>
      </c>
    </row>
    <row r="1073" spans="1:15" x14ac:dyDescent="0.3">
      <c r="A1073">
        <v>528</v>
      </c>
      <c r="B1073" t="s">
        <v>323</v>
      </c>
      <c r="C1073">
        <v>213</v>
      </c>
      <c r="D1073" t="s">
        <v>228</v>
      </c>
      <c r="E1073">
        <v>2164</v>
      </c>
      <c r="F1073" t="s">
        <v>18095</v>
      </c>
      <c r="G1073">
        <v>2</v>
      </c>
      <c r="H1073">
        <v>0</v>
      </c>
      <c r="I1073">
        <v>0</v>
      </c>
      <c r="J1073">
        <v>0</v>
      </c>
      <c r="K1073">
        <v>0</v>
      </c>
      <c r="L1073">
        <v>0</v>
      </c>
      <c r="M1073">
        <v>2</v>
      </c>
      <c r="N1073" t="s">
        <v>333</v>
      </c>
      <c r="O1073" t="s">
        <v>336</v>
      </c>
    </row>
    <row r="1074" spans="1:15" x14ac:dyDescent="0.3">
      <c r="A1074">
        <v>528</v>
      </c>
      <c r="B1074" t="s">
        <v>323</v>
      </c>
      <c r="C1074">
        <v>213</v>
      </c>
      <c r="D1074" t="s">
        <v>228</v>
      </c>
      <c r="E1074">
        <v>2165</v>
      </c>
      <c r="F1074" t="s">
        <v>393</v>
      </c>
      <c r="G1074">
        <v>7</v>
      </c>
      <c r="H1074">
        <v>2</v>
      </c>
      <c r="I1074">
        <v>2</v>
      </c>
      <c r="J1074">
        <v>3</v>
      </c>
      <c r="K1074">
        <v>0</v>
      </c>
      <c r="L1074">
        <v>0</v>
      </c>
      <c r="M1074">
        <v>0</v>
      </c>
      <c r="N1074" t="s">
        <v>333</v>
      </c>
      <c r="O1074" t="s">
        <v>336</v>
      </c>
    </row>
    <row r="1075" spans="1:15" x14ac:dyDescent="0.3">
      <c r="A1075">
        <v>528</v>
      </c>
      <c r="B1075" t="s">
        <v>323</v>
      </c>
      <c r="C1075">
        <v>213</v>
      </c>
      <c r="D1075" t="s">
        <v>228</v>
      </c>
      <c r="E1075">
        <v>2166</v>
      </c>
      <c r="F1075" t="s">
        <v>18096</v>
      </c>
      <c r="G1075">
        <v>2</v>
      </c>
      <c r="H1075">
        <v>0</v>
      </c>
      <c r="I1075">
        <v>0</v>
      </c>
      <c r="J1075">
        <v>0</v>
      </c>
      <c r="K1075">
        <v>0</v>
      </c>
      <c r="L1075">
        <v>0</v>
      </c>
      <c r="M1075">
        <v>2</v>
      </c>
      <c r="N1075" t="s">
        <v>333</v>
      </c>
      <c r="O1075" t="s">
        <v>336</v>
      </c>
    </row>
    <row r="1076" spans="1:15" x14ac:dyDescent="0.3">
      <c r="A1076">
        <v>528</v>
      </c>
      <c r="B1076" t="s">
        <v>323</v>
      </c>
      <c r="C1076">
        <v>213</v>
      </c>
      <c r="D1076" t="s">
        <v>228</v>
      </c>
      <c r="E1076">
        <v>2167</v>
      </c>
      <c r="F1076" t="s">
        <v>18097</v>
      </c>
      <c r="G1076">
        <v>5</v>
      </c>
      <c r="H1076">
        <v>0</v>
      </c>
      <c r="I1076">
        <v>0</v>
      </c>
      <c r="J1076">
        <v>0</v>
      </c>
      <c r="K1076">
        <v>0</v>
      </c>
      <c r="L1076">
        <v>0</v>
      </c>
      <c r="M1076">
        <v>5</v>
      </c>
      <c r="N1076" t="s">
        <v>333</v>
      </c>
      <c r="O1076" t="s">
        <v>326</v>
      </c>
    </row>
    <row r="1077" spans="1:15" x14ac:dyDescent="0.3">
      <c r="A1077">
        <v>530</v>
      </c>
      <c r="B1077" t="s">
        <v>323</v>
      </c>
      <c r="C1077">
        <v>215</v>
      </c>
      <c r="D1077" t="s">
        <v>232</v>
      </c>
      <c r="E1077">
        <v>973</v>
      </c>
      <c r="F1077" t="s">
        <v>393</v>
      </c>
      <c r="G1077">
        <v>6</v>
      </c>
      <c r="H1077">
        <v>0</v>
      </c>
      <c r="I1077">
        <v>4</v>
      </c>
      <c r="J1077">
        <v>1</v>
      </c>
      <c r="K1077">
        <v>1</v>
      </c>
      <c r="L1077">
        <v>0</v>
      </c>
      <c r="M1077">
        <v>0</v>
      </c>
      <c r="N1077" t="s">
        <v>416</v>
      </c>
      <c r="O1077" t="s">
        <v>336</v>
      </c>
    </row>
    <row r="1078" spans="1:15" x14ac:dyDescent="0.3">
      <c r="A1078">
        <v>530</v>
      </c>
      <c r="B1078" t="s">
        <v>323</v>
      </c>
      <c r="C1078">
        <v>215</v>
      </c>
      <c r="D1078" t="s">
        <v>232</v>
      </c>
      <c r="E1078">
        <v>2087</v>
      </c>
      <c r="F1078" t="s">
        <v>18098</v>
      </c>
      <c r="G1078">
        <v>2</v>
      </c>
      <c r="H1078">
        <v>0</v>
      </c>
      <c r="I1078">
        <v>0</v>
      </c>
      <c r="J1078">
        <v>0</v>
      </c>
      <c r="K1078">
        <v>0</v>
      </c>
      <c r="L1078">
        <v>2</v>
      </c>
      <c r="M1078">
        <v>0</v>
      </c>
      <c r="N1078" t="s">
        <v>333</v>
      </c>
      <c r="O1078" t="s">
        <v>336</v>
      </c>
    </row>
    <row r="1079" spans="1:15" x14ac:dyDescent="0.3">
      <c r="A1079">
        <v>532</v>
      </c>
      <c r="B1079" t="s">
        <v>323</v>
      </c>
      <c r="C1079">
        <v>218</v>
      </c>
      <c r="D1079" t="s">
        <v>236</v>
      </c>
      <c r="E1079">
        <v>1854</v>
      </c>
      <c r="F1079" t="s">
        <v>1552</v>
      </c>
      <c r="G1079">
        <v>0</v>
      </c>
      <c r="H1079">
        <v>0</v>
      </c>
      <c r="I1079">
        <v>0</v>
      </c>
      <c r="J1079">
        <v>0</v>
      </c>
      <c r="K1079">
        <v>0</v>
      </c>
      <c r="L1079">
        <v>0</v>
      </c>
      <c r="M1079">
        <v>0</v>
      </c>
      <c r="N1079" t="s">
        <v>566</v>
      </c>
      <c r="O1079" t="s">
        <v>336</v>
      </c>
    </row>
    <row r="1080" spans="1:15" x14ac:dyDescent="0.3">
      <c r="A1080">
        <v>533</v>
      </c>
      <c r="B1080" t="s">
        <v>323</v>
      </c>
      <c r="C1080">
        <v>219</v>
      </c>
      <c r="D1080" t="s">
        <v>238</v>
      </c>
      <c r="E1080">
        <v>1371</v>
      </c>
      <c r="F1080" t="s">
        <v>1079</v>
      </c>
      <c r="G1080">
        <v>4</v>
      </c>
      <c r="H1080">
        <v>0</v>
      </c>
      <c r="I1080">
        <v>0</v>
      </c>
      <c r="J1080">
        <v>1</v>
      </c>
      <c r="K1080">
        <v>0</v>
      </c>
      <c r="L1080">
        <v>1</v>
      </c>
      <c r="M1080">
        <v>2</v>
      </c>
      <c r="N1080" t="s">
        <v>333</v>
      </c>
      <c r="O1080" t="s">
        <v>326</v>
      </c>
    </row>
    <row r="1081" spans="1:15" x14ac:dyDescent="0.3">
      <c r="A1081">
        <v>533</v>
      </c>
      <c r="B1081" t="s">
        <v>323</v>
      </c>
      <c r="C1081">
        <v>219</v>
      </c>
      <c r="D1081" t="s">
        <v>238</v>
      </c>
      <c r="E1081">
        <v>1372</v>
      </c>
      <c r="F1081" t="s">
        <v>1080</v>
      </c>
      <c r="G1081">
        <v>5</v>
      </c>
      <c r="H1081">
        <v>0</v>
      </c>
      <c r="I1081">
        <v>0</v>
      </c>
      <c r="J1081">
        <v>1</v>
      </c>
      <c r="K1081">
        <v>0</v>
      </c>
      <c r="L1081">
        <v>1</v>
      </c>
      <c r="M1081">
        <v>3</v>
      </c>
      <c r="N1081" t="s">
        <v>325</v>
      </c>
      <c r="O1081" t="s">
        <v>326</v>
      </c>
    </row>
    <row r="1082" spans="1:15" x14ac:dyDescent="0.3">
      <c r="A1082">
        <v>533</v>
      </c>
      <c r="B1082" t="s">
        <v>323</v>
      </c>
      <c r="C1082">
        <v>219</v>
      </c>
      <c r="D1082" t="s">
        <v>238</v>
      </c>
      <c r="E1082">
        <v>1373</v>
      </c>
      <c r="F1082" t="s">
        <v>1081</v>
      </c>
      <c r="G1082">
        <v>10</v>
      </c>
      <c r="H1082">
        <v>0</v>
      </c>
      <c r="I1082">
        <v>2</v>
      </c>
      <c r="J1082">
        <v>2</v>
      </c>
      <c r="K1082">
        <v>0</v>
      </c>
      <c r="L1082">
        <v>4</v>
      </c>
      <c r="M1082">
        <v>2</v>
      </c>
      <c r="N1082" t="s">
        <v>325</v>
      </c>
      <c r="O1082" t="s">
        <v>484</v>
      </c>
    </row>
    <row r="1083" spans="1:15" x14ac:dyDescent="0.3">
      <c r="A1083">
        <v>533</v>
      </c>
      <c r="B1083" t="s">
        <v>323</v>
      </c>
      <c r="C1083">
        <v>219</v>
      </c>
      <c r="D1083" t="s">
        <v>238</v>
      </c>
      <c r="E1083">
        <v>1375</v>
      </c>
      <c r="F1083" t="s">
        <v>1082</v>
      </c>
      <c r="G1083">
        <v>3</v>
      </c>
      <c r="H1083">
        <v>0</v>
      </c>
      <c r="I1083">
        <v>1</v>
      </c>
      <c r="J1083">
        <v>0</v>
      </c>
      <c r="K1083">
        <v>0</v>
      </c>
      <c r="L1083">
        <v>1</v>
      </c>
      <c r="M1083">
        <v>1</v>
      </c>
      <c r="N1083" t="s">
        <v>325</v>
      </c>
      <c r="O1083" t="s">
        <v>326</v>
      </c>
    </row>
    <row r="1084" spans="1:15" x14ac:dyDescent="0.3">
      <c r="A1084">
        <v>533</v>
      </c>
      <c r="B1084" t="s">
        <v>323</v>
      </c>
      <c r="C1084">
        <v>219</v>
      </c>
      <c r="D1084" t="s">
        <v>238</v>
      </c>
      <c r="E1084">
        <v>1378</v>
      </c>
      <c r="F1084" t="s">
        <v>353</v>
      </c>
      <c r="G1084">
        <v>4</v>
      </c>
      <c r="H1084">
        <v>0</v>
      </c>
      <c r="I1084">
        <v>0</v>
      </c>
      <c r="J1084">
        <v>0</v>
      </c>
      <c r="K1084">
        <v>0</v>
      </c>
      <c r="L1084">
        <v>1</v>
      </c>
      <c r="M1084">
        <v>3</v>
      </c>
      <c r="N1084" t="s">
        <v>333</v>
      </c>
      <c r="O1084" t="s">
        <v>326</v>
      </c>
    </row>
    <row r="1085" spans="1:15" x14ac:dyDescent="0.3">
      <c r="A1085">
        <v>533</v>
      </c>
      <c r="B1085" t="s">
        <v>323</v>
      </c>
      <c r="C1085">
        <v>219</v>
      </c>
      <c r="D1085" t="s">
        <v>238</v>
      </c>
      <c r="E1085">
        <v>1380</v>
      </c>
      <c r="F1085" t="s">
        <v>1084</v>
      </c>
      <c r="G1085">
        <v>3</v>
      </c>
      <c r="H1085">
        <v>0</v>
      </c>
      <c r="I1085">
        <v>2</v>
      </c>
      <c r="J1085">
        <v>0</v>
      </c>
      <c r="K1085">
        <v>0</v>
      </c>
      <c r="L1085">
        <v>1</v>
      </c>
      <c r="M1085">
        <v>0</v>
      </c>
      <c r="N1085" t="s">
        <v>325</v>
      </c>
      <c r="O1085" t="s">
        <v>326</v>
      </c>
    </row>
    <row r="1086" spans="1:15" x14ac:dyDescent="0.3">
      <c r="A1086">
        <v>533</v>
      </c>
      <c r="B1086" t="s">
        <v>323</v>
      </c>
      <c r="C1086">
        <v>219</v>
      </c>
      <c r="D1086" t="s">
        <v>238</v>
      </c>
      <c r="E1086">
        <v>2111</v>
      </c>
      <c r="F1086" t="s">
        <v>18099</v>
      </c>
      <c r="G1086">
        <v>2</v>
      </c>
      <c r="H1086">
        <v>0</v>
      </c>
      <c r="I1086">
        <v>0</v>
      </c>
      <c r="J1086">
        <v>1</v>
      </c>
      <c r="K1086">
        <v>0</v>
      </c>
      <c r="L1086">
        <v>1</v>
      </c>
      <c r="M1086">
        <v>0</v>
      </c>
      <c r="N1086" t="s">
        <v>325</v>
      </c>
      <c r="O1086" t="s">
        <v>326</v>
      </c>
    </row>
    <row r="1087" spans="1:15" x14ac:dyDescent="0.3">
      <c r="A1087">
        <v>533</v>
      </c>
      <c r="B1087" t="s">
        <v>323</v>
      </c>
      <c r="C1087">
        <v>219</v>
      </c>
      <c r="D1087" t="s">
        <v>238</v>
      </c>
      <c r="E1087">
        <v>2112</v>
      </c>
      <c r="F1087" t="s">
        <v>391</v>
      </c>
      <c r="G1087">
        <v>2</v>
      </c>
      <c r="H1087">
        <v>0</v>
      </c>
      <c r="I1087">
        <v>0</v>
      </c>
      <c r="J1087">
        <v>0</v>
      </c>
      <c r="K1087">
        <v>0</v>
      </c>
      <c r="L1087">
        <v>1</v>
      </c>
      <c r="M1087">
        <v>1</v>
      </c>
      <c r="N1087" t="s">
        <v>333</v>
      </c>
      <c r="O1087" t="s">
        <v>326</v>
      </c>
    </row>
    <row r="1088" spans="1:15" x14ac:dyDescent="0.3">
      <c r="A1088">
        <v>535</v>
      </c>
      <c r="B1088" t="s">
        <v>323</v>
      </c>
      <c r="C1088">
        <v>221</v>
      </c>
      <c r="D1088" t="s">
        <v>242</v>
      </c>
      <c r="E1088">
        <v>1134</v>
      </c>
      <c r="F1088" t="s">
        <v>1085</v>
      </c>
      <c r="G1088">
        <v>10</v>
      </c>
      <c r="H1088">
        <v>0</v>
      </c>
      <c r="I1088">
        <v>0</v>
      </c>
      <c r="J1088">
        <v>0</v>
      </c>
      <c r="K1088">
        <v>0</v>
      </c>
      <c r="L1088">
        <v>0</v>
      </c>
      <c r="M1088">
        <v>10</v>
      </c>
      <c r="N1088" t="s">
        <v>325</v>
      </c>
      <c r="O1088" t="s">
        <v>326</v>
      </c>
    </row>
    <row r="1089" spans="1:15" x14ac:dyDescent="0.3">
      <c r="A1089">
        <v>535</v>
      </c>
      <c r="B1089" t="s">
        <v>323</v>
      </c>
      <c r="C1089">
        <v>221</v>
      </c>
      <c r="D1089" t="s">
        <v>242</v>
      </c>
      <c r="E1089">
        <v>1135</v>
      </c>
      <c r="F1089" t="s">
        <v>1086</v>
      </c>
      <c r="G1089">
        <v>8</v>
      </c>
      <c r="H1089">
        <v>0</v>
      </c>
      <c r="I1089">
        <v>0</v>
      </c>
      <c r="J1089">
        <v>0</v>
      </c>
      <c r="K1089">
        <v>0</v>
      </c>
      <c r="L1089">
        <v>0</v>
      </c>
      <c r="M1089">
        <v>8</v>
      </c>
      <c r="N1089" t="s">
        <v>325</v>
      </c>
      <c r="O1089" t="s">
        <v>326</v>
      </c>
    </row>
    <row r="1090" spans="1:15" x14ac:dyDescent="0.3">
      <c r="A1090">
        <v>535</v>
      </c>
      <c r="B1090" t="s">
        <v>323</v>
      </c>
      <c r="C1090">
        <v>221</v>
      </c>
      <c r="D1090" t="s">
        <v>242</v>
      </c>
      <c r="E1090">
        <v>1136</v>
      </c>
      <c r="F1090" t="s">
        <v>1087</v>
      </c>
      <c r="G1090">
        <v>3</v>
      </c>
      <c r="H1090">
        <v>0</v>
      </c>
      <c r="I1090">
        <v>0</v>
      </c>
      <c r="J1090">
        <v>0</v>
      </c>
      <c r="K1090">
        <v>0</v>
      </c>
      <c r="L1090">
        <v>0</v>
      </c>
      <c r="M1090">
        <v>3</v>
      </c>
      <c r="N1090" t="s">
        <v>325</v>
      </c>
      <c r="O1090" t="s">
        <v>326</v>
      </c>
    </row>
    <row r="1091" spans="1:15" x14ac:dyDescent="0.3">
      <c r="A1091">
        <v>535</v>
      </c>
      <c r="B1091" t="s">
        <v>323</v>
      </c>
      <c r="C1091">
        <v>221</v>
      </c>
      <c r="D1091" t="s">
        <v>242</v>
      </c>
      <c r="E1091">
        <v>1137</v>
      </c>
      <c r="F1091" t="s">
        <v>1088</v>
      </c>
      <c r="G1091">
        <v>15</v>
      </c>
      <c r="H1091">
        <v>0</v>
      </c>
      <c r="I1091">
        <v>0</v>
      </c>
      <c r="J1091">
        <v>0</v>
      </c>
      <c r="K1091">
        <v>0</v>
      </c>
      <c r="L1091">
        <v>0</v>
      </c>
      <c r="M1091">
        <v>15</v>
      </c>
      <c r="N1091" t="s">
        <v>325</v>
      </c>
      <c r="O1091" t="s">
        <v>326</v>
      </c>
    </row>
    <row r="1092" spans="1:15" x14ac:dyDescent="0.3">
      <c r="A1092">
        <v>535</v>
      </c>
      <c r="B1092" t="s">
        <v>323</v>
      </c>
      <c r="C1092">
        <v>221</v>
      </c>
      <c r="D1092" t="s">
        <v>242</v>
      </c>
      <c r="E1092">
        <v>1138</v>
      </c>
      <c r="F1092" t="s">
        <v>505</v>
      </c>
      <c r="G1092">
        <v>5</v>
      </c>
      <c r="H1092">
        <v>0</v>
      </c>
      <c r="I1092">
        <v>0</v>
      </c>
      <c r="J1092">
        <v>0</v>
      </c>
      <c r="K1092">
        <v>0</v>
      </c>
      <c r="L1092">
        <v>0</v>
      </c>
      <c r="M1092">
        <v>5</v>
      </c>
      <c r="N1092" t="s">
        <v>325</v>
      </c>
      <c r="O1092" t="s">
        <v>326</v>
      </c>
    </row>
    <row r="1093" spans="1:15" x14ac:dyDescent="0.3">
      <c r="A1093">
        <v>535</v>
      </c>
      <c r="B1093" t="s">
        <v>323</v>
      </c>
      <c r="C1093">
        <v>221</v>
      </c>
      <c r="D1093" t="s">
        <v>242</v>
      </c>
      <c r="E1093">
        <v>1139</v>
      </c>
      <c r="F1093" t="s">
        <v>1089</v>
      </c>
      <c r="G1093">
        <v>10</v>
      </c>
      <c r="H1093">
        <v>1</v>
      </c>
      <c r="I1093">
        <v>1</v>
      </c>
      <c r="J1093">
        <v>4</v>
      </c>
      <c r="K1093">
        <v>3</v>
      </c>
      <c r="L1093">
        <v>0</v>
      </c>
      <c r="M1093">
        <v>1</v>
      </c>
      <c r="N1093" t="s">
        <v>566</v>
      </c>
      <c r="O1093" t="s">
        <v>336</v>
      </c>
    </row>
    <row r="1094" spans="1:15" x14ac:dyDescent="0.3">
      <c r="A1094">
        <v>535</v>
      </c>
      <c r="B1094" t="s">
        <v>323</v>
      </c>
      <c r="C1094">
        <v>221</v>
      </c>
      <c r="D1094" t="s">
        <v>242</v>
      </c>
      <c r="E1094">
        <v>1140</v>
      </c>
      <c r="F1094" t="s">
        <v>1090</v>
      </c>
      <c r="G1094">
        <v>5</v>
      </c>
      <c r="H1094">
        <v>0</v>
      </c>
      <c r="I1094">
        <v>0</v>
      </c>
      <c r="J1094">
        <v>0</v>
      </c>
      <c r="K1094">
        <v>0</v>
      </c>
      <c r="L1094">
        <v>0</v>
      </c>
      <c r="M1094">
        <v>5</v>
      </c>
      <c r="N1094" t="s">
        <v>410</v>
      </c>
      <c r="O1094" t="s">
        <v>326</v>
      </c>
    </row>
    <row r="1095" spans="1:15" x14ac:dyDescent="0.3">
      <c r="A1095">
        <v>535</v>
      </c>
      <c r="B1095" t="s">
        <v>323</v>
      </c>
      <c r="C1095">
        <v>221</v>
      </c>
      <c r="D1095" t="s">
        <v>242</v>
      </c>
      <c r="E1095">
        <v>1141</v>
      </c>
      <c r="F1095" t="s">
        <v>1091</v>
      </c>
      <c r="G1095">
        <v>4</v>
      </c>
      <c r="H1095">
        <v>0</v>
      </c>
      <c r="I1095">
        <v>0</v>
      </c>
      <c r="J1095">
        <v>0</v>
      </c>
      <c r="K1095">
        <v>0</v>
      </c>
      <c r="L1095">
        <v>0</v>
      </c>
      <c r="M1095">
        <v>4</v>
      </c>
      <c r="N1095" t="s">
        <v>325</v>
      </c>
      <c r="O1095" t="s">
        <v>326</v>
      </c>
    </row>
    <row r="1096" spans="1:15" x14ac:dyDescent="0.3">
      <c r="A1096">
        <v>535</v>
      </c>
      <c r="B1096" t="s">
        <v>323</v>
      </c>
      <c r="C1096">
        <v>221</v>
      </c>
      <c r="D1096" t="s">
        <v>242</v>
      </c>
      <c r="E1096">
        <v>1142</v>
      </c>
      <c r="F1096" t="s">
        <v>1092</v>
      </c>
      <c r="G1096">
        <v>5</v>
      </c>
      <c r="H1096">
        <v>0</v>
      </c>
      <c r="I1096">
        <v>0</v>
      </c>
      <c r="J1096">
        <v>0</v>
      </c>
      <c r="K1096">
        <v>0</v>
      </c>
      <c r="L1096">
        <v>0</v>
      </c>
      <c r="M1096">
        <v>5</v>
      </c>
      <c r="N1096" t="s">
        <v>325</v>
      </c>
      <c r="O1096" t="s">
        <v>326</v>
      </c>
    </row>
    <row r="1097" spans="1:15" x14ac:dyDescent="0.3">
      <c r="A1097">
        <v>535</v>
      </c>
      <c r="B1097" t="s">
        <v>323</v>
      </c>
      <c r="C1097">
        <v>221</v>
      </c>
      <c r="D1097" t="s">
        <v>242</v>
      </c>
      <c r="E1097">
        <v>1640</v>
      </c>
      <c r="F1097" t="s">
        <v>1093</v>
      </c>
      <c r="G1097">
        <v>4</v>
      </c>
      <c r="H1097">
        <v>0</v>
      </c>
      <c r="I1097">
        <v>0</v>
      </c>
      <c r="J1097">
        <v>0</v>
      </c>
      <c r="K1097">
        <v>0</v>
      </c>
      <c r="L1097">
        <v>0</v>
      </c>
      <c r="M1097">
        <v>4</v>
      </c>
      <c r="N1097" t="s">
        <v>325</v>
      </c>
      <c r="O1097" t="s">
        <v>326</v>
      </c>
    </row>
    <row r="1098" spans="1:15" x14ac:dyDescent="0.3">
      <c r="A1098">
        <v>535</v>
      </c>
      <c r="B1098" t="s">
        <v>323</v>
      </c>
      <c r="C1098">
        <v>221</v>
      </c>
      <c r="D1098" t="s">
        <v>242</v>
      </c>
      <c r="E1098">
        <v>1641</v>
      </c>
      <c r="F1098" t="s">
        <v>1094</v>
      </c>
      <c r="G1098">
        <v>5</v>
      </c>
      <c r="H1098">
        <v>0</v>
      </c>
      <c r="I1098">
        <v>0</v>
      </c>
      <c r="J1098">
        <v>0</v>
      </c>
      <c r="K1098">
        <v>0</v>
      </c>
      <c r="L1098">
        <v>0</v>
      </c>
      <c r="M1098">
        <v>5</v>
      </c>
      <c r="N1098" t="s">
        <v>325</v>
      </c>
      <c r="O1098" t="s">
        <v>326</v>
      </c>
    </row>
    <row r="1099" spans="1:15" x14ac:dyDescent="0.3">
      <c r="A1099">
        <v>535</v>
      </c>
      <c r="B1099" t="s">
        <v>323</v>
      </c>
      <c r="C1099">
        <v>221</v>
      </c>
      <c r="D1099" t="s">
        <v>242</v>
      </c>
      <c r="E1099">
        <v>1642</v>
      </c>
      <c r="F1099" t="s">
        <v>376</v>
      </c>
      <c r="G1099">
        <v>5</v>
      </c>
      <c r="H1099">
        <v>0</v>
      </c>
      <c r="I1099">
        <v>0</v>
      </c>
      <c r="J1099">
        <v>0</v>
      </c>
      <c r="K1099">
        <v>0</v>
      </c>
      <c r="L1099">
        <v>0</v>
      </c>
      <c r="M1099">
        <v>5</v>
      </c>
      <c r="N1099" t="s">
        <v>325</v>
      </c>
      <c r="O1099" t="s">
        <v>326</v>
      </c>
    </row>
    <row r="1100" spans="1:15" x14ac:dyDescent="0.3">
      <c r="A1100">
        <v>535</v>
      </c>
      <c r="B1100" t="s">
        <v>323</v>
      </c>
      <c r="C1100">
        <v>221</v>
      </c>
      <c r="D1100" t="s">
        <v>242</v>
      </c>
      <c r="E1100">
        <v>1643</v>
      </c>
      <c r="F1100" t="s">
        <v>363</v>
      </c>
      <c r="G1100">
        <v>7</v>
      </c>
      <c r="H1100">
        <v>0</v>
      </c>
      <c r="I1100">
        <v>0</v>
      </c>
      <c r="J1100">
        <v>0</v>
      </c>
      <c r="K1100">
        <v>0</v>
      </c>
      <c r="L1100">
        <v>0</v>
      </c>
      <c r="M1100">
        <v>7</v>
      </c>
      <c r="N1100" t="s">
        <v>333</v>
      </c>
      <c r="O1100" t="s">
        <v>336</v>
      </c>
    </row>
    <row r="1101" spans="1:15" x14ac:dyDescent="0.3">
      <c r="A1101">
        <v>535</v>
      </c>
      <c r="B1101" t="s">
        <v>323</v>
      </c>
      <c r="C1101">
        <v>221</v>
      </c>
      <c r="D1101" t="s">
        <v>242</v>
      </c>
      <c r="E1101">
        <v>1644</v>
      </c>
      <c r="F1101" t="s">
        <v>1095</v>
      </c>
      <c r="G1101">
        <v>3</v>
      </c>
      <c r="H1101">
        <v>0</v>
      </c>
      <c r="I1101">
        <v>0</v>
      </c>
      <c r="J1101">
        <v>0</v>
      </c>
      <c r="K1101">
        <v>0</v>
      </c>
      <c r="L1101">
        <v>0</v>
      </c>
      <c r="M1101">
        <v>3</v>
      </c>
      <c r="N1101" t="s">
        <v>325</v>
      </c>
      <c r="O1101" t="s">
        <v>326</v>
      </c>
    </row>
    <row r="1102" spans="1:15" x14ac:dyDescent="0.3">
      <c r="A1102">
        <v>535</v>
      </c>
      <c r="B1102" t="s">
        <v>323</v>
      </c>
      <c r="C1102">
        <v>221</v>
      </c>
      <c r="D1102" t="s">
        <v>242</v>
      </c>
      <c r="E1102">
        <v>1645</v>
      </c>
      <c r="F1102" t="s">
        <v>1096</v>
      </c>
      <c r="G1102">
        <v>11</v>
      </c>
      <c r="H1102">
        <v>0</v>
      </c>
      <c r="I1102">
        <v>0</v>
      </c>
      <c r="J1102">
        <v>0</v>
      </c>
      <c r="K1102">
        <v>0</v>
      </c>
      <c r="L1102">
        <v>0</v>
      </c>
      <c r="M1102">
        <v>11</v>
      </c>
      <c r="N1102" t="s">
        <v>325</v>
      </c>
      <c r="O1102" t="s">
        <v>326</v>
      </c>
    </row>
    <row r="1103" spans="1:15" x14ac:dyDescent="0.3">
      <c r="A1103">
        <v>535</v>
      </c>
      <c r="B1103" t="s">
        <v>323</v>
      </c>
      <c r="C1103">
        <v>221</v>
      </c>
      <c r="D1103" t="s">
        <v>242</v>
      </c>
      <c r="E1103">
        <v>1837</v>
      </c>
      <c r="F1103" t="s">
        <v>363</v>
      </c>
      <c r="G1103">
        <v>7</v>
      </c>
      <c r="H1103">
        <v>0</v>
      </c>
      <c r="I1103">
        <v>0</v>
      </c>
      <c r="J1103">
        <v>0</v>
      </c>
      <c r="K1103">
        <v>0</v>
      </c>
      <c r="L1103">
        <v>0</v>
      </c>
      <c r="M1103">
        <v>7</v>
      </c>
      <c r="N1103" t="s">
        <v>333</v>
      </c>
      <c r="O1103" t="s">
        <v>336</v>
      </c>
    </row>
    <row r="1104" spans="1:15" x14ac:dyDescent="0.3">
      <c r="A1104">
        <v>536</v>
      </c>
      <c r="B1104" t="s">
        <v>323</v>
      </c>
      <c r="C1104">
        <v>222</v>
      </c>
      <c r="D1104" t="s">
        <v>244</v>
      </c>
      <c r="E1104">
        <v>1493</v>
      </c>
      <c r="F1104" t="s">
        <v>1097</v>
      </c>
      <c r="G1104">
        <v>4</v>
      </c>
      <c r="H1104">
        <v>0</v>
      </c>
      <c r="I1104">
        <v>0</v>
      </c>
      <c r="J1104">
        <v>0</v>
      </c>
      <c r="K1104">
        <v>4</v>
      </c>
      <c r="L1104">
        <v>0</v>
      </c>
      <c r="M1104">
        <v>0</v>
      </c>
      <c r="N1104" t="s">
        <v>566</v>
      </c>
      <c r="O1104" t="s">
        <v>326</v>
      </c>
    </row>
    <row r="1105" spans="1:15" x14ac:dyDescent="0.3">
      <c r="A1105">
        <v>536</v>
      </c>
      <c r="B1105" t="s">
        <v>323</v>
      </c>
      <c r="C1105">
        <v>222</v>
      </c>
      <c r="D1105" t="s">
        <v>244</v>
      </c>
      <c r="E1105">
        <v>1495</v>
      </c>
      <c r="F1105" t="s">
        <v>1098</v>
      </c>
      <c r="G1105">
        <v>14</v>
      </c>
      <c r="H1105">
        <v>1</v>
      </c>
      <c r="I1105">
        <v>3</v>
      </c>
      <c r="J1105">
        <v>5</v>
      </c>
      <c r="K1105">
        <v>3</v>
      </c>
      <c r="L1105">
        <v>0</v>
      </c>
      <c r="M1105">
        <v>2</v>
      </c>
      <c r="N1105" t="s">
        <v>566</v>
      </c>
      <c r="O1105" t="s">
        <v>326</v>
      </c>
    </row>
    <row r="1106" spans="1:15" x14ac:dyDescent="0.3">
      <c r="A1106">
        <v>536</v>
      </c>
      <c r="B1106" t="s">
        <v>323</v>
      </c>
      <c r="C1106">
        <v>222</v>
      </c>
      <c r="D1106" t="s">
        <v>244</v>
      </c>
      <c r="E1106">
        <v>1496</v>
      </c>
      <c r="F1106" t="s">
        <v>1099</v>
      </c>
      <c r="G1106">
        <v>4</v>
      </c>
      <c r="H1106">
        <v>0</v>
      </c>
      <c r="I1106">
        <v>0</v>
      </c>
      <c r="J1106">
        <v>1</v>
      </c>
      <c r="K1106">
        <v>3</v>
      </c>
      <c r="L1106">
        <v>0</v>
      </c>
      <c r="M1106">
        <v>0</v>
      </c>
      <c r="N1106" t="s">
        <v>566</v>
      </c>
      <c r="O1106" t="s">
        <v>326</v>
      </c>
    </row>
    <row r="1107" spans="1:15" x14ac:dyDescent="0.3">
      <c r="A1107">
        <v>536</v>
      </c>
      <c r="B1107" t="s">
        <v>323</v>
      </c>
      <c r="C1107">
        <v>222</v>
      </c>
      <c r="D1107" t="s">
        <v>244</v>
      </c>
      <c r="E1107">
        <v>2152</v>
      </c>
      <c r="F1107" t="s">
        <v>18100</v>
      </c>
      <c r="G1107">
        <v>7</v>
      </c>
      <c r="H1107">
        <v>0</v>
      </c>
      <c r="I1107">
        <v>0</v>
      </c>
      <c r="J1107">
        <v>1</v>
      </c>
      <c r="K1107">
        <v>6</v>
      </c>
      <c r="L1107">
        <v>0</v>
      </c>
      <c r="M1107">
        <v>0</v>
      </c>
      <c r="N1107" t="s">
        <v>566</v>
      </c>
      <c r="O1107" t="s">
        <v>326</v>
      </c>
    </row>
    <row r="1108" spans="1:15" x14ac:dyDescent="0.3">
      <c r="A1108">
        <v>537</v>
      </c>
      <c r="B1108" t="s">
        <v>323</v>
      </c>
      <c r="C1108">
        <v>223</v>
      </c>
      <c r="D1108" t="s">
        <v>246</v>
      </c>
      <c r="E1108">
        <v>895</v>
      </c>
      <c r="F1108" t="s">
        <v>18101</v>
      </c>
      <c r="G1108">
        <v>5</v>
      </c>
      <c r="H1108">
        <v>0</v>
      </c>
      <c r="I1108">
        <v>0</v>
      </c>
      <c r="J1108">
        <v>0</v>
      </c>
      <c r="K1108">
        <v>0</v>
      </c>
      <c r="L1108">
        <v>0</v>
      </c>
      <c r="M1108">
        <v>5</v>
      </c>
      <c r="N1108" t="s">
        <v>333</v>
      </c>
      <c r="O1108" t="s">
        <v>326</v>
      </c>
    </row>
    <row r="1109" spans="1:15" x14ac:dyDescent="0.3">
      <c r="A1109">
        <v>537</v>
      </c>
      <c r="B1109" t="s">
        <v>323</v>
      </c>
      <c r="C1109">
        <v>223</v>
      </c>
      <c r="D1109" t="s">
        <v>246</v>
      </c>
      <c r="E1109">
        <v>896</v>
      </c>
      <c r="F1109" t="s">
        <v>901</v>
      </c>
      <c r="G1109">
        <v>1</v>
      </c>
      <c r="H1109">
        <v>0</v>
      </c>
      <c r="I1109">
        <v>0</v>
      </c>
      <c r="J1109">
        <v>0</v>
      </c>
      <c r="K1109">
        <v>0</v>
      </c>
      <c r="L1109">
        <v>0</v>
      </c>
      <c r="M1109">
        <v>1</v>
      </c>
      <c r="N1109" t="s">
        <v>333</v>
      </c>
      <c r="O1109" t="s">
        <v>336</v>
      </c>
    </row>
    <row r="1110" spans="1:15" x14ac:dyDescent="0.3">
      <c r="A1110">
        <v>537</v>
      </c>
      <c r="B1110" t="s">
        <v>323</v>
      </c>
      <c r="C1110">
        <v>223</v>
      </c>
      <c r="D1110" t="s">
        <v>246</v>
      </c>
      <c r="E1110">
        <v>897</v>
      </c>
      <c r="F1110" t="s">
        <v>393</v>
      </c>
      <c r="G1110">
        <v>4</v>
      </c>
      <c r="H1110">
        <v>0</v>
      </c>
      <c r="I1110">
        <v>1</v>
      </c>
      <c r="J1110">
        <v>1</v>
      </c>
      <c r="K1110">
        <v>2</v>
      </c>
      <c r="L1110">
        <v>0</v>
      </c>
      <c r="M1110">
        <v>0</v>
      </c>
      <c r="N1110" t="s">
        <v>325</v>
      </c>
      <c r="O1110" t="s">
        <v>336</v>
      </c>
    </row>
    <row r="1111" spans="1:15" x14ac:dyDescent="0.3">
      <c r="A1111">
        <v>537</v>
      </c>
      <c r="B1111" t="s">
        <v>323</v>
      </c>
      <c r="C1111">
        <v>223</v>
      </c>
      <c r="D1111" t="s">
        <v>246</v>
      </c>
      <c r="E1111">
        <v>898</v>
      </c>
      <c r="F1111" t="s">
        <v>18102</v>
      </c>
      <c r="G1111">
        <v>0</v>
      </c>
      <c r="H1111">
        <v>0</v>
      </c>
      <c r="I1111">
        <v>0</v>
      </c>
      <c r="J1111">
        <v>0</v>
      </c>
      <c r="K1111">
        <v>0</v>
      </c>
      <c r="L1111">
        <v>0</v>
      </c>
      <c r="M1111">
        <v>0</v>
      </c>
      <c r="N1111" t="s">
        <v>333</v>
      </c>
      <c r="O1111" t="s">
        <v>336</v>
      </c>
    </row>
    <row r="1112" spans="1:15" x14ac:dyDescent="0.3">
      <c r="A1112">
        <v>537</v>
      </c>
      <c r="B1112" t="s">
        <v>323</v>
      </c>
      <c r="C1112">
        <v>223</v>
      </c>
      <c r="D1112" t="s">
        <v>246</v>
      </c>
      <c r="E1112">
        <v>901</v>
      </c>
      <c r="F1112" t="s">
        <v>18103</v>
      </c>
      <c r="G1112">
        <v>0</v>
      </c>
      <c r="H1112">
        <v>0</v>
      </c>
      <c r="I1112">
        <v>0</v>
      </c>
      <c r="J1112">
        <v>0</v>
      </c>
      <c r="K1112">
        <v>0</v>
      </c>
      <c r="L1112">
        <v>0</v>
      </c>
      <c r="M1112">
        <v>0</v>
      </c>
      <c r="N1112" t="s">
        <v>333</v>
      </c>
      <c r="O1112" t="s">
        <v>326</v>
      </c>
    </row>
    <row r="1113" spans="1:15" x14ac:dyDescent="0.3">
      <c r="A1113">
        <v>537</v>
      </c>
      <c r="B1113" t="s">
        <v>323</v>
      </c>
      <c r="C1113">
        <v>223</v>
      </c>
      <c r="D1113" t="s">
        <v>246</v>
      </c>
      <c r="E1113">
        <v>902</v>
      </c>
      <c r="F1113" t="s">
        <v>18104</v>
      </c>
      <c r="G1113">
        <v>0</v>
      </c>
      <c r="H1113">
        <v>0</v>
      </c>
      <c r="I1113">
        <v>0</v>
      </c>
      <c r="J1113">
        <v>0</v>
      </c>
      <c r="K1113">
        <v>0</v>
      </c>
      <c r="L1113">
        <v>0</v>
      </c>
      <c r="M1113">
        <v>0</v>
      </c>
      <c r="N1113" t="s">
        <v>333</v>
      </c>
      <c r="O1113" t="s">
        <v>326</v>
      </c>
    </row>
    <row r="1114" spans="1:15" x14ac:dyDescent="0.3">
      <c r="A1114">
        <v>537</v>
      </c>
      <c r="B1114" t="s">
        <v>323</v>
      </c>
      <c r="C1114">
        <v>223</v>
      </c>
      <c r="D1114" t="s">
        <v>246</v>
      </c>
      <c r="E1114">
        <v>904</v>
      </c>
      <c r="F1114" t="s">
        <v>18105</v>
      </c>
      <c r="G1114">
        <v>1</v>
      </c>
      <c r="H1114">
        <v>0</v>
      </c>
      <c r="I1114">
        <v>0</v>
      </c>
      <c r="J1114">
        <v>0</v>
      </c>
      <c r="K1114">
        <v>0</v>
      </c>
      <c r="L1114">
        <v>1</v>
      </c>
      <c r="M1114">
        <v>0</v>
      </c>
      <c r="N1114" t="s">
        <v>325</v>
      </c>
      <c r="O1114" t="s">
        <v>326</v>
      </c>
    </row>
    <row r="1115" spans="1:15" x14ac:dyDescent="0.3">
      <c r="A1115">
        <v>537</v>
      </c>
      <c r="B1115" t="s">
        <v>323</v>
      </c>
      <c r="C1115">
        <v>223</v>
      </c>
      <c r="D1115" t="s">
        <v>246</v>
      </c>
      <c r="E1115">
        <v>906</v>
      </c>
      <c r="F1115" t="s">
        <v>933</v>
      </c>
      <c r="G1115">
        <v>0</v>
      </c>
      <c r="H1115">
        <v>0</v>
      </c>
      <c r="I1115">
        <v>0</v>
      </c>
      <c r="J1115">
        <v>0</v>
      </c>
      <c r="K1115">
        <v>0</v>
      </c>
      <c r="L1115">
        <v>0</v>
      </c>
      <c r="M1115">
        <v>0</v>
      </c>
      <c r="N1115" t="s">
        <v>333</v>
      </c>
      <c r="O1115" t="s">
        <v>336</v>
      </c>
    </row>
    <row r="1116" spans="1:15" x14ac:dyDescent="0.3">
      <c r="A1116">
        <v>537</v>
      </c>
      <c r="B1116" t="s">
        <v>323</v>
      </c>
      <c r="C1116">
        <v>223</v>
      </c>
      <c r="D1116" t="s">
        <v>246</v>
      </c>
      <c r="E1116">
        <v>907</v>
      </c>
      <c r="F1116" t="s">
        <v>18106</v>
      </c>
      <c r="G1116">
        <v>1</v>
      </c>
      <c r="H1116">
        <v>0</v>
      </c>
      <c r="I1116">
        <v>0</v>
      </c>
      <c r="J1116">
        <v>0</v>
      </c>
      <c r="K1116">
        <v>0</v>
      </c>
      <c r="L1116">
        <v>0</v>
      </c>
      <c r="M1116">
        <v>1</v>
      </c>
      <c r="N1116" t="s">
        <v>333</v>
      </c>
      <c r="O1116" t="s">
        <v>336</v>
      </c>
    </row>
    <row r="1117" spans="1:15" x14ac:dyDescent="0.3">
      <c r="A1117">
        <v>537</v>
      </c>
      <c r="B1117" t="s">
        <v>323</v>
      </c>
      <c r="C1117">
        <v>223</v>
      </c>
      <c r="D1117" t="s">
        <v>246</v>
      </c>
      <c r="E1117">
        <v>908</v>
      </c>
      <c r="F1117" t="s">
        <v>621</v>
      </c>
      <c r="G1117">
        <v>2</v>
      </c>
      <c r="H1117">
        <v>0</v>
      </c>
      <c r="I1117">
        <v>0</v>
      </c>
      <c r="J1117">
        <v>0</v>
      </c>
      <c r="K1117">
        <v>1</v>
      </c>
      <c r="L1117">
        <v>1</v>
      </c>
      <c r="M1117">
        <v>0</v>
      </c>
      <c r="N1117" t="s">
        <v>333</v>
      </c>
      <c r="O1117" t="s">
        <v>326</v>
      </c>
    </row>
    <row r="1118" spans="1:15" x14ac:dyDescent="0.3">
      <c r="A1118">
        <v>537</v>
      </c>
      <c r="B1118" t="s">
        <v>323</v>
      </c>
      <c r="C1118">
        <v>223</v>
      </c>
      <c r="D1118" t="s">
        <v>246</v>
      </c>
      <c r="E1118">
        <v>909</v>
      </c>
      <c r="F1118" t="s">
        <v>1496</v>
      </c>
      <c r="G1118">
        <v>0</v>
      </c>
      <c r="H1118">
        <v>0</v>
      </c>
      <c r="I1118">
        <v>0</v>
      </c>
      <c r="J1118">
        <v>0</v>
      </c>
      <c r="K1118">
        <v>0</v>
      </c>
      <c r="L1118">
        <v>0</v>
      </c>
      <c r="M1118">
        <v>0</v>
      </c>
      <c r="N1118" t="s">
        <v>333</v>
      </c>
      <c r="O1118" t="s">
        <v>326</v>
      </c>
    </row>
    <row r="1119" spans="1:15" x14ac:dyDescent="0.3">
      <c r="A1119">
        <v>537</v>
      </c>
      <c r="B1119" t="s">
        <v>323</v>
      </c>
      <c r="C1119">
        <v>223</v>
      </c>
      <c r="D1119" t="s">
        <v>246</v>
      </c>
      <c r="E1119">
        <v>910</v>
      </c>
      <c r="F1119" t="s">
        <v>18107</v>
      </c>
      <c r="G1119">
        <v>1</v>
      </c>
      <c r="H1119">
        <v>0</v>
      </c>
      <c r="I1119">
        <v>0</v>
      </c>
      <c r="J1119">
        <v>0</v>
      </c>
      <c r="K1119">
        <v>0</v>
      </c>
      <c r="L1119">
        <v>1</v>
      </c>
      <c r="M1119">
        <v>0</v>
      </c>
      <c r="N1119" t="s">
        <v>325</v>
      </c>
      <c r="O1119" t="s">
        <v>326</v>
      </c>
    </row>
    <row r="1120" spans="1:15" x14ac:dyDescent="0.3">
      <c r="A1120">
        <v>537</v>
      </c>
      <c r="B1120" t="s">
        <v>323</v>
      </c>
      <c r="C1120">
        <v>223</v>
      </c>
      <c r="D1120" t="s">
        <v>246</v>
      </c>
      <c r="E1120">
        <v>911</v>
      </c>
      <c r="F1120" t="s">
        <v>18108</v>
      </c>
      <c r="G1120">
        <v>1</v>
      </c>
      <c r="H1120">
        <v>0</v>
      </c>
      <c r="I1120">
        <v>0</v>
      </c>
      <c r="J1120">
        <v>0</v>
      </c>
      <c r="K1120">
        <v>0</v>
      </c>
      <c r="L1120">
        <v>1</v>
      </c>
      <c r="M1120">
        <v>0</v>
      </c>
      <c r="N1120" t="s">
        <v>333</v>
      </c>
      <c r="O1120" t="s">
        <v>326</v>
      </c>
    </row>
    <row r="1121" spans="1:15" x14ac:dyDescent="0.3">
      <c r="A1121">
        <v>539</v>
      </c>
      <c r="B1121" t="s">
        <v>323</v>
      </c>
      <c r="C1121">
        <v>225</v>
      </c>
      <c r="D1121" t="s">
        <v>250</v>
      </c>
      <c r="E1121">
        <v>2070</v>
      </c>
      <c r="F1121" t="s">
        <v>353</v>
      </c>
      <c r="G1121">
        <v>0</v>
      </c>
      <c r="H1121">
        <v>0</v>
      </c>
      <c r="I1121">
        <v>0</v>
      </c>
      <c r="J1121">
        <v>0</v>
      </c>
      <c r="K1121">
        <v>0</v>
      </c>
      <c r="L1121">
        <v>0</v>
      </c>
      <c r="M1121">
        <v>0</v>
      </c>
      <c r="N1121" t="s">
        <v>333</v>
      </c>
      <c r="O1121" t="s">
        <v>336</v>
      </c>
    </row>
    <row r="1122" spans="1:15" x14ac:dyDescent="0.3">
      <c r="A1122">
        <v>539</v>
      </c>
      <c r="B1122" t="s">
        <v>323</v>
      </c>
      <c r="C1122">
        <v>225</v>
      </c>
      <c r="D1122" t="s">
        <v>250</v>
      </c>
      <c r="E1122">
        <v>2072</v>
      </c>
      <c r="F1122" t="s">
        <v>393</v>
      </c>
      <c r="G1122">
        <v>4</v>
      </c>
      <c r="H1122">
        <v>2</v>
      </c>
      <c r="I1122">
        <v>1</v>
      </c>
      <c r="J1122">
        <v>1</v>
      </c>
      <c r="K1122">
        <v>0</v>
      </c>
      <c r="L1122">
        <v>0</v>
      </c>
      <c r="M1122">
        <v>0</v>
      </c>
      <c r="N1122" t="s">
        <v>416</v>
      </c>
      <c r="O1122" t="s">
        <v>336</v>
      </c>
    </row>
    <row r="1123" spans="1:15" x14ac:dyDescent="0.3">
      <c r="A1123">
        <v>539</v>
      </c>
      <c r="B1123" t="s">
        <v>323</v>
      </c>
      <c r="C1123">
        <v>225</v>
      </c>
      <c r="D1123" t="s">
        <v>250</v>
      </c>
      <c r="E1123">
        <v>2074</v>
      </c>
      <c r="F1123" t="s">
        <v>18109</v>
      </c>
      <c r="G1123">
        <v>1</v>
      </c>
      <c r="H1123">
        <v>0</v>
      </c>
      <c r="I1123">
        <v>0</v>
      </c>
      <c r="J1123">
        <v>1</v>
      </c>
      <c r="K1123">
        <v>0</v>
      </c>
      <c r="L1123">
        <v>0</v>
      </c>
      <c r="M1123">
        <v>0</v>
      </c>
      <c r="N1123" t="s">
        <v>325</v>
      </c>
      <c r="O1123" t="s">
        <v>336</v>
      </c>
    </row>
    <row r="1124" spans="1:15" x14ac:dyDescent="0.3">
      <c r="A1124">
        <v>539</v>
      </c>
      <c r="B1124" t="s">
        <v>323</v>
      </c>
      <c r="C1124">
        <v>225</v>
      </c>
      <c r="D1124" t="s">
        <v>250</v>
      </c>
      <c r="E1124">
        <v>2076</v>
      </c>
      <c r="F1124" t="s">
        <v>18110</v>
      </c>
      <c r="G1124">
        <v>1</v>
      </c>
      <c r="H1124">
        <v>0</v>
      </c>
      <c r="I1124">
        <v>0</v>
      </c>
      <c r="J1124">
        <v>0</v>
      </c>
      <c r="K1124">
        <v>0</v>
      </c>
      <c r="L1124">
        <v>1</v>
      </c>
      <c r="M1124">
        <v>0</v>
      </c>
      <c r="N1124" t="s">
        <v>325</v>
      </c>
      <c r="O1124" t="s">
        <v>326</v>
      </c>
    </row>
    <row r="1125" spans="1:15" x14ac:dyDescent="0.3">
      <c r="A1125">
        <v>540</v>
      </c>
      <c r="B1125" t="s">
        <v>323</v>
      </c>
      <c r="C1125">
        <v>226</v>
      </c>
      <c r="D1125" t="s">
        <v>252</v>
      </c>
      <c r="E1125">
        <v>523</v>
      </c>
      <c r="F1125" t="s">
        <v>393</v>
      </c>
      <c r="G1125">
        <v>3</v>
      </c>
      <c r="H1125">
        <v>0</v>
      </c>
      <c r="I1125">
        <v>2</v>
      </c>
      <c r="J1125">
        <v>1</v>
      </c>
      <c r="K1125">
        <v>0</v>
      </c>
      <c r="L1125">
        <v>0</v>
      </c>
      <c r="M1125">
        <v>0</v>
      </c>
      <c r="N1125" t="s">
        <v>325</v>
      </c>
      <c r="O1125" t="s">
        <v>336</v>
      </c>
    </row>
    <row r="1126" spans="1:15" x14ac:dyDescent="0.3">
      <c r="A1126">
        <v>541</v>
      </c>
      <c r="B1126" t="s">
        <v>323</v>
      </c>
      <c r="C1126">
        <v>227</v>
      </c>
      <c r="D1126" t="s">
        <v>254</v>
      </c>
      <c r="E1126">
        <v>2168</v>
      </c>
      <c r="F1126" t="s">
        <v>18111</v>
      </c>
      <c r="G1126">
        <v>3</v>
      </c>
      <c r="H1126">
        <v>1</v>
      </c>
      <c r="I1126">
        <v>0</v>
      </c>
      <c r="J1126">
        <v>0</v>
      </c>
      <c r="K1126">
        <v>0</v>
      </c>
      <c r="L1126">
        <v>1</v>
      </c>
      <c r="M1126">
        <v>1</v>
      </c>
      <c r="N1126" t="s">
        <v>333</v>
      </c>
      <c r="O1126" t="s">
        <v>326</v>
      </c>
    </row>
    <row r="1127" spans="1:15" x14ac:dyDescent="0.3">
      <c r="A1127">
        <v>541</v>
      </c>
      <c r="B1127" t="s">
        <v>323</v>
      </c>
      <c r="C1127">
        <v>227</v>
      </c>
      <c r="D1127" t="s">
        <v>254</v>
      </c>
      <c r="E1127">
        <v>2169</v>
      </c>
      <c r="F1127" t="s">
        <v>18112</v>
      </c>
      <c r="G1127">
        <v>4</v>
      </c>
      <c r="H1127">
        <v>0</v>
      </c>
      <c r="I1127">
        <v>0</v>
      </c>
      <c r="J1127">
        <v>2</v>
      </c>
      <c r="K1127">
        <v>2</v>
      </c>
      <c r="L1127">
        <v>0</v>
      </c>
      <c r="M1127">
        <v>0</v>
      </c>
      <c r="N1127" t="s">
        <v>333</v>
      </c>
      <c r="O1127" t="s">
        <v>326</v>
      </c>
    </row>
    <row r="1128" spans="1:15" x14ac:dyDescent="0.3">
      <c r="A1128">
        <v>541</v>
      </c>
      <c r="B1128" t="s">
        <v>323</v>
      </c>
      <c r="C1128">
        <v>227</v>
      </c>
      <c r="D1128" t="s">
        <v>254</v>
      </c>
      <c r="E1128">
        <v>2170</v>
      </c>
      <c r="F1128" t="s">
        <v>376</v>
      </c>
      <c r="G1128">
        <v>2</v>
      </c>
      <c r="H1128">
        <v>0</v>
      </c>
      <c r="I1128">
        <v>0</v>
      </c>
      <c r="J1128">
        <v>1</v>
      </c>
      <c r="K1128">
        <v>1</v>
      </c>
      <c r="L1128">
        <v>0</v>
      </c>
      <c r="M1128">
        <v>0</v>
      </c>
      <c r="N1128" t="s">
        <v>333</v>
      </c>
      <c r="O1128" t="s">
        <v>326</v>
      </c>
    </row>
    <row r="1129" spans="1:15" x14ac:dyDescent="0.3">
      <c r="A1129">
        <v>541</v>
      </c>
      <c r="B1129" t="s">
        <v>323</v>
      </c>
      <c r="C1129">
        <v>227</v>
      </c>
      <c r="D1129" t="s">
        <v>254</v>
      </c>
      <c r="E1129">
        <v>2171</v>
      </c>
      <c r="F1129" t="s">
        <v>18113</v>
      </c>
      <c r="G1129">
        <v>3</v>
      </c>
      <c r="H1129">
        <v>0</v>
      </c>
      <c r="I1129">
        <v>1</v>
      </c>
      <c r="J1129">
        <v>1</v>
      </c>
      <c r="K1129">
        <v>0</v>
      </c>
      <c r="L1129">
        <v>1</v>
      </c>
      <c r="M1129">
        <v>0</v>
      </c>
      <c r="N1129" t="s">
        <v>333</v>
      </c>
      <c r="O1129" t="s">
        <v>326</v>
      </c>
    </row>
    <row r="1130" spans="1:15" x14ac:dyDescent="0.3">
      <c r="A1130">
        <v>541</v>
      </c>
      <c r="B1130" t="s">
        <v>323</v>
      </c>
      <c r="C1130">
        <v>227</v>
      </c>
      <c r="D1130" t="s">
        <v>254</v>
      </c>
      <c r="E1130">
        <v>2172</v>
      </c>
      <c r="F1130" t="s">
        <v>18114</v>
      </c>
      <c r="G1130">
        <v>5</v>
      </c>
      <c r="H1130">
        <v>1</v>
      </c>
      <c r="I1130">
        <v>1</v>
      </c>
      <c r="J1130">
        <v>2</v>
      </c>
      <c r="K1130">
        <v>1</v>
      </c>
      <c r="L1130">
        <v>0</v>
      </c>
      <c r="M1130">
        <v>0</v>
      </c>
      <c r="N1130" t="s">
        <v>325</v>
      </c>
      <c r="O1130" t="s">
        <v>348</v>
      </c>
    </row>
    <row r="1131" spans="1:15" x14ac:dyDescent="0.3">
      <c r="A1131">
        <v>541</v>
      </c>
      <c r="B1131" t="s">
        <v>323</v>
      </c>
      <c r="C1131">
        <v>227</v>
      </c>
      <c r="D1131" t="s">
        <v>254</v>
      </c>
      <c r="E1131">
        <v>2173</v>
      </c>
      <c r="F1131" t="s">
        <v>18115</v>
      </c>
      <c r="G1131">
        <v>3</v>
      </c>
      <c r="H1131">
        <v>0</v>
      </c>
      <c r="I1131">
        <v>1</v>
      </c>
      <c r="J1131">
        <v>1</v>
      </c>
      <c r="K1131">
        <v>1</v>
      </c>
      <c r="L1131">
        <v>0</v>
      </c>
      <c r="M1131">
        <v>0</v>
      </c>
      <c r="N1131" t="s">
        <v>325</v>
      </c>
      <c r="O1131" t="s">
        <v>329</v>
      </c>
    </row>
    <row r="1132" spans="1:15" x14ac:dyDescent="0.3">
      <c r="A1132">
        <v>541</v>
      </c>
      <c r="B1132" t="s">
        <v>323</v>
      </c>
      <c r="C1132">
        <v>227</v>
      </c>
      <c r="D1132" t="s">
        <v>254</v>
      </c>
      <c r="E1132">
        <v>2174</v>
      </c>
      <c r="F1132" t="s">
        <v>18116</v>
      </c>
      <c r="G1132">
        <v>1</v>
      </c>
      <c r="H1132">
        <v>0</v>
      </c>
      <c r="I1132">
        <v>0</v>
      </c>
      <c r="J1132">
        <v>0</v>
      </c>
      <c r="K1132">
        <v>0</v>
      </c>
      <c r="L1132">
        <v>1</v>
      </c>
      <c r="M1132">
        <v>0</v>
      </c>
      <c r="N1132" t="s">
        <v>410</v>
      </c>
      <c r="O1132" t="s">
        <v>326</v>
      </c>
    </row>
    <row r="1133" spans="1:15" x14ac:dyDescent="0.3">
      <c r="A1133">
        <v>541</v>
      </c>
      <c r="B1133" t="s">
        <v>323</v>
      </c>
      <c r="C1133">
        <v>227</v>
      </c>
      <c r="D1133" t="s">
        <v>254</v>
      </c>
      <c r="E1133">
        <v>2175</v>
      </c>
      <c r="F1133" t="s">
        <v>18117</v>
      </c>
      <c r="G1133">
        <v>13</v>
      </c>
      <c r="H1133">
        <v>2</v>
      </c>
      <c r="I1133">
        <v>2</v>
      </c>
      <c r="J1133">
        <v>3</v>
      </c>
      <c r="K1133">
        <v>3</v>
      </c>
      <c r="L1133">
        <v>3</v>
      </c>
      <c r="M1133">
        <v>0</v>
      </c>
      <c r="N1133" t="s">
        <v>333</v>
      </c>
      <c r="O1133" t="s">
        <v>326</v>
      </c>
    </row>
    <row r="1134" spans="1:15" x14ac:dyDescent="0.3">
      <c r="A1134">
        <v>541</v>
      </c>
      <c r="B1134" t="s">
        <v>323</v>
      </c>
      <c r="C1134">
        <v>227</v>
      </c>
      <c r="D1134" t="s">
        <v>254</v>
      </c>
      <c r="E1134">
        <v>2176</v>
      </c>
      <c r="F1134" t="s">
        <v>18118</v>
      </c>
      <c r="G1134">
        <v>3</v>
      </c>
      <c r="H1134">
        <v>0</v>
      </c>
      <c r="I1134">
        <v>0</v>
      </c>
      <c r="J1134">
        <v>3</v>
      </c>
      <c r="K1134">
        <v>0</v>
      </c>
      <c r="L1134">
        <v>0</v>
      </c>
      <c r="M1134">
        <v>0</v>
      </c>
      <c r="N1134" t="s">
        <v>333</v>
      </c>
      <c r="O1134" t="s">
        <v>326</v>
      </c>
    </row>
    <row r="1135" spans="1:15" x14ac:dyDescent="0.3">
      <c r="A1135">
        <v>543</v>
      </c>
      <c r="B1135" t="s">
        <v>323</v>
      </c>
      <c r="C1135">
        <v>230</v>
      </c>
      <c r="D1135" t="s">
        <v>258</v>
      </c>
      <c r="E1135">
        <v>1318</v>
      </c>
      <c r="F1135" t="s">
        <v>1553</v>
      </c>
      <c r="G1135">
        <v>21</v>
      </c>
      <c r="H1135">
        <v>0</v>
      </c>
      <c r="I1135">
        <v>1</v>
      </c>
      <c r="J1135">
        <v>8</v>
      </c>
      <c r="K1135">
        <v>11</v>
      </c>
      <c r="L1135">
        <v>1</v>
      </c>
      <c r="M1135">
        <v>0</v>
      </c>
      <c r="N1135" t="s">
        <v>566</v>
      </c>
      <c r="O1135" t="s">
        <v>336</v>
      </c>
    </row>
    <row r="1136" spans="1:15" x14ac:dyDescent="0.3">
      <c r="A1136">
        <v>544</v>
      </c>
      <c r="B1136" t="s">
        <v>323</v>
      </c>
      <c r="C1136">
        <v>231</v>
      </c>
      <c r="D1136" t="s">
        <v>260</v>
      </c>
      <c r="E1136">
        <v>2161</v>
      </c>
      <c r="F1136" t="s">
        <v>18119</v>
      </c>
      <c r="G1136">
        <v>18</v>
      </c>
      <c r="H1136">
        <v>0</v>
      </c>
      <c r="I1136">
        <v>0</v>
      </c>
      <c r="J1136">
        <v>7</v>
      </c>
      <c r="K1136">
        <v>9</v>
      </c>
      <c r="L1136">
        <v>2</v>
      </c>
      <c r="M1136">
        <v>0</v>
      </c>
      <c r="N1136" t="s">
        <v>566</v>
      </c>
      <c r="O1136" t="s">
        <v>326</v>
      </c>
    </row>
    <row r="1137" spans="1:15" x14ac:dyDescent="0.3">
      <c r="A1137">
        <v>545</v>
      </c>
      <c r="B1137" t="s">
        <v>323</v>
      </c>
      <c r="C1137">
        <v>232</v>
      </c>
      <c r="D1137" t="s">
        <v>262</v>
      </c>
      <c r="E1137">
        <v>1321</v>
      </c>
      <c r="F1137" t="s">
        <v>18120</v>
      </c>
      <c r="G1137">
        <v>3</v>
      </c>
      <c r="H1137">
        <v>0</v>
      </c>
      <c r="I1137">
        <v>0</v>
      </c>
      <c r="J1137">
        <v>0</v>
      </c>
      <c r="K1137">
        <v>3</v>
      </c>
      <c r="L1137">
        <v>0</v>
      </c>
      <c r="M1137">
        <v>0</v>
      </c>
      <c r="N1137" t="s">
        <v>566</v>
      </c>
      <c r="O1137" t="s">
        <v>336</v>
      </c>
    </row>
    <row r="1138" spans="1:15" x14ac:dyDescent="0.3">
      <c r="A1138">
        <v>546</v>
      </c>
      <c r="B1138" t="s">
        <v>323</v>
      </c>
      <c r="C1138">
        <v>233</v>
      </c>
      <c r="D1138" t="s">
        <v>264</v>
      </c>
      <c r="E1138">
        <v>2094</v>
      </c>
      <c r="F1138" t="s">
        <v>393</v>
      </c>
      <c r="G1138">
        <v>5</v>
      </c>
      <c r="H1138">
        <v>0</v>
      </c>
      <c r="I1138">
        <v>1</v>
      </c>
      <c r="J1138">
        <v>1</v>
      </c>
      <c r="K1138">
        <v>3</v>
      </c>
      <c r="L1138">
        <v>0</v>
      </c>
      <c r="M1138">
        <v>0</v>
      </c>
      <c r="N1138" t="s">
        <v>414</v>
      </c>
      <c r="O1138" t="s">
        <v>336</v>
      </c>
    </row>
    <row r="1139" spans="1:15" x14ac:dyDescent="0.3">
      <c r="A1139">
        <v>548</v>
      </c>
      <c r="B1139" t="s">
        <v>323</v>
      </c>
      <c r="C1139">
        <v>235</v>
      </c>
      <c r="D1139" t="s">
        <v>268</v>
      </c>
      <c r="E1139">
        <v>1872</v>
      </c>
      <c r="F1139" t="s">
        <v>1555</v>
      </c>
      <c r="G1139">
        <v>5</v>
      </c>
      <c r="H1139">
        <v>0</v>
      </c>
      <c r="I1139">
        <v>0</v>
      </c>
      <c r="J1139">
        <v>5</v>
      </c>
      <c r="K1139">
        <v>0</v>
      </c>
      <c r="L1139">
        <v>0</v>
      </c>
      <c r="M1139">
        <v>0</v>
      </c>
      <c r="N1139" t="s">
        <v>566</v>
      </c>
      <c r="O1139" t="s">
        <v>336</v>
      </c>
    </row>
    <row r="1140" spans="1:15" x14ac:dyDescent="0.3">
      <c r="A1140">
        <v>548</v>
      </c>
      <c r="B1140" t="s">
        <v>323</v>
      </c>
      <c r="C1140">
        <v>235</v>
      </c>
      <c r="D1140" t="s">
        <v>268</v>
      </c>
      <c r="E1140">
        <v>1873</v>
      </c>
      <c r="F1140" t="s">
        <v>1556</v>
      </c>
      <c r="G1140">
        <v>10</v>
      </c>
      <c r="H1140">
        <v>1</v>
      </c>
      <c r="I1140">
        <v>0</v>
      </c>
      <c r="J1140">
        <v>6</v>
      </c>
      <c r="K1140">
        <v>0</v>
      </c>
      <c r="L1140">
        <v>1</v>
      </c>
      <c r="M1140">
        <v>2</v>
      </c>
      <c r="N1140" t="s">
        <v>410</v>
      </c>
      <c r="O1140" t="s">
        <v>336</v>
      </c>
    </row>
    <row r="1141" spans="1:15" x14ac:dyDescent="0.3">
      <c r="A1141">
        <v>550</v>
      </c>
      <c r="B1141" t="s">
        <v>323</v>
      </c>
      <c r="C1141">
        <v>237</v>
      </c>
      <c r="D1141" t="s">
        <v>272</v>
      </c>
      <c r="E1141">
        <v>459</v>
      </c>
      <c r="F1141" t="s">
        <v>393</v>
      </c>
      <c r="G1141">
        <v>3</v>
      </c>
      <c r="H1141">
        <v>0</v>
      </c>
      <c r="I1141">
        <v>0</v>
      </c>
      <c r="J1141">
        <v>1</v>
      </c>
      <c r="K1141">
        <v>2</v>
      </c>
      <c r="L1141">
        <v>0</v>
      </c>
      <c r="M1141">
        <v>0</v>
      </c>
      <c r="N1141" t="s">
        <v>325</v>
      </c>
      <c r="O1141" t="s">
        <v>326</v>
      </c>
    </row>
    <row r="1142" spans="1:15" x14ac:dyDescent="0.3">
      <c r="A1142">
        <v>550</v>
      </c>
      <c r="B1142" t="s">
        <v>323</v>
      </c>
      <c r="C1142">
        <v>237</v>
      </c>
      <c r="D1142" t="s">
        <v>272</v>
      </c>
      <c r="E1142">
        <v>460</v>
      </c>
      <c r="F1142" t="s">
        <v>1557</v>
      </c>
      <c r="G1142">
        <v>2</v>
      </c>
      <c r="H1142">
        <v>0</v>
      </c>
      <c r="I1142">
        <v>0</v>
      </c>
      <c r="J1142">
        <v>0</v>
      </c>
      <c r="K1142">
        <v>0</v>
      </c>
      <c r="L1142">
        <v>0</v>
      </c>
      <c r="M1142">
        <v>2</v>
      </c>
      <c r="N1142" t="s">
        <v>333</v>
      </c>
      <c r="O1142" t="s">
        <v>326</v>
      </c>
    </row>
    <row r="1143" spans="1:15" x14ac:dyDescent="0.3">
      <c r="A1143">
        <v>550</v>
      </c>
      <c r="B1143" t="s">
        <v>323</v>
      </c>
      <c r="C1143">
        <v>237</v>
      </c>
      <c r="D1143" t="s">
        <v>272</v>
      </c>
      <c r="E1143">
        <v>2088</v>
      </c>
      <c r="F1143" t="s">
        <v>1462</v>
      </c>
      <c r="G1143">
        <v>5</v>
      </c>
      <c r="H1143">
        <v>0</v>
      </c>
      <c r="I1143">
        <v>1</v>
      </c>
      <c r="J1143">
        <v>2</v>
      </c>
      <c r="K1143">
        <v>2</v>
      </c>
      <c r="L1143">
        <v>0</v>
      </c>
      <c r="M1143">
        <v>0</v>
      </c>
      <c r="N1143" t="s">
        <v>333</v>
      </c>
      <c r="O1143" t="s">
        <v>326</v>
      </c>
    </row>
    <row r="1144" spans="1:15" x14ac:dyDescent="0.3">
      <c r="A1144">
        <v>550</v>
      </c>
      <c r="B1144" t="s">
        <v>323</v>
      </c>
      <c r="C1144">
        <v>237</v>
      </c>
      <c r="D1144" t="s">
        <v>272</v>
      </c>
      <c r="E1144">
        <v>2089</v>
      </c>
      <c r="F1144" t="s">
        <v>485</v>
      </c>
      <c r="G1144">
        <v>3</v>
      </c>
      <c r="H1144">
        <v>0</v>
      </c>
      <c r="I1144">
        <v>1</v>
      </c>
      <c r="J1144">
        <v>0</v>
      </c>
      <c r="K1144">
        <v>1</v>
      </c>
      <c r="L1144">
        <v>0</v>
      </c>
      <c r="M1144">
        <v>1</v>
      </c>
      <c r="N1144" t="s">
        <v>333</v>
      </c>
      <c r="O1144" t="s">
        <v>326</v>
      </c>
    </row>
    <row r="1145" spans="1:15" x14ac:dyDescent="0.3">
      <c r="A1145">
        <v>552</v>
      </c>
      <c r="B1145" t="s">
        <v>323</v>
      </c>
      <c r="C1145">
        <v>239</v>
      </c>
      <c r="D1145" t="s">
        <v>276</v>
      </c>
      <c r="E1145">
        <v>1129</v>
      </c>
      <c r="F1145" t="s">
        <v>1109</v>
      </c>
      <c r="G1145">
        <v>7</v>
      </c>
      <c r="H1145">
        <v>0</v>
      </c>
      <c r="I1145">
        <v>0</v>
      </c>
      <c r="J1145">
        <v>2</v>
      </c>
      <c r="K1145">
        <v>2</v>
      </c>
      <c r="L1145">
        <v>2</v>
      </c>
      <c r="M1145">
        <v>1</v>
      </c>
      <c r="N1145" t="s">
        <v>325</v>
      </c>
      <c r="O1145" t="s">
        <v>484</v>
      </c>
    </row>
    <row r="1146" spans="1:15" x14ac:dyDescent="0.3">
      <c r="A1146">
        <v>552</v>
      </c>
      <c r="B1146" t="s">
        <v>323</v>
      </c>
      <c r="C1146">
        <v>239</v>
      </c>
      <c r="D1146" t="s">
        <v>276</v>
      </c>
      <c r="E1146">
        <v>1130</v>
      </c>
      <c r="F1146" t="s">
        <v>946</v>
      </c>
      <c r="G1146">
        <v>4</v>
      </c>
      <c r="H1146">
        <v>0</v>
      </c>
      <c r="I1146">
        <v>0</v>
      </c>
      <c r="J1146">
        <v>0</v>
      </c>
      <c r="K1146">
        <v>0</v>
      </c>
      <c r="L1146">
        <v>0</v>
      </c>
      <c r="M1146">
        <v>4</v>
      </c>
      <c r="N1146" t="s">
        <v>333</v>
      </c>
      <c r="O1146" t="s">
        <v>326</v>
      </c>
    </row>
    <row r="1147" spans="1:15" x14ac:dyDescent="0.3">
      <c r="A1147">
        <v>552</v>
      </c>
      <c r="B1147" t="s">
        <v>323</v>
      </c>
      <c r="C1147">
        <v>239</v>
      </c>
      <c r="D1147" t="s">
        <v>276</v>
      </c>
      <c r="E1147">
        <v>1131</v>
      </c>
      <c r="F1147" t="s">
        <v>1110</v>
      </c>
      <c r="G1147">
        <v>4</v>
      </c>
      <c r="H1147">
        <v>0</v>
      </c>
      <c r="I1147">
        <v>0</v>
      </c>
      <c r="J1147">
        <v>3</v>
      </c>
      <c r="K1147">
        <v>1</v>
      </c>
      <c r="L1147">
        <v>0</v>
      </c>
      <c r="M1147">
        <v>0</v>
      </c>
      <c r="N1147" t="s">
        <v>333</v>
      </c>
      <c r="O1147" t="s">
        <v>348</v>
      </c>
    </row>
    <row r="1148" spans="1:15" x14ac:dyDescent="0.3">
      <c r="A1148">
        <v>552</v>
      </c>
      <c r="B1148" t="s">
        <v>323</v>
      </c>
      <c r="C1148">
        <v>239</v>
      </c>
      <c r="D1148" t="s">
        <v>276</v>
      </c>
      <c r="E1148">
        <v>1132</v>
      </c>
      <c r="F1148" t="s">
        <v>1111</v>
      </c>
      <c r="G1148">
        <v>4</v>
      </c>
      <c r="H1148">
        <v>0</v>
      </c>
      <c r="I1148">
        <v>0</v>
      </c>
      <c r="J1148">
        <v>4</v>
      </c>
      <c r="K1148">
        <v>0</v>
      </c>
      <c r="L1148">
        <v>0</v>
      </c>
      <c r="M1148">
        <v>0</v>
      </c>
      <c r="N1148" t="s">
        <v>325</v>
      </c>
      <c r="O1148" t="s">
        <v>329</v>
      </c>
    </row>
    <row r="1149" spans="1:15" x14ac:dyDescent="0.3">
      <c r="A1149">
        <v>552</v>
      </c>
      <c r="B1149" t="s">
        <v>323</v>
      </c>
      <c r="C1149">
        <v>239</v>
      </c>
      <c r="D1149" t="s">
        <v>276</v>
      </c>
      <c r="E1149">
        <v>1133</v>
      </c>
      <c r="F1149" t="s">
        <v>353</v>
      </c>
      <c r="G1149">
        <v>3</v>
      </c>
      <c r="H1149">
        <v>0</v>
      </c>
      <c r="I1149">
        <v>0</v>
      </c>
      <c r="J1149">
        <v>1</v>
      </c>
      <c r="K1149">
        <v>2</v>
      </c>
      <c r="L1149">
        <v>0</v>
      </c>
      <c r="M1149">
        <v>0</v>
      </c>
      <c r="N1149" t="s">
        <v>333</v>
      </c>
      <c r="O1149" t="s">
        <v>326</v>
      </c>
    </row>
    <row r="1150" spans="1:15" x14ac:dyDescent="0.3">
      <c r="A1150">
        <v>552</v>
      </c>
      <c r="B1150" t="s">
        <v>323</v>
      </c>
      <c r="C1150">
        <v>239</v>
      </c>
      <c r="D1150" t="s">
        <v>276</v>
      </c>
      <c r="E1150">
        <v>1524</v>
      </c>
      <c r="F1150" t="s">
        <v>1112</v>
      </c>
      <c r="G1150">
        <v>4</v>
      </c>
      <c r="H1150">
        <v>0</v>
      </c>
      <c r="I1150">
        <v>0</v>
      </c>
      <c r="J1150">
        <v>3</v>
      </c>
      <c r="K1150">
        <v>1</v>
      </c>
      <c r="L1150">
        <v>0</v>
      </c>
      <c r="M1150">
        <v>0</v>
      </c>
      <c r="N1150" t="s">
        <v>325</v>
      </c>
      <c r="O1150" t="s">
        <v>348</v>
      </c>
    </row>
    <row r="1151" spans="1:15" x14ac:dyDescent="0.3">
      <c r="A1151">
        <v>552</v>
      </c>
      <c r="B1151" t="s">
        <v>323</v>
      </c>
      <c r="C1151">
        <v>239</v>
      </c>
      <c r="D1151" t="s">
        <v>276</v>
      </c>
      <c r="E1151">
        <v>1779</v>
      </c>
      <c r="F1151" t="s">
        <v>1560</v>
      </c>
      <c r="G1151">
        <v>5</v>
      </c>
      <c r="H1151">
        <v>0</v>
      </c>
      <c r="I1151">
        <v>0</v>
      </c>
      <c r="J1151">
        <v>3</v>
      </c>
      <c r="K1151">
        <v>2</v>
      </c>
      <c r="L1151">
        <v>0</v>
      </c>
      <c r="M1151">
        <v>0</v>
      </c>
      <c r="N1151" t="s">
        <v>333</v>
      </c>
      <c r="O1151" t="s">
        <v>326</v>
      </c>
    </row>
    <row r="1152" spans="1:15" x14ac:dyDescent="0.3">
      <c r="A1152">
        <v>552</v>
      </c>
      <c r="B1152" t="s">
        <v>323</v>
      </c>
      <c r="C1152">
        <v>239</v>
      </c>
      <c r="D1152" t="s">
        <v>276</v>
      </c>
      <c r="E1152">
        <v>2189</v>
      </c>
      <c r="F1152" t="s">
        <v>18121</v>
      </c>
      <c r="G1152">
        <v>20</v>
      </c>
      <c r="H1152">
        <v>0</v>
      </c>
      <c r="I1152">
        <v>0</v>
      </c>
      <c r="J1152">
        <v>0</v>
      </c>
      <c r="K1152">
        <v>0</v>
      </c>
      <c r="L1152">
        <v>0</v>
      </c>
      <c r="M1152">
        <v>20</v>
      </c>
      <c r="N1152" t="s">
        <v>333</v>
      </c>
      <c r="O1152" t="s">
        <v>336</v>
      </c>
    </row>
    <row r="1153" spans="1:15" x14ac:dyDescent="0.3">
      <c r="A1153">
        <v>554</v>
      </c>
      <c r="B1153" t="s">
        <v>323</v>
      </c>
      <c r="C1153">
        <v>241</v>
      </c>
      <c r="D1153" t="s">
        <v>280</v>
      </c>
      <c r="E1153">
        <v>2242</v>
      </c>
      <c r="F1153" t="s">
        <v>18122</v>
      </c>
      <c r="G1153">
        <v>18</v>
      </c>
      <c r="H1153">
        <v>0</v>
      </c>
      <c r="I1153">
        <v>4</v>
      </c>
      <c r="J1153">
        <v>12</v>
      </c>
      <c r="K1153">
        <v>0</v>
      </c>
      <c r="L1153">
        <v>0</v>
      </c>
      <c r="M1153">
        <v>2</v>
      </c>
      <c r="N1153" t="s">
        <v>410</v>
      </c>
      <c r="O1153" t="s">
        <v>326</v>
      </c>
    </row>
    <row r="1154" spans="1:15" x14ac:dyDescent="0.3">
      <c r="A1154">
        <v>554</v>
      </c>
      <c r="B1154" t="s">
        <v>323</v>
      </c>
      <c r="C1154">
        <v>241</v>
      </c>
      <c r="D1154" t="s">
        <v>280</v>
      </c>
      <c r="E1154">
        <v>2243</v>
      </c>
      <c r="F1154" t="s">
        <v>18123</v>
      </c>
      <c r="G1154">
        <v>30</v>
      </c>
      <c r="H1154">
        <v>0</v>
      </c>
      <c r="I1154">
        <v>0</v>
      </c>
      <c r="J1154">
        <v>0</v>
      </c>
      <c r="K1154">
        <v>0</v>
      </c>
      <c r="L1154">
        <v>0</v>
      </c>
      <c r="M1154">
        <v>30</v>
      </c>
      <c r="N1154" t="s">
        <v>566</v>
      </c>
      <c r="O1154" t="s">
        <v>329</v>
      </c>
    </row>
    <row r="1155" spans="1:15" x14ac:dyDescent="0.3">
      <c r="A1155">
        <v>554</v>
      </c>
      <c r="B1155" t="s">
        <v>323</v>
      </c>
      <c r="C1155">
        <v>241</v>
      </c>
      <c r="D1155" t="s">
        <v>280</v>
      </c>
      <c r="E1155">
        <v>2245</v>
      </c>
      <c r="F1155" t="s">
        <v>18124</v>
      </c>
      <c r="G1155">
        <v>14</v>
      </c>
      <c r="H1155">
        <v>0</v>
      </c>
      <c r="I1155">
        <v>0</v>
      </c>
      <c r="J1155">
        <v>0</v>
      </c>
      <c r="K1155">
        <v>0</v>
      </c>
      <c r="L1155">
        <v>0</v>
      </c>
      <c r="M1155">
        <v>14</v>
      </c>
      <c r="N1155" t="s">
        <v>333</v>
      </c>
      <c r="O1155" t="s">
        <v>326</v>
      </c>
    </row>
    <row r="1156" spans="1:15" x14ac:dyDescent="0.3">
      <c r="A1156">
        <v>554</v>
      </c>
      <c r="B1156" t="s">
        <v>323</v>
      </c>
      <c r="C1156">
        <v>241</v>
      </c>
      <c r="D1156" t="s">
        <v>280</v>
      </c>
      <c r="E1156">
        <v>2246</v>
      </c>
      <c r="F1156" t="s">
        <v>18125</v>
      </c>
      <c r="G1156">
        <v>19</v>
      </c>
      <c r="H1156">
        <v>0</v>
      </c>
      <c r="I1156">
        <v>0</v>
      </c>
      <c r="J1156">
        <v>0</v>
      </c>
      <c r="K1156">
        <v>0</v>
      </c>
      <c r="L1156">
        <v>0</v>
      </c>
      <c r="M1156">
        <v>19</v>
      </c>
      <c r="N1156" t="s">
        <v>333</v>
      </c>
      <c r="O1156" t="s">
        <v>326</v>
      </c>
    </row>
    <row r="1157" spans="1:15" x14ac:dyDescent="0.3">
      <c r="A1157">
        <v>554</v>
      </c>
      <c r="B1157" t="s">
        <v>323</v>
      </c>
      <c r="C1157">
        <v>241</v>
      </c>
      <c r="D1157" t="s">
        <v>280</v>
      </c>
      <c r="E1157">
        <v>2248</v>
      </c>
      <c r="F1157" t="s">
        <v>18126</v>
      </c>
      <c r="G1157">
        <v>14</v>
      </c>
      <c r="H1157">
        <v>0</v>
      </c>
      <c r="I1157">
        <v>0</v>
      </c>
      <c r="J1157">
        <v>0</v>
      </c>
      <c r="K1157">
        <v>0</v>
      </c>
      <c r="L1157">
        <v>0</v>
      </c>
      <c r="M1157">
        <v>14</v>
      </c>
      <c r="N1157" t="s">
        <v>333</v>
      </c>
      <c r="O1157" t="s">
        <v>326</v>
      </c>
    </row>
    <row r="1158" spans="1:15" x14ac:dyDescent="0.3">
      <c r="A1158">
        <v>556</v>
      </c>
      <c r="B1158" t="s">
        <v>323</v>
      </c>
      <c r="C1158">
        <v>243</v>
      </c>
      <c r="D1158" t="s">
        <v>284</v>
      </c>
      <c r="E1158">
        <v>1844</v>
      </c>
      <c r="F1158" t="s">
        <v>1561</v>
      </c>
      <c r="G1158">
        <v>6</v>
      </c>
      <c r="H1158">
        <v>0</v>
      </c>
      <c r="I1158">
        <v>1</v>
      </c>
      <c r="J1158">
        <v>2</v>
      </c>
      <c r="K1158">
        <v>3</v>
      </c>
      <c r="L1158">
        <v>0</v>
      </c>
      <c r="M1158">
        <v>0</v>
      </c>
      <c r="N1158" t="s">
        <v>410</v>
      </c>
      <c r="O1158" t="s">
        <v>336</v>
      </c>
    </row>
    <row r="1159" spans="1:15" x14ac:dyDescent="0.3">
      <c r="A1159">
        <v>556</v>
      </c>
      <c r="B1159" t="s">
        <v>323</v>
      </c>
      <c r="C1159">
        <v>243</v>
      </c>
      <c r="D1159" t="s">
        <v>284</v>
      </c>
      <c r="E1159">
        <v>2029</v>
      </c>
      <c r="F1159" t="s">
        <v>18127</v>
      </c>
      <c r="G1159">
        <v>20</v>
      </c>
      <c r="H1159">
        <v>0</v>
      </c>
      <c r="I1159">
        <v>3</v>
      </c>
      <c r="J1159">
        <v>4</v>
      </c>
      <c r="K1159">
        <v>5</v>
      </c>
      <c r="L1159">
        <v>7</v>
      </c>
      <c r="M1159">
        <v>1</v>
      </c>
      <c r="N1159" t="s">
        <v>325</v>
      </c>
      <c r="O1159" t="s">
        <v>326</v>
      </c>
    </row>
    <row r="1160" spans="1:15" x14ac:dyDescent="0.3">
      <c r="A1160">
        <v>556</v>
      </c>
      <c r="B1160" t="s">
        <v>323</v>
      </c>
      <c r="C1160">
        <v>243</v>
      </c>
      <c r="D1160" t="s">
        <v>284</v>
      </c>
      <c r="E1160">
        <v>2030</v>
      </c>
      <c r="F1160" t="s">
        <v>18128</v>
      </c>
      <c r="G1160">
        <v>9</v>
      </c>
      <c r="H1160">
        <v>0</v>
      </c>
      <c r="I1160">
        <v>1</v>
      </c>
      <c r="J1160">
        <v>2</v>
      </c>
      <c r="K1160">
        <v>1</v>
      </c>
      <c r="L1160">
        <v>4</v>
      </c>
      <c r="M1160">
        <v>1</v>
      </c>
      <c r="N1160" t="s">
        <v>333</v>
      </c>
      <c r="O1160" t="s">
        <v>326</v>
      </c>
    </row>
    <row r="1161" spans="1:15" x14ac:dyDescent="0.3">
      <c r="A1161">
        <v>556</v>
      </c>
      <c r="B1161" t="s">
        <v>323</v>
      </c>
      <c r="C1161">
        <v>243</v>
      </c>
      <c r="D1161" t="s">
        <v>284</v>
      </c>
      <c r="E1161">
        <v>2031</v>
      </c>
      <c r="F1161" t="s">
        <v>788</v>
      </c>
      <c r="G1161">
        <v>45</v>
      </c>
      <c r="H1161">
        <v>4</v>
      </c>
      <c r="I1161">
        <v>4</v>
      </c>
      <c r="J1161">
        <v>15</v>
      </c>
      <c r="K1161">
        <v>8</v>
      </c>
      <c r="L1161">
        <v>12</v>
      </c>
      <c r="M1161">
        <v>2</v>
      </c>
      <c r="N1161" t="s">
        <v>333</v>
      </c>
      <c r="O1161" t="s">
        <v>326</v>
      </c>
    </row>
    <row r="1162" spans="1:15" x14ac:dyDescent="0.3">
      <c r="A1162">
        <v>556</v>
      </c>
      <c r="B1162" t="s">
        <v>323</v>
      </c>
      <c r="C1162">
        <v>243</v>
      </c>
      <c r="D1162" t="s">
        <v>284</v>
      </c>
      <c r="E1162">
        <v>2032</v>
      </c>
      <c r="F1162" t="s">
        <v>937</v>
      </c>
      <c r="G1162">
        <v>4</v>
      </c>
      <c r="H1162">
        <v>0</v>
      </c>
      <c r="I1162">
        <v>0</v>
      </c>
      <c r="J1162">
        <v>1</v>
      </c>
      <c r="K1162">
        <v>0</v>
      </c>
      <c r="L1162">
        <v>3</v>
      </c>
      <c r="M1162">
        <v>0</v>
      </c>
      <c r="N1162" t="s">
        <v>333</v>
      </c>
      <c r="O1162" t="s">
        <v>326</v>
      </c>
    </row>
    <row r="1163" spans="1:15" x14ac:dyDescent="0.3">
      <c r="A1163">
        <v>560</v>
      </c>
      <c r="B1163" t="s">
        <v>323</v>
      </c>
      <c r="C1163">
        <v>247</v>
      </c>
      <c r="D1163" t="s">
        <v>292</v>
      </c>
      <c r="E1163">
        <v>1408</v>
      </c>
      <c r="F1163" t="s">
        <v>376</v>
      </c>
      <c r="G1163">
        <v>3</v>
      </c>
      <c r="H1163">
        <v>0</v>
      </c>
      <c r="I1163">
        <v>0</v>
      </c>
      <c r="J1163">
        <v>0</v>
      </c>
      <c r="K1163">
        <v>0</v>
      </c>
      <c r="L1163">
        <v>0</v>
      </c>
      <c r="M1163">
        <v>3</v>
      </c>
      <c r="N1163" t="s">
        <v>333</v>
      </c>
      <c r="O1163" t="s">
        <v>326</v>
      </c>
    </row>
    <row r="1164" spans="1:15" x14ac:dyDescent="0.3">
      <c r="A1164">
        <v>560</v>
      </c>
      <c r="B1164" t="s">
        <v>323</v>
      </c>
      <c r="C1164">
        <v>247</v>
      </c>
      <c r="D1164" t="s">
        <v>292</v>
      </c>
      <c r="E1164">
        <v>1409</v>
      </c>
      <c r="F1164" t="s">
        <v>1113</v>
      </c>
      <c r="G1164">
        <v>2</v>
      </c>
      <c r="H1164">
        <v>0</v>
      </c>
      <c r="I1164">
        <v>0</v>
      </c>
      <c r="J1164">
        <v>1</v>
      </c>
      <c r="K1164">
        <v>0</v>
      </c>
      <c r="L1164">
        <v>0</v>
      </c>
      <c r="M1164">
        <v>1</v>
      </c>
      <c r="N1164" t="s">
        <v>333</v>
      </c>
      <c r="O1164" t="s">
        <v>348</v>
      </c>
    </row>
    <row r="1165" spans="1:15" x14ac:dyDescent="0.3">
      <c r="A1165">
        <v>560</v>
      </c>
      <c r="B1165" t="s">
        <v>323</v>
      </c>
      <c r="C1165">
        <v>247</v>
      </c>
      <c r="D1165" t="s">
        <v>292</v>
      </c>
      <c r="E1165">
        <v>1410</v>
      </c>
      <c r="F1165" t="s">
        <v>640</v>
      </c>
      <c r="G1165">
        <v>4</v>
      </c>
      <c r="H1165">
        <v>0</v>
      </c>
      <c r="I1165">
        <v>0</v>
      </c>
      <c r="J1165">
        <v>0</v>
      </c>
      <c r="K1165">
        <v>0</v>
      </c>
      <c r="L1165">
        <v>0</v>
      </c>
      <c r="M1165">
        <v>4</v>
      </c>
      <c r="N1165" t="s">
        <v>333</v>
      </c>
      <c r="O1165" t="s">
        <v>326</v>
      </c>
    </row>
    <row r="1166" spans="1:15" x14ac:dyDescent="0.3">
      <c r="A1166">
        <v>566</v>
      </c>
      <c r="B1166" t="s">
        <v>323</v>
      </c>
      <c r="C1166">
        <v>254</v>
      </c>
      <c r="D1166" t="s">
        <v>1202</v>
      </c>
      <c r="E1166">
        <v>1825</v>
      </c>
      <c r="F1166" t="s">
        <v>647</v>
      </c>
      <c r="G1166">
        <v>2</v>
      </c>
      <c r="H1166">
        <v>0</v>
      </c>
      <c r="I1166">
        <v>0</v>
      </c>
      <c r="J1166">
        <v>0</v>
      </c>
      <c r="K1166">
        <v>0</v>
      </c>
      <c r="L1166">
        <v>2</v>
      </c>
      <c r="M1166">
        <v>0</v>
      </c>
      <c r="N1166" t="s">
        <v>333</v>
      </c>
      <c r="O1166" t="s">
        <v>336</v>
      </c>
    </row>
    <row r="1167" spans="1:15" x14ac:dyDescent="0.3">
      <c r="A1167">
        <v>566</v>
      </c>
      <c r="B1167" t="s">
        <v>323</v>
      </c>
      <c r="C1167">
        <v>254</v>
      </c>
      <c r="D1167" t="s">
        <v>1202</v>
      </c>
      <c r="E1167">
        <v>1826</v>
      </c>
      <c r="F1167" t="s">
        <v>393</v>
      </c>
      <c r="G1167">
        <v>4</v>
      </c>
      <c r="H1167">
        <v>0</v>
      </c>
      <c r="I1167">
        <v>2</v>
      </c>
      <c r="J1167">
        <v>0</v>
      </c>
      <c r="K1167">
        <v>0</v>
      </c>
      <c r="L1167">
        <v>2</v>
      </c>
      <c r="M1167">
        <v>0</v>
      </c>
      <c r="N1167" t="s">
        <v>325</v>
      </c>
      <c r="O1167" t="s">
        <v>336</v>
      </c>
    </row>
    <row r="1168" spans="1:15" x14ac:dyDescent="0.3">
      <c r="A1168">
        <v>566</v>
      </c>
      <c r="B1168" t="s">
        <v>323</v>
      </c>
      <c r="C1168">
        <v>254</v>
      </c>
      <c r="D1168" t="s">
        <v>1202</v>
      </c>
      <c r="E1168">
        <v>1827</v>
      </c>
      <c r="F1168" t="s">
        <v>1570</v>
      </c>
      <c r="G1168">
        <v>6</v>
      </c>
      <c r="H1168">
        <v>1</v>
      </c>
      <c r="I1168">
        <v>4</v>
      </c>
      <c r="J1168">
        <v>0</v>
      </c>
      <c r="K1168">
        <v>0</v>
      </c>
      <c r="L1168">
        <v>1</v>
      </c>
      <c r="M1168">
        <v>0</v>
      </c>
      <c r="N1168" t="s">
        <v>333</v>
      </c>
      <c r="O1168" t="s">
        <v>336</v>
      </c>
    </row>
    <row r="1169" spans="1:15" x14ac:dyDescent="0.3">
      <c r="A1169">
        <v>566</v>
      </c>
      <c r="B1169" t="s">
        <v>323</v>
      </c>
      <c r="C1169">
        <v>254</v>
      </c>
      <c r="D1169" t="s">
        <v>1202</v>
      </c>
      <c r="E1169">
        <v>1830</v>
      </c>
      <c r="F1169" t="s">
        <v>1573</v>
      </c>
      <c r="G1169">
        <v>10</v>
      </c>
      <c r="H1169">
        <v>1</v>
      </c>
      <c r="I1169">
        <v>3</v>
      </c>
      <c r="J1169">
        <v>0</v>
      </c>
      <c r="K1169">
        <v>0</v>
      </c>
      <c r="L1169">
        <v>5</v>
      </c>
      <c r="M1169">
        <v>1</v>
      </c>
      <c r="N1169" t="s">
        <v>333</v>
      </c>
      <c r="O1169" t="s">
        <v>336</v>
      </c>
    </row>
    <row r="1170" spans="1:15" x14ac:dyDescent="0.3">
      <c r="A1170">
        <v>567</v>
      </c>
      <c r="B1170" t="s">
        <v>323</v>
      </c>
      <c r="C1170">
        <v>255</v>
      </c>
      <c r="D1170" t="s">
        <v>1204</v>
      </c>
      <c r="E1170">
        <v>2017</v>
      </c>
      <c r="F1170" t="s">
        <v>1575</v>
      </c>
      <c r="G1170">
        <v>2</v>
      </c>
      <c r="H1170">
        <v>0</v>
      </c>
      <c r="I1170">
        <v>0</v>
      </c>
      <c r="J1170">
        <v>1</v>
      </c>
      <c r="K1170">
        <v>0</v>
      </c>
      <c r="L1170">
        <v>1</v>
      </c>
      <c r="M1170">
        <v>0</v>
      </c>
      <c r="N1170" t="s">
        <v>325</v>
      </c>
      <c r="O1170" t="s">
        <v>336</v>
      </c>
    </row>
    <row r="1171" spans="1:15" x14ac:dyDescent="0.3">
      <c r="A1171">
        <v>567</v>
      </c>
      <c r="B1171" t="s">
        <v>323</v>
      </c>
      <c r="C1171">
        <v>255</v>
      </c>
      <c r="D1171" t="s">
        <v>1204</v>
      </c>
      <c r="E1171">
        <v>2019</v>
      </c>
      <c r="F1171" t="s">
        <v>1577</v>
      </c>
      <c r="G1171">
        <v>4</v>
      </c>
      <c r="H1171">
        <v>0</v>
      </c>
      <c r="I1171">
        <v>1</v>
      </c>
      <c r="J1171">
        <v>0</v>
      </c>
      <c r="K1171">
        <v>0</v>
      </c>
      <c r="L1171">
        <v>0</v>
      </c>
      <c r="M1171">
        <v>3</v>
      </c>
      <c r="N1171" t="s">
        <v>333</v>
      </c>
      <c r="O1171" t="s">
        <v>336</v>
      </c>
    </row>
    <row r="1172" spans="1:15" x14ac:dyDescent="0.3">
      <c r="A1172">
        <v>567</v>
      </c>
      <c r="B1172" t="s">
        <v>323</v>
      </c>
      <c r="C1172">
        <v>255</v>
      </c>
      <c r="D1172" t="s">
        <v>1204</v>
      </c>
      <c r="E1172">
        <v>2020</v>
      </c>
      <c r="F1172" t="s">
        <v>1578</v>
      </c>
      <c r="G1172">
        <v>6</v>
      </c>
      <c r="H1172">
        <v>0</v>
      </c>
      <c r="I1172">
        <v>0</v>
      </c>
      <c r="J1172">
        <v>3</v>
      </c>
      <c r="K1172">
        <v>0</v>
      </c>
      <c r="L1172">
        <v>1</v>
      </c>
      <c r="M1172">
        <v>2</v>
      </c>
      <c r="N1172" t="s">
        <v>325</v>
      </c>
      <c r="O1172" t="s">
        <v>336</v>
      </c>
    </row>
    <row r="1173" spans="1:15" x14ac:dyDescent="0.3">
      <c r="A1173">
        <v>567</v>
      </c>
      <c r="B1173" t="s">
        <v>323</v>
      </c>
      <c r="C1173">
        <v>255</v>
      </c>
      <c r="D1173" t="s">
        <v>1204</v>
      </c>
      <c r="E1173">
        <v>2021</v>
      </c>
      <c r="F1173" t="s">
        <v>1579</v>
      </c>
      <c r="G1173">
        <v>4</v>
      </c>
      <c r="H1173">
        <v>0</v>
      </c>
      <c r="I1173">
        <v>1</v>
      </c>
      <c r="J1173">
        <v>1</v>
      </c>
      <c r="K1173">
        <v>1</v>
      </c>
      <c r="L1173">
        <v>1</v>
      </c>
      <c r="M1173">
        <v>0</v>
      </c>
      <c r="N1173" t="s">
        <v>410</v>
      </c>
      <c r="O1173" t="s">
        <v>348</v>
      </c>
    </row>
    <row r="1174" spans="1:15" x14ac:dyDescent="0.3">
      <c r="A1174">
        <v>567</v>
      </c>
      <c r="B1174" t="s">
        <v>323</v>
      </c>
      <c r="C1174">
        <v>255</v>
      </c>
      <c r="D1174" t="s">
        <v>1204</v>
      </c>
      <c r="E1174">
        <v>2023</v>
      </c>
      <c r="F1174" t="s">
        <v>1581</v>
      </c>
      <c r="G1174">
        <v>2</v>
      </c>
      <c r="H1174">
        <v>0</v>
      </c>
      <c r="I1174">
        <v>0</v>
      </c>
      <c r="J1174">
        <v>0</v>
      </c>
      <c r="K1174">
        <v>0</v>
      </c>
      <c r="L1174">
        <v>0</v>
      </c>
      <c r="M1174">
        <v>2</v>
      </c>
      <c r="N1174" t="s">
        <v>333</v>
      </c>
      <c r="O1174" t="s">
        <v>336</v>
      </c>
    </row>
    <row r="1175" spans="1:15" x14ac:dyDescent="0.3">
      <c r="A1175">
        <v>567</v>
      </c>
      <c r="B1175" t="s">
        <v>323</v>
      </c>
      <c r="C1175">
        <v>255</v>
      </c>
      <c r="D1175" t="s">
        <v>1204</v>
      </c>
      <c r="E1175">
        <v>2108</v>
      </c>
      <c r="F1175" t="s">
        <v>486</v>
      </c>
      <c r="G1175">
        <v>6</v>
      </c>
      <c r="H1175">
        <v>0</v>
      </c>
      <c r="I1175">
        <v>3</v>
      </c>
      <c r="J1175">
        <v>2</v>
      </c>
      <c r="K1175">
        <v>0</v>
      </c>
      <c r="L1175">
        <v>1</v>
      </c>
      <c r="M1175">
        <v>0</v>
      </c>
      <c r="N1175" t="s">
        <v>333</v>
      </c>
      <c r="O1175" t="s">
        <v>336</v>
      </c>
    </row>
    <row r="1176" spans="1:15" x14ac:dyDescent="0.3">
      <c r="A1176">
        <v>567</v>
      </c>
      <c r="B1176" t="s">
        <v>323</v>
      </c>
      <c r="C1176">
        <v>255</v>
      </c>
      <c r="D1176" t="s">
        <v>1204</v>
      </c>
      <c r="E1176">
        <v>2109</v>
      </c>
      <c r="F1176" t="s">
        <v>18129</v>
      </c>
      <c r="G1176">
        <v>5</v>
      </c>
      <c r="H1176">
        <v>0</v>
      </c>
      <c r="I1176">
        <v>0</v>
      </c>
      <c r="J1176">
        <v>4</v>
      </c>
      <c r="K1176">
        <v>1</v>
      </c>
      <c r="L1176">
        <v>0</v>
      </c>
      <c r="M1176">
        <v>0</v>
      </c>
      <c r="N1176" t="s">
        <v>333</v>
      </c>
      <c r="O1176" t="s">
        <v>336</v>
      </c>
    </row>
    <row r="1177" spans="1:15" x14ac:dyDescent="0.3">
      <c r="A1177">
        <v>567</v>
      </c>
      <c r="B1177" t="s">
        <v>323</v>
      </c>
      <c r="C1177">
        <v>255</v>
      </c>
      <c r="D1177" t="s">
        <v>1204</v>
      </c>
      <c r="E1177">
        <v>2110</v>
      </c>
      <c r="F1177" t="s">
        <v>485</v>
      </c>
      <c r="G1177">
        <v>5</v>
      </c>
      <c r="H1177">
        <v>1</v>
      </c>
      <c r="I1177">
        <v>0</v>
      </c>
      <c r="J1177">
        <v>3</v>
      </c>
      <c r="K1177">
        <v>1</v>
      </c>
      <c r="L1177">
        <v>0</v>
      </c>
      <c r="M1177">
        <v>0</v>
      </c>
      <c r="N1177" t="s">
        <v>333</v>
      </c>
      <c r="O1177" t="s">
        <v>326</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3264F-D36A-4E44-AB3C-589728D356D8}">
  <sheetPr codeName="Sheet11">
    <tabColor rgb="FFF2F0F5"/>
  </sheetPr>
  <dimension ref="A1:I72"/>
  <sheetViews>
    <sheetView showGridLines="0" zoomScale="80" zoomScaleNormal="80" workbookViewId="0"/>
  </sheetViews>
  <sheetFormatPr defaultColWidth="0" defaultRowHeight="14.4" x14ac:dyDescent="0.3"/>
  <cols>
    <col min="1" max="1" width="38.21875" bestFit="1" customWidth="1"/>
    <col min="2" max="2" width="16.88671875" bestFit="1" customWidth="1"/>
    <col min="3" max="3" width="17.6640625" bestFit="1" customWidth="1"/>
    <col min="4" max="5" width="17.21875" bestFit="1" customWidth="1"/>
    <col min="6" max="6" width="21.88671875" bestFit="1" customWidth="1"/>
    <col min="7" max="9" width="8.88671875" customWidth="1"/>
    <col min="10" max="16384" width="8.88671875" hidden="1"/>
  </cols>
  <sheetData>
    <row r="1" spans="1:6" x14ac:dyDescent="0.3">
      <c r="A1" s="1" t="s">
        <v>1192</v>
      </c>
      <c r="B1" t="s">
        <v>1142</v>
      </c>
      <c r="C1" t="s">
        <v>1143</v>
      </c>
      <c r="D1" t="s">
        <v>1144</v>
      </c>
      <c r="E1" t="s">
        <v>1145</v>
      </c>
      <c r="F1" t="s">
        <v>1146</v>
      </c>
    </row>
    <row r="2" spans="1:6" x14ac:dyDescent="0.3">
      <c r="A2" s="2" t="s">
        <v>130</v>
      </c>
      <c r="B2" s="10">
        <v>11</v>
      </c>
      <c r="C2" s="10">
        <v>23</v>
      </c>
      <c r="D2" s="10">
        <v>46</v>
      </c>
      <c r="E2" s="10">
        <v>24</v>
      </c>
      <c r="F2" s="10">
        <v>14</v>
      </c>
    </row>
    <row r="3" spans="1:6" x14ac:dyDescent="0.3">
      <c r="A3" s="2" t="s">
        <v>173</v>
      </c>
      <c r="B3" s="10">
        <v>24</v>
      </c>
      <c r="C3" s="10">
        <v>21</v>
      </c>
      <c r="D3" s="10">
        <v>50</v>
      </c>
      <c r="E3" s="10">
        <v>65</v>
      </c>
      <c r="F3" s="10">
        <v>24</v>
      </c>
    </row>
    <row r="4" spans="1:6" x14ac:dyDescent="0.3">
      <c r="A4" s="2" t="s">
        <v>218</v>
      </c>
      <c r="B4" s="10">
        <v>0</v>
      </c>
      <c r="C4" s="10">
        <v>1</v>
      </c>
      <c r="D4" s="10">
        <v>3</v>
      </c>
      <c r="E4" s="10">
        <v>5</v>
      </c>
      <c r="F4" s="10">
        <v>0</v>
      </c>
    </row>
    <row r="5" spans="1:6" x14ac:dyDescent="0.3">
      <c r="A5" s="2" t="s">
        <v>133</v>
      </c>
      <c r="B5" s="10">
        <v>24</v>
      </c>
      <c r="C5" s="10">
        <v>47</v>
      </c>
      <c r="D5" s="10">
        <v>58</v>
      </c>
      <c r="E5" s="10">
        <v>31</v>
      </c>
      <c r="F5" s="10">
        <v>30</v>
      </c>
    </row>
    <row r="6" spans="1:6" x14ac:dyDescent="0.3">
      <c r="A6" s="2" t="s">
        <v>103</v>
      </c>
      <c r="B6" s="10">
        <v>0</v>
      </c>
      <c r="C6" s="10">
        <v>0</v>
      </c>
      <c r="D6" s="10">
        <v>5</v>
      </c>
      <c r="E6" s="10">
        <v>4</v>
      </c>
      <c r="F6" s="10">
        <v>2</v>
      </c>
    </row>
    <row r="7" spans="1:6" x14ac:dyDescent="0.3">
      <c r="A7" s="2" t="s">
        <v>135</v>
      </c>
      <c r="B7" s="10">
        <v>10</v>
      </c>
      <c r="C7" s="10">
        <v>5</v>
      </c>
      <c r="D7" s="10">
        <v>0</v>
      </c>
      <c r="E7" s="10">
        <v>3</v>
      </c>
      <c r="F7" s="10">
        <v>0</v>
      </c>
    </row>
    <row r="8" spans="1:6" x14ac:dyDescent="0.3">
      <c r="A8" s="2" t="s">
        <v>137</v>
      </c>
      <c r="B8" s="10">
        <v>39</v>
      </c>
      <c r="C8" s="10">
        <v>48</v>
      </c>
      <c r="D8" s="10">
        <v>72</v>
      </c>
      <c r="E8" s="10">
        <v>39</v>
      </c>
      <c r="F8" s="10">
        <v>14</v>
      </c>
    </row>
    <row r="9" spans="1:6" x14ac:dyDescent="0.3">
      <c r="A9" s="2" t="s">
        <v>176</v>
      </c>
      <c r="B9" s="10">
        <v>42</v>
      </c>
      <c r="C9" s="10">
        <v>85</v>
      </c>
      <c r="D9" s="10">
        <v>69</v>
      </c>
      <c r="E9" s="10">
        <v>31</v>
      </c>
      <c r="F9" s="10">
        <v>9</v>
      </c>
    </row>
    <row r="10" spans="1:6" x14ac:dyDescent="0.3">
      <c r="A10" s="2" t="s">
        <v>139</v>
      </c>
      <c r="B10" s="10">
        <v>60</v>
      </c>
      <c r="C10" s="10">
        <v>43</v>
      </c>
      <c r="D10" s="10">
        <v>21</v>
      </c>
      <c r="E10" s="10">
        <v>6</v>
      </c>
      <c r="F10" s="10">
        <v>0</v>
      </c>
    </row>
    <row r="11" spans="1:6" x14ac:dyDescent="0.3">
      <c r="A11" s="2" t="s">
        <v>13</v>
      </c>
      <c r="B11" s="10">
        <v>0</v>
      </c>
      <c r="C11" s="10">
        <v>0</v>
      </c>
      <c r="D11" s="10">
        <v>0</v>
      </c>
      <c r="E11" s="10">
        <v>0</v>
      </c>
      <c r="F11" s="10">
        <v>0</v>
      </c>
    </row>
    <row r="12" spans="1:6" x14ac:dyDescent="0.3">
      <c r="A12" s="2" t="s">
        <v>141</v>
      </c>
      <c r="B12" s="10">
        <v>16</v>
      </c>
      <c r="C12" s="10">
        <v>19</v>
      </c>
      <c r="D12" s="10">
        <v>6</v>
      </c>
      <c r="E12" s="10">
        <v>12</v>
      </c>
      <c r="F12" s="10">
        <v>1</v>
      </c>
    </row>
    <row r="13" spans="1:6" x14ac:dyDescent="0.3">
      <c r="A13" s="2" t="s">
        <v>180</v>
      </c>
      <c r="B13" s="10">
        <v>30</v>
      </c>
      <c r="C13" s="10">
        <v>25</v>
      </c>
      <c r="D13" s="10">
        <v>35</v>
      </c>
      <c r="E13" s="10">
        <v>22</v>
      </c>
      <c r="F13" s="10">
        <v>19</v>
      </c>
    </row>
    <row r="14" spans="1:6" x14ac:dyDescent="0.3">
      <c r="A14" s="2" t="s">
        <v>212</v>
      </c>
      <c r="B14" s="10">
        <v>1</v>
      </c>
      <c r="C14" s="10">
        <v>5</v>
      </c>
      <c r="D14" s="10">
        <v>11</v>
      </c>
      <c r="E14" s="10">
        <v>11</v>
      </c>
      <c r="F14" s="10">
        <v>6</v>
      </c>
    </row>
    <row r="15" spans="1:6" x14ac:dyDescent="0.3">
      <c r="A15" s="2" t="s">
        <v>145</v>
      </c>
      <c r="B15" s="10"/>
      <c r="C15" s="10"/>
      <c r="D15" s="10"/>
      <c r="E15" s="10"/>
      <c r="F15" s="10"/>
    </row>
    <row r="16" spans="1:6" x14ac:dyDescent="0.3">
      <c r="A16" s="2" t="s">
        <v>18</v>
      </c>
      <c r="B16" s="10">
        <v>14</v>
      </c>
      <c r="C16" s="10">
        <v>16</v>
      </c>
      <c r="D16" s="10">
        <v>18</v>
      </c>
      <c r="E16" s="10">
        <v>7</v>
      </c>
      <c r="F16" s="10">
        <v>13</v>
      </c>
    </row>
    <row r="17" spans="1:6" x14ac:dyDescent="0.3">
      <c r="A17" s="2" t="s">
        <v>35</v>
      </c>
      <c r="B17" s="10">
        <v>2</v>
      </c>
      <c r="C17" s="10">
        <v>2</v>
      </c>
      <c r="D17" s="10">
        <v>2</v>
      </c>
      <c r="E17" s="10">
        <v>3</v>
      </c>
      <c r="F17" s="10">
        <v>16</v>
      </c>
    </row>
    <row r="18" spans="1:6" x14ac:dyDescent="0.3">
      <c r="A18" s="2" t="s">
        <v>37</v>
      </c>
      <c r="B18" s="10">
        <v>22</v>
      </c>
      <c r="C18" s="10">
        <v>25</v>
      </c>
      <c r="D18" s="10">
        <v>38</v>
      </c>
      <c r="E18" s="10">
        <v>19</v>
      </c>
      <c r="F18" s="10">
        <v>42</v>
      </c>
    </row>
    <row r="19" spans="1:6" x14ac:dyDescent="0.3">
      <c r="A19" s="2" t="s">
        <v>147</v>
      </c>
      <c r="B19" s="10">
        <v>22</v>
      </c>
      <c r="C19" s="10">
        <v>33</v>
      </c>
      <c r="D19" s="10">
        <v>21</v>
      </c>
      <c r="E19" s="10">
        <v>20</v>
      </c>
      <c r="F19" s="10">
        <v>9</v>
      </c>
    </row>
    <row r="20" spans="1:6" x14ac:dyDescent="0.3">
      <c r="A20" s="2" t="s">
        <v>268</v>
      </c>
      <c r="B20" s="10">
        <v>2</v>
      </c>
      <c r="C20" s="10">
        <v>3</v>
      </c>
      <c r="D20" s="10">
        <v>3</v>
      </c>
      <c r="E20" s="10">
        <v>0</v>
      </c>
      <c r="F20" s="10">
        <v>2</v>
      </c>
    </row>
    <row r="21" spans="1:6" x14ac:dyDescent="0.3">
      <c r="A21" s="2" t="s">
        <v>41</v>
      </c>
      <c r="B21" s="10"/>
      <c r="C21" s="10"/>
      <c r="D21" s="10"/>
      <c r="E21" s="10"/>
      <c r="F21" s="10"/>
    </row>
    <row r="22" spans="1:6" x14ac:dyDescent="0.3">
      <c r="A22" s="2" t="s">
        <v>23</v>
      </c>
      <c r="B22" s="10">
        <v>1</v>
      </c>
      <c r="C22" s="10">
        <v>1</v>
      </c>
      <c r="D22" s="10">
        <v>0</v>
      </c>
      <c r="E22" s="10">
        <v>9</v>
      </c>
      <c r="F22" s="10">
        <v>24</v>
      </c>
    </row>
    <row r="23" spans="1:6" x14ac:dyDescent="0.3">
      <c r="A23" s="2" t="s">
        <v>25</v>
      </c>
      <c r="B23" s="10"/>
      <c r="C23" s="10"/>
      <c r="D23" s="10"/>
      <c r="E23" s="10"/>
      <c r="F23" s="10"/>
    </row>
    <row r="24" spans="1:6" x14ac:dyDescent="0.3">
      <c r="A24" s="2" t="s">
        <v>27</v>
      </c>
      <c r="B24" s="10">
        <v>1</v>
      </c>
      <c r="C24" s="10">
        <v>0</v>
      </c>
      <c r="D24" s="10">
        <v>1</v>
      </c>
      <c r="E24" s="10">
        <v>3</v>
      </c>
      <c r="F24" s="10">
        <v>15</v>
      </c>
    </row>
    <row r="25" spans="1:6" x14ac:dyDescent="0.3">
      <c r="A25" s="2" t="s">
        <v>29</v>
      </c>
      <c r="B25" s="10"/>
      <c r="C25" s="10"/>
      <c r="D25" s="10"/>
      <c r="E25" s="10"/>
      <c r="F25" s="10"/>
    </row>
    <row r="26" spans="1:6" x14ac:dyDescent="0.3">
      <c r="A26" s="2" t="s">
        <v>47</v>
      </c>
      <c r="B26" s="10">
        <v>7</v>
      </c>
      <c r="C26" s="10">
        <v>11</v>
      </c>
      <c r="D26" s="10">
        <v>22</v>
      </c>
      <c r="E26" s="10">
        <v>9</v>
      </c>
      <c r="F26" s="10">
        <v>0</v>
      </c>
    </row>
    <row r="27" spans="1:6" x14ac:dyDescent="0.3">
      <c r="A27" s="2" t="s">
        <v>49</v>
      </c>
      <c r="B27" s="10">
        <v>3</v>
      </c>
      <c r="C27" s="10">
        <v>7</v>
      </c>
      <c r="D27" s="10">
        <v>7</v>
      </c>
      <c r="E27" s="10">
        <v>6</v>
      </c>
      <c r="F27" s="10">
        <v>5</v>
      </c>
    </row>
    <row r="28" spans="1:6" x14ac:dyDescent="0.3">
      <c r="A28" s="2" t="s">
        <v>51</v>
      </c>
      <c r="B28" s="10">
        <v>2</v>
      </c>
      <c r="C28" s="10">
        <v>2</v>
      </c>
      <c r="D28" s="10">
        <v>4</v>
      </c>
      <c r="E28" s="10">
        <v>2</v>
      </c>
      <c r="F28" s="10">
        <v>5</v>
      </c>
    </row>
    <row r="29" spans="1:6" x14ac:dyDescent="0.3">
      <c r="A29" s="2" t="s">
        <v>197</v>
      </c>
      <c r="B29" s="10">
        <v>0</v>
      </c>
      <c r="C29" s="10">
        <v>0</v>
      </c>
      <c r="D29" s="10">
        <v>2</v>
      </c>
      <c r="E29" s="10">
        <v>0</v>
      </c>
      <c r="F29" s="10">
        <v>0</v>
      </c>
    </row>
    <row r="30" spans="1:6" x14ac:dyDescent="0.3">
      <c r="A30" s="2" t="s">
        <v>296</v>
      </c>
      <c r="B30" s="10">
        <v>5</v>
      </c>
      <c r="C30" s="10">
        <v>1</v>
      </c>
      <c r="D30" s="10">
        <v>2</v>
      </c>
      <c r="E30" s="10">
        <v>0</v>
      </c>
      <c r="F30" s="10">
        <v>0</v>
      </c>
    </row>
    <row r="31" spans="1:6" x14ac:dyDescent="0.3">
      <c r="A31" s="2" t="s">
        <v>109</v>
      </c>
      <c r="B31" s="10">
        <v>0</v>
      </c>
      <c r="C31" s="10">
        <v>6</v>
      </c>
      <c r="D31" s="10">
        <v>14</v>
      </c>
      <c r="E31" s="10">
        <v>10</v>
      </c>
      <c r="F31" s="10">
        <v>3</v>
      </c>
    </row>
    <row r="32" spans="1:6" x14ac:dyDescent="0.3">
      <c r="A32" s="2" t="s">
        <v>53</v>
      </c>
      <c r="B32" s="10">
        <v>0</v>
      </c>
      <c r="C32" s="10">
        <v>0</v>
      </c>
      <c r="D32" s="10">
        <v>8</v>
      </c>
      <c r="E32" s="10">
        <v>1</v>
      </c>
      <c r="F32" s="10">
        <v>2</v>
      </c>
    </row>
    <row r="33" spans="1:6" x14ac:dyDescent="0.3">
      <c r="A33" s="2" t="s">
        <v>238</v>
      </c>
      <c r="B33" s="10">
        <v>0</v>
      </c>
      <c r="C33" s="10">
        <v>13</v>
      </c>
      <c r="D33" s="10">
        <v>5</v>
      </c>
      <c r="E33" s="10">
        <v>0</v>
      </c>
      <c r="F33" s="10">
        <v>1</v>
      </c>
    </row>
    <row r="34" spans="1:6" x14ac:dyDescent="0.3">
      <c r="A34" s="2" t="s">
        <v>200</v>
      </c>
      <c r="B34" s="10">
        <v>5</v>
      </c>
      <c r="C34" s="10">
        <v>2</v>
      </c>
      <c r="D34" s="10">
        <v>1</v>
      </c>
      <c r="E34" s="10">
        <v>0</v>
      </c>
      <c r="F34" s="10">
        <v>10</v>
      </c>
    </row>
    <row r="35" spans="1:6" x14ac:dyDescent="0.3">
      <c r="A35" s="2" t="s">
        <v>125</v>
      </c>
      <c r="B35" s="10">
        <v>2</v>
      </c>
      <c r="C35" s="10">
        <v>0</v>
      </c>
      <c r="D35" s="10">
        <v>7</v>
      </c>
      <c r="E35" s="10">
        <v>8</v>
      </c>
      <c r="F35" s="10">
        <v>13</v>
      </c>
    </row>
    <row r="36" spans="1:6" x14ac:dyDescent="0.3">
      <c r="A36" s="2" t="s">
        <v>226</v>
      </c>
      <c r="B36" s="10">
        <v>0</v>
      </c>
      <c r="C36" s="10">
        <v>0</v>
      </c>
      <c r="D36" s="10">
        <v>6</v>
      </c>
      <c r="E36" s="10">
        <v>2</v>
      </c>
      <c r="F36" s="10">
        <v>0</v>
      </c>
    </row>
    <row r="37" spans="1:6" x14ac:dyDescent="0.3">
      <c r="A37" s="2" t="s">
        <v>151</v>
      </c>
      <c r="B37" s="10">
        <v>37</v>
      </c>
      <c r="C37" s="10">
        <v>74</v>
      </c>
      <c r="D37" s="10">
        <v>113</v>
      </c>
      <c r="E37" s="10">
        <v>67</v>
      </c>
      <c r="F37" s="10">
        <v>20</v>
      </c>
    </row>
    <row r="38" spans="1:6" x14ac:dyDescent="0.3">
      <c r="A38" s="2" t="s">
        <v>153</v>
      </c>
      <c r="B38" s="10">
        <v>13</v>
      </c>
      <c r="C38" s="10">
        <v>59</v>
      </c>
      <c r="D38" s="10">
        <v>47</v>
      </c>
      <c r="E38" s="10">
        <v>38</v>
      </c>
      <c r="F38" s="10">
        <v>33</v>
      </c>
    </row>
    <row r="39" spans="1:6" x14ac:dyDescent="0.3">
      <c r="A39" s="2" t="s">
        <v>228</v>
      </c>
      <c r="B39" s="10">
        <v>0</v>
      </c>
      <c r="C39" s="10">
        <v>0</v>
      </c>
      <c r="D39" s="10">
        <v>0</v>
      </c>
      <c r="E39" s="10">
        <v>0</v>
      </c>
      <c r="F39" s="10">
        <v>0</v>
      </c>
    </row>
    <row r="40" spans="1:6" x14ac:dyDescent="0.3">
      <c r="A40" s="2" t="s">
        <v>155</v>
      </c>
      <c r="B40" s="10">
        <v>0</v>
      </c>
      <c r="C40" s="10">
        <v>0</v>
      </c>
      <c r="D40" s="10">
        <v>0</v>
      </c>
      <c r="E40" s="10">
        <v>4</v>
      </c>
      <c r="F40" s="10">
        <v>0</v>
      </c>
    </row>
    <row r="41" spans="1:6" x14ac:dyDescent="0.3">
      <c r="A41" s="2" t="s">
        <v>55</v>
      </c>
      <c r="B41" s="10">
        <v>0</v>
      </c>
      <c r="C41" s="10">
        <v>6</v>
      </c>
      <c r="D41" s="10">
        <v>12</v>
      </c>
      <c r="E41" s="10">
        <v>4</v>
      </c>
      <c r="F41" s="10">
        <v>9</v>
      </c>
    </row>
    <row r="42" spans="1:6" x14ac:dyDescent="0.3">
      <c r="A42" s="2" t="s">
        <v>111</v>
      </c>
      <c r="B42" s="10">
        <v>2</v>
      </c>
      <c r="C42" s="10">
        <v>7</v>
      </c>
      <c r="D42" s="10">
        <v>15</v>
      </c>
      <c r="E42" s="10">
        <v>6</v>
      </c>
      <c r="F42" s="10">
        <v>14</v>
      </c>
    </row>
    <row r="43" spans="1:6" x14ac:dyDescent="0.3">
      <c r="A43" s="2" t="s">
        <v>186</v>
      </c>
      <c r="B43" s="10"/>
      <c r="C43" s="10"/>
      <c r="D43" s="10"/>
      <c r="E43" s="10"/>
      <c r="F43" s="10"/>
    </row>
    <row r="44" spans="1:6" x14ac:dyDescent="0.3">
      <c r="A44" s="2" t="s">
        <v>115</v>
      </c>
      <c r="B44" s="10">
        <v>0</v>
      </c>
      <c r="C44" s="10">
        <v>0</v>
      </c>
      <c r="D44" s="10">
        <v>0</v>
      </c>
      <c r="E44" s="10">
        <v>0</v>
      </c>
      <c r="F44" s="10">
        <v>0</v>
      </c>
    </row>
    <row r="45" spans="1:6" x14ac:dyDescent="0.3">
      <c r="A45" s="2" t="s">
        <v>214</v>
      </c>
      <c r="B45" s="10">
        <v>1</v>
      </c>
      <c r="C45" s="10">
        <v>4</v>
      </c>
      <c r="D45" s="10">
        <v>4</v>
      </c>
      <c r="E45" s="10">
        <v>3</v>
      </c>
      <c r="F45" s="10">
        <v>6</v>
      </c>
    </row>
    <row r="46" spans="1:6" x14ac:dyDescent="0.3">
      <c r="A46" s="2" t="s">
        <v>83</v>
      </c>
      <c r="B46" s="10">
        <v>0</v>
      </c>
      <c r="C46" s="10">
        <v>0</v>
      </c>
      <c r="D46" s="10">
        <v>1</v>
      </c>
      <c r="E46" s="10">
        <v>1</v>
      </c>
      <c r="F46" s="10">
        <v>1</v>
      </c>
    </row>
    <row r="47" spans="1:6" x14ac:dyDescent="0.3">
      <c r="A47" s="2" t="s">
        <v>117</v>
      </c>
      <c r="B47" s="10">
        <v>0</v>
      </c>
      <c r="C47" s="10">
        <v>2</v>
      </c>
      <c r="D47" s="10">
        <v>1</v>
      </c>
      <c r="E47" s="10">
        <v>0</v>
      </c>
      <c r="F47" s="10">
        <v>16</v>
      </c>
    </row>
    <row r="48" spans="1:6" x14ac:dyDescent="0.3">
      <c r="A48" s="2" t="s">
        <v>159</v>
      </c>
      <c r="B48" s="10">
        <v>16</v>
      </c>
      <c r="C48" s="10">
        <v>62</v>
      </c>
      <c r="D48" s="10">
        <v>67</v>
      </c>
      <c r="E48" s="10">
        <v>47</v>
      </c>
      <c r="F48" s="10">
        <v>45</v>
      </c>
    </row>
    <row r="49" spans="1:6" x14ac:dyDescent="0.3">
      <c r="A49" s="2" t="s">
        <v>161</v>
      </c>
      <c r="B49" s="10">
        <v>14</v>
      </c>
      <c r="C49" s="10">
        <v>14</v>
      </c>
      <c r="D49" s="10">
        <v>63</v>
      </c>
      <c r="E49" s="10">
        <v>63</v>
      </c>
      <c r="F49" s="10">
        <v>60</v>
      </c>
    </row>
    <row r="50" spans="1:6" x14ac:dyDescent="0.3">
      <c r="A50" s="2" t="s">
        <v>119</v>
      </c>
      <c r="B50" s="10"/>
      <c r="C50" s="10"/>
      <c r="D50" s="10"/>
      <c r="E50" s="10"/>
      <c r="F50" s="10"/>
    </row>
    <row r="51" spans="1:6" x14ac:dyDescent="0.3">
      <c r="A51" s="2" t="s">
        <v>63</v>
      </c>
      <c r="B51" s="10"/>
      <c r="C51" s="10"/>
      <c r="D51" s="10"/>
      <c r="E51" s="10"/>
      <c r="F51" s="10"/>
    </row>
    <row r="52" spans="1:6" x14ac:dyDescent="0.3">
      <c r="A52" s="2" t="s">
        <v>163</v>
      </c>
      <c r="B52" s="10">
        <v>29</v>
      </c>
      <c r="C52" s="10">
        <v>53</v>
      </c>
      <c r="D52" s="10">
        <v>12</v>
      </c>
      <c r="E52" s="10">
        <v>15</v>
      </c>
      <c r="F52" s="10">
        <v>0</v>
      </c>
    </row>
    <row r="53" spans="1:6" x14ac:dyDescent="0.3">
      <c r="A53" s="2" t="s">
        <v>61</v>
      </c>
      <c r="B53" s="10">
        <v>4</v>
      </c>
      <c r="C53" s="10">
        <v>4</v>
      </c>
      <c r="D53" s="10">
        <v>6</v>
      </c>
      <c r="E53" s="10">
        <v>5</v>
      </c>
      <c r="F53" s="10">
        <v>12</v>
      </c>
    </row>
    <row r="54" spans="1:6" x14ac:dyDescent="0.3">
      <c r="A54" s="2" t="s">
        <v>242</v>
      </c>
      <c r="B54" s="10">
        <v>0</v>
      </c>
      <c r="C54" s="10">
        <v>2</v>
      </c>
      <c r="D54" s="10">
        <v>0</v>
      </c>
      <c r="E54" s="10">
        <v>1</v>
      </c>
      <c r="F54" s="10">
        <v>1</v>
      </c>
    </row>
    <row r="55" spans="1:6" x14ac:dyDescent="0.3">
      <c r="A55" s="2" t="s">
        <v>240</v>
      </c>
      <c r="B55" s="10">
        <v>0</v>
      </c>
      <c r="C55" s="10">
        <v>0</v>
      </c>
      <c r="D55" s="10">
        <v>6</v>
      </c>
      <c r="E55" s="10">
        <v>2</v>
      </c>
      <c r="F55" s="10">
        <v>0</v>
      </c>
    </row>
    <row r="56" spans="1:6" x14ac:dyDescent="0.3">
      <c r="A56" s="2" t="s">
        <v>260</v>
      </c>
      <c r="B56" s="10">
        <v>0</v>
      </c>
      <c r="C56" s="10">
        <v>0</v>
      </c>
      <c r="D56" s="10">
        <v>0</v>
      </c>
      <c r="E56" s="10">
        <v>0</v>
      </c>
      <c r="F56" s="10">
        <v>0</v>
      </c>
    </row>
    <row r="57" spans="1:6" x14ac:dyDescent="0.3">
      <c r="A57" s="2" t="s">
        <v>244</v>
      </c>
      <c r="B57" s="10"/>
      <c r="C57" s="10"/>
      <c r="D57" s="10"/>
      <c r="E57" s="10"/>
      <c r="F57" s="10"/>
    </row>
    <row r="58" spans="1:6" x14ac:dyDescent="0.3">
      <c r="A58" s="2" t="s">
        <v>292</v>
      </c>
      <c r="B58" s="10">
        <v>0</v>
      </c>
      <c r="C58" s="10">
        <v>0</v>
      </c>
      <c r="D58" s="10">
        <v>1</v>
      </c>
      <c r="E58" s="10">
        <v>3</v>
      </c>
      <c r="F58" s="10">
        <v>2</v>
      </c>
    </row>
    <row r="59" spans="1:6" x14ac:dyDescent="0.3">
      <c r="A59" s="2" t="s">
        <v>192</v>
      </c>
      <c r="B59" s="10">
        <v>0</v>
      </c>
      <c r="C59" s="10">
        <v>5</v>
      </c>
      <c r="D59" s="10">
        <v>12</v>
      </c>
      <c r="E59" s="10">
        <v>8</v>
      </c>
      <c r="F59" s="10">
        <v>1</v>
      </c>
    </row>
    <row r="60" spans="1:6" x14ac:dyDescent="0.3">
      <c r="A60" s="2" t="s">
        <v>254</v>
      </c>
      <c r="B60" s="10">
        <v>0</v>
      </c>
      <c r="C60" s="10">
        <v>0</v>
      </c>
      <c r="D60" s="10">
        <v>0</v>
      </c>
      <c r="E60" s="10">
        <v>0</v>
      </c>
      <c r="F60" s="10">
        <v>0</v>
      </c>
    </row>
    <row r="61" spans="1:6" x14ac:dyDescent="0.3">
      <c r="A61" s="2" t="s">
        <v>210</v>
      </c>
      <c r="B61" s="10">
        <v>0</v>
      </c>
      <c r="C61" s="10">
        <v>1</v>
      </c>
      <c r="D61" s="10">
        <v>3</v>
      </c>
      <c r="E61" s="10">
        <v>8</v>
      </c>
      <c r="F61" s="10">
        <v>2</v>
      </c>
    </row>
    <row r="62" spans="1:6" x14ac:dyDescent="0.3">
      <c r="A62" s="2" t="s">
        <v>167</v>
      </c>
      <c r="B62" s="10">
        <v>0</v>
      </c>
      <c r="C62" s="10">
        <v>0</v>
      </c>
      <c r="D62" s="10">
        <v>0</v>
      </c>
      <c r="E62" s="10">
        <v>3</v>
      </c>
      <c r="F62" s="10">
        <v>3</v>
      </c>
    </row>
    <row r="63" spans="1:6" x14ac:dyDescent="0.3">
      <c r="A63" s="2" t="s">
        <v>266</v>
      </c>
      <c r="B63" s="10">
        <v>0</v>
      </c>
      <c r="C63" s="10">
        <v>3</v>
      </c>
      <c r="D63" s="10">
        <v>2</v>
      </c>
      <c r="E63" s="10">
        <v>0</v>
      </c>
      <c r="F63" s="10">
        <v>0</v>
      </c>
    </row>
    <row r="64" spans="1:6" x14ac:dyDescent="0.3">
      <c r="A64" s="2" t="s">
        <v>71</v>
      </c>
      <c r="B64" s="10">
        <v>7</v>
      </c>
      <c r="C64" s="10">
        <v>7</v>
      </c>
      <c r="D64" s="10">
        <v>19</v>
      </c>
      <c r="E64" s="10">
        <v>7</v>
      </c>
      <c r="F64" s="10">
        <v>24</v>
      </c>
    </row>
    <row r="65" spans="1:6" x14ac:dyDescent="0.3">
      <c r="A65" s="2" t="s">
        <v>216</v>
      </c>
      <c r="B65" s="10">
        <v>0</v>
      </c>
      <c r="C65" s="10">
        <v>1</v>
      </c>
      <c r="D65" s="10">
        <v>0</v>
      </c>
      <c r="E65" s="10">
        <v>3</v>
      </c>
      <c r="F65" s="10">
        <v>3</v>
      </c>
    </row>
    <row r="66" spans="1:6" x14ac:dyDescent="0.3">
      <c r="A66" s="2" t="s">
        <v>208</v>
      </c>
      <c r="B66" s="10">
        <v>8</v>
      </c>
      <c r="C66" s="10">
        <v>2</v>
      </c>
      <c r="D66" s="10">
        <v>0</v>
      </c>
      <c r="E66" s="10">
        <v>0</v>
      </c>
      <c r="F66" s="10">
        <v>3</v>
      </c>
    </row>
    <row r="67" spans="1:6" x14ac:dyDescent="0.3">
      <c r="A67" s="2" t="s">
        <v>73</v>
      </c>
      <c r="B67" s="10">
        <v>3</v>
      </c>
      <c r="C67" s="10">
        <v>2</v>
      </c>
      <c r="D67" s="10">
        <v>1</v>
      </c>
      <c r="E67" s="10">
        <v>3</v>
      </c>
      <c r="F67" s="10">
        <v>10</v>
      </c>
    </row>
    <row r="68" spans="1:6" x14ac:dyDescent="0.3">
      <c r="A68" s="2" t="s">
        <v>276</v>
      </c>
      <c r="B68" s="10">
        <v>0</v>
      </c>
      <c r="C68" s="10">
        <v>0</v>
      </c>
      <c r="D68" s="10">
        <v>14</v>
      </c>
      <c r="E68" s="10">
        <v>6</v>
      </c>
      <c r="F68" s="10">
        <v>0</v>
      </c>
    </row>
    <row r="69" spans="1:6" x14ac:dyDescent="0.3">
      <c r="A69" s="2" t="s">
        <v>75</v>
      </c>
      <c r="B69" s="10">
        <v>4</v>
      </c>
      <c r="C69" s="10">
        <v>6</v>
      </c>
      <c r="D69" s="10">
        <v>12</v>
      </c>
      <c r="E69" s="10">
        <v>6</v>
      </c>
      <c r="F69" s="10">
        <v>1</v>
      </c>
    </row>
    <row r="70" spans="1:6" x14ac:dyDescent="0.3">
      <c r="A70" s="2" t="s">
        <v>77</v>
      </c>
      <c r="B70" s="10">
        <v>12</v>
      </c>
      <c r="C70" s="10">
        <v>11</v>
      </c>
      <c r="D70" s="10">
        <v>12</v>
      </c>
      <c r="E70" s="10">
        <v>13</v>
      </c>
      <c r="F70" s="10">
        <v>8</v>
      </c>
    </row>
    <row r="71" spans="1:6" x14ac:dyDescent="0.3">
      <c r="A71" s="2" t="s">
        <v>79</v>
      </c>
      <c r="B71" s="10">
        <v>1</v>
      </c>
      <c r="C71" s="10">
        <v>2</v>
      </c>
      <c r="D71" s="10">
        <v>1</v>
      </c>
      <c r="E71" s="10">
        <v>1</v>
      </c>
      <c r="F71" s="10">
        <v>0</v>
      </c>
    </row>
    <row r="72" spans="1:6" x14ac:dyDescent="0.3">
      <c r="A72" s="2" t="s">
        <v>1193</v>
      </c>
      <c r="B72" s="10">
        <v>496</v>
      </c>
      <c r="C72" s="10">
        <v>771</v>
      </c>
      <c r="D72" s="10">
        <v>961</v>
      </c>
      <c r="E72" s="10">
        <v>669</v>
      </c>
      <c r="F72" s="10">
        <v>553</v>
      </c>
    </row>
  </sheetData>
  <sheetProtection selectLockedCells="1" autoFilter="0" pivotTables="0" selectUnlockedCells="1"/>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A693-7DCA-4458-B4CE-77FF944024C5}">
  <sheetPr codeName="Sheet12">
    <tabColor rgb="FFF2F0F5"/>
  </sheetPr>
  <dimension ref="A1:F9"/>
  <sheetViews>
    <sheetView showGridLines="0" zoomScale="85" zoomScaleNormal="85" workbookViewId="0"/>
  </sheetViews>
  <sheetFormatPr defaultColWidth="0" defaultRowHeight="14.4" x14ac:dyDescent="0.3"/>
  <cols>
    <col min="1" max="1" width="16.88671875" bestFit="1" customWidth="1"/>
    <col min="2" max="2" width="23.5546875" bestFit="1" customWidth="1"/>
    <col min="3" max="3" width="35.6640625" customWidth="1"/>
    <col min="4" max="4" width="36.6640625" hidden="1" customWidth="1"/>
    <col min="5" max="5" width="24" hidden="1" customWidth="1"/>
    <col min="6" max="6" width="36.6640625" hidden="1" customWidth="1"/>
    <col min="7" max="18" width="8.88671875" hidden="1" customWidth="1"/>
    <col min="19" max="16384" width="8.88671875" hidden="1"/>
  </cols>
  <sheetData>
    <row r="1" spans="1:2" x14ac:dyDescent="0.3">
      <c r="A1" s="1" t="s">
        <v>301</v>
      </c>
      <c r="B1" t="s">
        <v>323</v>
      </c>
    </row>
    <row r="3" spans="1:2" x14ac:dyDescent="0.3">
      <c r="A3" s="1" t="s">
        <v>1192</v>
      </c>
      <c r="B3" t="s">
        <v>1147</v>
      </c>
    </row>
    <row r="4" spans="1:2" x14ac:dyDescent="0.3">
      <c r="A4" s="2" t="s">
        <v>352</v>
      </c>
      <c r="B4" s="10">
        <v>160</v>
      </c>
    </row>
    <row r="5" spans="1:2" x14ac:dyDescent="0.3">
      <c r="A5" s="2" t="s">
        <v>340</v>
      </c>
      <c r="B5" s="10">
        <v>144</v>
      </c>
    </row>
    <row r="6" spans="1:2" x14ac:dyDescent="0.3">
      <c r="A6" s="2" t="s">
        <v>330</v>
      </c>
      <c r="B6" s="10">
        <v>295</v>
      </c>
    </row>
    <row r="7" spans="1:2" x14ac:dyDescent="0.3">
      <c r="A7" s="2" t="s">
        <v>338</v>
      </c>
      <c r="B7" s="10">
        <v>97</v>
      </c>
    </row>
    <row r="8" spans="1:2" x14ac:dyDescent="0.3">
      <c r="A8" s="2" t="s">
        <v>327</v>
      </c>
      <c r="B8" s="10">
        <v>27</v>
      </c>
    </row>
    <row r="9" spans="1:2" x14ac:dyDescent="0.3">
      <c r="A9" s="2" t="s">
        <v>1193</v>
      </c>
      <c r="B9" s="10">
        <v>723</v>
      </c>
    </row>
  </sheetData>
  <sheetProtection selectLockedCells="1" autoFilter="0" pivotTables="0" selectUnlockedCells="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C55-5805-4B47-8B57-4B69807A12A0}">
  <sheetPr codeName="Sheet13">
    <tabColor rgb="FFF2F0F5"/>
  </sheetPr>
  <dimension ref="A1:AX11"/>
  <sheetViews>
    <sheetView showGridLines="0" zoomScale="120" zoomScaleNormal="120" workbookViewId="0">
      <selection activeCell="C15" sqref="C15"/>
    </sheetView>
  </sheetViews>
  <sheetFormatPr defaultColWidth="0" defaultRowHeight="14.4" x14ac:dyDescent="0.3"/>
  <cols>
    <col min="1" max="1" width="21.33203125" bestFit="1" customWidth="1"/>
    <col min="2" max="2" width="34.44140625" bestFit="1" customWidth="1"/>
    <col min="3" max="3" width="36" bestFit="1" customWidth="1"/>
    <col min="4" max="4" width="20" bestFit="1" customWidth="1"/>
    <col min="5" max="5" width="12" bestFit="1" customWidth="1"/>
    <col min="6" max="8" width="12" hidden="1" customWidth="1"/>
    <col min="9" max="9" width="5" hidden="1" customWidth="1"/>
    <col min="10" max="10" width="11" hidden="1" customWidth="1"/>
    <col min="11" max="12" width="12" hidden="1" customWidth="1"/>
    <col min="13" max="13" width="4" hidden="1" customWidth="1"/>
    <col min="14" max="16" width="12" hidden="1" customWidth="1"/>
    <col min="17" max="17" width="3" hidden="1" customWidth="1"/>
    <col min="18" max="21" width="12" hidden="1" customWidth="1"/>
    <col min="22" max="22" width="6" hidden="1" customWidth="1"/>
    <col min="23" max="29" width="12" hidden="1" customWidth="1"/>
    <col min="30" max="30" width="7" hidden="1" customWidth="1"/>
    <col min="31" max="31" width="12" hidden="1" customWidth="1"/>
    <col min="32" max="32" width="5" hidden="1" customWidth="1"/>
    <col min="33" max="34" width="4" hidden="1" customWidth="1"/>
    <col min="35" max="37" width="12" hidden="1" customWidth="1"/>
    <col min="38" max="38" width="11" hidden="1" customWidth="1"/>
    <col min="39" max="39" width="12" hidden="1" customWidth="1"/>
    <col min="40" max="40" width="4" hidden="1" customWidth="1"/>
    <col min="41" max="43" width="12" hidden="1" customWidth="1"/>
    <col min="44" max="45" width="11" hidden="1" customWidth="1"/>
    <col min="46" max="46" width="10" hidden="1" customWidth="1"/>
    <col min="47" max="49" width="12" hidden="1" customWidth="1"/>
    <col min="50" max="50" width="16.109375" hidden="1" customWidth="1"/>
    <col min="51" max="16384" width="8.88671875" hidden="1"/>
  </cols>
  <sheetData>
    <row r="1" spans="1:3" x14ac:dyDescent="0.3">
      <c r="A1" s="1" t="s">
        <v>1126</v>
      </c>
      <c r="B1" t="s">
        <v>14</v>
      </c>
    </row>
    <row r="2" spans="1:3" x14ac:dyDescent="0.3">
      <c r="A2" s="1" t="s">
        <v>1148</v>
      </c>
      <c r="B2" t="s">
        <v>1194</v>
      </c>
    </row>
    <row r="3" spans="1:3" x14ac:dyDescent="0.3">
      <c r="A3" s="1" t="s">
        <v>1160</v>
      </c>
      <c r="B3" t="s">
        <v>1194</v>
      </c>
    </row>
    <row r="5" spans="1:3" x14ac:dyDescent="0.3">
      <c r="A5" s="1" t="s">
        <v>1192</v>
      </c>
      <c r="B5" s="4" t="s">
        <v>1195</v>
      </c>
      <c r="C5" s="4" t="s">
        <v>1196</v>
      </c>
    </row>
    <row r="6" spans="1:3" x14ac:dyDescent="0.3">
      <c r="A6" s="2" t="s">
        <v>17</v>
      </c>
      <c r="B6" s="4">
        <v>0.18208946608946608</v>
      </c>
      <c r="C6" s="4">
        <v>0.81791053391053392</v>
      </c>
    </row>
    <row r="7" spans="1:3" x14ac:dyDescent="0.3">
      <c r="A7" s="2" t="s">
        <v>194</v>
      </c>
      <c r="B7" s="4">
        <v>0.17105263157894735</v>
      </c>
      <c r="C7" s="4">
        <v>0.82894736842105265</v>
      </c>
    </row>
    <row r="8" spans="1:3" x14ac:dyDescent="0.3">
      <c r="A8" s="2" t="s">
        <v>20</v>
      </c>
      <c r="B8" s="4">
        <v>0.37787541235817096</v>
      </c>
      <c r="C8" s="4">
        <v>0.62212458764182899</v>
      </c>
    </row>
    <row r="9" spans="1:3" x14ac:dyDescent="0.3">
      <c r="A9" s="2" t="s">
        <v>132</v>
      </c>
      <c r="B9" s="4">
        <v>0</v>
      </c>
      <c r="C9" s="4">
        <v>1</v>
      </c>
    </row>
    <row r="10" spans="1:3" x14ac:dyDescent="0.3">
      <c r="A10" s="2" t="s">
        <v>199</v>
      </c>
      <c r="B10" s="4">
        <v>0</v>
      </c>
      <c r="C10" s="4">
        <v>1</v>
      </c>
    </row>
    <row r="11" spans="1:3" x14ac:dyDescent="0.3">
      <c r="A11" s="2" t="s">
        <v>1193</v>
      </c>
      <c r="B11" s="4">
        <v>0.19671011248143738</v>
      </c>
      <c r="C11" s="4">
        <v>0.80328988751856256</v>
      </c>
    </row>
  </sheetData>
  <sheetProtection selectLockedCells="1" autoFilter="0" pivotTables="0" selectUnlockedCells="1"/>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A392-C017-4D5A-80A7-0A7E0837302D}">
  <sheetPr codeName="Sheet14">
    <tabColor rgb="FFF2F0F5"/>
  </sheetPr>
  <dimension ref="A1:G10"/>
  <sheetViews>
    <sheetView showGridLines="0" workbookViewId="0">
      <selection activeCell="A5" sqref="A5"/>
    </sheetView>
  </sheetViews>
  <sheetFormatPr defaultColWidth="0" defaultRowHeight="14.4" x14ac:dyDescent="0.3"/>
  <cols>
    <col min="1" max="1" width="20.44140625" bestFit="1" customWidth="1"/>
    <col min="2" max="2" width="28.88671875" bestFit="1" customWidth="1"/>
    <col min="3" max="3" width="24.5546875" bestFit="1" customWidth="1"/>
    <col min="4" max="4" width="26.44140625" bestFit="1" customWidth="1"/>
    <col min="5" max="7" width="8.88671875" customWidth="1"/>
    <col min="8" max="16384" width="8.88671875" hidden="1"/>
  </cols>
  <sheetData>
    <row r="1" spans="1:4" x14ac:dyDescent="0.3">
      <c r="A1" s="1" t="s">
        <v>1148</v>
      </c>
      <c r="B1" t="s">
        <v>1194</v>
      </c>
    </row>
    <row r="2" spans="1:4" x14ac:dyDescent="0.3">
      <c r="A2" s="1" t="s">
        <v>1160</v>
      </c>
      <c r="B2" t="s">
        <v>1140</v>
      </c>
    </row>
    <row r="4" spans="1:4" x14ac:dyDescent="0.3">
      <c r="A4" s="1" t="s">
        <v>1192</v>
      </c>
      <c r="B4" s="4" t="s">
        <v>1179</v>
      </c>
      <c r="C4" s="4" t="s">
        <v>1180</v>
      </c>
      <c r="D4" s="4" t="s">
        <v>1181</v>
      </c>
    </row>
    <row r="5" spans="1:4" x14ac:dyDescent="0.3">
      <c r="A5" s="2" t="s">
        <v>17</v>
      </c>
      <c r="B5" s="4">
        <v>9.3939393939393948E-2</v>
      </c>
      <c r="C5" s="4">
        <v>0.43744588744588742</v>
      </c>
      <c r="D5" s="4">
        <v>0.31969403882880809</v>
      </c>
    </row>
    <row r="6" spans="1:4" x14ac:dyDescent="0.3">
      <c r="A6" s="2" t="s">
        <v>194</v>
      </c>
      <c r="B6" s="4">
        <v>5.8333333333333327E-2</v>
      </c>
      <c r="C6" s="4">
        <v>0.34583333333333333</v>
      </c>
      <c r="D6" s="4">
        <v>0.12909139683618295</v>
      </c>
    </row>
    <row r="7" spans="1:4" x14ac:dyDescent="0.3">
      <c r="A7" s="2" t="s">
        <v>175</v>
      </c>
      <c r="B7" s="4">
        <v>0</v>
      </c>
      <c r="C7" s="4">
        <v>1</v>
      </c>
      <c r="D7" s="4">
        <v>0.33291056052326545</v>
      </c>
    </row>
    <row r="8" spans="1:4" x14ac:dyDescent="0.3">
      <c r="A8" s="2" t="s">
        <v>20</v>
      </c>
      <c r="B8" s="4">
        <v>2.4743589743589742E-2</v>
      </c>
      <c r="C8" s="4">
        <v>0.41893939393939394</v>
      </c>
      <c r="D8" s="4">
        <v>0.36935440214243848</v>
      </c>
    </row>
    <row r="9" spans="1:4" x14ac:dyDescent="0.3">
      <c r="A9" s="2" t="s">
        <v>132</v>
      </c>
      <c r="B9" s="4">
        <v>9.990032123960696E-2</v>
      </c>
      <c r="C9" s="4">
        <v>0.35483120509403432</v>
      </c>
      <c r="D9" s="4">
        <v>0.14995306278427709</v>
      </c>
    </row>
    <row r="10" spans="1:4" x14ac:dyDescent="0.3">
      <c r="A10" s="2" t="s">
        <v>1193</v>
      </c>
      <c r="B10" s="4">
        <v>6.0495913643235082E-2</v>
      </c>
      <c r="C10" s="4">
        <v>0.41333459696331082</v>
      </c>
      <c r="D10" s="4">
        <v>0.26853521151117937</v>
      </c>
    </row>
  </sheetData>
  <sheetProtection selectLockedCells="1" autoFilter="0" pivotTables="0" selectUnlockedCells="1"/>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1AF2-6B89-4138-8DE5-9CAEF52B1F91}">
  <sheetPr codeName="Sheet15">
    <tabColor rgb="FFF2F0F5"/>
  </sheetPr>
  <dimension ref="A1:G11"/>
  <sheetViews>
    <sheetView showGridLines="0" zoomScale="90" zoomScaleNormal="90" workbookViewId="0">
      <selection activeCell="B19" sqref="B19"/>
    </sheetView>
  </sheetViews>
  <sheetFormatPr defaultColWidth="0" defaultRowHeight="14.4" x14ac:dyDescent="0.3"/>
  <cols>
    <col min="1" max="1" width="19.21875" bestFit="1" customWidth="1"/>
    <col min="2" max="2" width="43.44140625" bestFit="1" customWidth="1"/>
    <col min="3" max="3" width="46.109375" bestFit="1" customWidth="1"/>
    <col min="4" max="4" width="44.21875" bestFit="1" customWidth="1"/>
    <col min="5" max="5" width="45.44140625" bestFit="1" customWidth="1"/>
    <col min="6" max="6" width="42.109375" bestFit="1" customWidth="1"/>
    <col min="7" max="7" width="20.33203125" bestFit="1" customWidth="1"/>
    <col min="8" max="16384" width="8.88671875" hidden="1"/>
  </cols>
  <sheetData>
    <row r="1" spans="1:6" x14ac:dyDescent="0.3">
      <c r="A1" s="1" t="s">
        <v>1126</v>
      </c>
      <c r="B1" t="s">
        <v>1194</v>
      </c>
    </row>
    <row r="2" spans="1:6" x14ac:dyDescent="0.3">
      <c r="A2" s="1" t="s">
        <v>1148</v>
      </c>
      <c r="B2" t="s">
        <v>1194</v>
      </c>
    </row>
    <row r="4" spans="1:6" x14ac:dyDescent="0.3">
      <c r="A4" s="1" t="s">
        <v>1192</v>
      </c>
      <c r="B4" t="s">
        <v>1182</v>
      </c>
      <c r="C4" t="s">
        <v>1183</v>
      </c>
      <c r="D4" t="s">
        <v>1184</v>
      </c>
      <c r="E4" t="s">
        <v>1185</v>
      </c>
      <c r="F4" t="s">
        <v>1186</v>
      </c>
    </row>
    <row r="5" spans="1:6" x14ac:dyDescent="0.3">
      <c r="A5" s="2" t="s">
        <v>17</v>
      </c>
      <c r="B5" s="10">
        <v>5</v>
      </c>
      <c r="C5" s="10">
        <v>20</v>
      </c>
      <c r="D5" s="10">
        <v>54</v>
      </c>
      <c r="E5" s="10">
        <v>40</v>
      </c>
      <c r="F5" s="10">
        <v>55</v>
      </c>
    </row>
    <row r="6" spans="1:6" x14ac:dyDescent="0.3">
      <c r="A6" s="2" t="s">
        <v>194</v>
      </c>
      <c r="B6" s="10">
        <v>2</v>
      </c>
      <c r="C6" s="10">
        <v>21</v>
      </c>
      <c r="D6" s="10">
        <v>27</v>
      </c>
      <c r="E6" s="10">
        <v>13</v>
      </c>
      <c r="F6" s="10">
        <v>6</v>
      </c>
    </row>
    <row r="7" spans="1:6" x14ac:dyDescent="0.3">
      <c r="A7" s="2" t="s">
        <v>175</v>
      </c>
      <c r="B7" s="10">
        <v>97</v>
      </c>
      <c r="C7" s="10">
        <v>138</v>
      </c>
      <c r="D7" s="10">
        <v>166</v>
      </c>
      <c r="E7" s="10">
        <v>123</v>
      </c>
      <c r="F7" s="10">
        <v>58</v>
      </c>
    </row>
    <row r="8" spans="1:6" x14ac:dyDescent="0.3">
      <c r="A8" s="2" t="s">
        <v>20</v>
      </c>
      <c r="B8" s="10">
        <v>83</v>
      </c>
      <c r="C8" s="10">
        <v>105</v>
      </c>
      <c r="D8" s="10">
        <v>166</v>
      </c>
      <c r="E8" s="10">
        <v>107</v>
      </c>
      <c r="F8" s="10">
        <v>189</v>
      </c>
    </row>
    <row r="9" spans="1:6" x14ac:dyDescent="0.3">
      <c r="A9" s="2" t="s">
        <v>132</v>
      </c>
      <c r="B9" s="10">
        <v>291</v>
      </c>
      <c r="C9" s="10">
        <v>480</v>
      </c>
      <c r="D9" s="10">
        <v>540</v>
      </c>
      <c r="E9" s="10">
        <v>378</v>
      </c>
      <c r="F9" s="10">
        <v>229</v>
      </c>
    </row>
    <row r="10" spans="1:6" x14ac:dyDescent="0.3">
      <c r="A10" s="2" t="s">
        <v>199</v>
      </c>
      <c r="B10" s="10">
        <v>18</v>
      </c>
      <c r="C10" s="10">
        <v>6</v>
      </c>
      <c r="D10" s="10">
        <v>5</v>
      </c>
      <c r="E10" s="10">
        <v>3</v>
      </c>
      <c r="F10" s="10">
        <v>16</v>
      </c>
    </row>
    <row r="11" spans="1:6" x14ac:dyDescent="0.3">
      <c r="A11" s="2" t="s">
        <v>1193</v>
      </c>
      <c r="B11" s="10">
        <v>496</v>
      </c>
      <c r="C11" s="10">
        <v>770</v>
      </c>
      <c r="D11" s="10">
        <v>958</v>
      </c>
      <c r="E11" s="10">
        <v>664</v>
      </c>
      <c r="F11" s="10">
        <v>553</v>
      </c>
    </row>
  </sheetData>
  <sheetProtection selectLockedCells="1" autoFilter="0" pivotTables="0" selectUnlockedCell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FE965-BEF1-4642-B1B1-1FCB68993EAD}">
  <sheetPr codeName="Sheet21">
    <tabColor rgb="FF0070C0"/>
  </sheetPr>
  <dimension ref="A1:AE49"/>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spans="8:8" ht="14.4" x14ac:dyDescent="0.3">
      <c r="H1" s="8"/>
    </row>
    <row r="2" spans="8:8" ht="14.4" x14ac:dyDescent="0.3"/>
    <row r="3" spans="8:8" ht="14.4" x14ac:dyDescent="0.3"/>
    <row r="4" spans="8:8" ht="14.4" x14ac:dyDescent="0.3"/>
    <row r="5" spans="8:8" ht="14.4" x14ac:dyDescent="0.3"/>
    <row r="6" spans="8:8" ht="14.4" x14ac:dyDescent="0.3"/>
    <row r="7" spans="8:8" ht="14.4" x14ac:dyDescent="0.3"/>
    <row r="8" spans="8:8" ht="14.4" x14ac:dyDescent="0.3"/>
    <row r="9" spans="8:8" ht="14.4" x14ac:dyDescent="0.3"/>
    <row r="10" spans="8:8" ht="14.4" x14ac:dyDescent="0.3"/>
    <row r="11" spans="8:8" ht="14.4" x14ac:dyDescent="0.3"/>
    <row r="12" spans="8:8" ht="14.4" x14ac:dyDescent="0.3"/>
    <row r="13" spans="8:8" ht="14.4" x14ac:dyDescent="0.3"/>
    <row r="14" spans="8:8" ht="14.4" x14ac:dyDescent="0.3"/>
    <row r="15" spans="8:8" ht="14.4" x14ac:dyDescent="0.3"/>
    <row r="16" spans="8:8"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sheetData>
  <sheetProtection selectLockedCells="1" autoFilter="0" pivotTables="0" selectUnlockedCell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08AD-146B-4741-8A6D-57CB6B7258AF}">
  <sheetPr codeName="Sheet16">
    <tabColor rgb="FFF2F0F5"/>
  </sheetPr>
  <dimension ref="A1:I10"/>
  <sheetViews>
    <sheetView showGridLines="0" zoomScale="80" zoomScaleNormal="80" workbookViewId="0"/>
  </sheetViews>
  <sheetFormatPr defaultColWidth="0" defaultRowHeight="14.4" x14ac:dyDescent="0.3"/>
  <cols>
    <col min="1" max="1" width="24.109375" bestFit="1" customWidth="1"/>
    <col min="2" max="2" width="7.44140625" bestFit="1" customWidth="1"/>
    <col min="3" max="3" width="36" bestFit="1" customWidth="1"/>
    <col min="4" max="4" width="34.88671875" bestFit="1" customWidth="1"/>
    <col min="5" max="5" width="37.44140625" bestFit="1" customWidth="1"/>
    <col min="6" max="6" width="38.109375" bestFit="1" customWidth="1"/>
    <col min="7" max="9" width="8.88671875" customWidth="1"/>
    <col min="10" max="16384" width="8.88671875" hidden="1"/>
  </cols>
  <sheetData>
    <row r="1" spans="1:2" x14ac:dyDescent="0.3">
      <c r="A1" s="1" t="s">
        <v>1173</v>
      </c>
      <c r="B1" t="s">
        <v>1194</v>
      </c>
    </row>
    <row r="3" spans="1:2" x14ac:dyDescent="0.3">
      <c r="A3" s="1" t="s">
        <v>1192</v>
      </c>
    </row>
    <row r="4" spans="1:2" x14ac:dyDescent="0.3">
      <c r="A4" s="2" t="s">
        <v>17</v>
      </c>
    </row>
    <row r="5" spans="1:2" x14ac:dyDescent="0.3">
      <c r="A5" s="2" t="s">
        <v>194</v>
      </c>
    </row>
    <row r="6" spans="1:2" x14ac:dyDescent="0.3">
      <c r="A6" s="2" t="s">
        <v>175</v>
      </c>
    </row>
    <row r="7" spans="1:2" x14ac:dyDescent="0.3">
      <c r="A7" s="2" t="s">
        <v>20</v>
      </c>
    </row>
    <row r="8" spans="1:2" x14ac:dyDescent="0.3">
      <c r="A8" s="2" t="s">
        <v>132</v>
      </c>
    </row>
    <row r="9" spans="1:2" x14ac:dyDescent="0.3">
      <c r="A9" s="2" t="s">
        <v>199</v>
      </c>
    </row>
    <row r="10" spans="1:2" x14ac:dyDescent="0.3">
      <c r="A10" s="2" t="s">
        <v>1193</v>
      </c>
    </row>
  </sheetData>
  <sheetProtection selectLockedCells="1" autoFilter="0" pivotTables="0" selectUnlockedCells="1"/>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26815-DAE2-44C3-B126-9CF880CF83A4}">
  <sheetPr codeName="Sheet20">
    <tabColor rgb="FFF2F0F5"/>
  </sheetPr>
  <dimension ref="A1:N10"/>
  <sheetViews>
    <sheetView showGridLines="0" workbookViewId="0">
      <selection activeCell="B1" sqref="B1"/>
    </sheetView>
  </sheetViews>
  <sheetFormatPr defaultColWidth="0" defaultRowHeight="14.4" x14ac:dyDescent="0.3"/>
  <cols>
    <col min="1" max="1" width="18" bestFit="1" customWidth="1"/>
    <col min="2" max="2" width="16.44140625" bestFit="1" customWidth="1"/>
    <col min="3" max="3" width="20" bestFit="1" customWidth="1"/>
    <col min="4" max="6" width="8.88671875" customWidth="1"/>
    <col min="7" max="14" width="8.88671875" hidden="1" customWidth="1"/>
    <col min="15" max="28" width="0" hidden="1" customWidth="1"/>
  </cols>
  <sheetData>
    <row r="1" spans="1:2" x14ac:dyDescent="0.3">
      <c r="A1" s="1" t="s">
        <v>1148</v>
      </c>
      <c r="B1" t="s">
        <v>1194</v>
      </c>
    </row>
    <row r="2" spans="1:2" x14ac:dyDescent="0.3">
      <c r="A2" s="1" t="s">
        <v>1126</v>
      </c>
      <c r="B2" t="s">
        <v>14</v>
      </c>
    </row>
    <row r="4" spans="1:2" x14ac:dyDescent="0.3">
      <c r="A4" s="1" t="s">
        <v>1192</v>
      </c>
      <c r="B4" t="s">
        <v>1187</v>
      </c>
    </row>
    <row r="5" spans="1:2" x14ac:dyDescent="0.3">
      <c r="A5" s="2" t="s">
        <v>17953</v>
      </c>
      <c r="B5" s="10">
        <v>17</v>
      </c>
    </row>
    <row r="6" spans="1:2" x14ac:dyDescent="0.3">
      <c r="A6" s="2" t="s">
        <v>1197</v>
      </c>
      <c r="B6" s="10">
        <v>23</v>
      </c>
    </row>
    <row r="7" spans="1:2" x14ac:dyDescent="0.3">
      <c r="A7" s="2" t="s">
        <v>1191</v>
      </c>
      <c r="B7" s="10">
        <v>20</v>
      </c>
    </row>
    <row r="8" spans="1:2" x14ac:dyDescent="0.3">
      <c r="A8" s="2" t="s">
        <v>17952</v>
      </c>
      <c r="B8" s="10">
        <v>13</v>
      </c>
    </row>
    <row r="9" spans="1:2" x14ac:dyDescent="0.3">
      <c r="A9" s="2" t="s">
        <v>17954</v>
      </c>
      <c r="B9" s="10">
        <v>30</v>
      </c>
    </row>
    <row r="10" spans="1:2" x14ac:dyDescent="0.3">
      <c r="A10" s="2" t="s">
        <v>1193</v>
      </c>
      <c r="B10" s="10">
        <v>103</v>
      </c>
    </row>
  </sheetData>
  <sheetProtection selectLockedCells="1" autoFilter="0" pivotTables="0" selectUnlockedCells="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53DD1-0D09-44FD-8A87-47738DBED34A}">
  <sheetPr codeName="Sheet23">
    <tabColor rgb="FFF2F0F5"/>
  </sheetPr>
  <dimension ref="A1:M11"/>
  <sheetViews>
    <sheetView showGridLines="0" zoomScaleNormal="100" workbookViewId="0">
      <selection activeCell="B1" sqref="B1"/>
    </sheetView>
  </sheetViews>
  <sheetFormatPr defaultColWidth="0" defaultRowHeight="14.4" x14ac:dyDescent="0.3"/>
  <cols>
    <col min="1" max="1" width="20.44140625" bestFit="1" customWidth="1"/>
    <col min="2" max="2" width="16.44140625" bestFit="1" customWidth="1"/>
    <col min="3" max="3" width="18.33203125" bestFit="1" customWidth="1"/>
    <col min="4" max="4" width="21.109375" bestFit="1" customWidth="1"/>
    <col min="5" max="12" width="8.88671875" customWidth="1"/>
    <col min="13" max="13" width="0" hidden="1" customWidth="1"/>
    <col min="14" max="16384" width="8.88671875" hidden="1"/>
  </cols>
  <sheetData>
    <row r="1" spans="1:4" x14ac:dyDescent="0.3">
      <c r="A1" s="1" t="s">
        <v>1148</v>
      </c>
      <c r="B1" t="s">
        <v>1194</v>
      </c>
    </row>
    <row r="2" spans="1:4" x14ac:dyDescent="0.3">
      <c r="A2" s="1" t="s">
        <v>1126</v>
      </c>
      <c r="B2" t="s">
        <v>14</v>
      </c>
    </row>
    <row r="3" spans="1:4" x14ac:dyDescent="0.3">
      <c r="A3" s="1" t="s">
        <v>1160</v>
      </c>
      <c r="B3" t="s">
        <v>1140</v>
      </c>
    </row>
    <row r="5" spans="1:4" x14ac:dyDescent="0.3">
      <c r="A5" s="1" t="s">
        <v>1192</v>
      </c>
      <c r="B5" t="s">
        <v>1134</v>
      </c>
      <c r="C5" t="s">
        <v>1135</v>
      </c>
      <c r="D5" t="s">
        <v>1133</v>
      </c>
    </row>
    <row r="6" spans="1:4" x14ac:dyDescent="0.3">
      <c r="A6" s="2" t="s">
        <v>17</v>
      </c>
      <c r="B6" s="10">
        <v>69</v>
      </c>
      <c r="C6" s="10">
        <v>552</v>
      </c>
      <c r="D6" s="10">
        <v>218</v>
      </c>
    </row>
    <row r="7" spans="1:4" x14ac:dyDescent="0.3">
      <c r="A7" s="2" t="s">
        <v>194</v>
      </c>
      <c r="B7" s="10">
        <v>26</v>
      </c>
      <c r="C7" s="10">
        <v>445</v>
      </c>
      <c r="D7" s="10">
        <v>160</v>
      </c>
    </row>
    <row r="8" spans="1:4" x14ac:dyDescent="0.3">
      <c r="A8" s="2" t="s">
        <v>175</v>
      </c>
      <c r="B8" s="10">
        <v>5</v>
      </c>
      <c r="C8" s="10">
        <v>997</v>
      </c>
      <c r="D8" s="10">
        <v>610</v>
      </c>
    </row>
    <row r="9" spans="1:4" x14ac:dyDescent="0.3">
      <c r="A9" s="2" t="s">
        <v>20</v>
      </c>
      <c r="B9" s="10">
        <v>123</v>
      </c>
      <c r="C9" s="10">
        <v>1869</v>
      </c>
      <c r="D9" s="10">
        <v>722</v>
      </c>
    </row>
    <row r="10" spans="1:4" x14ac:dyDescent="0.3">
      <c r="A10" s="2" t="s">
        <v>132</v>
      </c>
      <c r="B10" s="10">
        <v>941</v>
      </c>
      <c r="C10" s="10">
        <v>6379</v>
      </c>
      <c r="D10" s="10">
        <v>1375</v>
      </c>
    </row>
    <row r="11" spans="1:4" x14ac:dyDescent="0.3">
      <c r="A11" s="2" t="s">
        <v>1193</v>
      </c>
      <c r="B11" s="10">
        <v>1164</v>
      </c>
      <c r="C11" s="10">
        <v>10242</v>
      </c>
      <c r="D11" s="10">
        <v>3085</v>
      </c>
    </row>
  </sheetData>
  <sheetProtection selectLockedCells="1" autoFilter="0" pivotTables="0" selectUnlockedCells="1"/>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33F6-8957-47B9-9227-5EC1AB8C00D5}">
  <sheetPr codeName="Sheet17">
    <tabColor rgb="FFF2F0F5"/>
  </sheetPr>
  <dimension ref="A1:AL140"/>
  <sheetViews>
    <sheetView topLeftCell="J1" zoomScale="90" zoomScaleNormal="90" workbookViewId="0">
      <selection activeCell="AL7" sqref="AL7"/>
    </sheetView>
  </sheetViews>
  <sheetFormatPr defaultRowHeight="14.4" x14ac:dyDescent="0.3"/>
  <cols>
    <col min="1" max="1" width="35.44140625" bestFit="1" customWidth="1"/>
    <col min="2" max="3" width="35.44140625" customWidth="1"/>
    <col min="4" max="4" width="13.88671875" customWidth="1"/>
    <col min="5" max="5" width="20.33203125" customWidth="1"/>
    <col min="7" max="7" width="16.109375" bestFit="1" customWidth="1"/>
    <col min="8" max="8" width="16.109375" customWidth="1"/>
    <col min="12" max="12" width="12.88671875" bestFit="1" customWidth="1"/>
    <col min="16" max="16" width="16.33203125" bestFit="1" customWidth="1"/>
    <col min="17" max="17" width="16.44140625" bestFit="1" customWidth="1"/>
    <col min="18" max="18" width="10.44140625" bestFit="1" customWidth="1"/>
    <col min="20" max="20" width="10.44140625" bestFit="1" customWidth="1"/>
    <col min="25" max="25" width="10.44140625" bestFit="1" customWidth="1"/>
    <col min="27" max="27" width="10.44140625" bestFit="1" customWidth="1"/>
    <col min="32" max="32" width="9.33203125" customWidth="1"/>
  </cols>
  <sheetData>
    <row r="1" spans="1:38" x14ac:dyDescent="0.3">
      <c r="A1" s="6" t="s">
        <v>1</v>
      </c>
      <c r="B1" t="s">
        <v>1125</v>
      </c>
      <c r="C1" t="s">
        <v>1126</v>
      </c>
      <c r="D1" t="s">
        <v>1148</v>
      </c>
      <c r="E1" t="s">
        <v>1149</v>
      </c>
      <c r="F1" t="s">
        <v>1150</v>
      </c>
      <c r="G1" t="s">
        <v>1151</v>
      </c>
      <c r="H1" t="s">
        <v>1152</v>
      </c>
      <c r="I1" t="s">
        <v>1153</v>
      </c>
      <c r="J1" t="s">
        <v>1127</v>
      </c>
      <c r="K1" t="s">
        <v>1128</v>
      </c>
      <c r="L1" t="s">
        <v>1129</v>
      </c>
      <c r="M1" t="s">
        <v>1130</v>
      </c>
      <c r="N1" t="s">
        <v>1131</v>
      </c>
      <c r="O1" t="s">
        <v>1132</v>
      </c>
      <c r="P1" t="s">
        <v>1138</v>
      </c>
      <c r="Q1" t="s">
        <v>1139</v>
      </c>
      <c r="R1" t="s">
        <v>1141</v>
      </c>
      <c r="S1" t="s">
        <v>1154</v>
      </c>
      <c r="T1" t="s">
        <v>1155</v>
      </c>
      <c r="U1" t="s">
        <v>1156</v>
      </c>
      <c r="V1" t="s">
        <v>1157</v>
      </c>
      <c r="W1" t="s">
        <v>1158</v>
      </c>
      <c r="X1" t="s">
        <v>1159</v>
      </c>
      <c r="Y1" t="s">
        <v>1160</v>
      </c>
      <c r="Z1" t="s">
        <v>1162</v>
      </c>
      <c r="AA1" t="s">
        <v>1163</v>
      </c>
      <c r="AB1" t="s">
        <v>1164</v>
      </c>
      <c r="AC1" t="s">
        <v>1165</v>
      </c>
      <c r="AD1" t="s">
        <v>1166</v>
      </c>
      <c r="AE1" t="s">
        <v>1173</v>
      </c>
      <c r="AF1" t="s">
        <v>1161</v>
      </c>
      <c r="AG1" t="s">
        <v>1167</v>
      </c>
      <c r="AH1" t="s">
        <v>1168</v>
      </c>
      <c r="AI1" t="s">
        <v>1169</v>
      </c>
      <c r="AJ1" t="s">
        <v>1170</v>
      </c>
      <c r="AK1" t="s">
        <v>1171</v>
      </c>
      <c r="AL1" t="s">
        <v>17956</v>
      </c>
    </row>
    <row r="2" spans="1:38" x14ac:dyDescent="0.3">
      <c r="A2" t="str">
        <f>General2021[[#This Row],[organisation_name]]</f>
        <v>Break-even</v>
      </c>
      <c r="B2" t="str">
        <f>IF(General2021[[#This Row],[sector]]= "",VLOOKUP(Data2021[[#This Row],[organisation_name]],'Response Rate sheet'!A:D,3,FALSE),General2021[[#This Row],[sector]])</f>
        <v>Culture</v>
      </c>
      <c r="C2" t="str">
        <f>General2021[[#This Row],[organisation_type]]</f>
        <v>association</v>
      </c>
      <c r="D2">
        <f>IF(ISBLANK(General2021[[#This Row],[number_of_members]]),"N/A",VLOOKUP(A2,General2021[[organisation_name]:[number_of_international_committee_board_members_not_eea]],6,FALSE))</f>
        <v>60</v>
      </c>
      <c r="E2">
        <f>IF(ISBLANK(General2021[[#This Row],[number_of_committee_board_members]]),"N/A",VLOOKUP(A2,General2021!B:M,10,FALSE))</f>
        <v>2</v>
      </c>
      <c r="F2">
        <f>IFERROR(Data2021[[#This Row],[Number of members]]-Data2021[[#This Row],[Number of active members]], "N/A")</f>
        <v>58</v>
      </c>
      <c r="G2">
        <f>IFERROR(Data2021[[#This Row],[Number of active members]]/Data2021[[#This Row],[Number of members]], "N/A")</f>
        <v>3.3333333333333333E-2</v>
      </c>
      <c r="H2">
        <f>IFERROR(1-Data2021[[#This Row],[Percentage active members]],"N/A")</f>
        <v>0.96666666666666667</v>
      </c>
      <c r="I2" t="str">
        <f>IF(Data2021[[#This Row],[Number of members]]=0,"N/A",IF(Data2021[[#This Row],[Number of members]]&lt;50," A. 1 - 50 ",IF(Data2021[[#This Row],[Number of members]]&lt;100, "B. 50 - 100", IF(Data2021[[#This Row],[Number of members]]&lt;400, "C. 100 - 400", IF(Data2021[[#This Row],[Number of members]]&lt;1000,"D. 400 - 1000", "E. 1000 +")))))</f>
        <v>B. 50 - 100</v>
      </c>
      <c r="J2">
        <f>IF(ISBLANK(General2021[[#This Row],[number_of_international_members_not_eea]]),"N/A",VLOOKUP(A2,General2021[[organisation_name]:[number_of_international_committee_board_members_not_eea]],9,FALSE))</f>
        <v>10</v>
      </c>
      <c r="K2">
        <f>IF(ISBLANK(General2021[[#This Row],[number_of_international_members_eea]]),"N/A",VLOOKUP(A2,General2021[[organisation_name]:[number_of_international_committee_board_members_not_eea]],8,FALSE))</f>
        <v>1</v>
      </c>
      <c r="L2">
        <f>IFERROR(IF(Data2021[[#This Row],[Number of members]]-Data2021[[#This Row],[Non-EEA Total]]-Data2021[[#This Row],[EEA total]]&lt;1,"N/A", Data2021[[#This Row],[Number of members]]-Data2021[[#This Row],[Non-EEA Total]]-Data2021[[#This Row],[EEA total]]),"N/A")</f>
        <v>49</v>
      </c>
      <c r="M2">
        <f>VLOOKUP(A2,General2021[[organisation_name]:[number_of_international_committee_board_members_not_eea]],12,FALSE)</f>
        <v>0</v>
      </c>
      <c r="N2">
        <f>VLOOKUP(A2,General2021[[organisation_name]:[number_of_international_committee_board_members_not_eea]],11,FALSE)</f>
        <v>0</v>
      </c>
      <c r="O2">
        <f>IFERROR(IF(Data2021[[#This Row],[Number of active members]]-Data2021[[#This Row],[Non-EEA Active ]]-Data2021[[#This Row],[EEA Active]]&lt;1,"N/A", Data2021[[#This Row],[Number of active members]]-Data2021[[#This Row],[Non-EEA Active ]]-Data2021[[#This Row],[EEA Active]]),"N/A")</f>
        <v>2</v>
      </c>
      <c r="P2">
        <f>IFERROR(Data2021[[#This Row],[Non-EEA Active ]]/Data2021[[#This Row],[Number of active members]],"N/A")</f>
        <v>0</v>
      </c>
      <c r="Q2">
        <f>IFERROR(Data2021[[#This Row],[EEA Active]]/Data2021[[#This Row],[EEA total]], "N/A")</f>
        <v>0</v>
      </c>
      <c r="R2">
        <f>IFERROR(Data2021[[#This Row],[Dutch Active]]/Data2021[[#This Row],[Dutch total]],"N/A")</f>
        <v>4.0816326530612242E-2</v>
      </c>
      <c r="S2" t="str">
        <f>IFERROR(IF(Data2021[[#This Row],[Number of members]]=Data2021[[#This Row],[Non-EEA Total]]+Data2021[[#This Row],[EEA total]]+Data2021[[#This Row],[Dutch total]],"T","F"),"F")</f>
        <v>T</v>
      </c>
      <c r="T2" t="str">
        <f>IFERROR(IF(Data2021[[#This Row],[Number of active members]]=Data2021[[#This Row],[Non-EEA Active ]]+Data2021[[#This Row],[EEA Active]]+Data2021[[#This Row],[Dutch Active]],"T","F"),"F")</f>
        <v>T</v>
      </c>
      <c r="U2" t="str">
        <f>IFERROR(IF(Data2021[[#This Row],[Number of members]]-Data2021[[#This Row],[Non-EEA Active ]]-Data2021[[#This Row],[EEA Active]]-Data2021[[#This Row],[Dutch Active]]=Data2021[[#This Row],[Number of  inactive members]],"T","F"),"F")</f>
        <v>T</v>
      </c>
      <c r="V2" t="str">
        <f>IF(Data2021[[#This Row],[EEA Active]]&lt;=Data2021[[#This Row],[EEA total]],"T","F")</f>
        <v>T</v>
      </c>
      <c r="W2" t="str">
        <f>IF(Data2021[[#This Row],[Dutch Active]]&lt;=Data2021[[#This Row],[Dutch total]],"T","F")</f>
        <v>T</v>
      </c>
      <c r="X2" t="str">
        <f>IF(Data2021[[#This Row],[Non-EEA Active ]]&lt;=Data2021[[#This Row],[Non-EEA Total]],"T","F")</f>
        <v>T</v>
      </c>
      <c r="Y2"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
        <f>IFERROR(VLOOKUP(Data2021[[#This Row],[organisation_name]],'Division Study Year Committees'!$A$1:$L$108,2,FALSE),"N/A")</f>
        <v>0</v>
      </c>
      <c r="AA2">
        <f>IFERROR(VLOOKUP(Data2021[[#This Row],[organisation_name]],'Division Study Year Committees'!$A$1:$L$108,3,FALSE),"N/A")</f>
        <v>0</v>
      </c>
      <c r="AB2">
        <f>IFERROR(VLOOKUP(Data2021[[#This Row],[organisation_name]],'Division Study Year Committees'!$A$1:$L$108,4,FALSE),"N/A")</f>
        <v>0</v>
      </c>
      <c r="AC2">
        <f>IFERROR(VLOOKUP(Data2021[[#This Row],[organisation_name]],'Division Study Year Committees'!$A$1:$L$108,5,FALSE), "N/A")</f>
        <v>0</v>
      </c>
      <c r="AD2">
        <f>IFERROR(VLOOKUP(Data2021[[#This Row],[organisation_name]],'Division Study Year Committees'!$A$1:$L$108,6,FALSE), "N/A")</f>
        <v>0</v>
      </c>
      <c r="AE2">
        <f>SUM(Data2021[[#This Row],[Number of first year comittee members]:[Number of 4+ year comittee members]])</f>
        <v>0</v>
      </c>
      <c r="AF2">
        <f>COUNTIF('Comittee2021'!D:D,Data2021[[#This Row],[organisation_name]])</f>
        <v>9</v>
      </c>
      <c r="AG2">
        <f>COUNTIFS('Comittee2021'!$D:$D,Data2021[[#This Row],[organisation_name]],'Comittee2021'!$O:$O,"strong decrease")</f>
        <v>0</v>
      </c>
      <c r="AH2">
        <f>COUNTIFS('Comittee2021'!$D:$D,Data2021[[#This Row],[organisation_name]],'Comittee2021'!$O:$O,"slight decrease")</f>
        <v>0</v>
      </c>
      <c r="AI2">
        <f>COUNTIFS('Comittee2021'!$D:$D,Data2021[[#This Row],[organisation_name]],'Comittee2021'!$O:$O,"no influence")</f>
        <v>0</v>
      </c>
      <c r="AJ2">
        <f>COUNTIFS('Comittee2021'!$D:$D,Data2021[[#This Row],[organisation_name]],'Comittee2021'!$O:$O,"slight increase")</f>
        <v>0</v>
      </c>
      <c r="AK2">
        <f>COUNTIFS('Comittee2021'!$D:$D,Data2021[[#This Row],[organisation_name]],'Comittee2021'!$O:$O,"strong increase")</f>
        <v>0</v>
      </c>
      <c r="AL2">
        <v>2021</v>
      </c>
    </row>
    <row r="3" spans="1:38" x14ac:dyDescent="0.3">
      <c r="A3" t="str">
        <f>General2021[[#This Row],[organisation_name]]</f>
        <v>DAV Kronos</v>
      </c>
      <c r="B3" t="str">
        <f>IF(General2021[[#This Row],[sector]]= "",VLOOKUP(Data2021[[#This Row],[organisation_name]],'Response Rate sheet'!A:D,3,FALSE),General2021[[#This Row],[sector]])</f>
        <v>Sports</v>
      </c>
      <c r="C3" t="str">
        <f>General2021[[#This Row],[organisation_type]]</f>
        <v>association</v>
      </c>
      <c r="D3">
        <f>IF(ISBLANK(General2021[[#This Row],[number_of_members]]),"N/A",VLOOKUP(A3,General2021[[organisation_name]:[number_of_international_committee_board_members_not_eea]],6,FALSE))</f>
        <v>99</v>
      </c>
      <c r="E3">
        <f>IF(ISBLANK(General2021[[#This Row],[number_of_committee_board_members]]),"N/A",VLOOKUP(A3,General2021!B:M,10,FALSE))</f>
        <v>10</v>
      </c>
      <c r="F3">
        <f>IFERROR(Data2021[[#This Row],[Number of members]]-Data2021[[#This Row],[Number of active members]], "N/A")</f>
        <v>89</v>
      </c>
      <c r="G3">
        <f>IFERROR(Data2021[[#This Row],[Number of active members]]/Data2021[[#This Row],[Number of members]], "N/A")</f>
        <v>0.10101010101010101</v>
      </c>
      <c r="H3">
        <f>IFERROR(1-Data2021[[#This Row],[Percentage active members]],"N/A")</f>
        <v>0.89898989898989901</v>
      </c>
      <c r="I3" t="str">
        <f>IF(Data2021[[#This Row],[Number of members]]=0,"N/A",IF(Data2021[[#This Row],[Number of members]]&lt;50," A. 1 - 50 ",IF(Data2021[[#This Row],[Number of members]]&lt;100, "B. 50 - 100", IF(Data2021[[#This Row],[Number of members]]&lt;400, "C. 100 - 400", IF(Data2021[[#This Row],[Number of members]]&lt;1000,"D. 400 - 1000", "E. 1000 +")))))</f>
        <v>B. 50 - 100</v>
      </c>
      <c r="J3">
        <f>IF(ISBLANK(General2021[[#This Row],[number_of_international_members_not_eea]]),"N/A",VLOOKUP(A3,General2021[[organisation_name]:[number_of_international_committee_board_members_not_eea]],9,FALSE))</f>
        <v>40</v>
      </c>
      <c r="K3">
        <f>IF(ISBLANK(General2021[[#This Row],[number_of_international_members_eea]]),"N/A",VLOOKUP(A3,General2021[[organisation_name]:[number_of_international_committee_board_members_not_eea]],8,FALSE))</f>
        <v>1</v>
      </c>
      <c r="L3">
        <f>IFERROR(IF(Data2021[[#This Row],[Number of members]]-Data2021[[#This Row],[Non-EEA Total]]-Data2021[[#This Row],[EEA total]]&lt;1,"N/A", Data2021[[#This Row],[Number of members]]-Data2021[[#This Row],[Non-EEA Total]]-Data2021[[#This Row],[EEA total]]),"N/A")</f>
        <v>58</v>
      </c>
      <c r="M3">
        <f>VLOOKUP(A3,General2021[[organisation_name]:[number_of_international_committee_board_members_not_eea]],12,FALSE)</f>
        <v>1</v>
      </c>
      <c r="N3">
        <f>VLOOKUP(A3,General2021[[organisation_name]:[number_of_international_committee_board_members_not_eea]],11,FALSE)</f>
        <v>0</v>
      </c>
      <c r="O3">
        <f>IFERROR(IF(Data2021[[#This Row],[Number of active members]]-Data2021[[#This Row],[Non-EEA Active ]]-Data2021[[#This Row],[EEA Active]]&lt;1,"N/A", Data2021[[#This Row],[Number of active members]]-Data2021[[#This Row],[Non-EEA Active ]]-Data2021[[#This Row],[EEA Active]]),"N/A")</f>
        <v>9</v>
      </c>
      <c r="P3">
        <f>IFERROR(Data2021[[#This Row],[Non-EEA Active ]]/Data2021[[#This Row],[Number of active members]],"N/A")</f>
        <v>0.1</v>
      </c>
      <c r="Q3">
        <f>IFERROR(Data2021[[#This Row],[EEA Active]]/Data2021[[#This Row],[EEA total]], "N/A")</f>
        <v>0</v>
      </c>
      <c r="R3">
        <f>IFERROR(Data2021[[#This Row],[Dutch Active]]/Data2021[[#This Row],[Dutch total]],"N/A")</f>
        <v>0.15517241379310345</v>
      </c>
      <c r="S3" t="str">
        <f>IFERROR(IF(Data2021[[#This Row],[Number of members]]=Data2021[[#This Row],[Non-EEA Total]]+Data2021[[#This Row],[EEA total]]+Data2021[[#This Row],[Dutch total]],"T","F"),"F")</f>
        <v>T</v>
      </c>
      <c r="T3" t="str">
        <f>IFERROR(IF(Data2021[[#This Row],[Number of active members]]=Data2021[[#This Row],[Non-EEA Active ]]+Data2021[[#This Row],[EEA Active]]+Data2021[[#This Row],[Dutch Active]],"T","F"),"F")</f>
        <v>T</v>
      </c>
      <c r="U3" t="str">
        <f>IFERROR(IF(Data2021[[#This Row],[Number of members]]-Data2021[[#This Row],[Non-EEA Active ]]-Data2021[[#This Row],[EEA Active]]-Data2021[[#This Row],[Dutch Active]]=Data2021[[#This Row],[Number of  inactive members]],"T","F"),"F")</f>
        <v>T</v>
      </c>
      <c r="V3" t="str">
        <f>IF(Data2021[[#This Row],[EEA Active]]&lt;=Data2021[[#This Row],[EEA total]],"T","F")</f>
        <v>T</v>
      </c>
      <c r="W3" t="str">
        <f>IF(Data2021[[#This Row],[Dutch Active]]&lt;=Data2021[[#This Row],[Dutch total]],"T","F")</f>
        <v>T</v>
      </c>
      <c r="X3" t="str">
        <f>IF(Data2021[[#This Row],[Non-EEA Active ]]&lt;=Data2021[[#This Row],[Non-EEA Total]],"T","F")</f>
        <v>T</v>
      </c>
      <c r="Y3"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3">
        <f>IFERROR(VLOOKUP(Data2021[[#This Row],[organisation_name]],'Division Study Year Committees'!$A$1:$L$108,2,FALSE),"N/A")</f>
        <v>14</v>
      </c>
      <c r="AA3">
        <f>IFERROR(VLOOKUP(Data2021[[#This Row],[organisation_name]],'Division Study Year Committees'!$A$1:$L$108,3,FALSE),"N/A")</f>
        <v>16</v>
      </c>
      <c r="AB3">
        <f>IFERROR(VLOOKUP(Data2021[[#This Row],[organisation_name]],'Division Study Year Committees'!$A$1:$L$108,4,FALSE),"N/A")</f>
        <v>18</v>
      </c>
      <c r="AC3">
        <f>IFERROR(VLOOKUP(Data2021[[#This Row],[organisation_name]],'Division Study Year Committees'!$A$1:$L$108,5,FALSE), "N/A")</f>
        <v>7</v>
      </c>
      <c r="AD3">
        <f>IFERROR(VLOOKUP(Data2021[[#This Row],[organisation_name]],'Division Study Year Committees'!$A$1:$L$108,6,FALSE), "N/A")</f>
        <v>13</v>
      </c>
      <c r="AE3">
        <f>SUM(Data2021[[#This Row],[Number of first year comittee members]:[Number of 4+ year comittee members]])</f>
        <v>68</v>
      </c>
      <c r="AF3">
        <f>COUNTIF('Comittee2021'!D:D,Data2021[[#This Row],[organisation_name]])</f>
        <v>14</v>
      </c>
      <c r="AG3">
        <f>COUNTIFS('Comittee2021'!$D:$D,Data2021[[#This Row],[organisation_name]],'Comittee2021'!$O:$O,"strong decrease")</f>
        <v>0</v>
      </c>
      <c r="AH3">
        <f>COUNTIFS('Comittee2021'!$D:$D,Data2021[[#This Row],[organisation_name]],'Comittee2021'!$O:$O,"slight decrease")</f>
        <v>1</v>
      </c>
      <c r="AI3">
        <f>COUNTIFS('Comittee2021'!$D:$D,Data2021[[#This Row],[organisation_name]],'Comittee2021'!$O:$O,"no influence")</f>
        <v>6</v>
      </c>
      <c r="AJ3">
        <f>COUNTIFS('Comittee2021'!$D:$D,Data2021[[#This Row],[organisation_name]],'Comittee2021'!$O:$O,"slight increase")</f>
        <v>4</v>
      </c>
      <c r="AK3">
        <f>COUNTIFS('Comittee2021'!$D:$D,Data2021[[#This Row],[organisation_name]],'Comittee2021'!$O:$O,"strong increase")</f>
        <v>3</v>
      </c>
      <c r="AL3">
        <v>2021</v>
      </c>
    </row>
    <row r="4" spans="1:38" x14ac:dyDescent="0.3">
      <c r="A4" t="str">
        <f>General2021[[#This Row],[organisation_name]]</f>
        <v>DBV Arriba</v>
      </c>
      <c r="B4" t="str">
        <f>IF(General2021[[#This Row],[sector]]= "",VLOOKUP(Data2021[[#This Row],[organisation_name]],'Response Rate sheet'!A:D,3,FALSE),General2021[[#This Row],[sector]])</f>
        <v>Sports</v>
      </c>
      <c r="C4" t="str">
        <f>General2021[[#This Row],[organisation_type]]</f>
        <v>association</v>
      </c>
      <c r="D4" t="str">
        <f>IF(ISBLANK(General2021[[#This Row],[number_of_members]]),"N/A",VLOOKUP(A4,General2021[[organisation_name]:[number_of_international_committee_board_members_not_eea]],6,FALSE))</f>
        <v>N/A</v>
      </c>
      <c r="E4" t="str">
        <f>IF(ISBLANK(General2021[[#This Row],[number_of_committee_board_members]]),"N/A",VLOOKUP(A4,General2021!B:M,10,FALSE))</f>
        <v>N/A</v>
      </c>
      <c r="F4" t="str">
        <f>IFERROR(Data2021[[#This Row],[Number of members]]-Data2021[[#This Row],[Number of active members]], "N/A")</f>
        <v>N/A</v>
      </c>
      <c r="G4" t="str">
        <f>IFERROR(Data2021[[#This Row],[Number of active members]]/Data2021[[#This Row],[Number of members]], "N/A")</f>
        <v>N/A</v>
      </c>
      <c r="H4" t="str">
        <f>IFERROR(1-Data2021[[#This Row],[Percentage active members]],"N/A")</f>
        <v>N/A</v>
      </c>
      <c r="I4" t="str">
        <f>IF(Data2021[[#This Row],[Number of members]]=0,"N/A",IF(Data2021[[#This Row],[Number of members]]&lt;50," A. 1 - 50 ",IF(Data2021[[#This Row],[Number of members]]&lt;100, "B. 50 - 100", IF(Data2021[[#This Row],[Number of members]]&lt;400, "C. 100 - 400", IF(Data2021[[#This Row],[Number of members]]&lt;1000,"D. 400 - 1000", "E. 1000 +")))))</f>
        <v>E. 1000 +</v>
      </c>
      <c r="J4" t="str">
        <f>IF(ISBLANK(General2021[[#This Row],[number_of_international_members_not_eea]]),"N/A",VLOOKUP(A4,General2021[[organisation_name]:[number_of_international_committee_board_members_not_eea]],9,FALSE))</f>
        <v>N/A</v>
      </c>
      <c r="K4" t="str">
        <f>IF(ISBLANK(General2021[[#This Row],[number_of_international_members_eea]]),"N/A",VLOOKUP(A4,General2021[[organisation_name]:[number_of_international_committee_board_members_not_eea]],8,FALSE))</f>
        <v>N/A</v>
      </c>
      <c r="L4" t="str">
        <f>IFERROR(IF(Data2021[[#This Row],[Number of members]]-Data2021[[#This Row],[Non-EEA Total]]-Data2021[[#This Row],[EEA total]]&lt;1,"N/A", Data2021[[#This Row],[Number of members]]-Data2021[[#This Row],[Non-EEA Total]]-Data2021[[#This Row],[EEA total]]),"N/A")</f>
        <v>N/A</v>
      </c>
      <c r="M4">
        <f>VLOOKUP(A4,General2021[[organisation_name]:[number_of_international_committee_board_members_not_eea]],12,FALSE)</f>
        <v>0</v>
      </c>
      <c r="N4">
        <f>VLOOKUP(A4,General2021[[organisation_name]:[number_of_international_committee_board_members_not_eea]],11,FALSE)</f>
        <v>0</v>
      </c>
      <c r="O4" t="str">
        <f>IFERROR(IF(Data2021[[#This Row],[Number of active members]]-Data2021[[#This Row],[Non-EEA Active ]]-Data2021[[#This Row],[EEA Active]]&lt;1,"N/A", Data2021[[#This Row],[Number of active members]]-Data2021[[#This Row],[Non-EEA Active ]]-Data2021[[#This Row],[EEA Active]]),"N/A")</f>
        <v>N/A</v>
      </c>
      <c r="P4" t="str">
        <f>IFERROR(Data2021[[#This Row],[Non-EEA Active ]]/Data2021[[#This Row],[Number of active members]],"N/A")</f>
        <v>N/A</v>
      </c>
      <c r="Q4" t="str">
        <f>IFERROR(Data2021[[#This Row],[EEA Active]]/Data2021[[#This Row],[EEA total]], "N/A")</f>
        <v>N/A</v>
      </c>
      <c r="R4" t="str">
        <f>IFERROR(Data2021[[#This Row],[Dutch Active]]/Data2021[[#This Row],[Dutch total]],"N/A")</f>
        <v>N/A</v>
      </c>
      <c r="S4" t="str">
        <f>IFERROR(IF(Data2021[[#This Row],[Number of members]]=Data2021[[#This Row],[Non-EEA Total]]+Data2021[[#This Row],[EEA total]]+Data2021[[#This Row],[Dutch total]],"T","F"),"F")</f>
        <v>F</v>
      </c>
      <c r="T4" t="str">
        <f>IFERROR(IF(Data2021[[#This Row],[Number of active members]]=Data2021[[#This Row],[Non-EEA Active ]]+Data2021[[#This Row],[EEA Active]]+Data2021[[#This Row],[Dutch Active]],"T","F"),"F")</f>
        <v>F</v>
      </c>
      <c r="U4" t="str">
        <f>IFERROR(IF(Data2021[[#This Row],[Number of members]]-Data2021[[#This Row],[Non-EEA Active ]]-Data2021[[#This Row],[EEA Active]]-Data2021[[#This Row],[Dutch Active]]=Data2021[[#This Row],[Number of  inactive members]],"T","F"),"F")</f>
        <v>F</v>
      </c>
      <c r="V4" t="str">
        <f>IF(Data2021[[#This Row],[EEA Active]]&lt;=Data2021[[#This Row],[EEA total]],"T","F")</f>
        <v>T</v>
      </c>
      <c r="W4" t="str">
        <f>IF(Data2021[[#This Row],[Dutch Active]]&lt;=Data2021[[#This Row],[Dutch total]],"T","F")</f>
        <v>T</v>
      </c>
      <c r="X4" t="str">
        <f>IF(Data2021[[#This Row],[Non-EEA Active ]]&lt;=Data2021[[#This Row],[Non-EEA Total]],"T","F")</f>
        <v>T</v>
      </c>
      <c r="Y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 t="str">
        <f>IFERROR(VLOOKUP(Data2021[[#This Row],[organisation_name]],'Division Study Year Committees'!$A$1:$L$108,2,FALSE),"N/A")</f>
        <v>N/A</v>
      </c>
      <c r="AA4" t="str">
        <f>IFERROR(VLOOKUP(Data2021[[#This Row],[organisation_name]],'Division Study Year Committees'!$A$1:$L$108,3,FALSE),"N/A")</f>
        <v>N/A</v>
      </c>
      <c r="AB4" t="str">
        <f>IFERROR(VLOOKUP(Data2021[[#This Row],[organisation_name]],'Division Study Year Committees'!$A$1:$L$108,4,FALSE),"N/A")</f>
        <v>N/A</v>
      </c>
      <c r="AC4" t="str">
        <f>IFERROR(VLOOKUP(Data2021[[#This Row],[organisation_name]],'Division Study Year Committees'!$A$1:$L$108,5,FALSE), "N/A")</f>
        <v>N/A</v>
      </c>
      <c r="AD4" t="str">
        <f>IFERROR(VLOOKUP(Data2021[[#This Row],[organisation_name]],'Division Study Year Committees'!$A$1:$L$108,6,FALSE), "N/A")</f>
        <v>N/A</v>
      </c>
      <c r="AE4">
        <f>SUM(Data2021[[#This Row],[Number of first year comittee members]:[Number of 4+ year comittee members]])</f>
        <v>0</v>
      </c>
      <c r="AF4">
        <f>COUNTIF('Comittee2021'!D:D,Data2021[[#This Row],[organisation_name]])</f>
        <v>0</v>
      </c>
      <c r="AG4">
        <f>COUNTIFS('Comittee2021'!$D:$D,Data2021[[#This Row],[organisation_name]],'Comittee2021'!$O:$O,"strong decrease")</f>
        <v>0</v>
      </c>
      <c r="AH4">
        <f>COUNTIFS('Comittee2021'!$D:$D,Data2021[[#This Row],[organisation_name]],'Comittee2021'!$O:$O,"slight decrease")</f>
        <v>0</v>
      </c>
      <c r="AI4">
        <f>COUNTIFS('Comittee2021'!$D:$D,Data2021[[#This Row],[organisation_name]],'Comittee2021'!$O:$O,"no influence")</f>
        <v>0</v>
      </c>
      <c r="AJ4">
        <f>COUNTIFS('Comittee2021'!$D:$D,Data2021[[#This Row],[organisation_name]],'Comittee2021'!$O:$O,"slight increase")</f>
        <v>0</v>
      </c>
      <c r="AK4">
        <f>COUNTIFS('Comittee2021'!$D:$D,Data2021[[#This Row],[organisation_name]],'Comittee2021'!$O:$O,"strong increase")</f>
        <v>0</v>
      </c>
      <c r="AL4">
        <v>2021</v>
      </c>
    </row>
    <row r="5" spans="1:38" x14ac:dyDescent="0.3">
      <c r="A5" t="str">
        <f>General2021[[#This Row],[organisation_name]]</f>
        <v>DSTV Aloha</v>
      </c>
      <c r="B5" t="str">
        <f>IF(General2021[[#This Row],[sector]]= "",VLOOKUP(Data2021[[#This Row],[organisation_name]],'Response Rate sheet'!A:D,3,FALSE),General2021[[#This Row],[sector]])</f>
        <v>Sports</v>
      </c>
      <c r="C5" t="str">
        <f>General2021[[#This Row],[organisation_type]]</f>
        <v>association</v>
      </c>
      <c r="D5">
        <f>IF(ISBLANK(General2021[[#This Row],[number_of_members]]),"N/A",VLOOKUP(A5,General2021[[organisation_name]:[number_of_international_committee_board_members_not_eea]],6,FALSE))</f>
        <v>58</v>
      </c>
      <c r="E5">
        <f>IF(ISBLANK(General2021[[#This Row],[number_of_committee_board_members]]),"N/A",VLOOKUP(A5,General2021!B:M,10,FALSE))</f>
        <v>10</v>
      </c>
      <c r="F5">
        <f>IFERROR(Data2021[[#This Row],[Number of members]]-Data2021[[#This Row],[Number of active members]], "N/A")</f>
        <v>48</v>
      </c>
      <c r="G5">
        <f>IFERROR(Data2021[[#This Row],[Number of active members]]/Data2021[[#This Row],[Number of members]], "N/A")</f>
        <v>0.17241379310344829</v>
      </c>
      <c r="H5">
        <f>IFERROR(1-Data2021[[#This Row],[Percentage active members]],"N/A")</f>
        <v>0.82758620689655171</v>
      </c>
      <c r="I5" t="str">
        <f>IF(Data2021[[#This Row],[Number of members]]=0,"N/A",IF(Data2021[[#This Row],[Number of members]]&lt;50," A. 1 - 50 ",IF(Data2021[[#This Row],[Number of members]]&lt;100, "B. 50 - 100", IF(Data2021[[#This Row],[Number of members]]&lt;400, "C. 100 - 400", IF(Data2021[[#This Row],[Number of members]]&lt;1000,"D. 400 - 1000", "E. 1000 +")))))</f>
        <v>B. 50 - 100</v>
      </c>
      <c r="J5">
        <f>IF(ISBLANK(General2021[[#This Row],[number_of_international_members_not_eea]]),"N/A",VLOOKUP(A5,General2021[[organisation_name]:[number_of_international_committee_board_members_not_eea]],9,FALSE))</f>
        <v>18</v>
      </c>
      <c r="K5">
        <f>IF(ISBLANK(General2021[[#This Row],[number_of_international_members_eea]]),"N/A",VLOOKUP(A5,General2021[[organisation_name]:[number_of_international_committee_board_members_not_eea]],8,FALSE))</f>
        <v>1</v>
      </c>
      <c r="L5">
        <f>IFERROR(IF(Data2021[[#This Row],[Number of members]]-Data2021[[#This Row],[Non-EEA Total]]-Data2021[[#This Row],[EEA total]]&lt;1,"N/A", Data2021[[#This Row],[Number of members]]-Data2021[[#This Row],[Non-EEA Total]]-Data2021[[#This Row],[EEA total]]),"N/A")</f>
        <v>39</v>
      </c>
      <c r="M5">
        <f>VLOOKUP(A5,General2021[[organisation_name]:[number_of_international_committee_board_members_not_eea]],12,FALSE)</f>
        <v>0</v>
      </c>
      <c r="N5">
        <f>VLOOKUP(A5,General2021[[organisation_name]:[number_of_international_committee_board_members_not_eea]],11,FALSE)</f>
        <v>1</v>
      </c>
      <c r="O5">
        <f>IFERROR(IF(Data2021[[#This Row],[Number of active members]]-Data2021[[#This Row],[Non-EEA Active ]]-Data2021[[#This Row],[EEA Active]]&lt;1,"N/A", Data2021[[#This Row],[Number of active members]]-Data2021[[#This Row],[Non-EEA Active ]]-Data2021[[#This Row],[EEA Active]]),"N/A")</f>
        <v>9</v>
      </c>
      <c r="P5">
        <f>IFERROR(Data2021[[#This Row],[Non-EEA Active ]]/Data2021[[#This Row],[Number of active members]],"N/A")</f>
        <v>0</v>
      </c>
      <c r="Q5">
        <f>IFERROR(Data2021[[#This Row],[EEA Active]]/Data2021[[#This Row],[EEA total]], "N/A")</f>
        <v>1</v>
      </c>
      <c r="R5">
        <f>IFERROR(Data2021[[#This Row],[Dutch Active]]/Data2021[[#This Row],[Dutch total]],"N/A")</f>
        <v>0.23076923076923078</v>
      </c>
      <c r="S5" t="str">
        <f>IFERROR(IF(Data2021[[#This Row],[Number of members]]=Data2021[[#This Row],[Non-EEA Total]]+Data2021[[#This Row],[EEA total]]+Data2021[[#This Row],[Dutch total]],"T","F"),"F")</f>
        <v>T</v>
      </c>
      <c r="T5" t="str">
        <f>IFERROR(IF(Data2021[[#This Row],[Number of active members]]=Data2021[[#This Row],[Non-EEA Active ]]+Data2021[[#This Row],[EEA Active]]+Data2021[[#This Row],[Dutch Active]],"T","F"),"F")</f>
        <v>T</v>
      </c>
      <c r="U5" t="str">
        <f>IFERROR(IF(Data2021[[#This Row],[Number of members]]-Data2021[[#This Row],[Non-EEA Active ]]-Data2021[[#This Row],[EEA Active]]-Data2021[[#This Row],[Dutch Active]]=Data2021[[#This Row],[Number of  inactive members]],"T","F"),"F")</f>
        <v>T</v>
      </c>
      <c r="V5" t="str">
        <f>IF(Data2021[[#This Row],[EEA Active]]&lt;=Data2021[[#This Row],[EEA total]],"T","F")</f>
        <v>T</v>
      </c>
      <c r="W5" t="str">
        <f>IF(Data2021[[#This Row],[Dutch Active]]&lt;=Data2021[[#This Row],[Dutch total]],"T","F")</f>
        <v>T</v>
      </c>
      <c r="X5" t="str">
        <f>IF(Data2021[[#This Row],[Non-EEA Active ]]&lt;=Data2021[[#This Row],[Non-EEA Total]],"T","F")</f>
        <v>T</v>
      </c>
      <c r="Y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5">
        <f>IFERROR(VLOOKUP(Data2021[[#This Row],[organisation_name]],'Division Study Year Committees'!$A$1:$L$108,2,FALSE),"N/A")</f>
        <v>1</v>
      </c>
      <c r="AA5">
        <f>IFERROR(VLOOKUP(Data2021[[#This Row],[organisation_name]],'Division Study Year Committees'!$A$1:$L$108,3,FALSE),"N/A")</f>
        <v>1</v>
      </c>
      <c r="AB5">
        <f>IFERROR(VLOOKUP(Data2021[[#This Row],[organisation_name]],'Division Study Year Committees'!$A$1:$L$108,4,FALSE),"N/A")</f>
        <v>0</v>
      </c>
      <c r="AC5">
        <f>IFERROR(VLOOKUP(Data2021[[#This Row],[organisation_name]],'Division Study Year Committees'!$A$1:$L$108,5,FALSE), "N/A")</f>
        <v>9</v>
      </c>
      <c r="AD5">
        <f>IFERROR(VLOOKUP(Data2021[[#This Row],[organisation_name]],'Division Study Year Committees'!$A$1:$L$108,6,FALSE), "N/A")</f>
        <v>24</v>
      </c>
      <c r="AE5">
        <f>SUM(Data2021[[#This Row],[Number of first year comittee members]:[Number of 4+ year comittee members]])</f>
        <v>35</v>
      </c>
      <c r="AF5">
        <f>COUNTIF('Comittee2021'!D:D,Data2021[[#This Row],[organisation_name]])</f>
        <v>15</v>
      </c>
      <c r="AG5">
        <f>COUNTIFS('Comittee2021'!$D:$D,Data2021[[#This Row],[organisation_name]],'Comittee2021'!$O:$O,"strong decrease")</f>
        <v>5</v>
      </c>
      <c r="AH5">
        <f>COUNTIFS('Comittee2021'!$D:$D,Data2021[[#This Row],[organisation_name]],'Comittee2021'!$O:$O,"slight decrease")</f>
        <v>2</v>
      </c>
      <c r="AI5">
        <f>COUNTIFS('Comittee2021'!$D:$D,Data2021[[#This Row],[organisation_name]],'Comittee2021'!$O:$O,"no influence")</f>
        <v>4</v>
      </c>
      <c r="AJ5">
        <f>COUNTIFS('Comittee2021'!$D:$D,Data2021[[#This Row],[organisation_name]],'Comittee2021'!$O:$O,"slight increase")</f>
        <v>3</v>
      </c>
      <c r="AK5">
        <f>COUNTIFS('Comittee2021'!$D:$D,Data2021[[#This Row],[organisation_name]],'Comittee2021'!$O:$O,"strong increase")</f>
        <v>1</v>
      </c>
      <c r="AL5">
        <v>2021</v>
      </c>
    </row>
    <row r="6" spans="1:38" x14ac:dyDescent="0.3">
      <c r="A6" t="str">
        <f>General2021[[#This Row],[organisation_name]]</f>
        <v>DSV de Skeuvel</v>
      </c>
      <c r="B6" t="str">
        <f>IF(General2021[[#This Row],[sector]]= "",VLOOKUP(Data2021[[#This Row],[organisation_name]],'Response Rate sheet'!A:D,3,FALSE),General2021[[#This Row],[sector]])</f>
        <v>Sports</v>
      </c>
      <c r="C6" t="str">
        <f>General2021[[#This Row],[organisation_type]]</f>
        <v>association</v>
      </c>
      <c r="D6">
        <f>IF(ISBLANK(General2021[[#This Row],[number_of_members]]),"N/A",VLOOKUP(A6,General2021[[organisation_name]:[number_of_international_committee_board_members_not_eea]],6,FALSE))</f>
        <v>232</v>
      </c>
      <c r="E6">
        <f>IF(ISBLANK(General2021[[#This Row],[number_of_committee_board_members]]),"N/A",VLOOKUP(A6,General2021!B:M,10,FALSE))</f>
        <v>40</v>
      </c>
      <c r="F6">
        <f>IFERROR(Data2021[[#This Row],[Number of members]]-Data2021[[#This Row],[Number of active members]], "N/A")</f>
        <v>192</v>
      </c>
      <c r="G6">
        <f>IFERROR(Data2021[[#This Row],[Number of active members]]/Data2021[[#This Row],[Number of members]], "N/A")</f>
        <v>0.17241379310344829</v>
      </c>
      <c r="H6">
        <f>IFERROR(1-Data2021[[#This Row],[Percentage active members]],"N/A")</f>
        <v>0.82758620689655171</v>
      </c>
      <c r="I6" t="str">
        <f>IF(Data2021[[#This Row],[Number of members]]=0,"N/A",IF(Data2021[[#This Row],[Number of members]]&lt;50," A. 1 - 50 ",IF(Data2021[[#This Row],[Number of members]]&lt;100, "B. 50 - 100", IF(Data2021[[#This Row],[Number of members]]&lt;400, "C. 100 - 400", IF(Data2021[[#This Row],[Number of members]]&lt;1000,"D. 400 - 1000", "E. 1000 +")))))</f>
        <v>C. 100 - 400</v>
      </c>
      <c r="J6">
        <f>IF(ISBLANK(General2021[[#This Row],[number_of_international_members_not_eea]]),"N/A",VLOOKUP(A6,General2021[[organisation_name]:[number_of_international_committee_board_members_not_eea]],9,FALSE))</f>
        <v>56</v>
      </c>
      <c r="K6">
        <f>IF(ISBLANK(General2021[[#This Row],[number_of_international_members_eea]]),"N/A",VLOOKUP(A6,General2021[[organisation_name]:[number_of_international_committee_board_members_not_eea]],8,FALSE))</f>
        <v>0</v>
      </c>
      <c r="L6">
        <f>IFERROR(IF(Data2021[[#This Row],[Number of members]]-Data2021[[#This Row],[Non-EEA Total]]-Data2021[[#This Row],[EEA total]]&lt;1,"N/A", Data2021[[#This Row],[Number of members]]-Data2021[[#This Row],[Non-EEA Total]]-Data2021[[#This Row],[EEA total]]),"N/A")</f>
        <v>176</v>
      </c>
      <c r="M6">
        <f>VLOOKUP(A6,General2021[[organisation_name]:[number_of_international_committee_board_members_not_eea]],12,FALSE)</f>
        <v>0</v>
      </c>
      <c r="N6">
        <f>VLOOKUP(A6,General2021[[organisation_name]:[number_of_international_committee_board_members_not_eea]],11,FALSE)</f>
        <v>0</v>
      </c>
      <c r="O6">
        <f>IFERROR(IF(Data2021[[#This Row],[Number of active members]]-Data2021[[#This Row],[Non-EEA Active ]]-Data2021[[#This Row],[EEA Active]]&lt;1,"N/A", Data2021[[#This Row],[Number of active members]]-Data2021[[#This Row],[Non-EEA Active ]]-Data2021[[#This Row],[EEA Active]]),"N/A")</f>
        <v>40</v>
      </c>
      <c r="P6">
        <f>IFERROR(Data2021[[#This Row],[Non-EEA Active ]]/Data2021[[#This Row],[Number of active members]],"N/A")</f>
        <v>0</v>
      </c>
      <c r="Q6" t="str">
        <f>IFERROR(Data2021[[#This Row],[EEA Active]]/Data2021[[#This Row],[EEA total]], "N/A")</f>
        <v>N/A</v>
      </c>
      <c r="R6">
        <f>IFERROR(Data2021[[#This Row],[Dutch Active]]/Data2021[[#This Row],[Dutch total]],"N/A")</f>
        <v>0.22727272727272727</v>
      </c>
      <c r="S6" t="str">
        <f>IFERROR(IF(Data2021[[#This Row],[Number of members]]=Data2021[[#This Row],[Non-EEA Total]]+Data2021[[#This Row],[EEA total]]+Data2021[[#This Row],[Dutch total]],"T","F"),"F")</f>
        <v>T</v>
      </c>
      <c r="T6" t="str">
        <f>IFERROR(IF(Data2021[[#This Row],[Number of active members]]=Data2021[[#This Row],[Non-EEA Active ]]+Data2021[[#This Row],[EEA Active]]+Data2021[[#This Row],[Dutch Active]],"T","F"),"F")</f>
        <v>T</v>
      </c>
      <c r="U6" t="str">
        <f>IFERROR(IF(Data2021[[#This Row],[Number of members]]-Data2021[[#This Row],[Non-EEA Active ]]-Data2021[[#This Row],[EEA Active]]-Data2021[[#This Row],[Dutch Active]]=Data2021[[#This Row],[Number of  inactive members]],"T","F"),"F")</f>
        <v>T</v>
      </c>
      <c r="V6" t="str">
        <f>IF(Data2021[[#This Row],[EEA Active]]&lt;=Data2021[[#This Row],[EEA total]],"T","F")</f>
        <v>T</v>
      </c>
      <c r="W6" t="str">
        <f>IF(Data2021[[#This Row],[Dutch Active]]&lt;=Data2021[[#This Row],[Dutch total]],"T","F")</f>
        <v>T</v>
      </c>
      <c r="X6" t="str">
        <f>IF(Data2021[[#This Row],[Non-EEA Active ]]&lt;=Data2021[[#This Row],[Non-EEA Total]],"T","F")</f>
        <v>T</v>
      </c>
      <c r="Y6"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
        <f>IFERROR(VLOOKUP(Data2021[[#This Row],[organisation_name]],'Division Study Year Committees'!$A$1:$L$108,2,FALSE),"N/A")</f>
        <v>0</v>
      </c>
      <c r="AA6">
        <f>IFERROR(VLOOKUP(Data2021[[#This Row],[organisation_name]],'Division Study Year Committees'!$A$1:$L$108,3,FALSE),"N/A")</f>
        <v>0</v>
      </c>
      <c r="AB6">
        <f>IFERROR(VLOOKUP(Data2021[[#This Row],[organisation_name]],'Division Study Year Committees'!$A$1:$L$108,4,FALSE),"N/A")</f>
        <v>0</v>
      </c>
      <c r="AC6">
        <f>IFERROR(VLOOKUP(Data2021[[#This Row],[organisation_name]],'Division Study Year Committees'!$A$1:$L$108,5,FALSE), "N/A")</f>
        <v>0</v>
      </c>
      <c r="AD6">
        <f>IFERROR(VLOOKUP(Data2021[[#This Row],[organisation_name]],'Division Study Year Committees'!$A$1:$L$108,6,FALSE), "N/A")</f>
        <v>0</v>
      </c>
      <c r="AE6">
        <f>SUM(Data2021[[#This Row],[Number of first year comittee members]:[Number of 4+ year comittee members]])</f>
        <v>0</v>
      </c>
      <c r="AF6">
        <f>COUNTIF('Comittee2021'!D:D,Data2021[[#This Row],[organisation_name]])</f>
        <v>27</v>
      </c>
      <c r="AG6">
        <f>COUNTIFS('Comittee2021'!$D:$D,Data2021[[#This Row],[organisation_name]],'Comittee2021'!$O:$O,"strong decrease")</f>
        <v>0</v>
      </c>
      <c r="AH6">
        <f>COUNTIFS('Comittee2021'!$D:$D,Data2021[[#This Row],[organisation_name]],'Comittee2021'!$O:$O,"slight decrease")</f>
        <v>0</v>
      </c>
      <c r="AI6">
        <f>COUNTIFS('Comittee2021'!$D:$D,Data2021[[#This Row],[organisation_name]],'Comittee2021'!$O:$O,"no influence")</f>
        <v>0</v>
      </c>
      <c r="AJ6">
        <f>COUNTIFS('Comittee2021'!$D:$D,Data2021[[#This Row],[organisation_name]],'Comittee2021'!$O:$O,"slight increase")</f>
        <v>0</v>
      </c>
      <c r="AK6">
        <f>COUNTIFS('Comittee2021'!$D:$D,Data2021[[#This Row],[organisation_name]],'Comittee2021'!$O:$O,"strong increase")</f>
        <v>0</v>
      </c>
      <c r="AL6">
        <v>2021</v>
      </c>
    </row>
    <row r="7" spans="1:38" x14ac:dyDescent="0.3">
      <c r="A7" t="str">
        <f>General2021[[#This Row],[organisation_name]]</f>
        <v>DTTV Thibats</v>
      </c>
      <c r="B7" t="str">
        <f>IF(General2021[[#This Row],[sector]]= "",VLOOKUP(Data2021[[#This Row],[organisation_name]],'Response Rate sheet'!A:D,3,FALSE),General2021[[#This Row],[sector]])</f>
        <v>Sports</v>
      </c>
      <c r="C7" t="str">
        <f>General2021[[#This Row],[organisation_type]]</f>
        <v>association</v>
      </c>
      <c r="D7">
        <f>IF(ISBLANK(General2021[[#This Row],[number_of_members]]),"N/A",VLOOKUP(A7,General2021[[organisation_name]:[number_of_international_committee_board_members_not_eea]],6,FALSE))</f>
        <v>32</v>
      </c>
      <c r="E7">
        <f>IF(ISBLANK(General2021[[#This Row],[number_of_committee_board_members]]),"N/A",VLOOKUP(A7,General2021!B:M,10,FALSE))</f>
        <v>7</v>
      </c>
      <c r="F7">
        <f>IFERROR(Data2021[[#This Row],[Number of members]]-Data2021[[#This Row],[Number of active members]], "N/A")</f>
        <v>25</v>
      </c>
      <c r="G7">
        <f>IFERROR(Data2021[[#This Row],[Number of active members]]/Data2021[[#This Row],[Number of members]], "N/A")</f>
        <v>0.21875</v>
      </c>
      <c r="H7">
        <f>IFERROR(1-Data2021[[#This Row],[Percentage active members]],"N/A")</f>
        <v>0.78125</v>
      </c>
      <c r="I7"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7">
        <f>IF(ISBLANK(General2021[[#This Row],[number_of_international_members_not_eea]]),"N/A",VLOOKUP(A7,General2021[[organisation_name]:[number_of_international_committee_board_members_not_eea]],9,FALSE))</f>
        <v>7</v>
      </c>
      <c r="K7">
        <f>IF(ISBLANK(General2021[[#This Row],[number_of_international_members_eea]]),"N/A",VLOOKUP(A7,General2021[[organisation_name]:[number_of_international_committee_board_members_not_eea]],8,FALSE))</f>
        <v>5</v>
      </c>
      <c r="L7">
        <f>IFERROR(IF(Data2021[[#This Row],[Number of members]]-Data2021[[#This Row],[Non-EEA Total]]-Data2021[[#This Row],[EEA total]]&lt;1,"N/A", Data2021[[#This Row],[Number of members]]-Data2021[[#This Row],[Non-EEA Total]]-Data2021[[#This Row],[EEA total]]),"N/A")</f>
        <v>20</v>
      </c>
      <c r="M7">
        <f>VLOOKUP(A7,General2021[[organisation_name]:[number_of_international_committee_board_members_not_eea]],12,FALSE)</f>
        <v>0</v>
      </c>
      <c r="N7">
        <f>VLOOKUP(A7,General2021[[organisation_name]:[number_of_international_committee_board_members_not_eea]],11,FALSE)</f>
        <v>14</v>
      </c>
      <c r="O7" t="str">
        <f>IFERROR(IF(Data2021[[#This Row],[Number of active members]]-Data2021[[#This Row],[Non-EEA Active ]]-Data2021[[#This Row],[EEA Active]]&lt;1,"N/A", Data2021[[#This Row],[Number of active members]]-Data2021[[#This Row],[Non-EEA Active ]]-Data2021[[#This Row],[EEA Active]]),"N/A")</f>
        <v>N/A</v>
      </c>
      <c r="P7">
        <f>IFERROR(Data2021[[#This Row],[Non-EEA Active ]]/Data2021[[#This Row],[Number of active members]],"N/A")</f>
        <v>0</v>
      </c>
      <c r="Q7">
        <f>IFERROR(Data2021[[#This Row],[EEA Active]]/Data2021[[#This Row],[EEA total]], "N/A")</f>
        <v>2.8</v>
      </c>
      <c r="R7" t="str">
        <f>IFERROR(Data2021[[#This Row],[Dutch Active]]/Data2021[[#This Row],[Dutch total]],"N/A")</f>
        <v>N/A</v>
      </c>
      <c r="S7" t="str">
        <f>IFERROR(IF(Data2021[[#This Row],[Number of members]]=Data2021[[#This Row],[Non-EEA Total]]+Data2021[[#This Row],[EEA total]]+Data2021[[#This Row],[Dutch total]],"T","F"),"F")</f>
        <v>T</v>
      </c>
      <c r="T7" t="str">
        <f>IFERROR(IF(Data2021[[#This Row],[Number of active members]]=Data2021[[#This Row],[Non-EEA Active ]]+Data2021[[#This Row],[EEA Active]]+Data2021[[#This Row],[Dutch Active]],"T","F"),"F")</f>
        <v>F</v>
      </c>
      <c r="U7" t="str">
        <f>IFERROR(IF(Data2021[[#This Row],[Number of members]]-Data2021[[#This Row],[Non-EEA Active ]]-Data2021[[#This Row],[EEA Active]]-Data2021[[#This Row],[Dutch Active]]=Data2021[[#This Row],[Number of  inactive members]],"T","F"),"F")</f>
        <v>F</v>
      </c>
      <c r="V7" t="str">
        <f>IF(Data2021[[#This Row],[EEA Active]]&lt;=Data2021[[#This Row],[EEA total]],"T","F")</f>
        <v>F</v>
      </c>
      <c r="W7" t="str">
        <f>IF(Data2021[[#This Row],[Dutch Active]]&lt;=Data2021[[#This Row],[Dutch total]],"T","F")</f>
        <v>F</v>
      </c>
      <c r="X7" t="str">
        <f>IF(Data2021[[#This Row],[Non-EEA Active ]]&lt;=Data2021[[#This Row],[Non-EEA Total]],"T","F")</f>
        <v>T</v>
      </c>
      <c r="Y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
        <f>IFERROR(VLOOKUP(Data2021[[#This Row],[organisation_name]],'Division Study Year Committees'!$A$1:$L$108,2,FALSE),"N/A")</f>
        <v>1</v>
      </c>
      <c r="AA7">
        <f>IFERROR(VLOOKUP(Data2021[[#This Row],[organisation_name]],'Division Study Year Committees'!$A$1:$L$108,3,FALSE),"N/A")</f>
        <v>0</v>
      </c>
      <c r="AB7">
        <f>IFERROR(VLOOKUP(Data2021[[#This Row],[organisation_name]],'Division Study Year Committees'!$A$1:$L$108,4,FALSE),"N/A")</f>
        <v>1</v>
      </c>
      <c r="AC7">
        <f>IFERROR(VLOOKUP(Data2021[[#This Row],[organisation_name]],'Division Study Year Committees'!$A$1:$L$108,5,FALSE), "N/A")</f>
        <v>3</v>
      </c>
      <c r="AD7">
        <f>IFERROR(VLOOKUP(Data2021[[#This Row],[organisation_name]],'Division Study Year Committees'!$A$1:$L$108,6,FALSE), "N/A")</f>
        <v>15</v>
      </c>
      <c r="AE7">
        <f>SUM(Data2021[[#This Row],[Number of first year comittee members]:[Number of 4+ year comittee members]])</f>
        <v>20</v>
      </c>
      <c r="AF7">
        <f>COUNTIF('Comittee2021'!D:D,Data2021[[#This Row],[organisation_name]])</f>
        <v>7</v>
      </c>
      <c r="AG7">
        <f>COUNTIFS('Comittee2021'!$D:$D,Data2021[[#This Row],[organisation_name]],'Comittee2021'!$O:$O,"strong decrease")</f>
        <v>2</v>
      </c>
      <c r="AH7">
        <f>COUNTIFS('Comittee2021'!$D:$D,Data2021[[#This Row],[organisation_name]],'Comittee2021'!$O:$O,"slight decrease")</f>
        <v>2</v>
      </c>
      <c r="AI7">
        <f>COUNTIFS('Comittee2021'!$D:$D,Data2021[[#This Row],[organisation_name]],'Comittee2021'!$O:$O,"no influence")</f>
        <v>3</v>
      </c>
      <c r="AJ7">
        <f>COUNTIFS('Comittee2021'!$D:$D,Data2021[[#This Row],[organisation_name]],'Comittee2021'!$O:$O,"slight increase")</f>
        <v>0</v>
      </c>
      <c r="AK7">
        <f>COUNTIFS('Comittee2021'!$D:$D,Data2021[[#This Row],[organisation_name]],'Comittee2021'!$O:$O,"strong increase")</f>
        <v>0</v>
      </c>
      <c r="AL7">
        <v>2021</v>
      </c>
    </row>
    <row r="8" spans="1:38" x14ac:dyDescent="0.3">
      <c r="A8" t="str">
        <f>General2021[[#This Row],[organisation_name]]</f>
        <v>DWV Hardboard</v>
      </c>
      <c r="B8" t="str">
        <f>IF(General2021[[#This Row],[sector]]= "",VLOOKUP(Data2021[[#This Row],[organisation_name]],'Response Rate sheet'!A:D,3,FALSE),General2021[[#This Row],[sector]])</f>
        <v>Sports</v>
      </c>
      <c r="C8" t="str">
        <f>General2021[[#This Row],[organisation_type]]</f>
        <v>association</v>
      </c>
      <c r="D8">
        <f>IF(ISBLANK(General2021[[#This Row],[number_of_members]]),"N/A",VLOOKUP(A8,General2021[[organisation_name]:[number_of_international_committee_board_members_not_eea]],6,FALSE))</f>
        <v>170</v>
      </c>
      <c r="E8">
        <f>IF(ISBLANK(General2021[[#This Row],[number_of_committee_board_members]]),"N/A",VLOOKUP(A8,General2021!B:M,10,FALSE))</f>
        <v>50</v>
      </c>
      <c r="F8">
        <f>IFERROR(Data2021[[#This Row],[Number of members]]-Data2021[[#This Row],[Number of active members]], "N/A")</f>
        <v>120</v>
      </c>
      <c r="G8">
        <f>IFERROR(Data2021[[#This Row],[Number of active members]]/Data2021[[#This Row],[Number of members]], "N/A")</f>
        <v>0.29411764705882354</v>
      </c>
      <c r="H8">
        <f>IFERROR(1-Data2021[[#This Row],[Percentage active members]],"N/A")</f>
        <v>0.70588235294117641</v>
      </c>
      <c r="I8" t="str">
        <f>IF(Data2021[[#This Row],[Number of members]]=0,"N/A",IF(Data2021[[#This Row],[Number of members]]&lt;50," A. 1 - 50 ",IF(Data2021[[#This Row],[Number of members]]&lt;100, "B. 50 - 100", IF(Data2021[[#This Row],[Number of members]]&lt;400, "C. 100 - 400", IF(Data2021[[#This Row],[Number of members]]&lt;1000,"D. 400 - 1000", "E. 1000 +")))))</f>
        <v>C. 100 - 400</v>
      </c>
      <c r="J8">
        <f>IF(ISBLANK(General2021[[#This Row],[number_of_international_members_not_eea]]),"N/A",VLOOKUP(A8,General2021[[organisation_name]:[number_of_international_committee_board_members_not_eea]],9,FALSE))</f>
        <v>25</v>
      </c>
      <c r="K8">
        <f>IF(ISBLANK(General2021[[#This Row],[number_of_international_members_eea]]),"N/A",VLOOKUP(A8,General2021[[organisation_name]:[number_of_international_committee_board_members_not_eea]],8,FALSE))</f>
        <v>2</v>
      </c>
      <c r="L8">
        <f>IFERROR(IF(Data2021[[#This Row],[Number of members]]-Data2021[[#This Row],[Non-EEA Total]]-Data2021[[#This Row],[EEA total]]&lt;1,"N/A", Data2021[[#This Row],[Number of members]]-Data2021[[#This Row],[Non-EEA Total]]-Data2021[[#This Row],[EEA total]]),"N/A")</f>
        <v>143</v>
      </c>
      <c r="M8">
        <f>VLOOKUP(A8,General2021[[organisation_name]:[number_of_international_committee_board_members_not_eea]],12,FALSE)</f>
        <v>1</v>
      </c>
      <c r="N8">
        <f>VLOOKUP(A8,General2021[[organisation_name]:[number_of_international_committee_board_members_not_eea]],11,FALSE)</f>
        <v>6</v>
      </c>
      <c r="O8">
        <f>IFERROR(IF(Data2021[[#This Row],[Number of active members]]-Data2021[[#This Row],[Non-EEA Active ]]-Data2021[[#This Row],[EEA Active]]&lt;1,"N/A", Data2021[[#This Row],[Number of active members]]-Data2021[[#This Row],[Non-EEA Active ]]-Data2021[[#This Row],[EEA Active]]),"N/A")</f>
        <v>43</v>
      </c>
      <c r="P8">
        <f>IFERROR(Data2021[[#This Row],[Non-EEA Active ]]/Data2021[[#This Row],[Number of active members]],"N/A")</f>
        <v>0.02</v>
      </c>
      <c r="Q8">
        <f>IFERROR(Data2021[[#This Row],[EEA Active]]/Data2021[[#This Row],[EEA total]], "N/A")</f>
        <v>3</v>
      </c>
      <c r="R8">
        <f>IFERROR(Data2021[[#This Row],[Dutch Active]]/Data2021[[#This Row],[Dutch total]],"N/A")</f>
        <v>0.30069930069930068</v>
      </c>
      <c r="S8" t="str">
        <f>IFERROR(IF(Data2021[[#This Row],[Number of members]]=Data2021[[#This Row],[Non-EEA Total]]+Data2021[[#This Row],[EEA total]]+Data2021[[#This Row],[Dutch total]],"T","F"),"F")</f>
        <v>T</v>
      </c>
      <c r="T8" t="str">
        <f>IFERROR(IF(Data2021[[#This Row],[Number of active members]]=Data2021[[#This Row],[Non-EEA Active ]]+Data2021[[#This Row],[EEA Active]]+Data2021[[#This Row],[Dutch Active]],"T","F"),"F")</f>
        <v>T</v>
      </c>
      <c r="U8" t="str">
        <f>IFERROR(IF(Data2021[[#This Row],[Number of members]]-Data2021[[#This Row],[Non-EEA Active ]]-Data2021[[#This Row],[EEA Active]]-Data2021[[#This Row],[Dutch Active]]=Data2021[[#This Row],[Number of  inactive members]],"T","F"),"F")</f>
        <v>T</v>
      </c>
      <c r="V8" t="str">
        <f>IF(Data2021[[#This Row],[EEA Active]]&lt;=Data2021[[#This Row],[EEA total]],"T","F")</f>
        <v>F</v>
      </c>
      <c r="W8" t="str">
        <f>IF(Data2021[[#This Row],[Dutch Active]]&lt;=Data2021[[#This Row],[Dutch total]],"T","F")</f>
        <v>T</v>
      </c>
      <c r="X8" t="str">
        <f>IF(Data2021[[#This Row],[Non-EEA Active ]]&lt;=Data2021[[#This Row],[Non-EEA Total]],"T","F")</f>
        <v>T</v>
      </c>
      <c r="Y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
        <f>IFERROR(VLOOKUP(Data2021[[#This Row],[organisation_name]],'Division Study Year Committees'!$A$1:$L$108,2,FALSE),"N/A")</f>
        <v>0</v>
      </c>
      <c r="AA8">
        <f>IFERROR(VLOOKUP(Data2021[[#This Row],[organisation_name]],'Division Study Year Committees'!$A$1:$L$108,3,FALSE),"N/A")</f>
        <v>0</v>
      </c>
      <c r="AB8">
        <f>IFERROR(VLOOKUP(Data2021[[#This Row],[organisation_name]],'Division Study Year Committees'!$A$1:$L$108,4,FALSE),"N/A")</f>
        <v>0</v>
      </c>
      <c r="AC8">
        <f>IFERROR(VLOOKUP(Data2021[[#This Row],[organisation_name]],'Division Study Year Committees'!$A$1:$L$108,5,FALSE), "N/A")</f>
        <v>0</v>
      </c>
      <c r="AD8">
        <f>IFERROR(VLOOKUP(Data2021[[#This Row],[organisation_name]],'Division Study Year Committees'!$A$1:$L$108,6,FALSE), "N/A")</f>
        <v>0</v>
      </c>
      <c r="AE8">
        <f>SUM(Data2021[[#This Row],[Number of first year comittee members]:[Number of 4+ year comittee members]])</f>
        <v>0</v>
      </c>
      <c r="AF8">
        <f>COUNTIF('Comittee2021'!D:D,Data2021[[#This Row],[organisation_name]])</f>
        <v>17</v>
      </c>
      <c r="AG8">
        <f>COUNTIFS('Comittee2021'!$D:$D,Data2021[[#This Row],[organisation_name]],'Comittee2021'!$O:$O,"strong decrease")</f>
        <v>0</v>
      </c>
      <c r="AH8">
        <f>COUNTIFS('Comittee2021'!$D:$D,Data2021[[#This Row],[organisation_name]],'Comittee2021'!$O:$O,"slight decrease")</f>
        <v>0</v>
      </c>
      <c r="AI8">
        <f>COUNTIFS('Comittee2021'!$D:$D,Data2021[[#This Row],[organisation_name]],'Comittee2021'!$O:$O,"no influence")</f>
        <v>0</v>
      </c>
      <c r="AJ8">
        <f>COUNTIFS('Comittee2021'!$D:$D,Data2021[[#This Row],[organisation_name]],'Comittee2021'!$O:$O,"slight increase")</f>
        <v>0</v>
      </c>
      <c r="AK8">
        <f>COUNTIFS('Comittee2021'!$D:$D,Data2021[[#This Row],[organisation_name]],'Comittee2021'!$O:$O,"strong increase")</f>
        <v>0</v>
      </c>
      <c r="AL8">
        <v>2021</v>
      </c>
    </row>
    <row r="9" spans="1:38" x14ac:dyDescent="0.3">
      <c r="A9" t="str">
        <f>General2021[[#This Row],[organisation_name]]</f>
        <v>DWV Klein Verzet</v>
      </c>
      <c r="B9" t="str">
        <f>IF(General2021[[#This Row],[sector]]= "",VLOOKUP(Data2021[[#This Row],[organisation_name]],'Response Rate sheet'!A:D,3,FALSE),General2021[[#This Row],[sector]])</f>
        <v>Sports</v>
      </c>
      <c r="C9" t="str">
        <f>General2021[[#This Row],[organisation_type]]</f>
        <v>association</v>
      </c>
      <c r="D9" t="str">
        <f>IF(ISBLANK(General2021[[#This Row],[number_of_members]]),"N/A",VLOOKUP(A9,General2021[[organisation_name]:[number_of_international_committee_board_members_not_eea]],6,FALSE))</f>
        <v>N/A</v>
      </c>
      <c r="E9" t="str">
        <f>IF(ISBLANK(General2021[[#This Row],[number_of_committee_board_members]]),"N/A",VLOOKUP(A9,General2021!B:M,10,FALSE))</f>
        <v>N/A</v>
      </c>
      <c r="F9" t="str">
        <f>IFERROR(Data2021[[#This Row],[Number of members]]-Data2021[[#This Row],[Number of active members]], "N/A")</f>
        <v>N/A</v>
      </c>
      <c r="G9" t="str">
        <f>IFERROR(Data2021[[#This Row],[Number of active members]]/Data2021[[#This Row],[Number of members]], "N/A")</f>
        <v>N/A</v>
      </c>
      <c r="H9" t="str">
        <f>IFERROR(1-Data2021[[#This Row],[Percentage active members]],"N/A")</f>
        <v>N/A</v>
      </c>
      <c r="I9" t="str">
        <f>IF(Data2021[[#This Row],[Number of members]]=0,"N/A",IF(Data2021[[#This Row],[Number of members]]&lt;50," A. 1 - 50 ",IF(Data2021[[#This Row],[Number of members]]&lt;100, "B. 50 - 100", IF(Data2021[[#This Row],[Number of members]]&lt;400, "C. 100 - 400", IF(Data2021[[#This Row],[Number of members]]&lt;1000,"D. 400 - 1000", "E. 1000 +")))))</f>
        <v>E. 1000 +</v>
      </c>
      <c r="J9" t="str">
        <f>IF(ISBLANK(General2021[[#This Row],[number_of_international_members_not_eea]]),"N/A",VLOOKUP(A9,General2021[[organisation_name]:[number_of_international_committee_board_members_not_eea]],9,FALSE))</f>
        <v>N/A</v>
      </c>
      <c r="K9" t="str">
        <f>IF(ISBLANK(General2021[[#This Row],[number_of_international_members_eea]]),"N/A",VLOOKUP(A9,General2021[[organisation_name]:[number_of_international_committee_board_members_not_eea]],8,FALSE))</f>
        <v>N/A</v>
      </c>
      <c r="L9" t="str">
        <f>IFERROR(IF(Data2021[[#This Row],[Number of members]]-Data2021[[#This Row],[Non-EEA Total]]-Data2021[[#This Row],[EEA total]]&lt;1,"N/A", Data2021[[#This Row],[Number of members]]-Data2021[[#This Row],[Non-EEA Total]]-Data2021[[#This Row],[EEA total]]),"N/A")</f>
        <v>N/A</v>
      </c>
      <c r="M9">
        <f>VLOOKUP(A9,General2021[[organisation_name]:[number_of_international_committee_board_members_not_eea]],12,FALSE)</f>
        <v>0</v>
      </c>
      <c r="N9">
        <f>VLOOKUP(A9,General2021[[organisation_name]:[number_of_international_committee_board_members_not_eea]],11,FALSE)</f>
        <v>0</v>
      </c>
      <c r="O9" t="str">
        <f>IFERROR(IF(Data2021[[#This Row],[Number of active members]]-Data2021[[#This Row],[Non-EEA Active ]]-Data2021[[#This Row],[EEA Active]]&lt;1,"N/A", Data2021[[#This Row],[Number of active members]]-Data2021[[#This Row],[Non-EEA Active ]]-Data2021[[#This Row],[EEA Active]]),"N/A")</f>
        <v>N/A</v>
      </c>
      <c r="P9" t="str">
        <f>IFERROR(Data2021[[#This Row],[Non-EEA Active ]]/Data2021[[#This Row],[Number of active members]],"N/A")</f>
        <v>N/A</v>
      </c>
      <c r="Q9" t="str">
        <f>IFERROR(Data2021[[#This Row],[EEA Active]]/Data2021[[#This Row],[EEA total]], "N/A")</f>
        <v>N/A</v>
      </c>
      <c r="R9" t="str">
        <f>IFERROR(Data2021[[#This Row],[Dutch Active]]/Data2021[[#This Row],[Dutch total]],"N/A")</f>
        <v>N/A</v>
      </c>
      <c r="S9" t="str">
        <f>IFERROR(IF(Data2021[[#This Row],[Number of members]]=Data2021[[#This Row],[Non-EEA Total]]+Data2021[[#This Row],[EEA total]]+Data2021[[#This Row],[Dutch total]],"T","F"),"F")</f>
        <v>F</v>
      </c>
      <c r="T9" t="str">
        <f>IFERROR(IF(Data2021[[#This Row],[Number of active members]]=Data2021[[#This Row],[Non-EEA Active ]]+Data2021[[#This Row],[EEA Active]]+Data2021[[#This Row],[Dutch Active]],"T","F"),"F")</f>
        <v>F</v>
      </c>
      <c r="U9" t="str">
        <f>IFERROR(IF(Data2021[[#This Row],[Number of members]]-Data2021[[#This Row],[Non-EEA Active ]]-Data2021[[#This Row],[EEA Active]]-Data2021[[#This Row],[Dutch Active]]=Data2021[[#This Row],[Number of  inactive members]],"T","F"),"F")</f>
        <v>F</v>
      </c>
      <c r="V9" t="str">
        <f>IF(Data2021[[#This Row],[EEA Active]]&lt;=Data2021[[#This Row],[EEA total]],"T","F")</f>
        <v>T</v>
      </c>
      <c r="W9" t="str">
        <f>IF(Data2021[[#This Row],[Dutch Active]]&lt;=Data2021[[#This Row],[Dutch total]],"T","F")</f>
        <v>T</v>
      </c>
      <c r="X9" t="str">
        <f>IF(Data2021[[#This Row],[Non-EEA Active ]]&lt;=Data2021[[#This Row],[Non-EEA Total]],"T","F")</f>
        <v>T</v>
      </c>
      <c r="Y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 t="str">
        <f>IFERROR(VLOOKUP(Data2021[[#This Row],[organisation_name]],'Division Study Year Committees'!$A$1:$L$108,2,FALSE),"N/A")</f>
        <v>N/A</v>
      </c>
      <c r="AA9" t="str">
        <f>IFERROR(VLOOKUP(Data2021[[#This Row],[organisation_name]],'Division Study Year Committees'!$A$1:$L$108,3,FALSE),"N/A")</f>
        <v>N/A</v>
      </c>
      <c r="AB9" t="str">
        <f>IFERROR(VLOOKUP(Data2021[[#This Row],[organisation_name]],'Division Study Year Committees'!$A$1:$L$108,4,FALSE),"N/A")</f>
        <v>N/A</v>
      </c>
      <c r="AC9" t="str">
        <f>IFERROR(VLOOKUP(Data2021[[#This Row],[organisation_name]],'Division Study Year Committees'!$A$1:$L$108,5,FALSE), "N/A")</f>
        <v>N/A</v>
      </c>
      <c r="AD9" t="str">
        <f>IFERROR(VLOOKUP(Data2021[[#This Row],[organisation_name]],'Division Study Year Committees'!$A$1:$L$108,6,FALSE), "N/A")</f>
        <v>N/A</v>
      </c>
      <c r="AE9">
        <f>SUM(Data2021[[#This Row],[Number of first year comittee members]:[Number of 4+ year comittee members]])</f>
        <v>0</v>
      </c>
      <c r="AF9">
        <f>COUNTIF('Comittee2021'!D:D,Data2021[[#This Row],[organisation_name]])</f>
        <v>0</v>
      </c>
      <c r="AG9">
        <f>COUNTIFS('Comittee2021'!$D:$D,Data2021[[#This Row],[organisation_name]],'Comittee2021'!$O:$O,"strong decrease")</f>
        <v>0</v>
      </c>
      <c r="AH9">
        <f>COUNTIFS('Comittee2021'!$D:$D,Data2021[[#This Row],[organisation_name]],'Comittee2021'!$O:$O,"slight decrease")</f>
        <v>0</v>
      </c>
      <c r="AI9">
        <f>COUNTIFS('Comittee2021'!$D:$D,Data2021[[#This Row],[organisation_name]],'Comittee2021'!$O:$O,"no influence")</f>
        <v>0</v>
      </c>
      <c r="AJ9">
        <f>COUNTIFS('Comittee2021'!$D:$D,Data2021[[#This Row],[organisation_name]],'Comittee2021'!$O:$O,"slight increase")</f>
        <v>0</v>
      </c>
      <c r="AK9">
        <f>COUNTIFS('Comittee2021'!$D:$D,Data2021[[#This Row],[organisation_name]],'Comittee2021'!$O:$O,"strong increase")</f>
        <v>0</v>
      </c>
      <c r="AL9">
        <v>2021</v>
      </c>
    </row>
    <row r="10" spans="1:38" x14ac:dyDescent="0.3">
      <c r="A10" t="str">
        <f>General2021[[#This Row],[organisation_name]]</f>
        <v>DBV DIOK</v>
      </c>
      <c r="B10" t="str">
        <f>IF(General2021[[#This Row],[sector]]= "",VLOOKUP(Data2021[[#This Row],[organisation_name]],'Response Rate sheet'!A:D,3,FALSE),General2021[[#This Row],[sector]])</f>
        <v>Sports</v>
      </c>
      <c r="C10" t="str">
        <f>General2021[[#This Row],[organisation_type]]</f>
        <v>association</v>
      </c>
      <c r="D10" t="str">
        <f>IF(ISBLANK(General2021[[#This Row],[number_of_members]]),"N/A",VLOOKUP(A10,General2021[[organisation_name]:[number_of_international_committee_board_members_not_eea]],6,FALSE))</f>
        <v>N/A</v>
      </c>
      <c r="E10" t="str">
        <f>IF(ISBLANK(General2021[[#This Row],[number_of_committee_board_members]]),"N/A",VLOOKUP(A10,General2021!B:M,10,FALSE))</f>
        <v>N/A</v>
      </c>
      <c r="F10" t="str">
        <f>IFERROR(Data2021[[#This Row],[Number of members]]-Data2021[[#This Row],[Number of active members]], "N/A")</f>
        <v>N/A</v>
      </c>
      <c r="G10" t="str">
        <f>IFERROR(Data2021[[#This Row],[Number of active members]]/Data2021[[#This Row],[Number of members]], "N/A")</f>
        <v>N/A</v>
      </c>
      <c r="H10" t="str">
        <f>IFERROR(1-Data2021[[#This Row],[Percentage active members]],"N/A")</f>
        <v>N/A</v>
      </c>
      <c r="I10" t="str">
        <f>IF(Data2021[[#This Row],[Number of members]]=0,"N/A",IF(Data2021[[#This Row],[Number of members]]&lt;50," A. 1 - 50 ",IF(Data2021[[#This Row],[Number of members]]&lt;100, "B. 50 - 100", IF(Data2021[[#This Row],[Number of members]]&lt;400, "C. 100 - 400", IF(Data2021[[#This Row],[Number of members]]&lt;1000,"D. 400 - 1000", "E. 1000 +")))))</f>
        <v>E. 1000 +</v>
      </c>
      <c r="J10" t="str">
        <f>IF(ISBLANK(General2021[[#This Row],[number_of_international_members_not_eea]]),"N/A",VLOOKUP(A10,General2021[[organisation_name]:[number_of_international_committee_board_members_not_eea]],9,FALSE))</f>
        <v>N/A</v>
      </c>
      <c r="K10" t="str">
        <f>IF(ISBLANK(General2021[[#This Row],[number_of_international_members_eea]]),"N/A",VLOOKUP(A10,General2021[[organisation_name]:[number_of_international_committee_board_members_not_eea]],8,FALSE))</f>
        <v>N/A</v>
      </c>
      <c r="L10" t="str">
        <f>IFERROR(IF(Data2021[[#This Row],[Number of members]]-Data2021[[#This Row],[Non-EEA Total]]-Data2021[[#This Row],[EEA total]]&lt;1,"N/A", Data2021[[#This Row],[Number of members]]-Data2021[[#This Row],[Non-EEA Total]]-Data2021[[#This Row],[EEA total]]),"N/A")</f>
        <v>N/A</v>
      </c>
      <c r="M10">
        <f>VLOOKUP(A10,General2021[[organisation_name]:[number_of_international_committee_board_members_not_eea]],12,FALSE)</f>
        <v>0</v>
      </c>
      <c r="N10">
        <f>VLOOKUP(A10,General2021[[organisation_name]:[number_of_international_committee_board_members_not_eea]],11,FALSE)</f>
        <v>0</v>
      </c>
      <c r="O10" t="str">
        <f>IFERROR(IF(Data2021[[#This Row],[Number of active members]]-Data2021[[#This Row],[Non-EEA Active ]]-Data2021[[#This Row],[EEA Active]]&lt;1,"N/A", Data2021[[#This Row],[Number of active members]]-Data2021[[#This Row],[Non-EEA Active ]]-Data2021[[#This Row],[EEA Active]]),"N/A")</f>
        <v>N/A</v>
      </c>
      <c r="P10" t="str">
        <f>IFERROR(Data2021[[#This Row],[Non-EEA Active ]]/Data2021[[#This Row],[Number of active members]],"N/A")</f>
        <v>N/A</v>
      </c>
      <c r="Q10" t="str">
        <f>IFERROR(Data2021[[#This Row],[EEA Active]]/Data2021[[#This Row],[EEA total]], "N/A")</f>
        <v>N/A</v>
      </c>
      <c r="R10" t="str">
        <f>IFERROR(Data2021[[#This Row],[Dutch Active]]/Data2021[[#This Row],[Dutch total]],"N/A")</f>
        <v>N/A</v>
      </c>
      <c r="S10" t="str">
        <f>IFERROR(IF(Data2021[[#This Row],[Number of members]]=Data2021[[#This Row],[Non-EEA Total]]+Data2021[[#This Row],[EEA total]]+Data2021[[#This Row],[Dutch total]],"T","F"),"F")</f>
        <v>F</v>
      </c>
      <c r="T10" t="str">
        <f>IFERROR(IF(Data2021[[#This Row],[Number of active members]]=Data2021[[#This Row],[Non-EEA Active ]]+Data2021[[#This Row],[EEA Active]]+Data2021[[#This Row],[Dutch Active]],"T","F"),"F")</f>
        <v>F</v>
      </c>
      <c r="U10" t="str">
        <f>IFERROR(IF(Data2021[[#This Row],[Number of members]]-Data2021[[#This Row],[Non-EEA Active ]]-Data2021[[#This Row],[EEA Active]]-Data2021[[#This Row],[Dutch Active]]=Data2021[[#This Row],[Number of  inactive members]],"T","F"),"F")</f>
        <v>F</v>
      </c>
      <c r="V10" t="str">
        <f>IF(Data2021[[#This Row],[EEA Active]]&lt;=Data2021[[#This Row],[EEA total]],"T","F")</f>
        <v>T</v>
      </c>
      <c r="W10" t="str">
        <f>IF(Data2021[[#This Row],[Dutch Active]]&lt;=Data2021[[#This Row],[Dutch total]],"T","F")</f>
        <v>T</v>
      </c>
      <c r="X10" t="str">
        <f>IF(Data2021[[#This Row],[Non-EEA Active ]]&lt;=Data2021[[#This Row],[Non-EEA Total]],"T","F")</f>
        <v>T</v>
      </c>
      <c r="Y1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 t="str">
        <f>IFERROR(VLOOKUP(Data2021[[#This Row],[organisation_name]],'Division Study Year Committees'!$A$1:$L$108,2,FALSE),"N/A")</f>
        <v>N/A</v>
      </c>
      <c r="AA10" t="str">
        <f>IFERROR(VLOOKUP(Data2021[[#This Row],[organisation_name]],'Division Study Year Committees'!$A$1:$L$108,3,FALSE),"N/A")</f>
        <v>N/A</v>
      </c>
      <c r="AB10" t="str">
        <f>IFERROR(VLOOKUP(Data2021[[#This Row],[organisation_name]],'Division Study Year Committees'!$A$1:$L$108,4,FALSE),"N/A")</f>
        <v>N/A</v>
      </c>
      <c r="AC10" t="str">
        <f>IFERROR(VLOOKUP(Data2021[[#This Row],[organisation_name]],'Division Study Year Committees'!$A$1:$L$108,5,FALSE), "N/A")</f>
        <v>N/A</v>
      </c>
      <c r="AD10" t="str">
        <f>IFERROR(VLOOKUP(Data2021[[#This Row],[organisation_name]],'Division Study Year Committees'!$A$1:$L$108,6,FALSE), "N/A")</f>
        <v>N/A</v>
      </c>
      <c r="AE10">
        <f>SUM(Data2021[[#This Row],[Number of first year comittee members]:[Number of 4+ year comittee members]])</f>
        <v>0</v>
      </c>
      <c r="AF10">
        <f>COUNTIF('Comittee2021'!D:D,Data2021[[#This Row],[organisation_name]])</f>
        <v>0</v>
      </c>
      <c r="AG10">
        <f>COUNTIFS('Comittee2021'!$D:$D,Data2021[[#This Row],[organisation_name]],'Comittee2021'!$O:$O,"strong decrease")</f>
        <v>0</v>
      </c>
      <c r="AH10">
        <f>COUNTIFS('Comittee2021'!$D:$D,Data2021[[#This Row],[organisation_name]],'Comittee2021'!$O:$O,"slight decrease")</f>
        <v>0</v>
      </c>
      <c r="AI10">
        <f>COUNTIFS('Comittee2021'!$D:$D,Data2021[[#This Row],[organisation_name]],'Comittee2021'!$O:$O,"no influence")</f>
        <v>0</v>
      </c>
      <c r="AJ10">
        <f>COUNTIFS('Comittee2021'!$D:$D,Data2021[[#This Row],[organisation_name]],'Comittee2021'!$O:$O,"slight increase")</f>
        <v>0</v>
      </c>
      <c r="AK10">
        <f>COUNTIFS('Comittee2021'!$D:$D,Data2021[[#This Row],[organisation_name]],'Comittee2021'!$O:$O,"strong increase")</f>
        <v>0</v>
      </c>
      <c r="AL10">
        <v>2021</v>
      </c>
    </row>
    <row r="11" spans="1:38" x14ac:dyDescent="0.3">
      <c r="A11" t="str">
        <f>General2021[[#This Row],[organisation_name]]</f>
        <v>DBV de Stretchers</v>
      </c>
      <c r="B11" t="str">
        <f>IF(General2021[[#This Row],[sector]]= "",VLOOKUP(Data2021[[#This Row],[organisation_name]],'Response Rate sheet'!A:D,3,FALSE),General2021[[#This Row],[sector]])</f>
        <v>Sports</v>
      </c>
      <c r="C11" t="str">
        <f>General2021[[#This Row],[organisation_type]]</f>
        <v>association</v>
      </c>
      <c r="D11">
        <f>IF(ISBLANK(General2021[[#This Row],[number_of_members]]),"N/A",VLOOKUP(A11,General2021[[organisation_name]:[number_of_international_committee_board_members_not_eea]],6,FALSE))</f>
        <v>40</v>
      </c>
      <c r="E11">
        <f>IF(ISBLANK(General2021[[#This Row],[number_of_committee_board_members]]),"N/A",VLOOKUP(A11,General2021!B:M,10,FALSE))</f>
        <v>6</v>
      </c>
      <c r="F11">
        <f>IFERROR(Data2021[[#This Row],[Number of members]]-Data2021[[#This Row],[Number of active members]], "N/A")</f>
        <v>34</v>
      </c>
      <c r="G11">
        <f>IFERROR(Data2021[[#This Row],[Number of active members]]/Data2021[[#This Row],[Number of members]], "N/A")</f>
        <v>0.15</v>
      </c>
      <c r="H11">
        <f>IFERROR(1-Data2021[[#This Row],[Percentage active members]],"N/A")</f>
        <v>0.85</v>
      </c>
      <c r="I11"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1">
        <f>IF(ISBLANK(General2021[[#This Row],[number_of_international_members_not_eea]]),"N/A",VLOOKUP(A11,General2021[[organisation_name]:[number_of_international_committee_board_members_not_eea]],9,FALSE))</f>
        <v>14</v>
      </c>
      <c r="K11">
        <f>IF(ISBLANK(General2021[[#This Row],[number_of_international_members_eea]]),"N/A",VLOOKUP(A11,General2021[[organisation_name]:[number_of_international_committee_board_members_not_eea]],8,FALSE))</f>
        <v>3</v>
      </c>
      <c r="L11">
        <f>IFERROR(IF(Data2021[[#This Row],[Number of members]]-Data2021[[#This Row],[Non-EEA Total]]-Data2021[[#This Row],[EEA total]]&lt;1,"N/A", Data2021[[#This Row],[Number of members]]-Data2021[[#This Row],[Non-EEA Total]]-Data2021[[#This Row],[EEA total]]),"N/A")</f>
        <v>23</v>
      </c>
      <c r="M11">
        <f>VLOOKUP(A11,General2021[[organisation_name]:[number_of_international_committee_board_members_not_eea]],12,FALSE)</f>
        <v>0</v>
      </c>
      <c r="N11">
        <f>VLOOKUP(A11,General2021[[organisation_name]:[number_of_international_committee_board_members_not_eea]],11,FALSE)</f>
        <v>0</v>
      </c>
      <c r="O11">
        <f>IFERROR(IF(Data2021[[#This Row],[Number of active members]]-Data2021[[#This Row],[Non-EEA Active ]]-Data2021[[#This Row],[EEA Active]]&lt;1,"N/A", Data2021[[#This Row],[Number of active members]]-Data2021[[#This Row],[Non-EEA Active ]]-Data2021[[#This Row],[EEA Active]]),"N/A")</f>
        <v>6</v>
      </c>
      <c r="P11">
        <f>IFERROR(Data2021[[#This Row],[Non-EEA Active ]]/Data2021[[#This Row],[Number of active members]],"N/A")</f>
        <v>0</v>
      </c>
      <c r="Q11">
        <f>IFERROR(Data2021[[#This Row],[EEA Active]]/Data2021[[#This Row],[EEA total]], "N/A")</f>
        <v>0</v>
      </c>
      <c r="R11">
        <f>IFERROR(Data2021[[#This Row],[Dutch Active]]/Data2021[[#This Row],[Dutch total]],"N/A")</f>
        <v>0.2608695652173913</v>
      </c>
      <c r="S11" t="str">
        <f>IFERROR(IF(Data2021[[#This Row],[Number of members]]=Data2021[[#This Row],[Non-EEA Total]]+Data2021[[#This Row],[EEA total]]+Data2021[[#This Row],[Dutch total]],"T","F"),"F")</f>
        <v>T</v>
      </c>
      <c r="T11" t="str">
        <f>IFERROR(IF(Data2021[[#This Row],[Number of active members]]=Data2021[[#This Row],[Non-EEA Active ]]+Data2021[[#This Row],[EEA Active]]+Data2021[[#This Row],[Dutch Active]],"T","F"),"F")</f>
        <v>T</v>
      </c>
      <c r="U11" t="str">
        <f>IFERROR(IF(Data2021[[#This Row],[Number of members]]-Data2021[[#This Row],[Non-EEA Active ]]-Data2021[[#This Row],[EEA Active]]-Data2021[[#This Row],[Dutch Active]]=Data2021[[#This Row],[Number of  inactive members]],"T","F"),"F")</f>
        <v>T</v>
      </c>
      <c r="V11" t="str">
        <f>IF(Data2021[[#This Row],[EEA Active]]&lt;=Data2021[[#This Row],[EEA total]],"T","F")</f>
        <v>T</v>
      </c>
      <c r="W11" t="str">
        <f>IF(Data2021[[#This Row],[Dutch Active]]&lt;=Data2021[[#This Row],[Dutch total]],"T","F")</f>
        <v>T</v>
      </c>
      <c r="X11" t="str">
        <f>IF(Data2021[[#This Row],[Non-EEA Active ]]&lt;=Data2021[[#This Row],[Non-EEA Total]],"T","F")</f>
        <v>T</v>
      </c>
      <c r="Y11"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1">
        <f>IFERROR(VLOOKUP(Data2021[[#This Row],[organisation_name]],'Division Study Year Committees'!$A$1:$L$108,2,FALSE),"N/A")</f>
        <v>2</v>
      </c>
      <c r="AA11">
        <f>IFERROR(VLOOKUP(Data2021[[#This Row],[organisation_name]],'Division Study Year Committees'!$A$1:$L$108,3,FALSE),"N/A")</f>
        <v>2</v>
      </c>
      <c r="AB11">
        <f>IFERROR(VLOOKUP(Data2021[[#This Row],[organisation_name]],'Division Study Year Committees'!$A$1:$L$108,4,FALSE),"N/A")</f>
        <v>2</v>
      </c>
      <c r="AC11">
        <f>IFERROR(VLOOKUP(Data2021[[#This Row],[organisation_name]],'Division Study Year Committees'!$A$1:$L$108,5,FALSE), "N/A")</f>
        <v>3</v>
      </c>
      <c r="AD11">
        <f>IFERROR(VLOOKUP(Data2021[[#This Row],[organisation_name]],'Division Study Year Committees'!$A$1:$L$108,6,FALSE), "N/A")</f>
        <v>16</v>
      </c>
      <c r="AE11">
        <f>SUM(Data2021[[#This Row],[Number of first year comittee members]:[Number of 4+ year comittee members]])</f>
        <v>25</v>
      </c>
      <c r="AF11">
        <f>COUNTIF('Comittee2021'!D:D,Data2021[[#This Row],[organisation_name]])</f>
        <v>6</v>
      </c>
      <c r="AG11">
        <f>COUNTIFS('Comittee2021'!$D:$D,Data2021[[#This Row],[organisation_name]],'Comittee2021'!$O:$O,"strong decrease")</f>
        <v>0</v>
      </c>
      <c r="AH11">
        <f>COUNTIFS('Comittee2021'!$D:$D,Data2021[[#This Row],[organisation_name]],'Comittee2021'!$O:$O,"slight decrease")</f>
        <v>0</v>
      </c>
      <c r="AI11">
        <f>COUNTIFS('Comittee2021'!$D:$D,Data2021[[#This Row],[organisation_name]],'Comittee2021'!$O:$O,"no influence")</f>
        <v>4</v>
      </c>
      <c r="AJ11">
        <f>COUNTIFS('Comittee2021'!$D:$D,Data2021[[#This Row],[organisation_name]],'Comittee2021'!$O:$O,"slight increase")</f>
        <v>2</v>
      </c>
      <c r="AK11">
        <f>COUNTIFS('Comittee2021'!$D:$D,Data2021[[#This Row],[organisation_name]],'Comittee2021'!$O:$O,"strong increase")</f>
        <v>0</v>
      </c>
      <c r="AL11">
        <v>2021</v>
      </c>
    </row>
    <row r="12" spans="1:38" x14ac:dyDescent="0.3">
      <c r="A12" t="str">
        <f>General2021[[#This Row],[organisation_name]]</f>
        <v>DHC Drienerlo</v>
      </c>
      <c r="B12" t="str">
        <f>IF(General2021[[#This Row],[sector]]= "",VLOOKUP(Data2021[[#This Row],[organisation_name]],'Response Rate sheet'!A:D,3,FALSE),General2021[[#This Row],[sector]])</f>
        <v>Sports</v>
      </c>
      <c r="C12" t="str">
        <f>General2021[[#This Row],[organisation_type]]</f>
        <v>association</v>
      </c>
      <c r="D12">
        <f>IF(ISBLANK(General2021[[#This Row],[number_of_members]]),"N/A",VLOOKUP(A12,General2021[[organisation_name]:[number_of_international_committee_board_members_not_eea]],6,FALSE))</f>
        <v>245</v>
      </c>
      <c r="E12">
        <f>IF(ISBLANK(General2021[[#This Row],[number_of_committee_board_members]]),"N/A",VLOOKUP(A12,General2021!B:M,10,FALSE))</f>
        <v>75</v>
      </c>
      <c r="F12">
        <f>IFERROR(Data2021[[#This Row],[Number of members]]-Data2021[[#This Row],[Number of active members]], "N/A")</f>
        <v>170</v>
      </c>
      <c r="G12">
        <f>IFERROR(Data2021[[#This Row],[Number of active members]]/Data2021[[#This Row],[Number of members]], "N/A")</f>
        <v>0.30612244897959184</v>
      </c>
      <c r="H12">
        <f>IFERROR(1-Data2021[[#This Row],[Percentage active members]],"N/A")</f>
        <v>0.69387755102040816</v>
      </c>
      <c r="I12" t="str">
        <f>IF(Data2021[[#This Row],[Number of members]]=0,"N/A",IF(Data2021[[#This Row],[Number of members]]&lt;50," A. 1 - 50 ",IF(Data2021[[#This Row],[Number of members]]&lt;100, "B. 50 - 100", IF(Data2021[[#This Row],[Number of members]]&lt;400, "C. 100 - 400", IF(Data2021[[#This Row],[Number of members]]&lt;1000,"D. 400 - 1000", "E. 1000 +")))))</f>
        <v>C. 100 - 400</v>
      </c>
      <c r="J12">
        <f>IF(ISBLANK(General2021[[#This Row],[number_of_international_members_not_eea]]),"N/A",VLOOKUP(A12,General2021[[organisation_name]:[number_of_international_committee_board_members_not_eea]],9,FALSE))</f>
        <v>1</v>
      </c>
      <c r="K12">
        <f>IF(ISBLANK(General2021[[#This Row],[number_of_international_members_eea]]),"N/A",VLOOKUP(A12,General2021[[organisation_name]:[number_of_international_committee_board_members_not_eea]],8,FALSE))</f>
        <v>4</v>
      </c>
      <c r="L12">
        <f>IFERROR(IF(Data2021[[#This Row],[Number of members]]-Data2021[[#This Row],[Non-EEA Total]]-Data2021[[#This Row],[EEA total]]&lt;1,"N/A", Data2021[[#This Row],[Number of members]]-Data2021[[#This Row],[Non-EEA Total]]-Data2021[[#This Row],[EEA total]]),"N/A")</f>
        <v>240</v>
      </c>
      <c r="M12">
        <f>VLOOKUP(A12,General2021[[organisation_name]:[number_of_international_committee_board_members_not_eea]],12,FALSE)</f>
        <v>1</v>
      </c>
      <c r="N12">
        <f>VLOOKUP(A12,General2021[[organisation_name]:[number_of_international_committee_board_members_not_eea]],11,FALSE)</f>
        <v>3</v>
      </c>
      <c r="O12">
        <f>IFERROR(IF(Data2021[[#This Row],[Number of active members]]-Data2021[[#This Row],[Non-EEA Active ]]-Data2021[[#This Row],[EEA Active]]&lt;1,"N/A", Data2021[[#This Row],[Number of active members]]-Data2021[[#This Row],[Non-EEA Active ]]-Data2021[[#This Row],[EEA Active]]),"N/A")</f>
        <v>71</v>
      </c>
      <c r="P12">
        <f>IFERROR(Data2021[[#This Row],[Non-EEA Active ]]/Data2021[[#This Row],[Number of active members]],"N/A")</f>
        <v>1.3333333333333334E-2</v>
      </c>
      <c r="Q12">
        <f>IFERROR(Data2021[[#This Row],[EEA Active]]/Data2021[[#This Row],[EEA total]], "N/A")</f>
        <v>0.75</v>
      </c>
      <c r="R12">
        <f>IFERROR(Data2021[[#This Row],[Dutch Active]]/Data2021[[#This Row],[Dutch total]],"N/A")</f>
        <v>0.29583333333333334</v>
      </c>
      <c r="S12" t="str">
        <f>IFERROR(IF(Data2021[[#This Row],[Number of members]]=Data2021[[#This Row],[Non-EEA Total]]+Data2021[[#This Row],[EEA total]]+Data2021[[#This Row],[Dutch total]],"T","F"),"F")</f>
        <v>T</v>
      </c>
      <c r="T12" t="str">
        <f>IFERROR(IF(Data2021[[#This Row],[Number of active members]]=Data2021[[#This Row],[Non-EEA Active ]]+Data2021[[#This Row],[EEA Active]]+Data2021[[#This Row],[Dutch Active]],"T","F"),"F")</f>
        <v>T</v>
      </c>
      <c r="U12" t="str">
        <f>IFERROR(IF(Data2021[[#This Row],[Number of members]]-Data2021[[#This Row],[Non-EEA Active ]]-Data2021[[#This Row],[EEA Active]]-Data2021[[#This Row],[Dutch Active]]=Data2021[[#This Row],[Number of  inactive members]],"T","F"),"F")</f>
        <v>T</v>
      </c>
      <c r="V12" t="str">
        <f>IF(Data2021[[#This Row],[EEA Active]]&lt;=Data2021[[#This Row],[EEA total]],"T","F")</f>
        <v>T</v>
      </c>
      <c r="W12" t="str">
        <f>IF(Data2021[[#This Row],[Dutch Active]]&lt;=Data2021[[#This Row],[Dutch total]],"T","F")</f>
        <v>T</v>
      </c>
      <c r="X12" t="str">
        <f>IF(Data2021[[#This Row],[Non-EEA Active ]]&lt;=Data2021[[#This Row],[Non-EEA Total]],"T","F")</f>
        <v>T</v>
      </c>
      <c r="Y12"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2">
        <f>IFERROR(VLOOKUP(Data2021[[#This Row],[organisation_name]],'Division Study Year Committees'!$A$1:$L$108,2,FALSE),"N/A")</f>
        <v>22</v>
      </c>
      <c r="AA12">
        <f>IFERROR(VLOOKUP(Data2021[[#This Row],[organisation_name]],'Division Study Year Committees'!$A$1:$L$108,3,FALSE),"N/A")</f>
        <v>25</v>
      </c>
      <c r="AB12">
        <f>IFERROR(VLOOKUP(Data2021[[#This Row],[organisation_name]],'Division Study Year Committees'!$A$1:$L$108,4,FALSE),"N/A")</f>
        <v>38</v>
      </c>
      <c r="AC12">
        <f>IFERROR(VLOOKUP(Data2021[[#This Row],[organisation_name]],'Division Study Year Committees'!$A$1:$L$108,5,FALSE), "N/A")</f>
        <v>19</v>
      </c>
      <c r="AD12">
        <f>IFERROR(VLOOKUP(Data2021[[#This Row],[organisation_name]],'Division Study Year Committees'!$A$1:$L$108,6,FALSE), "N/A")</f>
        <v>42</v>
      </c>
      <c r="AE12">
        <f>SUM(Data2021[[#This Row],[Number of first year comittee members]:[Number of 4+ year comittee members]])</f>
        <v>146</v>
      </c>
      <c r="AF12">
        <f>COUNTIF('Comittee2021'!D:D,Data2021[[#This Row],[organisation_name]])</f>
        <v>17</v>
      </c>
      <c r="AG12">
        <f>COUNTIFS('Comittee2021'!$D:$D,Data2021[[#This Row],[organisation_name]],'Comittee2021'!$O:$O,"strong decrease")</f>
        <v>4</v>
      </c>
      <c r="AH12">
        <f>COUNTIFS('Comittee2021'!$D:$D,Data2021[[#This Row],[organisation_name]],'Comittee2021'!$O:$O,"slight decrease")</f>
        <v>2</v>
      </c>
      <c r="AI12">
        <f>COUNTIFS('Comittee2021'!$D:$D,Data2021[[#This Row],[organisation_name]],'Comittee2021'!$O:$O,"no influence")</f>
        <v>6</v>
      </c>
      <c r="AJ12">
        <f>COUNTIFS('Comittee2021'!$D:$D,Data2021[[#This Row],[organisation_name]],'Comittee2021'!$O:$O,"slight increase")</f>
        <v>5</v>
      </c>
      <c r="AK12">
        <f>COUNTIFS('Comittee2021'!$D:$D,Data2021[[#This Row],[organisation_name]],'Comittee2021'!$O:$O,"strong increase")</f>
        <v>0</v>
      </c>
      <c r="AL12">
        <v>2021</v>
      </c>
    </row>
    <row r="13" spans="1:38" x14ac:dyDescent="0.3">
      <c r="A13" t="str">
        <f>General2021[[#This Row],[organisation_name]]</f>
        <v>DKV Euros</v>
      </c>
      <c r="B13" t="str">
        <f>IF(General2021[[#This Row],[sector]]= "",VLOOKUP(Data2021[[#This Row],[organisation_name]],'Response Rate sheet'!A:D,3,FALSE),General2021[[#This Row],[sector]])</f>
        <v>Sports</v>
      </c>
      <c r="C13" t="str">
        <f>General2021[[#This Row],[organisation_type]]</f>
        <v>association</v>
      </c>
      <c r="D13" t="str">
        <f>IF(ISBLANK(General2021[[#This Row],[number_of_members]]),"N/A",VLOOKUP(A13,General2021[[organisation_name]:[number_of_international_committee_board_members_not_eea]],6,FALSE))</f>
        <v>N/A</v>
      </c>
      <c r="E13" t="str">
        <f>IF(ISBLANK(General2021[[#This Row],[number_of_committee_board_members]]),"N/A",VLOOKUP(A13,General2021!B:M,10,FALSE))</f>
        <v>N/A</v>
      </c>
      <c r="F13" t="str">
        <f>IFERROR(Data2021[[#This Row],[Number of members]]-Data2021[[#This Row],[Number of active members]], "N/A")</f>
        <v>N/A</v>
      </c>
      <c r="G13" t="str">
        <f>IFERROR(Data2021[[#This Row],[Number of active members]]/Data2021[[#This Row],[Number of members]], "N/A")</f>
        <v>N/A</v>
      </c>
      <c r="H13" t="str">
        <f>IFERROR(1-Data2021[[#This Row],[Percentage active members]],"N/A")</f>
        <v>N/A</v>
      </c>
      <c r="I13" t="str">
        <f>IF(Data2021[[#This Row],[Number of members]]=0,"N/A",IF(Data2021[[#This Row],[Number of members]]&lt;50," A. 1 - 50 ",IF(Data2021[[#This Row],[Number of members]]&lt;100, "B. 50 - 100", IF(Data2021[[#This Row],[Number of members]]&lt;400, "C. 100 - 400", IF(Data2021[[#This Row],[Number of members]]&lt;1000,"D. 400 - 1000", "E. 1000 +")))))</f>
        <v>E. 1000 +</v>
      </c>
      <c r="J13" t="str">
        <f>IF(ISBLANK(General2021[[#This Row],[number_of_international_members_not_eea]]),"N/A",VLOOKUP(A13,General2021[[organisation_name]:[number_of_international_committee_board_members_not_eea]],9,FALSE))</f>
        <v>N/A</v>
      </c>
      <c r="K13" t="str">
        <f>IF(ISBLANK(General2021[[#This Row],[number_of_international_members_eea]]),"N/A",VLOOKUP(A13,General2021[[organisation_name]:[number_of_international_committee_board_members_not_eea]],8,FALSE))</f>
        <v>N/A</v>
      </c>
      <c r="L13" t="str">
        <f>IFERROR(IF(Data2021[[#This Row],[Number of members]]-Data2021[[#This Row],[Non-EEA Total]]-Data2021[[#This Row],[EEA total]]&lt;1,"N/A", Data2021[[#This Row],[Number of members]]-Data2021[[#This Row],[Non-EEA Total]]-Data2021[[#This Row],[EEA total]]),"N/A")</f>
        <v>N/A</v>
      </c>
      <c r="M13">
        <f>VLOOKUP(A13,General2021[[organisation_name]:[number_of_international_committee_board_members_not_eea]],12,FALSE)</f>
        <v>0</v>
      </c>
      <c r="N13">
        <f>VLOOKUP(A13,General2021[[organisation_name]:[number_of_international_committee_board_members_not_eea]],11,FALSE)</f>
        <v>0</v>
      </c>
      <c r="O13" t="str">
        <f>IFERROR(IF(Data2021[[#This Row],[Number of active members]]-Data2021[[#This Row],[Non-EEA Active ]]-Data2021[[#This Row],[EEA Active]]&lt;1,"N/A", Data2021[[#This Row],[Number of active members]]-Data2021[[#This Row],[Non-EEA Active ]]-Data2021[[#This Row],[EEA Active]]),"N/A")</f>
        <v>N/A</v>
      </c>
      <c r="P13" t="str">
        <f>IFERROR(Data2021[[#This Row],[Non-EEA Active ]]/Data2021[[#This Row],[Number of active members]],"N/A")</f>
        <v>N/A</v>
      </c>
      <c r="Q13" t="str">
        <f>IFERROR(Data2021[[#This Row],[EEA Active]]/Data2021[[#This Row],[EEA total]], "N/A")</f>
        <v>N/A</v>
      </c>
      <c r="R13" t="str">
        <f>IFERROR(Data2021[[#This Row],[Dutch Active]]/Data2021[[#This Row],[Dutch total]],"N/A")</f>
        <v>N/A</v>
      </c>
      <c r="S13" t="str">
        <f>IFERROR(IF(Data2021[[#This Row],[Number of members]]=Data2021[[#This Row],[Non-EEA Total]]+Data2021[[#This Row],[EEA total]]+Data2021[[#This Row],[Dutch total]],"T","F"),"F")</f>
        <v>F</v>
      </c>
      <c r="T13" t="str">
        <f>IFERROR(IF(Data2021[[#This Row],[Number of active members]]=Data2021[[#This Row],[Non-EEA Active ]]+Data2021[[#This Row],[EEA Active]]+Data2021[[#This Row],[Dutch Active]],"T","F"),"F")</f>
        <v>F</v>
      </c>
      <c r="U13" t="str">
        <f>IFERROR(IF(Data2021[[#This Row],[Number of members]]-Data2021[[#This Row],[Non-EEA Active ]]-Data2021[[#This Row],[EEA Active]]-Data2021[[#This Row],[Dutch Active]]=Data2021[[#This Row],[Number of  inactive members]],"T","F"),"F")</f>
        <v>F</v>
      </c>
      <c r="V13" t="str">
        <f>IF(Data2021[[#This Row],[EEA Active]]&lt;=Data2021[[#This Row],[EEA total]],"T","F")</f>
        <v>T</v>
      </c>
      <c r="W13" t="str">
        <f>IF(Data2021[[#This Row],[Dutch Active]]&lt;=Data2021[[#This Row],[Dutch total]],"T","F")</f>
        <v>T</v>
      </c>
      <c r="X13" t="str">
        <f>IF(Data2021[[#This Row],[Non-EEA Active ]]&lt;=Data2021[[#This Row],[Non-EEA Total]],"T","F")</f>
        <v>T</v>
      </c>
      <c r="Y1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 t="str">
        <f>IFERROR(VLOOKUP(Data2021[[#This Row],[organisation_name]],'Division Study Year Committees'!$A$1:$L$108,2,FALSE),"N/A")</f>
        <v>N/A</v>
      </c>
      <c r="AA13" t="str">
        <f>IFERROR(VLOOKUP(Data2021[[#This Row],[organisation_name]],'Division Study Year Committees'!$A$1:$L$108,3,FALSE),"N/A")</f>
        <v>N/A</v>
      </c>
      <c r="AB13" t="str">
        <f>IFERROR(VLOOKUP(Data2021[[#This Row],[organisation_name]],'Division Study Year Committees'!$A$1:$L$108,4,FALSE),"N/A")</f>
        <v>N/A</v>
      </c>
      <c r="AC13" t="str">
        <f>IFERROR(VLOOKUP(Data2021[[#This Row],[organisation_name]],'Division Study Year Committees'!$A$1:$L$108,5,FALSE), "N/A")</f>
        <v>N/A</v>
      </c>
      <c r="AD13" t="str">
        <f>IFERROR(VLOOKUP(Data2021[[#This Row],[organisation_name]],'Division Study Year Committees'!$A$1:$L$108,6,FALSE), "N/A")</f>
        <v>N/A</v>
      </c>
      <c r="AE13">
        <f>SUM(Data2021[[#This Row],[Number of first year comittee members]:[Number of 4+ year comittee members]])</f>
        <v>0</v>
      </c>
      <c r="AF13">
        <f>COUNTIF('Comittee2021'!D:D,Data2021[[#This Row],[organisation_name]])</f>
        <v>0</v>
      </c>
      <c r="AG13">
        <f>COUNTIFS('Comittee2021'!$D:$D,Data2021[[#This Row],[organisation_name]],'Comittee2021'!$O:$O,"strong decrease")</f>
        <v>0</v>
      </c>
      <c r="AH13">
        <f>COUNTIFS('Comittee2021'!$D:$D,Data2021[[#This Row],[organisation_name]],'Comittee2021'!$O:$O,"slight decrease")</f>
        <v>0</v>
      </c>
      <c r="AI13">
        <f>COUNTIFS('Comittee2021'!$D:$D,Data2021[[#This Row],[organisation_name]],'Comittee2021'!$O:$O,"no influence")</f>
        <v>0</v>
      </c>
      <c r="AJ13">
        <f>COUNTIFS('Comittee2021'!$D:$D,Data2021[[#This Row],[organisation_name]],'Comittee2021'!$O:$O,"slight increase")</f>
        <v>0</v>
      </c>
      <c r="AK13">
        <f>COUNTIFS('Comittee2021'!$D:$D,Data2021[[#This Row],[organisation_name]],'Comittee2021'!$O:$O,"strong increase")</f>
        <v>0</v>
      </c>
      <c r="AL13">
        <v>2021</v>
      </c>
    </row>
    <row r="14" spans="1:38" x14ac:dyDescent="0.3">
      <c r="A14" t="str">
        <f>General2021[[#This Row],[organisation_name]]</f>
        <v>DRV Euros</v>
      </c>
      <c r="B14" t="str">
        <f>IF(General2021[[#This Row],[sector]]= "",VLOOKUP(Data2021[[#This Row],[organisation_name]],'Response Rate sheet'!A:D,3,FALSE),General2021[[#This Row],[sector]])</f>
        <v>Sports</v>
      </c>
      <c r="C14" t="str">
        <f>General2021[[#This Row],[organisation_type]]</f>
        <v>association</v>
      </c>
      <c r="D14">
        <f>IF(ISBLANK(General2021[[#This Row],[number_of_members]]),"N/A",VLOOKUP(A14,General2021[[organisation_name]:[number_of_international_committee_board_members_not_eea]],6,FALSE))</f>
        <v>337</v>
      </c>
      <c r="E14">
        <f>IF(ISBLANK(General2021[[#This Row],[number_of_committee_board_members]]),"N/A",VLOOKUP(A14,General2021!B:M,10,FALSE))</f>
        <v>20</v>
      </c>
      <c r="F14">
        <f>IFERROR(Data2021[[#This Row],[Number of members]]-Data2021[[#This Row],[Number of active members]], "N/A")</f>
        <v>317</v>
      </c>
      <c r="G14">
        <f>IFERROR(Data2021[[#This Row],[Number of active members]]/Data2021[[#This Row],[Number of members]], "N/A")</f>
        <v>5.9347181008902079E-2</v>
      </c>
      <c r="H14">
        <f>IFERROR(1-Data2021[[#This Row],[Percentage active members]],"N/A")</f>
        <v>0.94065281899109787</v>
      </c>
      <c r="I14" t="str">
        <f>IF(Data2021[[#This Row],[Number of members]]=0,"N/A",IF(Data2021[[#This Row],[Number of members]]&lt;50," A. 1 - 50 ",IF(Data2021[[#This Row],[Number of members]]&lt;100, "B. 50 - 100", IF(Data2021[[#This Row],[Number of members]]&lt;400, "C. 100 - 400", IF(Data2021[[#This Row],[Number of members]]&lt;1000,"D. 400 - 1000", "E. 1000 +")))))</f>
        <v>C. 100 - 400</v>
      </c>
      <c r="J14">
        <f>IF(ISBLANK(General2021[[#This Row],[number_of_international_members_not_eea]]),"N/A",VLOOKUP(A14,General2021[[organisation_name]:[number_of_international_committee_board_members_not_eea]],9,FALSE))</f>
        <v>120</v>
      </c>
      <c r="K14">
        <f>IF(ISBLANK(General2021[[#This Row],[number_of_international_members_eea]]),"N/A",VLOOKUP(A14,General2021[[organisation_name]:[number_of_international_committee_board_members_not_eea]],8,FALSE))</f>
        <v>3</v>
      </c>
      <c r="L14">
        <f>IFERROR(IF(Data2021[[#This Row],[Number of members]]-Data2021[[#This Row],[Non-EEA Total]]-Data2021[[#This Row],[EEA total]]&lt;1,"N/A", Data2021[[#This Row],[Number of members]]-Data2021[[#This Row],[Non-EEA Total]]-Data2021[[#This Row],[EEA total]]),"N/A")</f>
        <v>214</v>
      </c>
      <c r="M14">
        <f>VLOOKUP(A14,General2021[[organisation_name]:[number_of_international_committee_board_members_not_eea]],12,FALSE)</f>
        <v>0</v>
      </c>
      <c r="N14">
        <f>VLOOKUP(A14,General2021[[organisation_name]:[number_of_international_committee_board_members_not_eea]],11,FALSE)</f>
        <v>1</v>
      </c>
      <c r="O14">
        <f>IFERROR(IF(Data2021[[#This Row],[Number of active members]]-Data2021[[#This Row],[Non-EEA Active ]]-Data2021[[#This Row],[EEA Active]]&lt;1,"N/A", Data2021[[#This Row],[Number of active members]]-Data2021[[#This Row],[Non-EEA Active ]]-Data2021[[#This Row],[EEA Active]]),"N/A")</f>
        <v>19</v>
      </c>
      <c r="P14">
        <f>IFERROR(Data2021[[#This Row],[Non-EEA Active ]]/Data2021[[#This Row],[Number of active members]],"N/A")</f>
        <v>0</v>
      </c>
      <c r="Q14">
        <f>IFERROR(Data2021[[#This Row],[EEA Active]]/Data2021[[#This Row],[EEA total]], "N/A")</f>
        <v>0.33333333333333331</v>
      </c>
      <c r="R14">
        <f>IFERROR(Data2021[[#This Row],[Dutch Active]]/Data2021[[#This Row],[Dutch total]],"N/A")</f>
        <v>8.8785046728971959E-2</v>
      </c>
      <c r="S14" t="str">
        <f>IFERROR(IF(Data2021[[#This Row],[Number of members]]=Data2021[[#This Row],[Non-EEA Total]]+Data2021[[#This Row],[EEA total]]+Data2021[[#This Row],[Dutch total]],"T","F"),"F")</f>
        <v>T</v>
      </c>
      <c r="T14" t="str">
        <f>IFERROR(IF(Data2021[[#This Row],[Number of active members]]=Data2021[[#This Row],[Non-EEA Active ]]+Data2021[[#This Row],[EEA Active]]+Data2021[[#This Row],[Dutch Active]],"T","F"),"F")</f>
        <v>T</v>
      </c>
      <c r="U14" t="str">
        <f>IFERROR(IF(Data2021[[#This Row],[Number of members]]-Data2021[[#This Row],[Non-EEA Active ]]-Data2021[[#This Row],[EEA Active]]-Data2021[[#This Row],[Dutch Active]]=Data2021[[#This Row],[Number of  inactive members]],"T","F"),"F")</f>
        <v>T</v>
      </c>
      <c r="V14" t="str">
        <f>IF(Data2021[[#This Row],[EEA Active]]&lt;=Data2021[[#This Row],[EEA total]],"T","F")</f>
        <v>T</v>
      </c>
      <c r="W14" t="str">
        <f>IF(Data2021[[#This Row],[Dutch Active]]&lt;=Data2021[[#This Row],[Dutch total]],"T","F")</f>
        <v>T</v>
      </c>
      <c r="X14" t="str">
        <f>IF(Data2021[[#This Row],[Non-EEA Active ]]&lt;=Data2021[[#This Row],[Non-EEA Total]],"T","F")</f>
        <v>T</v>
      </c>
      <c r="Y14"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4">
        <f>IFERROR(VLOOKUP(Data2021[[#This Row],[organisation_name]],'Division Study Year Committees'!$A$1:$L$108,2,FALSE),"N/A")</f>
        <v>0</v>
      </c>
      <c r="AA14">
        <f>IFERROR(VLOOKUP(Data2021[[#This Row],[organisation_name]],'Division Study Year Committees'!$A$1:$L$108,3,FALSE),"N/A")</f>
        <v>0</v>
      </c>
      <c r="AB14">
        <f>IFERROR(VLOOKUP(Data2021[[#This Row],[organisation_name]],'Division Study Year Committees'!$A$1:$L$108,4,FALSE),"N/A")</f>
        <v>0</v>
      </c>
      <c r="AC14">
        <f>IFERROR(VLOOKUP(Data2021[[#This Row],[organisation_name]],'Division Study Year Committees'!$A$1:$L$108,5,FALSE), "N/A")</f>
        <v>0</v>
      </c>
      <c r="AD14">
        <f>IFERROR(VLOOKUP(Data2021[[#This Row],[organisation_name]],'Division Study Year Committees'!$A$1:$L$108,6,FALSE), "N/A")</f>
        <v>0</v>
      </c>
      <c r="AE14">
        <f>SUM(Data2021[[#This Row],[Number of first year comittee members]:[Number of 4+ year comittee members]])</f>
        <v>0</v>
      </c>
      <c r="AF14">
        <f>COUNTIF('Comittee2021'!D:D,Data2021[[#This Row],[organisation_name]])</f>
        <v>37</v>
      </c>
      <c r="AG14">
        <f>COUNTIFS('Comittee2021'!$D:$D,Data2021[[#This Row],[organisation_name]],'Comittee2021'!$O:$O,"strong decrease")</f>
        <v>0</v>
      </c>
      <c r="AH14">
        <f>COUNTIFS('Comittee2021'!$D:$D,Data2021[[#This Row],[organisation_name]],'Comittee2021'!$O:$O,"slight decrease")</f>
        <v>0</v>
      </c>
      <c r="AI14">
        <f>COUNTIFS('Comittee2021'!$D:$D,Data2021[[#This Row],[organisation_name]],'Comittee2021'!$O:$O,"no influence")</f>
        <v>0</v>
      </c>
      <c r="AJ14">
        <f>COUNTIFS('Comittee2021'!$D:$D,Data2021[[#This Row],[organisation_name]],'Comittee2021'!$O:$O,"slight increase")</f>
        <v>0</v>
      </c>
      <c r="AK14">
        <f>COUNTIFS('Comittee2021'!$D:$D,Data2021[[#This Row],[organisation_name]],'Comittee2021'!$O:$O,"strong increase")</f>
        <v>0</v>
      </c>
      <c r="AL14">
        <v>2021</v>
      </c>
    </row>
    <row r="15" spans="1:38" x14ac:dyDescent="0.3">
      <c r="A15" t="str">
        <f>General2021[[#This Row],[organisation_name]]</f>
        <v>DRV Hippocampus</v>
      </c>
      <c r="B15" t="str">
        <f>IF(General2021[[#This Row],[sector]]= "",VLOOKUP(Data2021[[#This Row],[organisation_name]],'Response Rate sheet'!A:D,3,FALSE),General2021[[#This Row],[sector]])</f>
        <v>Sports</v>
      </c>
      <c r="C15" t="str">
        <f>General2021[[#This Row],[organisation_type]]</f>
        <v>association</v>
      </c>
      <c r="D15">
        <f>IF(ISBLANK(General2021[[#This Row],[number_of_members]]),"N/A",VLOOKUP(A15,General2021[[organisation_name]:[number_of_international_committee_board_members_not_eea]],6,FALSE))</f>
        <v>64</v>
      </c>
      <c r="E15">
        <f>IF(ISBLANK(General2021[[#This Row],[number_of_committee_board_members]]),"N/A",VLOOKUP(A15,General2021!B:M,10,FALSE))</f>
        <v>25</v>
      </c>
      <c r="F15">
        <f>IFERROR(Data2021[[#This Row],[Number of members]]-Data2021[[#This Row],[Number of active members]], "N/A")</f>
        <v>39</v>
      </c>
      <c r="G15">
        <f>IFERROR(Data2021[[#This Row],[Number of active members]]/Data2021[[#This Row],[Number of members]], "N/A")</f>
        <v>0.390625</v>
      </c>
      <c r="H15">
        <f>IFERROR(1-Data2021[[#This Row],[Percentage active members]],"N/A")</f>
        <v>0.609375</v>
      </c>
      <c r="I15" t="str">
        <f>IF(Data2021[[#This Row],[Number of members]]=0,"N/A",IF(Data2021[[#This Row],[Number of members]]&lt;50," A. 1 - 50 ",IF(Data2021[[#This Row],[Number of members]]&lt;100, "B. 50 - 100", IF(Data2021[[#This Row],[Number of members]]&lt;400, "C. 100 - 400", IF(Data2021[[#This Row],[Number of members]]&lt;1000,"D. 400 - 1000", "E. 1000 +")))))</f>
        <v>B. 50 - 100</v>
      </c>
      <c r="J15">
        <f>IF(ISBLANK(General2021[[#This Row],[number_of_international_members_not_eea]]),"N/A",VLOOKUP(A15,General2021[[organisation_name]:[number_of_international_committee_board_members_not_eea]],9,FALSE))</f>
        <v>20</v>
      </c>
      <c r="K15">
        <f>IF(ISBLANK(General2021[[#This Row],[number_of_international_members_eea]]),"N/A",VLOOKUP(A15,General2021[[organisation_name]:[number_of_international_committee_board_members_not_eea]],8,FALSE))</f>
        <v>11</v>
      </c>
      <c r="L15">
        <f>IFERROR(IF(Data2021[[#This Row],[Number of members]]-Data2021[[#This Row],[Non-EEA Total]]-Data2021[[#This Row],[EEA total]]&lt;1,"N/A", Data2021[[#This Row],[Number of members]]-Data2021[[#This Row],[Non-EEA Total]]-Data2021[[#This Row],[EEA total]]),"N/A")</f>
        <v>33</v>
      </c>
      <c r="M15">
        <f>VLOOKUP(A15,General2021[[organisation_name]:[number_of_international_committee_board_members_not_eea]],12,FALSE)</f>
        <v>3</v>
      </c>
      <c r="N15">
        <f>VLOOKUP(A15,General2021[[organisation_name]:[number_of_international_committee_board_members_not_eea]],11,FALSE)</f>
        <v>5</v>
      </c>
      <c r="O15">
        <f>IFERROR(IF(Data2021[[#This Row],[Number of active members]]-Data2021[[#This Row],[Non-EEA Active ]]-Data2021[[#This Row],[EEA Active]]&lt;1,"N/A", Data2021[[#This Row],[Number of active members]]-Data2021[[#This Row],[Non-EEA Active ]]-Data2021[[#This Row],[EEA Active]]),"N/A")</f>
        <v>17</v>
      </c>
      <c r="P15">
        <f>IFERROR(Data2021[[#This Row],[Non-EEA Active ]]/Data2021[[#This Row],[Number of active members]],"N/A")</f>
        <v>0.12</v>
      </c>
      <c r="Q15">
        <f>IFERROR(Data2021[[#This Row],[EEA Active]]/Data2021[[#This Row],[EEA total]], "N/A")</f>
        <v>0.45454545454545453</v>
      </c>
      <c r="R15">
        <f>IFERROR(Data2021[[#This Row],[Dutch Active]]/Data2021[[#This Row],[Dutch total]],"N/A")</f>
        <v>0.51515151515151514</v>
      </c>
      <c r="S15" t="str">
        <f>IFERROR(IF(Data2021[[#This Row],[Number of members]]=Data2021[[#This Row],[Non-EEA Total]]+Data2021[[#This Row],[EEA total]]+Data2021[[#This Row],[Dutch total]],"T","F"),"F")</f>
        <v>T</v>
      </c>
      <c r="T15" t="str">
        <f>IFERROR(IF(Data2021[[#This Row],[Number of active members]]=Data2021[[#This Row],[Non-EEA Active ]]+Data2021[[#This Row],[EEA Active]]+Data2021[[#This Row],[Dutch Active]],"T","F"),"F")</f>
        <v>T</v>
      </c>
      <c r="U15" t="str">
        <f>IFERROR(IF(Data2021[[#This Row],[Number of members]]-Data2021[[#This Row],[Non-EEA Active ]]-Data2021[[#This Row],[EEA Active]]-Data2021[[#This Row],[Dutch Active]]=Data2021[[#This Row],[Number of  inactive members]],"T","F"),"F")</f>
        <v>T</v>
      </c>
      <c r="V15" t="str">
        <f>IF(Data2021[[#This Row],[EEA Active]]&lt;=Data2021[[#This Row],[EEA total]],"T","F")</f>
        <v>T</v>
      </c>
      <c r="W15" t="str">
        <f>IF(Data2021[[#This Row],[Dutch Active]]&lt;=Data2021[[#This Row],[Dutch total]],"T","F")</f>
        <v>T</v>
      </c>
      <c r="X15" t="str">
        <f>IF(Data2021[[#This Row],[Non-EEA Active ]]&lt;=Data2021[[#This Row],[Non-EEA Total]],"T","F")</f>
        <v>T</v>
      </c>
      <c r="Y1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5" t="str">
        <f>IFERROR(VLOOKUP(Data2021[[#This Row],[organisation_name]],'Division Study Year Committees'!$A$1:$L$108,2,FALSE),"N/A")</f>
        <v>N/A</v>
      </c>
      <c r="AA15" t="str">
        <f>IFERROR(VLOOKUP(Data2021[[#This Row],[organisation_name]],'Division Study Year Committees'!$A$1:$L$108,3,FALSE),"N/A")</f>
        <v>N/A</v>
      </c>
      <c r="AB15" t="str">
        <f>IFERROR(VLOOKUP(Data2021[[#This Row],[organisation_name]],'Division Study Year Committees'!$A$1:$L$108,4,FALSE),"N/A")</f>
        <v>N/A</v>
      </c>
      <c r="AC15" t="str">
        <f>IFERROR(VLOOKUP(Data2021[[#This Row],[organisation_name]],'Division Study Year Committees'!$A$1:$L$108,5,FALSE), "N/A")</f>
        <v>N/A</v>
      </c>
      <c r="AD15" t="str">
        <f>IFERROR(VLOOKUP(Data2021[[#This Row],[organisation_name]],'Division Study Year Committees'!$A$1:$L$108,6,FALSE), "N/A")</f>
        <v>N/A</v>
      </c>
      <c r="AE15">
        <f>SUM(Data2021[[#This Row],[Number of first year comittee members]:[Number of 4+ year comittee members]])</f>
        <v>0</v>
      </c>
      <c r="AF15">
        <f>COUNTIF('Comittee2021'!D:D,Data2021[[#This Row],[organisation_name]])</f>
        <v>0</v>
      </c>
      <c r="AG15">
        <f>COUNTIFS('Comittee2021'!$D:$D,Data2021[[#This Row],[organisation_name]],'Comittee2021'!$O:$O,"strong decrease")</f>
        <v>0</v>
      </c>
      <c r="AH15">
        <f>COUNTIFS('Comittee2021'!$D:$D,Data2021[[#This Row],[organisation_name]],'Comittee2021'!$O:$O,"slight decrease")</f>
        <v>0</v>
      </c>
      <c r="AI15">
        <f>COUNTIFS('Comittee2021'!$D:$D,Data2021[[#This Row],[organisation_name]],'Comittee2021'!$O:$O,"no influence")</f>
        <v>0</v>
      </c>
      <c r="AJ15">
        <f>COUNTIFS('Comittee2021'!$D:$D,Data2021[[#This Row],[organisation_name]],'Comittee2021'!$O:$O,"slight increase")</f>
        <v>0</v>
      </c>
      <c r="AK15">
        <f>COUNTIFS('Comittee2021'!$D:$D,Data2021[[#This Row],[organisation_name]],'Comittee2021'!$O:$O,"strong increase")</f>
        <v>0</v>
      </c>
      <c r="AL15">
        <v>2021</v>
      </c>
    </row>
    <row r="16" spans="1:38" x14ac:dyDescent="0.3">
      <c r="A16" t="str">
        <f>General2021[[#This Row],[organisation_name]]</f>
        <v>DSSV Tartaros</v>
      </c>
      <c r="B16" t="str">
        <f>IF(General2021[[#This Row],[sector]]= "",VLOOKUP(Data2021[[#This Row],[organisation_name]],'Response Rate sheet'!A:D,3,FALSE),General2021[[#This Row],[sector]])</f>
        <v>Sports</v>
      </c>
      <c r="C16" t="str">
        <f>General2021[[#This Row],[organisation_type]]</f>
        <v>association</v>
      </c>
      <c r="D16" t="str">
        <f>IF(ISBLANK(General2021[[#This Row],[number_of_members]]),"N/A",VLOOKUP(A16,General2021[[organisation_name]:[number_of_international_committee_board_members_not_eea]],6,FALSE))</f>
        <v>N/A</v>
      </c>
      <c r="E16" t="str">
        <f>IF(ISBLANK(General2021[[#This Row],[number_of_committee_board_members]]),"N/A",VLOOKUP(A16,General2021!B:M,10,FALSE))</f>
        <v>N/A</v>
      </c>
      <c r="F16" t="str">
        <f>IFERROR(Data2021[[#This Row],[Number of members]]-Data2021[[#This Row],[Number of active members]], "N/A")</f>
        <v>N/A</v>
      </c>
      <c r="G16" t="str">
        <f>IFERROR(Data2021[[#This Row],[Number of active members]]/Data2021[[#This Row],[Number of members]], "N/A")</f>
        <v>N/A</v>
      </c>
      <c r="H16" t="str">
        <f>IFERROR(1-Data2021[[#This Row],[Percentage active members]],"N/A")</f>
        <v>N/A</v>
      </c>
      <c r="I16" t="str">
        <f>IF(Data2021[[#This Row],[Number of members]]=0,"N/A",IF(Data2021[[#This Row],[Number of members]]&lt;50," A. 1 - 50 ",IF(Data2021[[#This Row],[Number of members]]&lt;100, "B. 50 - 100", IF(Data2021[[#This Row],[Number of members]]&lt;400, "C. 100 - 400", IF(Data2021[[#This Row],[Number of members]]&lt;1000,"D. 400 - 1000", "E. 1000 +")))))</f>
        <v>E. 1000 +</v>
      </c>
      <c r="J16" t="str">
        <f>IF(ISBLANK(General2021[[#This Row],[number_of_international_members_not_eea]]),"N/A",VLOOKUP(A16,General2021[[organisation_name]:[number_of_international_committee_board_members_not_eea]],9,FALSE))</f>
        <v>N/A</v>
      </c>
      <c r="K16" t="str">
        <f>IF(ISBLANK(General2021[[#This Row],[number_of_international_members_eea]]),"N/A",VLOOKUP(A16,General2021[[organisation_name]:[number_of_international_committee_board_members_not_eea]],8,FALSE))</f>
        <v>N/A</v>
      </c>
      <c r="L16" t="str">
        <f>IFERROR(IF(Data2021[[#This Row],[Number of members]]-Data2021[[#This Row],[Non-EEA Total]]-Data2021[[#This Row],[EEA total]]&lt;1,"N/A", Data2021[[#This Row],[Number of members]]-Data2021[[#This Row],[Non-EEA Total]]-Data2021[[#This Row],[EEA total]]),"N/A")</f>
        <v>N/A</v>
      </c>
      <c r="M16">
        <f>VLOOKUP(A16,General2021[[organisation_name]:[number_of_international_committee_board_members_not_eea]],12,FALSE)</f>
        <v>0</v>
      </c>
      <c r="N16">
        <f>VLOOKUP(A16,General2021[[organisation_name]:[number_of_international_committee_board_members_not_eea]],11,FALSE)</f>
        <v>0</v>
      </c>
      <c r="O16" t="str">
        <f>IFERROR(IF(Data2021[[#This Row],[Number of active members]]-Data2021[[#This Row],[Non-EEA Active ]]-Data2021[[#This Row],[EEA Active]]&lt;1,"N/A", Data2021[[#This Row],[Number of active members]]-Data2021[[#This Row],[Non-EEA Active ]]-Data2021[[#This Row],[EEA Active]]),"N/A")</f>
        <v>N/A</v>
      </c>
      <c r="P16" t="str">
        <f>IFERROR(Data2021[[#This Row],[Non-EEA Active ]]/Data2021[[#This Row],[Number of active members]],"N/A")</f>
        <v>N/A</v>
      </c>
      <c r="Q16" t="str">
        <f>IFERROR(Data2021[[#This Row],[EEA Active]]/Data2021[[#This Row],[EEA total]], "N/A")</f>
        <v>N/A</v>
      </c>
      <c r="R16" t="str">
        <f>IFERROR(Data2021[[#This Row],[Dutch Active]]/Data2021[[#This Row],[Dutch total]],"N/A")</f>
        <v>N/A</v>
      </c>
      <c r="S16" t="str">
        <f>IFERROR(IF(Data2021[[#This Row],[Number of members]]=Data2021[[#This Row],[Non-EEA Total]]+Data2021[[#This Row],[EEA total]]+Data2021[[#This Row],[Dutch total]],"T","F"),"F")</f>
        <v>F</v>
      </c>
      <c r="T16" t="str">
        <f>IFERROR(IF(Data2021[[#This Row],[Number of active members]]=Data2021[[#This Row],[Non-EEA Active ]]+Data2021[[#This Row],[EEA Active]]+Data2021[[#This Row],[Dutch Active]],"T","F"),"F")</f>
        <v>F</v>
      </c>
      <c r="U16" t="str">
        <f>IFERROR(IF(Data2021[[#This Row],[Number of members]]-Data2021[[#This Row],[Non-EEA Active ]]-Data2021[[#This Row],[EEA Active]]-Data2021[[#This Row],[Dutch Active]]=Data2021[[#This Row],[Number of  inactive members]],"T","F"),"F")</f>
        <v>F</v>
      </c>
      <c r="V16" t="str">
        <f>IF(Data2021[[#This Row],[EEA Active]]&lt;=Data2021[[#This Row],[EEA total]],"T","F")</f>
        <v>T</v>
      </c>
      <c r="W16" t="str">
        <f>IF(Data2021[[#This Row],[Dutch Active]]&lt;=Data2021[[#This Row],[Dutch total]],"T","F")</f>
        <v>T</v>
      </c>
      <c r="X16" t="str">
        <f>IF(Data2021[[#This Row],[Non-EEA Active ]]&lt;=Data2021[[#This Row],[Non-EEA Total]],"T","F")</f>
        <v>T</v>
      </c>
      <c r="Y1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6" t="str">
        <f>IFERROR(VLOOKUP(Data2021[[#This Row],[organisation_name]],'Division Study Year Committees'!$A$1:$L$108,2,FALSE),"N/A")</f>
        <v>N/A</v>
      </c>
      <c r="AA16" t="str">
        <f>IFERROR(VLOOKUP(Data2021[[#This Row],[organisation_name]],'Division Study Year Committees'!$A$1:$L$108,3,FALSE),"N/A")</f>
        <v>N/A</v>
      </c>
      <c r="AB16" t="str">
        <f>IFERROR(VLOOKUP(Data2021[[#This Row],[organisation_name]],'Division Study Year Committees'!$A$1:$L$108,4,FALSE),"N/A")</f>
        <v>N/A</v>
      </c>
      <c r="AC16" t="str">
        <f>IFERROR(VLOOKUP(Data2021[[#This Row],[organisation_name]],'Division Study Year Committees'!$A$1:$L$108,5,FALSE), "N/A")</f>
        <v>N/A</v>
      </c>
      <c r="AD16" t="str">
        <f>IFERROR(VLOOKUP(Data2021[[#This Row],[organisation_name]],'Division Study Year Committees'!$A$1:$L$108,6,FALSE), "N/A")</f>
        <v>N/A</v>
      </c>
      <c r="AE16">
        <f>SUM(Data2021[[#This Row],[Number of first year comittee members]:[Number of 4+ year comittee members]])</f>
        <v>0</v>
      </c>
      <c r="AF16">
        <f>COUNTIF('Comittee2021'!D:D,Data2021[[#This Row],[organisation_name]])</f>
        <v>0</v>
      </c>
      <c r="AG16">
        <f>COUNTIFS('Comittee2021'!$D:$D,Data2021[[#This Row],[organisation_name]],'Comittee2021'!$O:$O,"strong decrease")</f>
        <v>0</v>
      </c>
      <c r="AH16">
        <f>COUNTIFS('Comittee2021'!$D:$D,Data2021[[#This Row],[organisation_name]],'Comittee2021'!$O:$O,"slight decrease")</f>
        <v>0</v>
      </c>
      <c r="AI16">
        <f>COUNTIFS('Comittee2021'!$D:$D,Data2021[[#This Row],[organisation_name]],'Comittee2021'!$O:$O,"no influence")</f>
        <v>0</v>
      </c>
      <c r="AJ16">
        <f>COUNTIFS('Comittee2021'!$D:$D,Data2021[[#This Row],[organisation_name]],'Comittee2021'!$O:$O,"slight increase")</f>
        <v>0</v>
      </c>
      <c r="AK16">
        <f>COUNTIFS('Comittee2021'!$D:$D,Data2021[[#This Row],[organisation_name]],'Comittee2021'!$O:$O,"strong increase")</f>
        <v>0</v>
      </c>
      <c r="AL16">
        <v>2021</v>
      </c>
    </row>
    <row r="17" spans="1:38" x14ac:dyDescent="0.3">
      <c r="A17" t="str">
        <f>General2021[[#This Row],[organisation_name]]</f>
        <v>DZV Euros</v>
      </c>
      <c r="B17" t="str">
        <f>IF(General2021[[#This Row],[sector]]= "",VLOOKUP(Data2021[[#This Row],[organisation_name]],'Response Rate sheet'!A:D,3,FALSE),General2021[[#This Row],[sector]])</f>
        <v>Sports</v>
      </c>
      <c r="C17" t="str">
        <f>General2021[[#This Row],[organisation_type]]</f>
        <v>association</v>
      </c>
      <c r="D17">
        <f>IF(ISBLANK(General2021[[#This Row],[number_of_members]]),"N/A",VLOOKUP(A17,General2021[[organisation_name]:[number_of_international_committee_board_members_not_eea]],6,FALSE))</f>
        <v>62</v>
      </c>
      <c r="E17">
        <f>IF(ISBLANK(General2021[[#This Row],[number_of_committee_board_members]]),"N/A",VLOOKUP(A17,General2021!B:M,10,FALSE))</f>
        <v>0</v>
      </c>
      <c r="F17">
        <f>IFERROR(Data2021[[#This Row],[Number of members]]-Data2021[[#This Row],[Number of active members]], "N/A")</f>
        <v>62</v>
      </c>
      <c r="G17">
        <f>IFERROR(Data2021[[#This Row],[Number of active members]]/Data2021[[#This Row],[Number of members]], "N/A")</f>
        <v>0</v>
      </c>
      <c r="H17">
        <f>IFERROR(1-Data2021[[#This Row],[Percentage active members]],"N/A")</f>
        <v>1</v>
      </c>
      <c r="I17" t="str">
        <f>IF(Data2021[[#This Row],[Number of members]]=0,"N/A",IF(Data2021[[#This Row],[Number of members]]&lt;50," A. 1 - 50 ",IF(Data2021[[#This Row],[Number of members]]&lt;100, "B. 50 - 100", IF(Data2021[[#This Row],[Number of members]]&lt;400, "C. 100 - 400", IF(Data2021[[#This Row],[Number of members]]&lt;1000,"D. 400 - 1000", "E. 1000 +")))))</f>
        <v>B. 50 - 100</v>
      </c>
      <c r="J17">
        <f>IF(ISBLANK(General2021[[#This Row],[number_of_international_members_not_eea]]),"N/A",VLOOKUP(A17,General2021[[organisation_name]:[number_of_international_committee_board_members_not_eea]],9,FALSE))</f>
        <v>25</v>
      </c>
      <c r="K17">
        <f>IF(ISBLANK(General2021[[#This Row],[number_of_international_members_eea]]),"N/A",VLOOKUP(A17,General2021[[organisation_name]:[number_of_international_committee_board_members_not_eea]],8,FALSE))</f>
        <v>3</v>
      </c>
      <c r="L17">
        <f>IFERROR(IF(Data2021[[#This Row],[Number of members]]-Data2021[[#This Row],[Non-EEA Total]]-Data2021[[#This Row],[EEA total]]&lt;1,"N/A", Data2021[[#This Row],[Number of members]]-Data2021[[#This Row],[Non-EEA Total]]-Data2021[[#This Row],[EEA total]]),"N/A")</f>
        <v>34</v>
      </c>
      <c r="M17">
        <f>VLOOKUP(A17,General2021[[organisation_name]:[number_of_international_committee_board_members_not_eea]],12,FALSE)</f>
        <v>0</v>
      </c>
      <c r="N17">
        <f>VLOOKUP(A17,General2021[[organisation_name]:[number_of_international_committee_board_members_not_eea]],11,FALSE)</f>
        <v>4</v>
      </c>
      <c r="O17" t="str">
        <f>IFERROR(IF(Data2021[[#This Row],[Number of active members]]-Data2021[[#This Row],[Non-EEA Active ]]-Data2021[[#This Row],[EEA Active]]&lt;1,"N/A", Data2021[[#This Row],[Number of active members]]-Data2021[[#This Row],[Non-EEA Active ]]-Data2021[[#This Row],[EEA Active]]),"N/A")</f>
        <v>N/A</v>
      </c>
      <c r="P17" t="str">
        <f>IFERROR(Data2021[[#This Row],[Non-EEA Active ]]/Data2021[[#This Row],[Number of active members]],"N/A")</f>
        <v>N/A</v>
      </c>
      <c r="Q17">
        <f>IFERROR(Data2021[[#This Row],[EEA Active]]/Data2021[[#This Row],[EEA total]], "N/A")</f>
        <v>1.3333333333333333</v>
      </c>
      <c r="R17" t="str">
        <f>IFERROR(Data2021[[#This Row],[Dutch Active]]/Data2021[[#This Row],[Dutch total]],"N/A")</f>
        <v>N/A</v>
      </c>
      <c r="S17" t="str">
        <f>IFERROR(IF(Data2021[[#This Row],[Number of members]]=Data2021[[#This Row],[Non-EEA Total]]+Data2021[[#This Row],[EEA total]]+Data2021[[#This Row],[Dutch total]],"T","F"),"F")</f>
        <v>T</v>
      </c>
      <c r="T17" t="str">
        <f>IFERROR(IF(Data2021[[#This Row],[Number of active members]]=Data2021[[#This Row],[Non-EEA Active ]]+Data2021[[#This Row],[EEA Active]]+Data2021[[#This Row],[Dutch Active]],"T","F"),"F")</f>
        <v>F</v>
      </c>
      <c r="U17" t="str">
        <f>IFERROR(IF(Data2021[[#This Row],[Number of members]]-Data2021[[#This Row],[Non-EEA Active ]]-Data2021[[#This Row],[EEA Active]]-Data2021[[#This Row],[Dutch Active]]=Data2021[[#This Row],[Number of  inactive members]],"T","F"),"F")</f>
        <v>F</v>
      </c>
      <c r="V17" t="str">
        <f>IF(Data2021[[#This Row],[EEA Active]]&lt;=Data2021[[#This Row],[EEA total]],"T","F")</f>
        <v>F</v>
      </c>
      <c r="W17" t="str">
        <f>IF(Data2021[[#This Row],[Dutch Active]]&lt;=Data2021[[#This Row],[Dutch total]],"T","F")</f>
        <v>F</v>
      </c>
      <c r="X17" t="str">
        <f>IF(Data2021[[#This Row],[Non-EEA Active ]]&lt;=Data2021[[#This Row],[Non-EEA Total]],"T","F")</f>
        <v>T</v>
      </c>
      <c r="Y1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7">
        <f>IFERROR(VLOOKUP(Data2021[[#This Row],[organisation_name]],'Division Study Year Committees'!$A$1:$L$108,2,FALSE),"N/A")</f>
        <v>7</v>
      </c>
      <c r="AA17">
        <f>IFERROR(VLOOKUP(Data2021[[#This Row],[organisation_name]],'Division Study Year Committees'!$A$1:$L$108,3,FALSE),"N/A")</f>
        <v>11</v>
      </c>
      <c r="AB17">
        <f>IFERROR(VLOOKUP(Data2021[[#This Row],[organisation_name]],'Division Study Year Committees'!$A$1:$L$108,4,FALSE),"N/A")</f>
        <v>22</v>
      </c>
      <c r="AC17">
        <f>IFERROR(VLOOKUP(Data2021[[#This Row],[organisation_name]],'Division Study Year Committees'!$A$1:$L$108,5,FALSE), "N/A")</f>
        <v>9</v>
      </c>
      <c r="AD17">
        <f>IFERROR(VLOOKUP(Data2021[[#This Row],[organisation_name]],'Division Study Year Committees'!$A$1:$L$108,6,FALSE), "N/A")</f>
        <v>0</v>
      </c>
      <c r="AE17">
        <f>SUM(Data2021[[#This Row],[Number of first year comittee members]:[Number of 4+ year comittee members]])</f>
        <v>49</v>
      </c>
      <c r="AF17">
        <f>COUNTIF('Comittee2021'!D:D,Data2021[[#This Row],[organisation_name]])</f>
        <v>13</v>
      </c>
      <c r="AG17">
        <f>COUNTIFS('Comittee2021'!$D:$D,Data2021[[#This Row],[organisation_name]],'Comittee2021'!$O:$O,"strong decrease")</f>
        <v>0</v>
      </c>
      <c r="AH17">
        <f>COUNTIFS('Comittee2021'!$D:$D,Data2021[[#This Row],[organisation_name]],'Comittee2021'!$O:$O,"slight decrease")</f>
        <v>4</v>
      </c>
      <c r="AI17">
        <f>COUNTIFS('Comittee2021'!$D:$D,Data2021[[#This Row],[organisation_name]],'Comittee2021'!$O:$O,"no influence")</f>
        <v>9</v>
      </c>
      <c r="AJ17">
        <f>COUNTIFS('Comittee2021'!$D:$D,Data2021[[#This Row],[organisation_name]],'Comittee2021'!$O:$O,"slight increase")</f>
        <v>0</v>
      </c>
      <c r="AK17">
        <f>COUNTIFS('Comittee2021'!$D:$D,Data2021[[#This Row],[organisation_name]],'Comittee2021'!$O:$O,"strong increase")</f>
        <v>0</v>
      </c>
      <c r="AL17">
        <v>2021</v>
      </c>
    </row>
    <row r="18" spans="1:38" x14ac:dyDescent="0.3">
      <c r="A18" t="str">
        <f>General2021[[#This Row],[organisation_name]]</f>
        <v>EEEHV Cabezota</v>
      </c>
      <c r="B18" t="str">
        <f>IF(General2021[[#This Row],[sector]]= "",VLOOKUP(Data2021[[#This Row],[organisation_name]],'Response Rate sheet'!A:D,3,FALSE),General2021[[#This Row],[sector]])</f>
        <v>Sports</v>
      </c>
      <c r="C18" t="str">
        <f>General2021[[#This Row],[organisation_type]]</f>
        <v>association</v>
      </c>
      <c r="D18">
        <f>IF(ISBLANK(General2021[[#This Row],[number_of_members]]),"N/A",VLOOKUP(A18,General2021[[organisation_name]:[number_of_international_committee_board_members_not_eea]],6,FALSE))</f>
        <v>56</v>
      </c>
      <c r="E18">
        <f>IF(ISBLANK(General2021[[#This Row],[number_of_committee_board_members]]),"N/A",VLOOKUP(A18,General2021!B:M,10,FALSE))</f>
        <v>2</v>
      </c>
      <c r="F18">
        <f>IFERROR(Data2021[[#This Row],[Number of members]]-Data2021[[#This Row],[Number of active members]], "N/A")</f>
        <v>54</v>
      </c>
      <c r="G18">
        <f>IFERROR(Data2021[[#This Row],[Number of active members]]/Data2021[[#This Row],[Number of members]], "N/A")</f>
        <v>3.5714285714285712E-2</v>
      </c>
      <c r="H18">
        <f>IFERROR(1-Data2021[[#This Row],[Percentage active members]],"N/A")</f>
        <v>0.9642857142857143</v>
      </c>
      <c r="I18" t="str">
        <f>IF(Data2021[[#This Row],[Number of members]]=0,"N/A",IF(Data2021[[#This Row],[Number of members]]&lt;50," A. 1 - 50 ",IF(Data2021[[#This Row],[Number of members]]&lt;100, "B. 50 - 100", IF(Data2021[[#This Row],[Number of members]]&lt;400, "C. 100 - 400", IF(Data2021[[#This Row],[Number of members]]&lt;1000,"D. 400 - 1000", "E. 1000 +")))))</f>
        <v>B. 50 - 100</v>
      </c>
      <c r="J18">
        <f>IF(ISBLANK(General2021[[#This Row],[number_of_international_members_not_eea]]),"N/A",VLOOKUP(A18,General2021[[organisation_name]:[number_of_international_committee_board_members_not_eea]],9,FALSE))</f>
        <v>25</v>
      </c>
      <c r="K18">
        <f>IF(ISBLANK(General2021[[#This Row],[number_of_international_members_eea]]),"N/A",VLOOKUP(A18,General2021[[organisation_name]:[number_of_international_committee_board_members_not_eea]],8,FALSE))</f>
        <v>0</v>
      </c>
      <c r="L18">
        <f>IFERROR(IF(Data2021[[#This Row],[Number of members]]-Data2021[[#This Row],[Non-EEA Total]]-Data2021[[#This Row],[EEA total]]&lt;1,"N/A", Data2021[[#This Row],[Number of members]]-Data2021[[#This Row],[Non-EEA Total]]-Data2021[[#This Row],[EEA total]]),"N/A")</f>
        <v>31</v>
      </c>
      <c r="M18">
        <f>VLOOKUP(A18,General2021[[organisation_name]:[number_of_international_committee_board_members_not_eea]],12,FALSE)</f>
        <v>0</v>
      </c>
      <c r="N18">
        <f>VLOOKUP(A18,General2021[[organisation_name]:[number_of_international_committee_board_members_not_eea]],11,FALSE)</f>
        <v>0</v>
      </c>
      <c r="O18">
        <f>IFERROR(IF(Data2021[[#This Row],[Number of active members]]-Data2021[[#This Row],[Non-EEA Active ]]-Data2021[[#This Row],[EEA Active]]&lt;1,"N/A", Data2021[[#This Row],[Number of active members]]-Data2021[[#This Row],[Non-EEA Active ]]-Data2021[[#This Row],[EEA Active]]),"N/A")</f>
        <v>2</v>
      </c>
      <c r="P18">
        <f>IFERROR(Data2021[[#This Row],[Non-EEA Active ]]/Data2021[[#This Row],[Number of active members]],"N/A")</f>
        <v>0</v>
      </c>
      <c r="Q18" t="str">
        <f>IFERROR(Data2021[[#This Row],[EEA Active]]/Data2021[[#This Row],[EEA total]], "N/A")</f>
        <v>N/A</v>
      </c>
      <c r="R18">
        <f>IFERROR(Data2021[[#This Row],[Dutch Active]]/Data2021[[#This Row],[Dutch total]],"N/A")</f>
        <v>6.4516129032258063E-2</v>
      </c>
      <c r="S18" t="str">
        <f>IFERROR(IF(Data2021[[#This Row],[Number of members]]=Data2021[[#This Row],[Non-EEA Total]]+Data2021[[#This Row],[EEA total]]+Data2021[[#This Row],[Dutch total]],"T","F"),"F")</f>
        <v>T</v>
      </c>
      <c r="T18" t="str">
        <f>IFERROR(IF(Data2021[[#This Row],[Number of active members]]=Data2021[[#This Row],[Non-EEA Active ]]+Data2021[[#This Row],[EEA Active]]+Data2021[[#This Row],[Dutch Active]],"T","F"),"F")</f>
        <v>T</v>
      </c>
      <c r="U18" t="str">
        <f>IFERROR(IF(Data2021[[#This Row],[Number of members]]-Data2021[[#This Row],[Non-EEA Active ]]-Data2021[[#This Row],[EEA Active]]-Data2021[[#This Row],[Dutch Active]]=Data2021[[#This Row],[Number of  inactive members]],"T","F"),"F")</f>
        <v>T</v>
      </c>
      <c r="V18" t="str">
        <f>IF(Data2021[[#This Row],[EEA Active]]&lt;=Data2021[[#This Row],[EEA total]],"T","F")</f>
        <v>T</v>
      </c>
      <c r="W18" t="str">
        <f>IF(Data2021[[#This Row],[Dutch Active]]&lt;=Data2021[[#This Row],[Dutch total]],"T","F")</f>
        <v>T</v>
      </c>
      <c r="X18" t="str">
        <f>IF(Data2021[[#This Row],[Non-EEA Active ]]&lt;=Data2021[[#This Row],[Non-EEA Total]],"T","F")</f>
        <v>T</v>
      </c>
      <c r="Y18"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8">
        <f>IFERROR(VLOOKUP(Data2021[[#This Row],[organisation_name]],'Division Study Year Committees'!$A$1:$L$108,2,FALSE),"N/A")</f>
        <v>3</v>
      </c>
      <c r="AA18">
        <f>IFERROR(VLOOKUP(Data2021[[#This Row],[organisation_name]],'Division Study Year Committees'!$A$1:$L$108,3,FALSE),"N/A")</f>
        <v>7</v>
      </c>
      <c r="AB18">
        <f>IFERROR(VLOOKUP(Data2021[[#This Row],[organisation_name]],'Division Study Year Committees'!$A$1:$L$108,4,FALSE),"N/A")</f>
        <v>7</v>
      </c>
      <c r="AC18">
        <f>IFERROR(VLOOKUP(Data2021[[#This Row],[organisation_name]],'Division Study Year Committees'!$A$1:$L$108,5,FALSE), "N/A")</f>
        <v>6</v>
      </c>
      <c r="AD18">
        <f>IFERROR(VLOOKUP(Data2021[[#This Row],[organisation_name]],'Division Study Year Committees'!$A$1:$L$108,6,FALSE), "N/A")</f>
        <v>5</v>
      </c>
      <c r="AE18">
        <f>SUM(Data2021[[#This Row],[Number of first year comittee members]:[Number of 4+ year comittee members]])</f>
        <v>28</v>
      </c>
      <c r="AF18">
        <f>COUNTIF('Comittee2021'!D:D,Data2021[[#This Row],[organisation_name]])</f>
        <v>10</v>
      </c>
      <c r="AG18">
        <f>COUNTIFS('Comittee2021'!$D:$D,Data2021[[#This Row],[organisation_name]],'Comittee2021'!$O:$O,"strong decrease")</f>
        <v>4</v>
      </c>
      <c r="AH18">
        <f>COUNTIFS('Comittee2021'!$D:$D,Data2021[[#This Row],[organisation_name]],'Comittee2021'!$O:$O,"slight decrease")</f>
        <v>1</v>
      </c>
      <c r="AI18">
        <f>COUNTIFS('Comittee2021'!$D:$D,Data2021[[#This Row],[organisation_name]],'Comittee2021'!$O:$O,"no influence")</f>
        <v>3</v>
      </c>
      <c r="AJ18">
        <f>COUNTIFS('Comittee2021'!$D:$D,Data2021[[#This Row],[organisation_name]],'Comittee2021'!$O:$O,"slight increase")</f>
        <v>1</v>
      </c>
      <c r="AK18">
        <f>COUNTIFS('Comittee2021'!$D:$D,Data2021[[#This Row],[organisation_name]],'Comittee2021'!$O:$O,"strong increase")</f>
        <v>1</v>
      </c>
      <c r="AL18">
        <v>2021</v>
      </c>
    </row>
    <row r="19" spans="1:38" x14ac:dyDescent="0.3">
      <c r="A19" t="str">
        <f>General2021[[#This Row],[organisation_name]]</f>
        <v>ESBV Buitenwesten</v>
      </c>
      <c r="B19" t="str">
        <f>IF(General2021[[#This Row],[sector]]= "",VLOOKUP(Data2021[[#This Row],[organisation_name]],'Response Rate sheet'!A:D,3,FALSE),General2021[[#This Row],[sector]])</f>
        <v>Sports</v>
      </c>
      <c r="C19" t="str">
        <f>General2021[[#This Row],[organisation_type]]</f>
        <v>association</v>
      </c>
      <c r="D19">
        <f>IF(ISBLANK(General2021[[#This Row],[number_of_members]]),"N/A",VLOOKUP(A19,General2021[[organisation_name]:[number_of_international_committee_board_members_not_eea]],6,FALSE))</f>
        <v>70</v>
      </c>
      <c r="E19">
        <f>IF(ISBLANK(General2021[[#This Row],[number_of_committee_board_members]]),"N/A",VLOOKUP(A19,General2021!B:M,10,FALSE))</f>
        <v>30</v>
      </c>
      <c r="F19">
        <f>IFERROR(Data2021[[#This Row],[Number of members]]-Data2021[[#This Row],[Number of active members]], "N/A")</f>
        <v>40</v>
      </c>
      <c r="G19">
        <f>IFERROR(Data2021[[#This Row],[Number of active members]]/Data2021[[#This Row],[Number of members]], "N/A")</f>
        <v>0.42857142857142855</v>
      </c>
      <c r="H19">
        <f>IFERROR(1-Data2021[[#This Row],[Percentage active members]],"N/A")</f>
        <v>0.5714285714285714</v>
      </c>
      <c r="I19" t="str">
        <f>IF(Data2021[[#This Row],[Number of members]]=0,"N/A",IF(Data2021[[#This Row],[Number of members]]&lt;50," A. 1 - 50 ",IF(Data2021[[#This Row],[Number of members]]&lt;100, "B. 50 - 100", IF(Data2021[[#This Row],[Number of members]]&lt;400, "C. 100 - 400", IF(Data2021[[#This Row],[Number of members]]&lt;1000,"D. 400 - 1000", "E. 1000 +")))))</f>
        <v>B. 50 - 100</v>
      </c>
      <c r="J19">
        <f>IF(ISBLANK(General2021[[#This Row],[number_of_international_members_not_eea]]),"N/A",VLOOKUP(A19,General2021[[organisation_name]:[number_of_international_committee_board_members_not_eea]],9,FALSE))</f>
        <v>20</v>
      </c>
      <c r="K19">
        <f>IF(ISBLANK(General2021[[#This Row],[number_of_international_members_eea]]),"N/A",VLOOKUP(A19,General2021[[organisation_name]:[number_of_international_committee_board_members_not_eea]],8,FALSE))</f>
        <v>10</v>
      </c>
      <c r="L19">
        <f>IFERROR(IF(Data2021[[#This Row],[Number of members]]-Data2021[[#This Row],[Non-EEA Total]]-Data2021[[#This Row],[EEA total]]&lt;1,"N/A", Data2021[[#This Row],[Number of members]]-Data2021[[#This Row],[Non-EEA Total]]-Data2021[[#This Row],[EEA total]]),"N/A")</f>
        <v>40</v>
      </c>
      <c r="M19">
        <f>VLOOKUP(A19,General2021[[organisation_name]:[number_of_international_committee_board_members_not_eea]],12,FALSE)</f>
        <v>5</v>
      </c>
      <c r="N19">
        <f>VLOOKUP(A19,General2021[[organisation_name]:[number_of_international_committee_board_members_not_eea]],11,FALSE)</f>
        <v>3</v>
      </c>
      <c r="O19">
        <f>IFERROR(IF(Data2021[[#This Row],[Number of active members]]-Data2021[[#This Row],[Non-EEA Active ]]-Data2021[[#This Row],[EEA Active]]&lt;1,"N/A", Data2021[[#This Row],[Number of active members]]-Data2021[[#This Row],[Non-EEA Active ]]-Data2021[[#This Row],[EEA Active]]),"N/A")</f>
        <v>22</v>
      </c>
      <c r="P19">
        <f>IFERROR(Data2021[[#This Row],[Non-EEA Active ]]/Data2021[[#This Row],[Number of active members]],"N/A")</f>
        <v>0.16666666666666666</v>
      </c>
      <c r="Q19">
        <f>IFERROR(Data2021[[#This Row],[EEA Active]]/Data2021[[#This Row],[EEA total]], "N/A")</f>
        <v>0.3</v>
      </c>
      <c r="R19">
        <f>IFERROR(Data2021[[#This Row],[Dutch Active]]/Data2021[[#This Row],[Dutch total]],"N/A")</f>
        <v>0.55000000000000004</v>
      </c>
      <c r="S19" t="str">
        <f>IFERROR(IF(Data2021[[#This Row],[Number of members]]=Data2021[[#This Row],[Non-EEA Total]]+Data2021[[#This Row],[EEA total]]+Data2021[[#This Row],[Dutch total]],"T","F"),"F")</f>
        <v>T</v>
      </c>
      <c r="T19" t="str">
        <f>IFERROR(IF(Data2021[[#This Row],[Number of active members]]=Data2021[[#This Row],[Non-EEA Active ]]+Data2021[[#This Row],[EEA Active]]+Data2021[[#This Row],[Dutch Active]],"T","F"),"F")</f>
        <v>T</v>
      </c>
      <c r="U19" t="str">
        <f>IFERROR(IF(Data2021[[#This Row],[Number of members]]-Data2021[[#This Row],[Non-EEA Active ]]-Data2021[[#This Row],[EEA Active]]-Data2021[[#This Row],[Dutch Active]]=Data2021[[#This Row],[Number of  inactive members]],"T","F"),"F")</f>
        <v>T</v>
      </c>
      <c r="V19" t="str">
        <f>IF(Data2021[[#This Row],[EEA Active]]&lt;=Data2021[[#This Row],[EEA total]],"T","F")</f>
        <v>T</v>
      </c>
      <c r="W19" t="str">
        <f>IF(Data2021[[#This Row],[Dutch Active]]&lt;=Data2021[[#This Row],[Dutch total]],"T","F")</f>
        <v>T</v>
      </c>
      <c r="X19" t="str">
        <f>IF(Data2021[[#This Row],[Non-EEA Active ]]&lt;=Data2021[[#This Row],[Non-EEA Total]],"T","F")</f>
        <v>T</v>
      </c>
      <c r="Y19"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9">
        <f>IFERROR(VLOOKUP(Data2021[[#This Row],[organisation_name]],'Division Study Year Committees'!$A$1:$L$108,2,FALSE),"N/A")</f>
        <v>2</v>
      </c>
      <c r="AA19">
        <f>IFERROR(VLOOKUP(Data2021[[#This Row],[organisation_name]],'Division Study Year Committees'!$A$1:$L$108,3,FALSE),"N/A")</f>
        <v>2</v>
      </c>
      <c r="AB19">
        <f>IFERROR(VLOOKUP(Data2021[[#This Row],[organisation_name]],'Division Study Year Committees'!$A$1:$L$108,4,FALSE),"N/A")</f>
        <v>4</v>
      </c>
      <c r="AC19">
        <f>IFERROR(VLOOKUP(Data2021[[#This Row],[organisation_name]],'Division Study Year Committees'!$A$1:$L$108,5,FALSE), "N/A")</f>
        <v>2</v>
      </c>
      <c r="AD19">
        <f>IFERROR(VLOOKUP(Data2021[[#This Row],[organisation_name]],'Division Study Year Committees'!$A$1:$L$108,6,FALSE), "N/A")</f>
        <v>5</v>
      </c>
      <c r="AE19">
        <f>SUM(Data2021[[#This Row],[Number of first year comittee members]:[Number of 4+ year comittee members]])</f>
        <v>15</v>
      </c>
      <c r="AF19">
        <f>COUNTIF('Comittee2021'!D:D,Data2021[[#This Row],[organisation_name]])</f>
        <v>4</v>
      </c>
      <c r="AG19">
        <f>COUNTIFS('Comittee2021'!$D:$D,Data2021[[#This Row],[organisation_name]],'Comittee2021'!$O:$O,"strong decrease")</f>
        <v>3</v>
      </c>
      <c r="AH19">
        <f>COUNTIFS('Comittee2021'!$D:$D,Data2021[[#This Row],[organisation_name]],'Comittee2021'!$O:$O,"slight decrease")</f>
        <v>0</v>
      </c>
      <c r="AI19">
        <f>COUNTIFS('Comittee2021'!$D:$D,Data2021[[#This Row],[organisation_name]],'Comittee2021'!$O:$O,"no influence")</f>
        <v>1</v>
      </c>
      <c r="AJ19">
        <f>COUNTIFS('Comittee2021'!$D:$D,Data2021[[#This Row],[organisation_name]],'Comittee2021'!$O:$O,"slight increase")</f>
        <v>0</v>
      </c>
      <c r="AK19">
        <f>COUNTIFS('Comittee2021'!$D:$D,Data2021[[#This Row],[organisation_name]],'Comittee2021'!$O:$O,"strong increase")</f>
        <v>0</v>
      </c>
      <c r="AL19">
        <v>2021</v>
      </c>
    </row>
    <row r="20" spans="1:38" x14ac:dyDescent="0.3">
      <c r="A20" t="str">
        <f>General2021[[#This Row],[organisation_name]]</f>
        <v>HSV High-Tech-Hitters</v>
      </c>
      <c r="B20" t="str">
        <f>IF(General2021[[#This Row],[sector]]= "",VLOOKUP(Data2021[[#This Row],[organisation_name]],'Response Rate sheet'!A:D,3,FALSE),General2021[[#This Row],[sector]])</f>
        <v>Sports</v>
      </c>
      <c r="C20" t="str">
        <f>General2021[[#This Row],[organisation_type]]</f>
        <v>association</v>
      </c>
      <c r="D20">
        <f>IF(ISBLANK(General2021[[#This Row],[number_of_members]]),"N/A",VLOOKUP(A20,General2021[[organisation_name]:[number_of_international_committee_board_members_not_eea]],6,FALSE))</f>
        <v>41</v>
      </c>
      <c r="E20">
        <f>IF(ISBLANK(General2021[[#This Row],[number_of_committee_board_members]]),"N/A",VLOOKUP(A20,General2021!B:M,10,FALSE))</f>
        <v>5</v>
      </c>
      <c r="F20">
        <f>IFERROR(Data2021[[#This Row],[Number of members]]-Data2021[[#This Row],[Number of active members]], "N/A")</f>
        <v>36</v>
      </c>
      <c r="G20">
        <f>IFERROR(Data2021[[#This Row],[Number of active members]]/Data2021[[#This Row],[Number of members]], "N/A")</f>
        <v>0.12195121951219512</v>
      </c>
      <c r="H20">
        <f>IFERROR(1-Data2021[[#This Row],[Percentage active members]],"N/A")</f>
        <v>0.87804878048780488</v>
      </c>
      <c r="I20"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20">
        <f>IF(ISBLANK(General2021[[#This Row],[number_of_international_members_not_eea]]),"N/A",VLOOKUP(A20,General2021[[organisation_name]:[number_of_international_committee_board_members_not_eea]],9,FALSE))</f>
        <v>11</v>
      </c>
      <c r="K20">
        <f>IF(ISBLANK(General2021[[#This Row],[number_of_international_members_eea]]),"N/A",VLOOKUP(A20,General2021[[organisation_name]:[number_of_international_committee_board_members_not_eea]],8,FALSE))</f>
        <v>1</v>
      </c>
      <c r="L20">
        <f>IFERROR(IF(Data2021[[#This Row],[Number of members]]-Data2021[[#This Row],[Non-EEA Total]]-Data2021[[#This Row],[EEA total]]&lt;1,"N/A", Data2021[[#This Row],[Number of members]]-Data2021[[#This Row],[Non-EEA Total]]-Data2021[[#This Row],[EEA total]]),"N/A")</f>
        <v>29</v>
      </c>
      <c r="M20">
        <f>VLOOKUP(A20,General2021[[organisation_name]:[number_of_international_committee_board_members_not_eea]],12,FALSE)</f>
        <v>0</v>
      </c>
      <c r="N20">
        <f>VLOOKUP(A20,General2021[[organisation_name]:[number_of_international_committee_board_members_not_eea]],11,FALSE)</f>
        <v>1</v>
      </c>
      <c r="O20">
        <f>IFERROR(IF(Data2021[[#This Row],[Number of active members]]-Data2021[[#This Row],[Non-EEA Active ]]-Data2021[[#This Row],[EEA Active]]&lt;1,"N/A", Data2021[[#This Row],[Number of active members]]-Data2021[[#This Row],[Non-EEA Active ]]-Data2021[[#This Row],[EEA Active]]),"N/A")</f>
        <v>4</v>
      </c>
      <c r="P20">
        <f>IFERROR(Data2021[[#This Row],[Non-EEA Active ]]/Data2021[[#This Row],[Number of active members]],"N/A")</f>
        <v>0</v>
      </c>
      <c r="Q20">
        <f>IFERROR(Data2021[[#This Row],[EEA Active]]/Data2021[[#This Row],[EEA total]], "N/A")</f>
        <v>1</v>
      </c>
      <c r="R20">
        <f>IFERROR(Data2021[[#This Row],[Dutch Active]]/Data2021[[#This Row],[Dutch total]],"N/A")</f>
        <v>0.13793103448275862</v>
      </c>
      <c r="S20" t="str">
        <f>IFERROR(IF(Data2021[[#This Row],[Number of members]]=Data2021[[#This Row],[Non-EEA Total]]+Data2021[[#This Row],[EEA total]]+Data2021[[#This Row],[Dutch total]],"T","F"),"F")</f>
        <v>T</v>
      </c>
      <c r="T20" t="str">
        <f>IFERROR(IF(Data2021[[#This Row],[Number of active members]]=Data2021[[#This Row],[Non-EEA Active ]]+Data2021[[#This Row],[EEA Active]]+Data2021[[#This Row],[Dutch Active]],"T","F"),"F")</f>
        <v>T</v>
      </c>
      <c r="U20" t="str">
        <f>IFERROR(IF(Data2021[[#This Row],[Number of members]]-Data2021[[#This Row],[Non-EEA Active ]]-Data2021[[#This Row],[EEA Active]]-Data2021[[#This Row],[Dutch Active]]=Data2021[[#This Row],[Number of  inactive members]],"T","F"),"F")</f>
        <v>T</v>
      </c>
      <c r="V20" t="str">
        <f>IF(Data2021[[#This Row],[EEA Active]]&lt;=Data2021[[#This Row],[EEA total]],"T","F")</f>
        <v>T</v>
      </c>
      <c r="W20" t="str">
        <f>IF(Data2021[[#This Row],[Dutch Active]]&lt;=Data2021[[#This Row],[Dutch total]],"T","F")</f>
        <v>T</v>
      </c>
      <c r="X20" t="str">
        <f>IF(Data2021[[#This Row],[Non-EEA Active ]]&lt;=Data2021[[#This Row],[Non-EEA Total]],"T","F")</f>
        <v>T</v>
      </c>
      <c r="Y20"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0">
        <f>IFERROR(VLOOKUP(Data2021[[#This Row],[organisation_name]],'Division Study Year Committees'!$A$1:$L$108,2,FALSE),"N/A")</f>
        <v>0</v>
      </c>
      <c r="AA20">
        <f>IFERROR(VLOOKUP(Data2021[[#This Row],[organisation_name]],'Division Study Year Committees'!$A$1:$L$108,3,FALSE),"N/A")</f>
        <v>0</v>
      </c>
      <c r="AB20">
        <f>IFERROR(VLOOKUP(Data2021[[#This Row],[organisation_name]],'Division Study Year Committees'!$A$1:$L$108,4,FALSE),"N/A")</f>
        <v>8</v>
      </c>
      <c r="AC20">
        <f>IFERROR(VLOOKUP(Data2021[[#This Row],[organisation_name]],'Division Study Year Committees'!$A$1:$L$108,5,FALSE), "N/A")</f>
        <v>1</v>
      </c>
      <c r="AD20">
        <f>IFERROR(VLOOKUP(Data2021[[#This Row],[organisation_name]],'Division Study Year Committees'!$A$1:$L$108,6,FALSE), "N/A")</f>
        <v>2</v>
      </c>
      <c r="AE20">
        <f>SUM(Data2021[[#This Row],[Number of first year comittee members]:[Number of 4+ year comittee members]])</f>
        <v>11</v>
      </c>
      <c r="AF20">
        <f>COUNTIF('Comittee2021'!D:D,Data2021[[#This Row],[organisation_name]])</f>
        <v>4</v>
      </c>
      <c r="AG20">
        <f>COUNTIFS('Comittee2021'!$D:$D,Data2021[[#This Row],[organisation_name]],'Comittee2021'!$O:$O,"strong decrease")</f>
        <v>2</v>
      </c>
      <c r="AH20">
        <f>COUNTIFS('Comittee2021'!$D:$D,Data2021[[#This Row],[organisation_name]],'Comittee2021'!$O:$O,"slight decrease")</f>
        <v>1</v>
      </c>
      <c r="AI20">
        <f>COUNTIFS('Comittee2021'!$D:$D,Data2021[[#This Row],[organisation_name]],'Comittee2021'!$O:$O,"no influence")</f>
        <v>1</v>
      </c>
      <c r="AJ20">
        <f>COUNTIFS('Comittee2021'!$D:$D,Data2021[[#This Row],[organisation_name]],'Comittee2021'!$O:$O,"slight increase")</f>
        <v>0</v>
      </c>
      <c r="AK20">
        <f>COUNTIFS('Comittee2021'!$D:$D,Data2021[[#This Row],[organisation_name]],'Comittee2021'!$O:$O,"strong increase")</f>
        <v>0</v>
      </c>
      <c r="AL20">
        <v>2021</v>
      </c>
    </row>
    <row r="21" spans="1:38" x14ac:dyDescent="0.3">
      <c r="A21" t="str">
        <f>General2021[[#This Row],[organisation_name]]</f>
        <v>Linea Recta</v>
      </c>
      <c r="B21" t="str">
        <f>IF(General2021[[#This Row],[sector]]= "",VLOOKUP(Data2021[[#This Row],[organisation_name]],'Response Rate sheet'!A:D,3,FALSE),General2021[[#This Row],[sector]])</f>
        <v>Sports</v>
      </c>
      <c r="C21" t="str">
        <f>General2021[[#This Row],[organisation_type]]</f>
        <v>association</v>
      </c>
      <c r="D21">
        <f>IF(ISBLANK(General2021[[#This Row],[number_of_members]]),"N/A",VLOOKUP(A21,General2021[[organisation_name]:[number_of_international_committee_board_members_not_eea]],6,FALSE))</f>
        <v>65</v>
      </c>
      <c r="E21">
        <f>IF(ISBLANK(General2021[[#This Row],[number_of_committee_board_members]]),"N/A",VLOOKUP(A21,General2021!B:M,10,FALSE))</f>
        <v>20</v>
      </c>
      <c r="F21">
        <f>IFERROR(Data2021[[#This Row],[Number of members]]-Data2021[[#This Row],[Number of active members]], "N/A")</f>
        <v>45</v>
      </c>
      <c r="G21">
        <f>IFERROR(Data2021[[#This Row],[Number of active members]]/Data2021[[#This Row],[Number of members]], "N/A")</f>
        <v>0.30769230769230771</v>
      </c>
      <c r="H21">
        <f>IFERROR(1-Data2021[[#This Row],[Percentage active members]],"N/A")</f>
        <v>0.69230769230769229</v>
      </c>
      <c r="I21" t="str">
        <f>IF(Data2021[[#This Row],[Number of members]]=0,"N/A",IF(Data2021[[#This Row],[Number of members]]&lt;50," A. 1 - 50 ",IF(Data2021[[#This Row],[Number of members]]&lt;100, "B. 50 - 100", IF(Data2021[[#This Row],[Number of members]]&lt;400, "C. 100 - 400", IF(Data2021[[#This Row],[Number of members]]&lt;1000,"D. 400 - 1000", "E. 1000 +")))))</f>
        <v>B. 50 - 100</v>
      </c>
      <c r="J21">
        <f>IF(ISBLANK(General2021[[#This Row],[number_of_international_members_not_eea]]),"N/A",VLOOKUP(A21,General2021[[organisation_name]:[number_of_international_committee_board_members_not_eea]],9,FALSE))</f>
        <v>18</v>
      </c>
      <c r="K21">
        <f>IF(ISBLANK(General2021[[#This Row],[number_of_international_members_eea]]),"N/A",VLOOKUP(A21,General2021[[organisation_name]:[number_of_international_committee_board_members_not_eea]],8,FALSE))</f>
        <v>3</v>
      </c>
      <c r="L21">
        <f>IFERROR(IF(Data2021[[#This Row],[Number of members]]-Data2021[[#This Row],[Non-EEA Total]]-Data2021[[#This Row],[EEA total]]&lt;1,"N/A", Data2021[[#This Row],[Number of members]]-Data2021[[#This Row],[Non-EEA Total]]-Data2021[[#This Row],[EEA total]]),"N/A")</f>
        <v>44</v>
      </c>
      <c r="M21">
        <f>VLOOKUP(A21,General2021[[organisation_name]:[number_of_international_committee_board_members_not_eea]],12,FALSE)</f>
        <v>1</v>
      </c>
      <c r="N21">
        <f>VLOOKUP(A21,General2021[[organisation_name]:[number_of_international_committee_board_members_not_eea]],11,FALSE)</f>
        <v>1</v>
      </c>
      <c r="O21">
        <f>IFERROR(IF(Data2021[[#This Row],[Number of active members]]-Data2021[[#This Row],[Non-EEA Active ]]-Data2021[[#This Row],[EEA Active]]&lt;1,"N/A", Data2021[[#This Row],[Number of active members]]-Data2021[[#This Row],[Non-EEA Active ]]-Data2021[[#This Row],[EEA Active]]),"N/A")</f>
        <v>18</v>
      </c>
      <c r="P21">
        <f>IFERROR(Data2021[[#This Row],[Non-EEA Active ]]/Data2021[[#This Row],[Number of active members]],"N/A")</f>
        <v>0.05</v>
      </c>
      <c r="Q21">
        <f>IFERROR(Data2021[[#This Row],[EEA Active]]/Data2021[[#This Row],[EEA total]], "N/A")</f>
        <v>0.33333333333333331</v>
      </c>
      <c r="R21">
        <f>IFERROR(Data2021[[#This Row],[Dutch Active]]/Data2021[[#This Row],[Dutch total]],"N/A")</f>
        <v>0.40909090909090912</v>
      </c>
      <c r="S21" t="str">
        <f>IFERROR(IF(Data2021[[#This Row],[Number of members]]=Data2021[[#This Row],[Non-EEA Total]]+Data2021[[#This Row],[EEA total]]+Data2021[[#This Row],[Dutch total]],"T","F"),"F")</f>
        <v>T</v>
      </c>
      <c r="T21" t="str">
        <f>IFERROR(IF(Data2021[[#This Row],[Number of active members]]=Data2021[[#This Row],[Non-EEA Active ]]+Data2021[[#This Row],[EEA Active]]+Data2021[[#This Row],[Dutch Active]],"T","F"),"F")</f>
        <v>T</v>
      </c>
      <c r="U21" t="str">
        <f>IFERROR(IF(Data2021[[#This Row],[Number of members]]-Data2021[[#This Row],[Non-EEA Active ]]-Data2021[[#This Row],[EEA Active]]-Data2021[[#This Row],[Dutch Active]]=Data2021[[#This Row],[Number of  inactive members]],"T","F"),"F")</f>
        <v>T</v>
      </c>
      <c r="V21" t="str">
        <f>IF(Data2021[[#This Row],[EEA Active]]&lt;=Data2021[[#This Row],[EEA total]],"T","F")</f>
        <v>T</v>
      </c>
      <c r="W21" t="str">
        <f>IF(Data2021[[#This Row],[Dutch Active]]&lt;=Data2021[[#This Row],[Dutch total]],"T","F")</f>
        <v>T</v>
      </c>
      <c r="X21" t="str">
        <f>IF(Data2021[[#This Row],[Non-EEA Active ]]&lt;=Data2021[[#This Row],[Non-EEA Total]],"T","F")</f>
        <v>T</v>
      </c>
      <c r="Y21"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1">
        <f>IFERROR(VLOOKUP(Data2021[[#This Row],[organisation_name]],'Division Study Year Committees'!$A$1:$L$108,2,FALSE),"N/A")</f>
        <v>0</v>
      </c>
      <c r="AA21">
        <f>IFERROR(VLOOKUP(Data2021[[#This Row],[organisation_name]],'Division Study Year Committees'!$A$1:$L$108,3,FALSE),"N/A")</f>
        <v>6</v>
      </c>
      <c r="AB21">
        <f>IFERROR(VLOOKUP(Data2021[[#This Row],[organisation_name]],'Division Study Year Committees'!$A$1:$L$108,4,FALSE),"N/A")</f>
        <v>12</v>
      </c>
      <c r="AC21">
        <f>IFERROR(VLOOKUP(Data2021[[#This Row],[organisation_name]],'Division Study Year Committees'!$A$1:$L$108,5,FALSE), "N/A")</f>
        <v>4</v>
      </c>
      <c r="AD21">
        <f>IFERROR(VLOOKUP(Data2021[[#This Row],[organisation_name]],'Division Study Year Committees'!$A$1:$L$108,6,FALSE), "N/A")</f>
        <v>9</v>
      </c>
      <c r="AE21">
        <f>SUM(Data2021[[#This Row],[Number of first year comittee members]:[Number of 4+ year comittee members]])</f>
        <v>31</v>
      </c>
      <c r="AF21">
        <f>COUNTIF('Comittee2021'!D:D,Data2021[[#This Row],[organisation_name]])</f>
        <v>12</v>
      </c>
      <c r="AG21">
        <f>COUNTIFS('Comittee2021'!$D:$D,Data2021[[#This Row],[organisation_name]],'Comittee2021'!$O:$O,"strong decrease")</f>
        <v>4</v>
      </c>
      <c r="AH21">
        <f>COUNTIFS('Comittee2021'!$D:$D,Data2021[[#This Row],[organisation_name]],'Comittee2021'!$O:$O,"slight decrease")</f>
        <v>4</v>
      </c>
      <c r="AI21">
        <f>COUNTIFS('Comittee2021'!$D:$D,Data2021[[#This Row],[organisation_name]],'Comittee2021'!$O:$O,"no influence")</f>
        <v>3</v>
      </c>
      <c r="AJ21">
        <f>COUNTIFS('Comittee2021'!$D:$D,Data2021[[#This Row],[organisation_name]],'Comittee2021'!$O:$O,"slight increase")</f>
        <v>1</v>
      </c>
      <c r="AK21">
        <f>COUNTIFS('Comittee2021'!$D:$D,Data2021[[#This Row],[organisation_name]],'Comittee2021'!$O:$O,"strong increase")</f>
        <v>0</v>
      </c>
      <c r="AL21">
        <v>2021</v>
      </c>
    </row>
    <row r="22" spans="1:38" x14ac:dyDescent="0.3">
      <c r="A22" t="str">
        <f>General2021[[#This Row],[organisation_name]]</f>
        <v>Messed Up</v>
      </c>
      <c r="B22" t="str">
        <f>IF(General2021[[#This Row],[sector]]= "",VLOOKUP(Data2021[[#This Row],[organisation_name]],'Response Rate sheet'!A:D,3,FALSE),General2021[[#This Row],[sector]])</f>
        <v>Sports</v>
      </c>
      <c r="C22" t="str">
        <f>General2021[[#This Row],[organisation_type]]</f>
        <v>association</v>
      </c>
      <c r="D22" t="str">
        <f>IF(ISBLANK(General2021[[#This Row],[number_of_members]]),"N/A",VLOOKUP(A22,General2021[[organisation_name]:[number_of_international_committee_board_members_not_eea]],6,FALSE))</f>
        <v>N/A</v>
      </c>
      <c r="E22" t="str">
        <f>IF(ISBLANK(General2021[[#This Row],[number_of_committee_board_members]]),"N/A",VLOOKUP(A22,General2021!B:M,10,FALSE))</f>
        <v>N/A</v>
      </c>
      <c r="F22" t="str">
        <f>IFERROR(Data2021[[#This Row],[Number of members]]-Data2021[[#This Row],[Number of active members]], "N/A")</f>
        <v>N/A</v>
      </c>
      <c r="G22" t="str">
        <f>IFERROR(Data2021[[#This Row],[Number of active members]]/Data2021[[#This Row],[Number of members]], "N/A")</f>
        <v>N/A</v>
      </c>
      <c r="H22" t="str">
        <f>IFERROR(1-Data2021[[#This Row],[Percentage active members]],"N/A")</f>
        <v>N/A</v>
      </c>
      <c r="I22" t="str">
        <f>IF(Data2021[[#This Row],[Number of members]]=0,"N/A",IF(Data2021[[#This Row],[Number of members]]&lt;50," A. 1 - 50 ",IF(Data2021[[#This Row],[Number of members]]&lt;100, "B. 50 - 100", IF(Data2021[[#This Row],[Number of members]]&lt;400, "C. 100 - 400", IF(Data2021[[#This Row],[Number of members]]&lt;1000,"D. 400 - 1000", "E. 1000 +")))))</f>
        <v>E. 1000 +</v>
      </c>
      <c r="J22" t="str">
        <f>IF(ISBLANK(General2021[[#This Row],[number_of_international_members_not_eea]]),"N/A",VLOOKUP(A22,General2021[[organisation_name]:[number_of_international_committee_board_members_not_eea]],9,FALSE))</f>
        <v>N/A</v>
      </c>
      <c r="K22" t="str">
        <f>IF(ISBLANK(General2021[[#This Row],[number_of_international_members_eea]]),"N/A",VLOOKUP(A22,General2021[[organisation_name]:[number_of_international_committee_board_members_not_eea]],8,FALSE))</f>
        <v>N/A</v>
      </c>
      <c r="L22" t="str">
        <f>IFERROR(IF(Data2021[[#This Row],[Number of members]]-Data2021[[#This Row],[Non-EEA Total]]-Data2021[[#This Row],[EEA total]]&lt;1,"N/A", Data2021[[#This Row],[Number of members]]-Data2021[[#This Row],[Non-EEA Total]]-Data2021[[#This Row],[EEA total]]),"N/A")</f>
        <v>N/A</v>
      </c>
      <c r="M22">
        <f>VLOOKUP(A22,General2021[[organisation_name]:[number_of_international_committee_board_members_not_eea]],12,FALSE)</f>
        <v>0</v>
      </c>
      <c r="N22">
        <f>VLOOKUP(A22,General2021[[organisation_name]:[number_of_international_committee_board_members_not_eea]],11,FALSE)</f>
        <v>0</v>
      </c>
      <c r="O22" t="str">
        <f>IFERROR(IF(Data2021[[#This Row],[Number of active members]]-Data2021[[#This Row],[Non-EEA Active ]]-Data2021[[#This Row],[EEA Active]]&lt;1,"N/A", Data2021[[#This Row],[Number of active members]]-Data2021[[#This Row],[Non-EEA Active ]]-Data2021[[#This Row],[EEA Active]]),"N/A")</f>
        <v>N/A</v>
      </c>
      <c r="P22" t="str">
        <f>IFERROR(Data2021[[#This Row],[Non-EEA Active ]]/Data2021[[#This Row],[Number of active members]],"N/A")</f>
        <v>N/A</v>
      </c>
      <c r="Q22" t="str">
        <f>IFERROR(Data2021[[#This Row],[EEA Active]]/Data2021[[#This Row],[EEA total]], "N/A")</f>
        <v>N/A</v>
      </c>
      <c r="R22" t="str">
        <f>IFERROR(Data2021[[#This Row],[Dutch Active]]/Data2021[[#This Row],[Dutch total]],"N/A")</f>
        <v>N/A</v>
      </c>
      <c r="S22" t="str">
        <f>IFERROR(IF(Data2021[[#This Row],[Number of members]]=Data2021[[#This Row],[Non-EEA Total]]+Data2021[[#This Row],[EEA total]]+Data2021[[#This Row],[Dutch total]],"T","F"),"F")</f>
        <v>F</v>
      </c>
      <c r="T22" t="str">
        <f>IFERROR(IF(Data2021[[#This Row],[Number of active members]]=Data2021[[#This Row],[Non-EEA Active ]]+Data2021[[#This Row],[EEA Active]]+Data2021[[#This Row],[Dutch Active]],"T","F"),"F")</f>
        <v>F</v>
      </c>
      <c r="U22" t="str">
        <f>IFERROR(IF(Data2021[[#This Row],[Number of members]]-Data2021[[#This Row],[Non-EEA Active ]]-Data2021[[#This Row],[EEA Active]]-Data2021[[#This Row],[Dutch Active]]=Data2021[[#This Row],[Number of  inactive members]],"T","F"),"F")</f>
        <v>F</v>
      </c>
      <c r="V22" t="str">
        <f>IF(Data2021[[#This Row],[EEA Active]]&lt;=Data2021[[#This Row],[EEA total]],"T","F")</f>
        <v>T</v>
      </c>
      <c r="W22" t="str">
        <f>IF(Data2021[[#This Row],[Dutch Active]]&lt;=Data2021[[#This Row],[Dutch total]],"T","F")</f>
        <v>T</v>
      </c>
      <c r="X22" t="str">
        <f>IF(Data2021[[#This Row],[Non-EEA Active ]]&lt;=Data2021[[#This Row],[Non-EEA Total]],"T","F")</f>
        <v>T</v>
      </c>
      <c r="Y2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22" t="str">
        <f>IFERROR(VLOOKUP(Data2021[[#This Row],[organisation_name]],'Division Study Year Committees'!$A$1:$L$108,2,FALSE),"N/A")</f>
        <v>N/A</v>
      </c>
      <c r="AA22" t="str">
        <f>IFERROR(VLOOKUP(Data2021[[#This Row],[organisation_name]],'Division Study Year Committees'!$A$1:$L$108,3,FALSE),"N/A")</f>
        <v>N/A</v>
      </c>
      <c r="AB22" t="str">
        <f>IFERROR(VLOOKUP(Data2021[[#This Row],[organisation_name]],'Division Study Year Committees'!$A$1:$L$108,4,FALSE),"N/A")</f>
        <v>N/A</v>
      </c>
      <c r="AC22" t="str">
        <f>IFERROR(VLOOKUP(Data2021[[#This Row],[organisation_name]],'Division Study Year Committees'!$A$1:$L$108,5,FALSE), "N/A")</f>
        <v>N/A</v>
      </c>
      <c r="AD22" t="str">
        <f>IFERROR(VLOOKUP(Data2021[[#This Row],[organisation_name]],'Division Study Year Committees'!$A$1:$L$108,6,FALSE), "N/A")</f>
        <v>N/A</v>
      </c>
      <c r="AE22">
        <f>SUM(Data2021[[#This Row],[Number of first year comittee members]:[Number of 4+ year comittee members]])</f>
        <v>0</v>
      </c>
      <c r="AF22">
        <f>COUNTIF('Comittee2021'!D:D,Data2021[[#This Row],[organisation_name]])</f>
        <v>0</v>
      </c>
      <c r="AG22">
        <f>COUNTIFS('Comittee2021'!$D:$D,Data2021[[#This Row],[organisation_name]],'Comittee2021'!$O:$O,"strong decrease")</f>
        <v>0</v>
      </c>
      <c r="AH22">
        <f>COUNTIFS('Comittee2021'!$D:$D,Data2021[[#This Row],[organisation_name]],'Comittee2021'!$O:$O,"slight decrease")</f>
        <v>0</v>
      </c>
      <c r="AI22">
        <f>COUNTIFS('Comittee2021'!$D:$D,Data2021[[#This Row],[organisation_name]],'Comittee2021'!$O:$O,"no influence")</f>
        <v>0</v>
      </c>
      <c r="AJ22">
        <f>COUNTIFS('Comittee2021'!$D:$D,Data2021[[#This Row],[organisation_name]],'Comittee2021'!$O:$O,"slight increase")</f>
        <v>0</v>
      </c>
      <c r="AK22">
        <f>COUNTIFS('Comittee2021'!$D:$D,Data2021[[#This Row],[organisation_name]],'Comittee2021'!$O:$O,"strong increase")</f>
        <v>0</v>
      </c>
      <c r="AL22">
        <v>2021</v>
      </c>
    </row>
    <row r="23" spans="1:38" x14ac:dyDescent="0.3">
      <c r="A23" t="str">
        <f>General2021[[#This Row],[organisation_name]]</f>
        <v>Motor Sport Groep</v>
      </c>
      <c r="B23" t="str">
        <f>IF(General2021[[#This Row],[sector]]= "",VLOOKUP(Data2021[[#This Row],[organisation_name]],'Response Rate sheet'!A:D,3,FALSE),General2021[[#This Row],[sector]])</f>
        <v>Sports</v>
      </c>
      <c r="C23" t="str">
        <f>General2021[[#This Row],[organisation_type]]</f>
        <v>association</v>
      </c>
      <c r="D23" t="str">
        <f>IF(ISBLANK(General2021[[#This Row],[number_of_members]]),"N/A",VLOOKUP(A23,General2021[[organisation_name]:[number_of_international_committee_board_members_not_eea]],6,FALSE))</f>
        <v>N/A</v>
      </c>
      <c r="E23" t="str">
        <f>IF(ISBLANK(General2021[[#This Row],[number_of_committee_board_members]]),"N/A",VLOOKUP(A23,General2021!B:M,10,FALSE))</f>
        <v>N/A</v>
      </c>
      <c r="F23" t="str">
        <f>IFERROR(Data2021[[#This Row],[Number of members]]-Data2021[[#This Row],[Number of active members]], "N/A")</f>
        <v>N/A</v>
      </c>
      <c r="G23" t="str">
        <f>IFERROR(Data2021[[#This Row],[Number of active members]]/Data2021[[#This Row],[Number of members]], "N/A")</f>
        <v>N/A</v>
      </c>
      <c r="H23" t="str">
        <f>IFERROR(1-Data2021[[#This Row],[Percentage active members]],"N/A")</f>
        <v>N/A</v>
      </c>
      <c r="I23" t="str">
        <f>IF(Data2021[[#This Row],[Number of members]]=0,"N/A",IF(Data2021[[#This Row],[Number of members]]&lt;50," A. 1 - 50 ",IF(Data2021[[#This Row],[Number of members]]&lt;100, "B. 50 - 100", IF(Data2021[[#This Row],[Number of members]]&lt;400, "C. 100 - 400", IF(Data2021[[#This Row],[Number of members]]&lt;1000,"D. 400 - 1000", "E. 1000 +")))))</f>
        <v>E. 1000 +</v>
      </c>
      <c r="J23" t="str">
        <f>IF(ISBLANK(General2021[[#This Row],[number_of_international_members_not_eea]]),"N/A",VLOOKUP(A23,General2021[[organisation_name]:[number_of_international_committee_board_members_not_eea]],9,FALSE))</f>
        <v>N/A</v>
      </c>
      <c r="K23" t="str">
        <f>IF(ISBLANK(General2021[[#This Row],[number_of_international_members_eea]]),"N/A",VLOOKUP(A23,General2021[[organisation_name]:[number_of_international_committee_board_members_not_eea]],8,FALSE))</f>
        <v>N/A</v>
      </c>
      <c r="L23" t="str">
        <f>IFERROR(IF(Data2021[[#This Row],[Number of members]]-Data2021[[#This Row],[Non-EEA Total]]-Data2021[[#This Row],[EEA total]]&lt;1,"N/A", Data2021[[#This Row],[Number of members]]-Data2021[[#This Row],[Non-EEA Total]]-Data2021[[#This Row],[EEA total]]),"N/A")</f>
        <v>N/A</v>
      </c>
      <c r="M23">
        <f>VLOOKUP(A23,General2021[[organisation_name]:[number_of_international_committee_board_members_not_eea]],12,FALSE)</f>
        <v>0</v>
      </c>
      <c r="N23">
        <f>VLOOKUP(A23,General2021[[organisation_name]:[number_of_international_committee_board_members_not_eea]],11,FALSE)</f>
        <v>0</v>
      </c>
      <c r="O23" t="str">
        <f>IFERROR(IF(Data2021[[#This Row],[Number of active members]]-Data2021[[#This Row],[Non-EEA Active ]]-Data2021[[#This Row],[EEA Active]]&lt;1,"N/A", Data2021[[#This Row],[Number of active members]]-Data2021[[#This Row],[Non-EEA Active ]]-Data2021[[#This Row],[EEA Active]]),"N/A")</f>
        <v>N/A</v>
      </c>
      <c r="P23" t="str">
        <f>IFERROR(Data2021[[#This Row],[Non-EEA Active ]]/Data2021[[#This Row],[Number of active members]],"N/A")</f>
        <v>N/A</v>
      </c>
      <c r="Q23" t="str">
        <f>IFERROR(Data2021[[#This Row],[EEA Active]]/Data2021[[#This Row],[EEA total]], "N/A")</f>
        <v>N/A</v>
      </c>
      <c r="R23" t="str">
        <f>IFERROR(Data2021[[#This Row],[Dutch Active]]/Data2021[[#This Row],[Dutch total]],"N/A")</f>
        <v>N/A</v>
      </c>
      <c r="S23" t="str">
        <f>IFERROR(IF(Data2021[[#This Row],[Number of members]]=Data2021[[#This Row],[Non-EEA Total]]+Data2021[[#This Row],[EEA total]]+Data2021[[#This Row],[Dutch total]],"T","F"),"F")</f>
        <v>F</v>
      </c>
      <c r="T23" t="str">
        <f>IFERROR(IF(Data2021[[#This Row],[Number of active members]]=Data2021[[#This Row],[Non-EEA Active ]]+Data2021[[#This Row],[EEA Active]]+Data2021[[#This Row],[Dutch Active]],"T","F"),"F")</f>
        <v>F</v>
      </c>
      <c r="U23" t="str">
        <f>IFERROR(IF(Data2021[[#This Row],[Number of members]]-Data2021[[#This Row],[Non-EEA Active ]]-Data2021[[#This Row],[EEA Active]]-Data2021[[#This Row],[Dutch Active]]=Data2021[[#This Row],[Number of  inactive members]],"T","F"),"F")</f>
        <v>F</v>
      </c>
      <c r="V23" t="str">
        <f>IF(Data2021[[#This Row],[EEA Active]]&lt;=Data2021[[#This Row],[EEA total]],"T","F")</f>
        <v>T</v>
      </c>
      <c r="W23" t="str">
        <f>IF(Data2021[[#This Row],[Dutch Active]]&lt;=Data2021[[#This Row],[Dutch total]],"T","F")</f>
        <v>T</v>
      </c>
      <c r="X23" t="str">
        <f>IF(Data2021[[#This Row],[Non-EEA Active ]]&lt;=Data2021[[#This Row],[Non-EEA Total]],"T","F")</f>
        <v>T</v>
      </c>
      <c r="Y2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23" t="str">
        <f>IFERROR(VLOOKUP(Data2021[[#This Row],[organisation_name]],'Division Study Year Committees'!$A$1:$L$108,2,FALSE),"N/A")</f>
        <v>N/A</v>
      </c>
      <c r="AA23" t="str">
        <f>IFERROR(VLOOKUP(Data2021[[#This Row],[organisation_name]],'Division Study Year Committees'!$A$1:$L$108,3,FALSE),"N/A")</f>
        <v>N/A</v>
      </c>
      <c r="AB23" t="str">
        <f>IFERROR(VLOOKUP(Data2021[[#This Row],[organisation_name]],'Division Study Year Committees'!$A$1:$L$108,4,FALSE),"N/A")</f>
        <v>N/A</v>
      </c>
      <c r="AC23" t="str">
        <f>IFERROR(VLOOKUP(Data2021[[#This Row],[organisation_name]],'Division Study Year Committees'!$A$1:$L$108,5,FALSE), "N/A")</f>
        <v>N/A</v>
      </c>
      <c r="AD23" t="str">
        <f>IFERROR(VLOOKUP(Data2021[[#This Row],[organisation_name]],'Division Study Year Committees'!$A$1:$L$108,6,FALSE), "N/A")</f>
        <v>N/A</v>
      </c>
      <c r="AE23">
        <f>SUM(Data2021[[#This Row],[Number of first year comittee members]:[Number of 4+ year comittee members]])</f>
        <v>0</v>
      </c>
      <c r="AF23">
        <f>COUNTIF('Comittee2021'!D:D,Data2021[[#This Row],[organisation_name]])</f>
        <v>0</v>
      </c>
      <c r="AG23">
        <f>COUNTIFS('Comittee2021'!$D:$D,Data2021[[#This Row],[organisation_name]],'Comittee2021'!$O:$O,"strong decrease")</f>
        <v>0</v>
      </c>
      <c r="AH23">
        <f>COUNTIFS('Comittee2021'!$D:$D,Data2021[[#This Row],[organisation_name]],'Comittee2021'!$O:$O,"slight decrease")</f>
        <v>0</v>
      </c>
      <c r="AI23">
        <f>COUNTIFS('Comittee2021'!$D:$D,Data2021[[#This Row],[organisation_name]],'Comittee2021'!$O:$O,"no influence")</f>
        <v>0</v>
      </c>
      <c r="AJ23">
        <f>COUNTIFS('Comittee2021'!$D:$D,Data2021[[#This Row],[organisation_name]],'Comittee2021'!$O:$O,"slight increase")</f>
        <v>0</v>
      </c>
      <c r="AK23">
        <f>COUNTIFS('Comittee2021'!$D:$D,Data2021[[#This Row],[organisation_name]],'Comittee2021'!$O:$O,"strong increase")</f>
        <v>0</v>
      </c>
      <c r="AL23">
        <v>2021</v>
      </c>
    </row>
    <row r="24" spans="1:38" x14ac:dyDescent="0.3">
      <c r="A24" t="str">
        <f>General2021[[#This Row],[organisation_name]]</f>
        <v>SKV Vakgericht</v>
      </c>
      <c r="B24" t="str">
        <f>IF(General2021[[#This Row],[sector]]= "",VLOOKUP(Data2021[[#This Row],[organisation_name]],'Response Rate sheet'!A:D,3,FALSE),General2021[[#This Row],[sector]])</f>
        <v>Sports</v>
      </c>
      <c r="C24" t="str">
        <f>General2021[[#This Row],[organisation_type]]</f>
        <v>association</v>
      </c>
      <c r="D24">
        <f>IF(ISBLANK(General2021[[#This Row],[number_of_members]]),"N/A",VLOOKUP(A24,General2021[[organisation_name]:[number_of_international_committee_board_members_not_eea]],6,FALSE))</f>
        <v>56</v>
      </c>
      <c r="E24">
        <f>IF(ISBLANK(General2021[[#This Row],[number_of_committee_board_members]]),"N/A",VLOOKUP(A24,General2021!B:M,10,FALSE))</f>
        <v>4</v>
      </c>
      <c r="F24">
        <f>IFERROR(Data2021[[#This Row],[Number of members]]-Data2021[[#This Row],[Number of active members]], "N/A")</f>
        <v>52</v>
      </c>
      <c r="G24">
        <f>IFERROR(Data2021[[#This Row],[Number of active members]]/Data2021[[#This Row],[Number of members]], "N/A")</f>
        <v>7.1428571428571425E-2</v>
      </c>
      <c r="H24">
        <f>IFERROR(1-Data2021[[#This Row],[Percentage active members]],"N/A")</f>
        <v>0.9285714285714286</v>
      </c>
      <c r="I24" t="str">
        <f>IF(Data2021[[#This Row],[Number of members]]=0,"N/A",IF(Data2021[[#This Row],[Number of members]]&lt;50," A. 1 - 50 ",IF(Data2021[[#This Row],[Number of members]]&lt;100, "B. 50 - 100", IF(Data2021[[#This Row],[Number of members]]&lt;400, "C. 100 - 400", IF(Data2021[[#This Row],[Number of members]]&lt;1000,"D. 400 - 1000", "E. 1000 +")))))</f>
        <v>B. 50 - 100</v>
      </c>
      <c r="J24">
        <f>IF(ISBLANK(General2021[[#This Row],[number_of_international_members_not_eea]]),"N/A",VLOOKUP(A24,General2021[[organisation_name]:[number_of_international_committee_board_members_not_eea]],9,FALSE))</f>
        <v>32</v>
      </c>
      <c r="K24">
        <f>IF(ISBLANK(General2021[[#This Row],[number_of_international_members_eea]]),"N/A",VLOOKUP(A24,General2021[[organisation_name]:[number_of_international_committee_board_members_not_eea]],8,FALSE))</f>
        <v>0</v>
      </c>
      <c r="L24">
        <f>IFERROR(IF(Data2021[[#This Row],[Number of members]]-Data2021[[#This Row],[Non-EEA Total]]-Data2021[[#This Row],[EEA total]]&lt;1,"N/A", Data2021[[#This Row],[Number of members]]-Data2021[[#This Row],[Non-EEA Total]]-Data2021[[#This Row],[EEA total]]),"N/A")</f>
        <v>24</v>
      </c>
      <c r="M24">
        <f>VLOOKUP(A24,General2021[[organisation_name]:[number_of_international_committee_board_members_not_eea]],12,FALSE)</f>
        <v>0</v>
      </c>
      <c r="N24">
        <f>VLOOKUP(A24,General2021[[organisation_name]:[number_of_international_committee_board_members_not_eea]],11,FALSE)</f>
        <v>0</v>
      </c>
      <c r="O24">
        <f>IFERROR(IF(Data2021[[#This Row],[Number of active members]]-Data2021[[#This Row],[Non-EEA Active ]]-Data2021[[#This Row],[EEA Active]]&lt;1,"N/A", Data2021[[#This Row],[Number of active members]]-Data2021[[#This Row],[Non-EEA Active ]]-Data2021[[#This Row],[EEA Active]]),"N/A")</f>
        <v>4</v>
      </c>
      <c r="P24">
        <f>IFERROR(Data2021[[#This Row],[Non-EEA Active ]]/Data2021[[#This Row],[Number of active members]],"N/A")</f>
        <v>0</v>
      </c>
      <c r="Q24" t="str">
        <f>IFERROR(Data2021[[#This Row],[EEA Active]]/Data2021[[#This Row],[EEA total]], "N/A")</f>
        <v>N/A</v>
      </c>
      <c r="R24">
        <f>IFERROR(Data2021[[#This Row],[Dutch Active]]/Data2021[[#This Row],[Dutch total]],"N/A")</f>
        <v>0.16666666666666666</v>
      </c>
      <c r="S24" t="str">
        <f>IFERROR(IF(Data2021[[#This Row],[Number of members]]=Data2021[[#This Row],[Non-EEA Total]]+Data2021[[#This Row],[EEA total]]+Data2021[[#This Row],[Dutch total]],"T","F"),"F")</f>
        <v>T</v>
      </c>
      <c r="T24" t="str">
        <f>IFERROR(IF(Data2021[[#This Row],[Number of active members]]=Data2021[[#This Row],[Non-EEA Active ]]+Data2021[[#This Row],[EEA Active]]+Data2021[[#This Row],[Dutch Active]],"T","F"),"F")</f>
        <v>T</v>
      </c>
      <c r="U24" t="str">
        <f>IFERROR(IF(Data2021[[#This Row],[Number of members]]-Data2021[[#This Row],[Non-EEA Active ]]-Data2021[[#This Row],[EEA Active]]-Data2021[[#This Row],[Dutch Active]]=Data2021[[#This Row],[Number of  inactive members]],"T","F"),"F")</f>
        <v>T</v>
      </c>
      <c r="V24" t="str">
        <f>IF(Data2021[[#This Row],[EEA Active]]&lt;=Data2021[[#This Row],[EEA total]],"T","F")</f>
        <v>T</v>
      </c>
      <c r="W24" t="str">
        <f>IF(Data2021[[#This Row],[Dutch Active]]&lt;=Data2021[[#This Row],[Dutch total]],"T","F")</f>
        <v>T</v>
      </c>
      <c r="X24" t="str">
        <f>IF(Data2021[[#This Row],[Non-EEA Active ]]&lt;=Data2021[[#This Row],[Non-EEA Total]],"T","F")</f>
        <v>T</v>
      </c>
      <c r="Y24"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4">
        <f>IFERROR(VLOOKUP(Data2021[[#This Row],[organisation_name]],'Division Study Year Committees'!$A$1:$L$108,2,FALSE),"N/A")</f>
        <v>4</v>
      </c>
      <c r="AA24">
        <f>IFERROR(VLOOKUP(Data2021[[#This Row],[organisation_name]],'Division Study Year Committees'!$A$1:$L$108,3,FALSE),"N/A")</f>
        <v>4</v>
      </c>
      <c r="AB24">
        <f>IFERROR(VLOOKUP(Data2021[[#This Row],[organisation_name]],'Division Study Year Committees'!$A$1:$L$108,4,FALSE),"N/A")</f>
        <v>6</v>
      </c>
      <c r="AC24">
        <f>IFERROR(VLOOKUP(Data2021[[#This Row],[organisation_name]],'Division Study Year Committees'!$A$1:$L$108,5,FALSE), "N/A")</f>
        <v>5</v>
      </c>
      <c r="AD24">
        <f>IFERROR(VLOOKUP(Data2021[[#This Row],[organisation_name]],'Division Study Year Committees'!$A$1:$L$108,6,FALSE), "N/A")</f>
        <v>12</v>
      </c>
      <c r="AE24">
        <f>SUM(Data2021[[#This Row],[Number of first year comittee members]:[Number of 4+ year comittee members]])</f>
        <v>31</v>
      </c>
      <c r="AF24">
        <f>COUNTIF('Comittee2021'!D:D,Data2021[[#This Row],[organisation_name]])</f>
        <v>12</v>
      </c>
      <c r="AG24">
        <f>COUNTIFS('Comittee2021'!$D:$D,Data2021[[#This Row],[organisation_name]],'Comittee2021'!$O:$O,"strong decrease")</f>
        <v>0</v>
      </c>
      <c r="AH24">
        <f>COUNTIFS('Comittee2021'!$D:$D,Data2021[[#This Row],[organisation_name]],'Comittee2021'!$O:$O,"slight decrease")</f>
        <v>1</v>
      </c>
      <c r="AI24">
        <f>COUNTIFS('Comittee2021'!$D:$D,Data2021[[#This Row],[organisation_name]],'Comittee2021'!$O:$O,"no influence")</f>
        <v>6</v>
      </c>
      <c r="AJ24">
        <f>COUNTIFS('Comittee2021'!$D:$D,Data2021[[#This Row],[organisation_name]],'Comittee2021'!$O:$O,"slight increase")</f>
        <v>4</v>
      </c>
      <c r="AK24">
        <f>COUNTIFS('Comittee2021'!$D:$D,Data2021[[#This Row],[organisation_name]],'Comittee2021'!$O:$O,"strong increase")</f>
        <v>1</v>
      </c>
      <c r="AL24">
        <v>2021</v>
      </c>
    </row>
    <row r="25" spans="1:38" x14ac:dyDescent="0.3">
      <c r="A25" t="str">
        <f>General2021[[#This Row],[organisation_name]]</f>
        <v>SHBV Sagittarius</v>
      </c>
      <c r="B25" t="str">
        <f>IF(General2021[[#This Row],[sector]]= "",VLOOKUP(Data2021[[#This Row],[organisation_name]],'Response Rate sheet'!A:D,3,FALSE),General2021[[#This Row],[sector]])</f>
        <v>Sports</v>
      </c>
      <c r="C25" t="str">
        <f>General2021[[#This Row],[organisation_type]]</f>
        <v>association</v>
      </c>
      <c r="D25">
        <f>IF(ISBLANK(General2021[[#This Row],[number_of_members]]),"N/A",VLOOKUP(A25,General2021[[organisation_name]:[number_of_international_committee_board_members_not_eea]],6,FALSE))</f>
        <v>41</v>
      </c>
      <c r="E25">
        <f>IF(ISBLANK(General2021[[#This Row],[number_of_committee_board_members]]),"N/A",VLOOKUP(A25,General2021!B:M,10,FALSE))</f>
        <v>5</v>
      </c>
      <c r="F25">
        <f>IFERROR(Data2021[[#This Row],[Number of members]]-Data2021[[#This Row],[Number of active members]], "N/A")</f>
        <v>36</v>
      </c>
      <c r="G25">
        <f>IFERROR(Data2021[[#This Row],[Number of active members]]/Data2021[[#This Row],[Number of members]], "N/A")</f>
        <v>0.12195121951219512</v>
      </c>
      <c r="H25">
        <f>IFERROR(1-Data2021[[#This Row],[Percentage active members]],"N/A")</f>
        <v>0.87804878048780488</v>
      </c>
      <c r="I25"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25">
        <f>IF(ISBLANK(General2021[[#This Row],[number_of_international_members_not_eea]]),"N/A",VLOOKUP(A25,General2021[[organisation_name]:[number_of_international_committee_board_members_not_eea]],9,FALSE))</f>
        <v>12</v>
      </c>
      <c r="K25">
        <f>IF(ISBLANK(General2021[[#This Row],[number_of_international_members_eea]]),"N/A",VLOOKUP(A25,General2021[[organisation_name]:[number_of_international_committee_board_members_not_eea]],8,FALSE))</f>
        <v>7</v>
      </c>
      <c r="L25">
        <f>IFERROR(IF(Data2021[[#This Row],[Number of members]]-Data2021[[#This Row],[Non-EEA Total]]-Data2021[[#This Row],[EEA total]]&lt;1,"N/A", Data2021[[#This Row],[Number of members]]-Data2021[[#This Row],[Non-EEA Total]]-Data2021[[#This Row],[EEA total]]),"N/A")</f>
        <v>22</v>
      </c>
      <c r="M25">
        <f>VLOOKUP(A25,General2021[[organisation_name]:[number_of_international_committee_board_members_not_eea]],12,FALSE)</f>
        <v>1</v>
      </c>
      <c r="N25">
        <f>VLOOKUP(A25,General2021[[organisation_name]:[number_of_international_committee_board_members_not_eea]],11,FALSE)</f>
        <v>0</v>
      </c>
      <c r="O25">
        <f>IFERROR(IF(Data2021[[#This Row],[Number of active members]]-Data2021[[#This Row],[Non-EEA Active ]]-Data2021[[#This Row],[EEA Active]]&lt;1,"N/A", Data2021[[#This Row],[Number of active members]]-Data2021[[#This Row],[Non-EEA Active ]]-Data2021[[#This Row],[EEA Active]]),"N/A")</f>
        <v>4</v>
      </c>
      <c r="P25">
        <f>IFERROR(Data2021[[#This Row],[Non-EEA Active ]]/Data2021[[#This Row],[Number of active members]],"N/A")</f>
        <v>0.2</v>
      </c>
      <c r="Q25">
        <f>IFERROR(Data2021[[#This Row],[EEA Active]]/Data2021[[#This Row],[EEA total]], "N/A")</f>
        <v>0</v>
      </c>
      <c r="R25">
        <f>IFERROR(Data2021[[#This Row],[Dutch Active]]/Data2021[[#This Row],[Dutch total]],"N/A")</f>
        <v>0.18181818181818182</v>
      </c>
      <c r="S25" t="str">
        <f>IFERROR(IF(Data2021[[#This Row],[Number of members]]=Data2021[[#This Row],[Non-EEA Total]]+Data2021[[#This Row],[EEA total]]+Data2021[[#This Row],[Dutch total]],"T","F"),"F")</f>
        <v>T</v>
      </c>
      <c r="T25" t="str">
        <f>IFERROR(IF(Data2021[[#This Row],[Number of active members]]=Data2021[[#This Row],[Non-EEA Active ]]+Data2021[[#This Row],[EEA Active]]+Data2021[[#This Row],[Dutch Active]],"T","F"),"F")</f>
        <v>T</v>
      </c>
      <c r="U25" t="str">
        <f>IFERROR(IF(Data2021[[#This Row],[Number of members]]-Data2021[[#This Row],[Non-EEA Active ]]-Data2021[[#This Row],[EEA Active]]-Data2021[[#This Row],[Dutch Active]]=Data2021[[#This Row],[Number of  inactive members]],"T","F"),"F")</f>
        <v>T</v>
      </c>
      <c r="V25" t="str">
        <f>IF(Data2021[[#This Row],[EEA Active]]&lt;=Data2021[[#This Row],[EEA total]],"T","F")</f>
        <v>T</v>
      </c>
      <c r="W25" t="str">
        <f>IF(Data2021[[#This Row],[Dutch Active]]&lt;=Data2021[[#This Row],[Dutch total]],"T","F")</f>
        <v>T</v>
      </c>
      <c r="X25" t="str">
        <f>IF(Data2021[[#This Row],[Non-EEA Active ]]&lt;=Data2021[[#This Row],[Non-EEA Total]],"T","F")</f>
        <v>T</v>
      </c>
      <c r="Y2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5">
        <f>IFERROR(VLOOKUP(Data2021[[#This Row],[organisation_name]],'Division Study Year Committees'!$A$1:$L$108,2,FALSE),"N/A")</f>
        <v>0</v>
      </c>
      <c r="AA25">
        <f>IFERROR(VLOOKUP(Data2021[[#This Row],[organisation_name]],'Division Study Year Committees'!$A$1:$L$108,3,FALSE),"N/A")</f>
        <v>0</v>
      </c>
      <c r="AB25">
        <f>IFERROR(VLOOKUP(Data2021[[#This Row],[organisation_name]],'Division Study Year Committees'!$A$1:$L$108,4,FALSE),"N/A")</f>
        <v>0</v>
      </c>
      <c r="AC25">
        <f>IFERROR(VLOOKUP(Data2021[[#This Row],[organisation_name]],'Division Study Year Committees'!$A$1:$L$108,5,FALSE), "N/A")</f>
        <v>0</v>
      </c>
      <c r="AD25">
        <f>IFERROR(VLOOKUP(Data2021[[#This Row],[organisation_name]],'Division Study Year Committees'!$A$1:$L$108,6,FALSE), "N/A")</f>
        <v>0</v>
      </c>
      <c r="AE25">
        <f>SUM(Data2021[[#This Row],[Number of first year comittee members]:[Number of 4+ year comittee members]])</f>
        <v>0</v>
      </c>
      <c r="AF25">
        <f>COUNTIF('Comittee2021'!D:D,Data2021[[#This Row],[organisation_name]])</f>
        <v>7</v>
      </c>
      <c r="AG25">
        <f>COUNTIFS('Comittee2021'!$D:$D,Data2021[[#This Row],[organisation_name]],'Comittee2021'!$O:$O,"strong decrease")</f>
        <v>0</v>
      </c>
      <c r="AH25">
        <f>COUNTIFS('Comittee2021'!$D:$D,Data2021[[#This Row],[organisation_name]],'Comittee2021'!$O:$O,"slight decrease")</f>
        <v>0</v>
      </c>
      <c r="AI25">
        <f>COUNTIFS('Comittee2021'!$D:$D,Data2021[[#This Row],[organisation_name]],'Comittee2021'!$O:$O,"no influence")</f>
        <v>0</v>
      </c>
      <c r="AJ25">
        <f>COUNTIFS('Comittee2021'!$D:$D,Data2021[[#This Row],[organisation_name]],'Comittee2021'!$O:$O,"slight increase")</f>
        <v>0</v>
      </c>
      <c r="AK25">
        <f>COUNTIFS('Comittee2021'!$D:$D,Data2021[[#This Row],[organisation_name]],'Comittee2021'!$O:$O,"strong increase")</f>
        <v>0</v>
      </c>
      <c r="AL25">
        <v>2021</v>
      </c>
    </row>
    <row r="26" spans="1:38" x14ac:dyDescent="0.3">
      <c r="A26" t="str">
        <f>General2021[[#This Row],[organisation_name]]</f>
        <v>ADSKV Slagvaardig</v>
      </c>
      <c r="B26" t="str">
        <f>IF(General2021[[#This Row],[sector]]= "",VLOOKUP(Data2021[[#This Row],[organisation_name]],'Response Rate sheet'!A:D,3,FALSE),General2021[[#This Row],[sector]])</f>
        <v>Sports</v>
      </c>
      <c r="C26" t="str">
        <f>General2021[[#This Row],[organisation_type]]</f>
        <v>association</v>
      </c>
      <c r="D26" t="str">
        <f>IF(ISBLANK(General2021[[#This Row],[number_of_members]]),"N/A",VLOOKUP(A26,General2021[[organisation_name]:[number_of_international_committee_board_members_not_eea]],6,FALSE))</f>
        <v>N/A</v>
      </c>
      <c r="E26" t="str">
        <f>IF(ISBLANK(General2021[[#This Row],[number_of_committee_board_members]]),"N/A",VLOOKUP(A26,General2021!B:M,10,FALSE))</f>
        <v>N/A</v>
      </c>
      <c r="F26" t="str">
        <f>IFERROR(Data2021[[#This Row],[Number of members]]-Data2021[[#This Row],[Number of active members]], "N/A")</f>
        <v>N/A</v>
      </c>
      <c r="G26" t="str">
        <f>IFERROR(Data2021[[#This Row],[Number of active members]]/Data2021[[#This Row],[Number of members]], "N/A")</f>
        <v>N/A</v>
      </c>
      <c r="H26" t="str">
        <f>IFERROR(1-Data2021[[#This Row],[Percentage active members]],"N/A")</f>
        <v>N/A</v>
      </c>
      <c r="I26" t="str">
        <f>IF(Data2021[[#This Row],[Number of members]]=0,"N/A",IF(Data2021[[#This Row],[Number of members]]&lt;50," A. 1 - 50 ",IF(Data2021[[#This Row],[Number of members]]&lt;100, "B. 50 - 100", IF(Data2021[[#This Row],[Number of members]]&lt;400, "C. 100 - 400", IF(Data2021[[#This Row],[Number of members]]&lt;1000,"D. 400 - 1000", "E. 1000 +")))))</f>
        <v>E. 1000 +</v>
      </c>
      <c r="J26" t="str">
        <f>IF(ISBLANK(General2021[[#This Row],[number_of_international_members_not_eea]]),"N/A",VLOOKUP(A26,General2021[[organisation_name]:[number_of_international_committee_board_members_not_eea]],9,FALSE))</f>
        <v>N/A</v>
      </c>
      <c r="K26" t="str">
        <f>IF(ISBLANK(General2021[[#This Row],[number_of_international_members_eea]]),"N/A",VLOOKUP(A26,General2021[[organisation_name]:[number_of_international_committee_board_members_not_eea]],8,FALSE))</f>
        <v>N/A</v>
      </c>
      <c r="L26" t="str">
        <f>IFERROR(IF(Data2021[[#This Row],[Number of members]]-Data2021[[#This Row],[Non-EEA Total]]-Data2021[[#This Row],[EEA total]]&lt;1,"N/A", Data2021[[#This Row],[Number of members]]-Data2021[[#This Row],[Non-EEA Total]]-Data2021[[#This Row],[EEA total]]),"N/A")</f>
        <v>N/A</v>
      </c>
      <c r="M26">
        <f>VLOOKUP(A26,General2021[[organisation_name]:[number_of_international_committee_board_members_not_eea]],12,FALSE)</f>
        <v>0</v>
      </c>
      <c r="N26">
        <f>VLOOKUP(A26,General2021[[organisation_name]:[number_of_international_committee_board_members_not_eea]],11,FALSE)</f>
        <v>0</v>
      </c>
      <c r="O26" t="str">
        <f>IFERROR(IF(Data2021[[#This Row],[Number of active members]]-Data2021[[#This Row],[Non-EEA Active ]]-Data2021[[#This Row],[EEA Active]]&lt;1,"N/A", Data2021[[#This Row],[Number of active members]]-Data2021[[#This Row],[Non-EEA Active ]]-Data2021[[#This Row],[EEA Active]]),"N/A")</f>
        <v>N/A</v>
      </c>
      <c r="P26" t="str">
        <f>IFERROR(Data2021[[#This Row],[Non-EEA Active ]]/Data2021[[#This Row],[Number of active members]],"N/A")</f>
        <v>N/A</v>
      </c>
      <c r="Q26" t="str">
        <f>IFERROR(Data2021[[#This Row],[EEA Active]]/Data2021[[#This Row],[EEA total]], "N/A")</f>
        <v>N/A</v>
      </c>
      <c r="R26" t="str">
        <f>IFERROR(Data2021[[#This Row],[Dutch Active]]/Data2021[[#This Row],[Dutch total]],"N/A")</f>
        <v>N/A</v>
      </c>
      <c r="S26" t="str">
        <f>IFERROR(IF(Data2021[[#This Row],[Number of members]]=Data2021[[#This Row],[Non-EEA Total]]+Data2021[[#This Row],[EEA total]]+Data2021[[#This Row],[Dutch total]],"T","F"),"F")</f>
        <v>F</v>
      </c>
      <c r="T26" t="str">
        <f>IFERROR(IF(Data2021[[#This Row],[Number of active members]]=Data2021[[#This Row],[Non-EEA Active ]]+Data2021[[#This Row],[EEA Active]]+Data2021[[#This Row],[Dutch Active]],"T","F"),"F")</f>
        <v>F</v>
      </c>
      <c r="U26" t="str">
        <f>IFERROR(IF(Data2021[[#This Row],[Number of members]]-Data2021[[#This Row],[Non-EEA Active ]]-Data2021[[#This Row],[EEA Active]]-Data2021[[#This Row],[Dutch Active]]=Data2021[[#This Row],[Number of  inactive members]],"T","F"),"F")</f>
        <v>F</v>
      </c>
      <c r="V26" t="str">
        <f>IF(Data2021[[#This Row],[EEA Active]]&lt;=Data2021[[#This Row],[EEA total]],"T","F")</f>
        <v>T</v>
      </c>
      <c r="W26" t="str">
        <f>IF(Data2021[[#This Row],[Dutch Active]]&lt;=Data2021[[#This Row],[Dutch total]],"T","F")</f>
        <v>T</v>
      </c>
      <c r="X26" t="str">
        <f>IF(Data2021[[#This Row],[Non-EEA Active ]]&lt;=Data2021[[#This Row],[Non-EEA Total]],"T","F")</f>
        <v>T</v>
      </c>
      <c r="Y2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26" t="str">
        <f>IFERROR(VLOOKUP(Data2021[[#This Row],[organisation_name]],'Division Study Year Committees'!$A$1:$L$108,2,FALSE),"N/A")</f>
        <v>N/A</v>
      </c>
      <c r="AA26" t="str">
        <f>IFERROR(VLOOKUP(Data2021[[#This Row],[organisation_name]],'Division Study Year Committees'!$A$1:$L$108,3,FALSE),"N/A")</f>
        <v>N/A</v>
      </c>
      <c r="AB26" t="str">
        <f>IFERROR(VLOOKUP(Data2021[[#This Row],[organisation_name]],'Division Study Year Committees'!$A$1:$L$108,4,FALSE),"N/A")</f>
        <v>N/A</v>
      </c>
      <c r="AC26" t="str">
        <f>IFERROR(VLOOKUP(Data2021[[#This Row],[organisation_name]],'Division Study Year Committees'!$A$1:$L$108,5,FALSE), "N/A")</f>
        <v>N/A</v>
      </c>
      <c r="AD26" t="str">
        <f>IFERROR(VLOOKUP(Data2021[[#This Row],[organisation_name]],'Division Study Year Committees'!$A$1:$L$108,6,FALSE), "N/A")</f>
        <v>N/A</v>
      </c>
      <c r="AE26">
        <f>SUM(Data2021[[#This Row],[Number of first year comittee members]:[Number of 4+ year comittee members]])</f>
        <v>0</v>
      </c>
      <c r="AF26">
        <f>COUNTIF('Comittee2021'!D:D,Data2021[[#This Row],[organisation_name]])</f>
        <v>0</v>
      </c>
      <c r="AG26">
        <f>COUNTIFS('Comittee2021'!$D:$D,Data2021[[#This Row],[organisation_name]],'Comittee2021'!$O:$O,"strong decrease")</f>
        <v>0</v>
      </c>
      <c r="AH26">
        <f>COUNTIFS('Comittee2021'!$D:$D,Data2021[[#This Row],[organisation_name]],'Comittee2021'!$O:$O,"slight decrease")</f>
        <v>0</v>
      </c>
      <c r="AI26">
        <f>COUNTIFS('Comittee2021'!$D:$D,Data2021[[#This Row],[organisation_name]],'Comittee2021'!$O:$O,"no influence")</f>
        <v>0</v>
      </c>
      <c r="AJ26">
        <f>COUNTIFS('Comittee2021'!$D:$D,Data2021[[#This Row],[organisation_name]],'Comittee2021'!$O:$O,"slight increase")</f>
        <v>0</v>
      </c>
      <c r="AK26">
        <f>COUNTIFS('Comittee2021'!$D:$D,Data2021[[#This Row],[organisation_name]],'Comittee2021'!$O:$O,"strong increase")</f>
        <v>0</v>
      </c>
      <c r="AL26">
        <v>2021</v>
      </c>
    </row>
    <row r="27" spans="1:38" x14ac:dyDescent="0.3">
      <c r="A27" t="str">
        <f>General2021[[#This Row],[organisation_name]]</f>
        <v>SYHV The Slappng Studs</v>
      </c>
      <c r="B27" t="e">
        <f>IF(General2021[[#This Row],[sector]]= "",VLOOKUP(Data2021[[#This Row],[organisation_name]],'Response Rate sheet'!A:D,3,FALSE),General2021[[#This Row],[sector]])</f>
        <v>#N/A</v>
      </c>
      <c r="C27" t="str">
        <f>General2021[[#This Row],[organisation_type]]</f>
        <v>association</v>
      </c>
      <c r="D27" t="str">
        <f>IF(ISBLANK(General2021[[#This Row],[number_of_members]]),"N/A",VLOOKUP(A27,General2021[[organisation_name]:[number_of_international_committee_board_members_not_eea]],6,FALSE))</f>
        <v>N/A</v>
      </c>
      <c r="E27" t="str">
        <f>IF(ISBLANK(General2021[[#This Row],[number_of_committee_board_members]]),"N/A",VLOOKUP(A27,General2021!B:M,10,FALSE))</f>
        <v>N/A</v>
      </c>
      <c r="F27" t="str">
        <f>IFERROR(Data2021[[#This Row],[Number of members]]-Data2021[[#This Row],[Number of active members]], "N/A")</f>
        <v>N/A</v>
      </c>
      <c r="G27" t="str">
        <f>IFERROR(Data2021[[#This Row],[Number of active members]]/Data2021[[#This Row],[Number of members]], "N/A")</f>
        <v>N/A</v>
      </c>
      <c r="H27" t="str">
        <f>IFERROR(1-Data2021[[#This Row],[Percentage active members]],"N/A")</f>
        <v>N/A</v>
      </c>
      <c r="I27" t="str">
        <f>IF(Data2021[[#This Row],[Number of members]]=0,"N/A",IF(Data2021[[#This Row],[Number of members]]&lt;50," A. 1 - 50 ",IF(Data2021[[#This Row],[Number of members]]&lt;100, "B. 50 - 100", IF(Data2021[[#This Row],[Number of members]]&lt;400, "C. 100 - 400", IF(Data2021[[#This Row],[Number of members]]&lt;1000,"D. 400 - 1000", "E. 1000 +")))))</f>
        <v>E. 1000 +</v>
      </c>
      <c r="J27" t="str">
        <f>IF(ISBLANK(General2021[[#This Row],[number_of_international_members_not_eea]]),"N/A",VLOOKUP(A27,General2021[[organisation_name]:[number_of_international_committee_board_members_not_eea]],9,FALSE))</f>
        <v>N/A</v>
      </c>
      <c r="K27" t="str">
        <f>IF(ISBLANK(General2021[[#This Row],[number_of_international_members_eea]]),"N/A",VLOOKUP(A27,General2021[[organisation_name]:[number_of_international_committee_board_members_not_eea]],8,FALSE))</f>
        <v>N/A</v>
      </c>
      <c r="L27" t="str">
        <f>IFERROR(IF(Data2021[[#This Row],[Number of members]]-Data2021[[#This Row],[Non-EEA Total]]-Data2021[[#This Row],[EEA total]]&lt;1,"N/A", Data2021[[#This Row],[Number of members]]-Data2021[[#This Row],[Non-EEA Total]]-Data2021[[#This Row],[EEA total]]),"N/A")</f>
        <v>N/A</v>
      </c>
      <c r="M27">
        <f>VLOOKUP(A27,General2021[[organisation_name]:[number_of_international_committee_board_members_not_eea]],12,FALSE)</f>
        <v>0</v>
      </c>
      <c r="N27">
        <f>VLOOKUP(A27,General2021[[organisation_name]:[number_of_international_committee_board_members_not_eea]],11,FALSE)</f>
        <v>0</v>
      </c>
      <c r="O27" t="str">
        <f>IFERROR(IF(Data2021[[#This Row],[Number of active members]]-Data2021[[#This Row],[Non-EEA Active ]]-Data2021[[#This Row],[EEA Active]]&lt;1,"N/A", Data2021[[#This Row],[Number of active members]]-Data2021[[#This Row],[Non-EEA Active ]]-Data2021[[#This Row],[EEA Active]]),"N/A")</f>
        <v>N/A</v>
      </c>
      <c r="P27" t="str">
        <f>IFERROR(Data2021[[#This Row],[Non-EEA Active ]]/Data2021[[#This Row],[Number of active members]],"N/A")</f>
        <v>N/A</v>
      </c>
      <c r="Q27" t="str">
        <f>IFERROR(Data2021[[#This Row],[EEA Active]]/Data2021[[#This Row],[EEA total]], "N/A")</f>
        <v>N/A</v>
      </c>
      <c r="R27" t="str">
        <f>IFERROR(Data2021[[#This Row],[Dutch Active]]/Data2021[[#This Row],[Dutch total]],"N/A")</f>
        <v>N/A</v>
      </c>
      <c r="S27" t="str">
        <f>IFERROR(IF(Data2021[[#This Row],[Number of members]]=Data2021[[#This Row],[Non-EEA Total]]+Data2021[[#This Row],[EEA total]]+Data2021[[#This Row],[Dutch total]],"T","F"),"F")</f>
        <v>F</v>
      </c>
      <c r="T27" t="str">
        <f>IFERROR(IF(Data2021[[#This Row],[Number of active members]]=Data2021[[#This Row],[Non-EEA Active ]]+Data2021[[#This Row],[EEA Active]]+Data2021[[#This Row],[Dutch Active]],"T","F"),"F")</f>
        <v>F</v>
      </c>
      <c r="U27" t="str">
        <f>IFERROR(IF(Data2021[[#This Row],[Number of members]]-Data2021[[#This Row],[Non-EEA Active ]]-Data2021[[#This Row],[EEA Active]]-Data2021[[#This Row],[Dutch Active]]=Data2021[[#This Row],[Number of  inactive members]],"T","F"),"F")</f>
        <v>F</v>
      </c>
      <c r="V27" t="str">
        <f>IF(Data2021[[#This Row],[EEA Active]]&lt;=Data2021[[#This Row],[EEA total]],"T","F")</f>
        <v>T</v>
      </c>
      <c r="W27" t="str">
        <f>IF(Data2021[[#This Row],[Dutch Active]]&lt;=Data2021[[#This Row],[Dutch total]],"T","F")</f>
        <v>T</v>
      </c>
      <c r="X27" t="str">
        <f>IF(Data2021[[#This Row],[Non-EEA Active ]]&lt;=Data2021[[#This Row],[Non-EEA Total]],"T","F")</f>
        <v>T</v>
      </c>
      <c r="Y2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27" t="str">
        <f>IFERROR(VLOOKUP(Data2021[[#This Row],[organisation_name]],'Division Study Year Committees'!$A$1:$L$108,2,FALSE),"N/A")</f>
        <v>N/A</v>
      </c>
      <c r="AA27" t="str">
        <f>IFERROR(VLOOKUP(Data2021[[#This Row],[organisation_name]],'Division Study Year Committees'!$A$1:$L$108,3,FALSE),"N/A")</f>
        <v>N/A</v>
      </c>
      <c r="AB27" t="str">
        <f>IFERROR(VLOOKUP(Data2021[[#This Row],[organisation_name]],'Division Study Year Committees'!$A$1:$L$108,4,FALSE),"N/A")</f>
        <v>N/A</v>
      </c>
      <c r="AC27" t="str">
        <f>IFERROR(VLOOKUP(Data2021[[#This Row],[organisation_name]],'Division Study Year Committees'!$A$1:$L$108,5,FALSE), "N/A")</f>
        <v>N/A</v>
      </c>
      <c r="AD27" t="str">
        <f>IFERROR(VLOOKUP(Data2021[[#This Row],[organisation_name]],'Division Study Year Committees'!$A$1:$L$108,6,FALSE), "N/A")</f>
        <v>N/A</v>
      </c>
      <c r="AE27">
        <f>SUM(Data2021[[#This Row],[Number of first year comittee members]:[Number of 4+ year comittee members]])</f>
        <v>0</v>
      </c>
      <c r="AF27">
        <f>COUNTIF('Comittee2021'!D:D,Data2021[[#This Row],[organisation_name]])</f>
        <v>0</v>
      </c>
      <c r="AG27">
        <f>COUNTIFS('Comittee2021'!$D:$D,Data2021[[#This Row],[organisation_name]],'Comittee2021'!$O:$O,"strong decrease")</f>
        <v>0</v>
      </c>
      <c r="AH27">
        <f>COUNTIFS('Comittee2021'!$D:$D,Data2021[[#This Row],[organisation_name]],'Comittee2021'!$O:$O,"slight decrease")</f>
        <v>0</v>
      </c>
      <c r="AI27">
        <f>COUNTIFS('Comittee2021'!$D:$D,Data2021[[#This Row],[organisation_name]],'Comittee2021'!$O:$O,"no influence")</f>
        <v>0</v>
      </c>
      <c r="AJ27">
        <f>COUNTIFS('Comittee2021'!$D:$D,Data2021[[#This Row],[organisation_name]],'Comittee2021'!$O:$O,"slight increase")</f>
        <v>0</v>
      </c>
      <c r="AK27">
        <f>COUNTIFS('Comittee2021'!$D:$D,Data2021[[#This Row],[organisation_name]],'Comittee2021'!$O:$O,"strong increase")</f>
        <v>0</v>
      </c>
      <c r="AL27">
        <v>2021</v>
      </c>
    </row>
    <row r="28" spans="1:38" x14ac:dyDescent="0.3">
      <c r="A28" t="str">
        <f>General2021[[#This Row],[organisation_name]]</f>
        <v>TC Ludica</v>
      </c>
      <c r="B28" t="str">
        <f>IF(General2021[[#This Row],[sector]]= "",VLOOKUP(Data2021[[#This Row],[organisation_name]],'Response Rate sheet'!A:D,3,FALSE),General2021[[#This Row],[sector]])</f>
        <v>Sports</v>
      </c>
      <c r="C28" t="str">
        <f>General2021[[#This Row],[organisation_type]]</f>
        <v>association</v>
      </c>
      <c r="D28" t="str">
        <f>IF(ISBLANK(General2021[[#This Row],[number_of_members]]),"N/A",VLOOKUP(A28,General2021[[organisation_name]:[number_of_international_committee_board_members_not_eea]],6,FALSE))</f>
        <v>N/A</v>
      </c>
      <c r="E28" t="str">
        <f>IF(ISBLANK(General2021[[#This Row],[number_of_committee_board_members]]),"N/A",VLOOKUP(A28,General2021!B:M,10,FALSE))</f>
        <v>N/A</v>
      </c>
      <c r="F28" t="str">
        <f>IFERROR(Data2021[[#This Row],[Number of members]]-Data2021[[#This Row],[Number of active members]], "N/A")</f>
        <v>N/A</v>
      </c>
      <c r="G28" t="str">
        <f>IFERROR(Data2021[[#This Row],[Number of active members]]/Data2021[[#This Row],[Number of members]], "N/A")</f>
        <v>N/A</v>
      </c>
      <c r="H28" t="str">
        <f>IFERROR(1-Data2021[[#This Row],[Percentage active members]],"N/A")</f>
        <v>N/A</v>
      </c>
      <c r="I28" t="str">
        <f>IF(Data2021[[#This Row],[Number of members]]=0,"N/A",IF(Data2021[[#This Row],[Number of members]]&lt;50," A. 1 - 50 ",IF(Data2021[[#This Row],[Number of members]]&lt;100, "B. 50 - 100", IF(Data2021[[#This Row],[Number of members]]&lt;400, "C. 100 - 400", IF(Data2021[[#This Row],[Number of members]]&lt;1000,"D. 400 - 1000", "E. 1000 +")))))</f>
        <v>E. 1000 +</v>
      </c>
      <c r="J28" t="str">
        <f>IF(ISBLANK(General2021[[#This Row],[number_of_international_members_not_eea]]),"N/A",VLOOKUP(A28,General2021[[organisation_name]:[number_of_international_committee_board_members_not_eea]],9,FALSE))</f>
        <v>N/A</v>
      </c>
      <c r="K28" t="str">
        <f>IF(ISBLANK(General2021[[#This Row],[number_of_international_members_eea]]),"N/A",VLOOKUP(A28,General2021[[organisation_name]:[number_of_international_committee_board_members_not_eea]],8,FALSE))</f>
        <v>N/A</v>
      </c>
      <c r="L28" t="str">
        <f>IFERROR(IF(Data2021[[#This Row],[Number of members]]-Data2021[[#This Row],[Non-EEA Total]]-Data2021[[#This Row],[EEA total]]&lt;1,"N/A", Data2021[[#This Row],[Number of members]]-Data2021[[#This Row],[Non-EEA Total]]-Data2021[[#This Row],[EEA total]]),"N/A")</f>
        <v>N/A</v>
      </c>
      <c r="M28">
        <f>VLOOKUP(A28,General2021[[organisation_name]:[number_of_international_committee_board_members_not_eea]],12,FALSE)</f>
        <v>0</v>
      </c>
      <c r="N28">
        <f>VLOOKUP(A28,General2021[[organisation_name]:[number_of_international_committee_board_members_not_eea]],11,FALSE)</f>
        <v>0</v>
      </c>
      <c r="O28" t="str">
        <f>IFERROR(IF(Data2021[[#This Row],[Number of active members]]-Data2021[[#This Row],[Non-EEA Active ]]-Data2021[[#This Row],[EEA Active]]&lt;1,"N/A", Data2021[[#This Row],[Number of active members]]-Data2021[[#This Row],[Non-EEA Active ]]-Data2021[[#This Row],[EEA Active]]),"N/A")</f>
        <v>N/A</v>
      </c>
      <c r="P28" t="str">
        <f>IFERROR(Data2021[[#This Row],[Non-EEA Active ]]/Data2021[[#This Row],[Number of active members]],"N/A")</f>
        <v>N/A</v>
      </c>
      <c r="Q28" t="str">
        <f>IFERROR(Data2021[[#This Row],[EEA Active]]/Data2021[[#This Row],[EEA total]], "N/A")</f>
        <v>N/A</v>
      </c>
      <c r="R28" t="str">
        <f>IFERROR(Data2021[[#This Row],[Dutch Active]]/Data2021[[#This Row],[Dutch total]],"N/A")</f>
        <v>N/A</v>
      </c>
      <c r="S28" t="str">
        <f>IFERROR(IF(Data2021[[#This Row],[Number of members]]=Data2021[[#This Row],[Non-EEA Total]]+Data2021[[#This Row],[EEA total]]+Data2021[[#This Row],[Dutch total]],"T","F"),"F")</f>
        <v>F</v>
      </c>
      <c r="T28" t="str">
        <f>IFERROR(IF(Data2021[[#This Row],[Number of active members]]=Data2021[[#This Row],[Non-EEA Active ]]+Data2021[[#This Row],[EEA Active]]+Data2021[[#This Row],[Dutch Active]],"T","F"),"F")</f>
        <v>F</v>
      </c>
      <c r="U28" t="str">
        <f>IFERROR(IF(Data2021[[#This Row],[Number of members]]-Data2021[[#This Row],[Non-EEA Active ]]-Data2021[[#This Row],[EEA Active]]-Data2021[[#This Row],[Dutch Active]]=Data2021[[#This Row],[Number of  inactive members]],"T","F"),"F")</f>
        <v>F</v>
      </c>
      <c r="V28" t="str">
        <f>IF(Data2021[[#This Row],[EEA Active]]&lt;=Data2021[[#This Row],[EEA total]],"T","F")</f>
        <v>T</v>
      </c>
      <c r="W28" t="str">
        <f>IF(Data2021[[#This Row],[Dutch Active]]&lt;=Data2021[[#This Row],[Dutch total]],"T","F")</f>
        <v>T</v>
      </c>
      <c r="X28" t="str">
        <f>IF(Data2021[[#This Row],[Non-EEA Active ]]&lt;=Data2021[[#This Row],[Non-EEA Total]],"T","F")</f>
        <v>T</v>
      </c>
      <c r="Y2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28" t="str">
        <f>IFERROR(VLOOKUP(Data2021[[#This Row],[organisation_name]],'Division Study Year Committees'!$A$1:$L$108,2,FALSE),"N/A")</f>
        <v>N/A</v>
      </c>
      <c r="AA28" t="str">
        <f>IFERROR(VLOOKUP(Data2021[[#This Row],[organisation_name]],'Division Study Year Committees'!$A$1:$L$108,3,FALSE),"N/A")</f>
        <v>N/A</v>
      </c>
      <c r="AB28" t="str">
        <f>IFERROR(VLOOKUP(Data2021[[#This Row],[organisation_name]],'Division Study Year Committees'!$A$1:$L$108,4,FALSE),"N/A")</f>
        <v>N/A</v>
      </c>
      <c r="AC28" t="str">
        <f>IFERROR(VLOOKUP(Data2021[[#This Row],[organisation_name]],'Division Study Year Committees'!$A$1:$L$108,5,FALSE), "N/A")</f>
        <v>N/A</v>
      </c>
      <c r="AD28" t="str">
        <f>IFERROR(VLOOKUP(Data2021[[#This Row],[organisation_name]],'Division Study Year Committees'!$A$1:$L$108,6,FALSE), "N/A")</f>
        <v>N/A</v>
      </c>
      <c r="AE28">
        <f>SUM(Data2021[[#This Row],[Number of first year comittee members]:[Number of 4+ year comittee members]])</f>
        <v>0</v>
      </c>
      <c r="AF28">
        <f>COUNTIF('Comittee2021'!D:D,Data2021[[#This Row],[organisation_name]])</f>
        <v>0</v>
      </c>
      <c r="AG28">
        <f>COUNTIFS('Comittee2021'!$D:$D,Data2021[[#This Row],[organisation_name]],'Comittee2021'!$O:$O,"strong decrease")</f>
        <v>0</v>
      </c>
      <c r="AH28">
        <f>COUNTIFS('Comittee2021'!$D:$D,Data2021[[#This Row],[organisation_name]],'Comittee2021'!$O:$O,"slight decrease")</f>
        <v>0</v>
      </c>
      <c r="AI28">
        <f>COUNTIFS('Comittee2021'!$D:$D,Data2021[[#This Row],[organisation_name]],'Comittee2021'!$O:$O,"no influence")</f>
        <v>0</v>
      </c>
      <c r="AJ28">
        <f>COUNTIFS('Comittee2021'!$D:$D,Data2021[[#This Row],[organisation_name]],'Comittee2021'!$O:$O,"slight increase")</f>
        <v>0</v>
      </c>
      <c r="AK28">
        <f>COUNTIFS('Comittee2021'!$D:$D,Data2021[[#This Row],[organisation_name]],'Comittee2021'!$O:$O,"strong increase")</f>
        <v>0</v>
      </c>
      <c r="AL28">
        <v>2021</v>
      </c>
    </row>
    <row r="29" spans="1:38" x14ac:dyDescent="0.3">
      <c r="A29" t="str">
        <f>General2021[[#This Row],[organisation_name]]</f>
        <v>TSAC</v>
      </c>
      <c r="B29" t="str">
        <f>IF(General2021[[#This Row],[sector]]= "",VLOOKUP(Data2021[[#This Row],[organisation_name]],'Response Rate sheet'!A:D,3,FALSE),General2021[[#This Row],[sector]])</f>
        <v>Sports</v>
      </c>
      <c r="C29" t="str">
        <f>General2021[[#This Row],[organisation_type]]</f>
        <v>association</v>
      </c>
      <c r="D29">
        <f>IF(ISBLANK(General2021[[#This Row],[number_of_members]]),"N/A",VLOOKUP(A29,General2021[[organisation_name]:[number_of_international_committee_board_members_not_eea]],6,FALSE))</f>
        <v>210</v>
      </c>
      <c r="E29">
        <f>IF(ISBLANK(General2021[[#This Row],[number_of_committee_board_members]]),"N/A",VLOOKUP(A29,General2021!B:M,10,FALSE))</f>
        <v>60</v>
      </c>
      <c r="F29">
        <f>IFERROR(Data2021[[#This Row],[Number of members]]-Data2021[[#This Row],[Number of active members]], "N/A")</f>
        <v>150</v>
      </c>
      <c r="G29">
        <f>IFERROR(Data2021[[#This Row],[Number of active members]]/Data2021[[#This Row],[Number of members]], "N/A")</f>
        <v>0.2857142857142857</v>
      </c>
      <c r="H29">
        <f>IFERROR(1-Data2021[[#This Row],[Percentage active members]],"N/A")</f>
        <v>0.7142857142857143</v>
      </c>
      <c r="I29" t="str">
        <f>IF(Data2021[[#This Row],[Number of members]]=0,"N/A",IF(Data2021[[#This Row],[Number of members]]&lt;50," A. 1 - 50 ",IF(Data2021[[#This Row],[Number of members]]&lt;100, "B. 50 - 100", IF(Data2021[[#This Row],[Number of members]]&lt;400, "C. 100 - 400", IF(Data2021[[#This Row],[Number of members]]&lt;1000,"D. 400 - 1000", "E. 1000 +")))))</f>
        <v>C. 100 - 400</v>
      </c>
      <c r="J29">
        <f>IF(ISBLANK(General2021[[#This Row],[number_of_international_members_not_eea]]),"N/A",VLOOKUP(A29,General2021[[organisation_name]:[number_of_international_committee_board_members_not_eea]],9,FALSE))</f>
        <v>43</v>
      </c>
      <c r="K29">
        <f>IF(ISBLANK(General2021[[#This Row],[number_of_international_members_eea]]),"N/A",VLOOKUP(A29,General2021[[organisation_name]:[number_of_international_committee_board_members_not_eea]],8,FALSE))</f>
        <v>10</v>
      </c>
      <c r="L29">
        <f>IFERROR(IF(Data2021[[#This Row],[Number of members]]-Data2021[[#This Row],[Non-EEA Total]]-Data2021[[#This Row],[EEA total]]&lt;1,"N/A", Data2021[[#This Row],[Number of members]]-Data2021[[#This Row],[Non-EEA Total]]-Data2021[[#This Row],[EEA total]]),"N/A")</f>
        <v>157</v>
      </c>
      <c r="M29">
        <f>VLOOKUP(A29,General2021[[organisation_name]:[number_of_international_committee_board_members_not_eea]],12,FALSE)</f>
        <v>4</v>
      </c>
      <c r="N29">
        <f>VLOOKUP(A29,General2021[[organisation_name]:[number_of_international_committee_board_members_not_eea]],11,FALSE)</f>
        <v>10</v>
      </c>
      <c r="O29">
        <f>IFERROR(IF(Data2021[[#This Row],[Number of active members]]-Data2021[[#This Row],[Non-EEA Active ]]-Data2021[[#This Row],[EEA Active]]&lt;1,"N/A", Data2021[[#This Row],[Number of active members]]-Data2021[[#This Row],[Non-EEA Active ]]-Data2021[[#This Row],[EEA Active]]),"N/A")</f>
        <v>46</v>
      </c>
      <c r="P29">
        <f>IFERROR(Data2021[[#This Row],[Non-EEA Active ]]/Data2021[[#This Row],[Number of active members]],"N/A")</f>
        <v>6.6666666666666666E-2</v>
      </c>
      <c r="Q29">
        <f>IFERROR(Data2021[[#This Row],[EEA Active]]/Data2021[[#This Row],[EEA total]], "N/A")</f>
        <v>1</v>
      </c>
      <c r="R29">
        <f>IFERROR(Data2021[[#This Row],[Dutch Active]]/Data2021[[#This Row],[Dutch total]],"N/A")</f>
        <v>0.2929936305732484</v>
      </c>
      <c r="S29" t="str">
        <f>IFERROR(IF(Data2021[[#This Row],[Number of members]]=Data2021[[#This Row],[Non-EEA Total]]+Data2021[[#This Row],[EEA total]]+Data2021[[#This Row],[Dutch total]],"T","F"),"F")</f>
        <v>T</v>
      </c>
      <c r="T29" t="str">
        <f>IFERROR(IF(Data2021[[#This Row],[Number of active members]]=Data2021[[#This Row],[Non-EEA Active ]]+Data2021[[#This Row],[EEA Active]]+Data2021[[#This Row],[Dutch Active]],"T","F"),"F")</f>
        <v>T</v>
      </c>
      <c r="U29" t="str">
        <f>IFERROR(IF(Data2021[[#This Row],[Number of members]]-Data2021[[#This Row],[Non-EEA Active ]]-Data2021[[#This Row],[EEA Active]]-Data2021[[#This Row],[Dutch Active]]=Data2021[[#This Row],[Number of  inactive members]],"T","F"),"F")</f>
        <v>T</v>
      </c>
      <c r="V29" t="str">
        <f>IF(Data2021[[#This Row],[EEA Active]]&lt;=Data2021[[#This Row],[EEA total]],"T","F")</f>
        <v>T</v>
      </c>
      <c r="W29" t="str">
        <f>IF(Data2021[[#This Row],[Dutch Active]]&lt;=Data2021[[#This Row],[Dutch total]],"T","F")</f>
        <v>T</v>
      </c>
      <c r="X29" t="str">
        <f>IF(Data2021[[#This Row],[Non-EEA Active ]]&lt;=Data2021[[#This Row],[Non-EEA Total]],"T","F")</f>
        <v>T</v>
      </c>
      <c r="Y29"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29">
        <f>IFERROR(VLOOKUP(Data2021[[#This Row],[organisation_name]],'Division Study Year Committees'!$A$1:$L$108,2,FALSE),"N/A")</f>
        <v>7</v>
      </c>
      <c r="AA29">
        <f>IFERROR(VLOOKUP(Data2021[[#This Row],[organisation_name]],'Division Study Year Committees'!$A$1:$L$108,3,FALSE),"N/A")</f>
        <v>7</v>
      </c>
      <c r="AB29">
        <f>IFERROR(VLOOKUP(Data2021[[#This Row],[organisation_name]],'Division Study Year Committees'!$A$1:$L$108,4,FALSE),"N/A")</f>
        <v>19</v>
      </c>
      <c r="AC29">
        <f>IFERROR(VLOOKUP(Data2021[[#This Row],[organisation_name]],'Division Study Year Committees'!$A$1:$L$108,5,FALSE), "N/A")</f>
        <v>7</v>
      </c>
      <c r="AD29">
        <f>IFERROR(VLOOKUP(Data2021[[#This Row],[organisation_name]],'Division Study Year Committees'!$A$1:$L$108,6,FALSE), "N/A")</f>
        <v>24</v>
      </c>
      <c r="AE29">
        <f>SUM(Data2021[[#This Row],[Number of first year comittee members]:[Number of 4+ year comittee members]])</f>
        <v>64</v>
      </c>
      <c r="AF29">
        <f>COUNTIF('Comittee2021'!D:D,Data2021[[#This Row],[organisation_name]])</f>
        <v>11</v>
      </c>
      <c r="AG29">
        <f>COUNTIFS('Comittee2021'!$D:$D,Data2021[[#This Row],[organisation_name]],'Comittee2021'!$O:$O,"strong decrease")</f>
        <v>4</v>
      </c>
      <c r="AH29">
        <f>COUNTIFS('Comittee2021'!$D:$D,Data2021[[#This Row],[organisation_name]],'Comittee2021'!$O:$O,"slight decrease")</f>
        <v>5</v>
      </c>
      <c r="AI29">
        <f>COUNTIFS('Comittee2021'!$D:$D,Data2021[[#This Row],[organisation_name]],'Comittee2021'!$O:$O,"no influence")</f>
        <v>2</v>
      </c>
      <c r="AJ29">
        <f>COUNTIFS('Comittee2021'!$D:$D,Data2021[[#This Row],[organisation_name]],'Comittee2021'!$O:$O,"slight increase")</f>
        <v>0</v>
      </c>
      <c r="AK29">
        <f>COUNTIFS('Comittee2021'!$D:$D,Data2021[[#This Row],[organisation_name]],'Comittee2021'!$O:$O,"strong increase")</f>
        <v>0</v>
      </c>
      <c r="AL29">
        <v>2021</v>
      </c>
    </row>
    <row r="30" spans="1:38" x14ac:dyDescent="0.3">
      <c r="A30" t="str">
        <f>General2021[[#This Row],[organisation_name]]</f>
        <v>VAS Arashi</v>
      </c>
      <c r="B30" t="str">
        <f>IF(General2021[[#This Row],[sector]]= "",VLOOKUP(Data2021[[#This Row],[organisation_name]],'Response Rate sheet'!A:D,3,FALSE),General2021[[#This Row],[sector]])</f>
        <v>Sports</v>
      </c>
      <c r="C30" t="str">
        <f>General2021[[#This Row],[organisation_type]]</f>
        <v>association</v>
      </c>
      <c r="D30">
        <f>IF(ISBLANK(General2021[[#This Row],[number_of_members]]),"N/A",VLOOKUP(A30,General2021[[organisation_name]:[number_of_international_committee_board_members_not_eea]],6,FALSE))</f>
        <v>109</v>
      </c>
      <c r="E30">
        <f>IF(ISBLANK(General2021[[#This Row],[number_of_committee_board_members]]),"N/A",VLOOKUP(A30,General2021!B:M,10,FALSE))</f>
        <v>6</v>
      </c>
      <c r="F30">
        <f>IFERROR(Data2021[[#This Row],[Number of members]]-Data2021[[#This Row],[Number of active members]], "N/A")</f>
        <v>103</v>
      </c>
      <c r="G30">
        <f>IFERROR(Data2021[[#This Row],[Number of active members]]/Data2021[[#This Row],[Number of members]], "N/A")</f>
        <v>5.5045871559633031E-2</v>
      </c>
      <c r="H30">
        <f>IFERROR(1-Data2021[[#This Row],[Percentage active members]],"N/A")</f>
        <v>0.94495412844036697</v>
      </c>
      <c r="I30" t="str">
        <f>IF(Data2021[[#This Row],[Number of members]]=0,"N/A",IF(Data2021[[#This Row],[Number of members]]&lt;50," A. 1 - 50 ",IF(Data2021[[#This Row],[Number of members]]&lt;100, "B. 50 - 100", IF(Data2021[[#This Row],[Number of members]]&lt;400, "C. 100 - 400", IF(Data2021[[#This Row],[Number of members]]&lt;1000,"D. 400 - 1000", "E. 1000 +")))))</f>
        <v>C. 100 - 400</v>
      </c>
      <c r="J30">
        <f>IF(ISBLANK(General2021[[#This Row],[number_of_international_members_not_eea]]),"N/A",VLOOKUP(A30,General2021[[organisation_name]:[number_of_international_committee_board_members_not_eea]],9,FALSE))</f>
        <v>22</v>
      </c>
      <c r="K30">
        <f>IF(ISBLANK(General2021[[#This Row],[number_of_international_members_eea]]),"N/A",VLOOKUP(A30,General2021[[organisation_name]:[number_of_international_committee_board_members_not_eea]],8,FALSE))</f>
        <v>2</v>
      </c>
      <c r="L30">
        <f>IFERROR(IF(Data2021[[#This Row],[Number of members]]-Data2021[[#This Row],[Non-EEA Total]]-Data2021[[#This Row],[EEA total]]&lt;1,"N/A", Data2021[[#This Row],[Number of members]]-Data2021[[#This Row],[Non-EEA Total]]-Data2021[[#This Row],[EEA total]]),"N/A")</f>
        <v>85</v>
      </c>
      <c r="M30">
        <f>VLOOKUP(A30,General2021[[organisation_name]:[number_of_international_committee_board_members_not_eea]],12,FALSE)</f>
        <v>0</v>
      </c>
      <c r="N30">
        <f>VLOOKUP(A30,General2021[[organisation_name]:[number_of_international_committee_board_members_not_eea]],11,FALSE)</f>
        <v>10</v>
      </c>
      <c r="O30" t="str">
        <f>IFERROR(IF(Data2021[[#This Row],[Number of active members]]-Data2021[[#This Row],[Non-EEA Active ]]-Data2021[[#This Row],[EEA Active]]&lt;1,"N/A", Data2021[[#This Row],[Number of active members]]-Data2021[[#This Row],[Non-EEA Active ]]-Data2021[[#This Row],[EEA Active]]),"N/A")</f>
        <v>N/A</v>
      </c>
      <c r="P30">
        <f>IFERROR(Data2021[[#This Row],[Non-EEA Active ]]/Data2021[[#This Row],[Number of active members]],"N/A")</f>
        <v>0</v>
      </c>
      <c r="Q30">
        <f>IFERROR(Data2021[[#This Row],[EEA Active]]/Data2021[[#This Row],[EEA total]], "N/A")</f>
        <v>5</v>
      </c>
      <c r="R30" t="str">
        <f>IFERROR(Data2021[[#This Row],[Dutch Active]]/Data2021[[#This Row],[Dutch total]],"N/A")</f>
        <v>N/A</v>
      </c>
      <c r="S30" t="str">
        <f>IFERROR(IF(Data2021[[#This Row],[Number of members]]=Data2021[[#This Row],[Non-EEA Total]]+Data2021[[#This Row],[EEA total]]+Data2021[[#This Row],[Dutch total]],"T","F"),"F")</f>
        <v>T</v>
      </c>
      <c r="T30" t="str">
        <f>IFERROR(IF(Data2021[[#This Row],[Number of active members]]=Data2021[[#This Row],[Non-EEA Active ]]+Data2021[[#This Row],[EEA Active]]+Data2021[[#This Row],[Dutch Active]],"T","F"),"F")</f>
        <v>F</v>
      </c>
      <c r="U30" t="str">
        <f>IFERROR(IF(Data2021[[#This Row],[Number of members]]-Data2021[[#This Row],[Non-EEA Active ]]-Data2021[[#This Row],[EEA Active]]-Data2021[[#This Row],[Dutch Active]]=Data2021[[#This Row],[Number of  inactive members]],"T","F"),"F")</f>
        <v>F</v>
      </c>
      <c r="V30" t="str">
        <f>IF(Data2021[[#This Row],[EEA Active]]&lt;=Data2021[[#This Row],[EEA total]],"T","F")</f>
        <v>F</v>
      </c>
      <c r="W30" t="str">
        <f>IF(Data2021[[#This Row],[Dutch Active]]&lt;=Data2021[[#This Row],[Dutch total]],"T","F")</f>
        <v>F</v>
      </c>
      <c r="X30" t="str">
        <f>IF(Data2021[[#This Row],[Non-EEA Active ]]&lt;=Data2021[[#This Row],[Non-EEA Total]],"T","F")</f>
        <v>T</v>
      </c>
      <c r="Y3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0">
        <f>IFERROR(VLOOKUP(Data2021[[#This Row],[organisation_name]],'Division Study Year Committees'!$A$1:$L$108,2,FALSE),"N/A")</f>
        <v>3</v>
      </c>
      <c r="AA30">
        <f>IFERROR(VLOOKUP(Data2021[[#This Row],[organisation_name]],'Division Study Year Committees'!$A$1:$L$108,3,FALSE),"N/A")</f>
        <v>2</v>
      </c>
      <c r="AB30">
        <f>IFERROR(VLOOKUP(Data2021[[#This Row],[organisation_name]],'Division Study Year Committees'!$A$1:$L$108,4,FALSE),"N/A")</f>
        <v>1</v>
      </c>
      <c r="AC30">
        <f>IFERROR(VLOOKUP(Data2021[[#This Row],[organisation_name]],'Division Study Year Committees'!$A$1:$L$108,5,FALSE), "N/A")</f>
        <v>3</v>
      </c>
      <c r="AD30">
        <f>IFERROR(VLOOKUP(Data2021[[#This Row],[organisation_name]],'Division Study Year Committees'!$A$1:$L$108,6,FALSE), "N/A")</f>
        <v>10</v>
      </c>
      <c r="AE30">
        <f>SUM(Data2021[[#This Row],[Number of first year comittee members]:[Number of 4+ year comittee members]])</f>
        <v>19</v>
      </c>
      <c r="AF30">
        <f>COUNTIF('Comittee2021'!D:D,Data2021[[#This Row],[organisation_name]])</f>
        <v>8</v>
      </c>
      <c r="AG30">
        <f>COUNTIFS('Comittee2021'!$D:$D,Data2021[[#This Row],[organisation_name]],'Comittee2021'!$O:$O,"strong decrease")</f>
        <v>2</v>
      </c>
      <c r="AH30">
        <f>COUNTIFS('Comittee2021'!$D:$D,Data2021[[#This Row],[organisation_name]],'Comittee2021'!$O:$O,"slight decrease")</f>
        <v>0</v>
      </c>
      <c r="AI30">
        <f>COUNTIFS('Comittee2021'!$D:$D,Data2021[[#This Row],[organisation_name]],'Comittee2021'!$O:$O,"no influence")</f>
        <v>5</v>
      </c>
      <c r="AJ30">
        <f>COUNTIFS('Comittee2021'!$D:$D,Data2021[[#This Row],[organisation_name]],'Comittee2021'!$O:$O,"slight increase")</f>
        <v>0</v>
      </c>
      <c r="AK30">
        <f>COUNTIFS('Comittee2021'!$D:$D,Data2021[[#This Row],[organisation_name]],'Comittee2021'!$O:$O,"strong increase")</f>
        <v>1</v>
      </c>
      <c r="AL30">
        <v>2021</v>
      </c>
    </row>
    <row r="31" spans="1:38" x14ac:dyDescent="0.3">
      <c r="A31" t="str">
        <f>General2021[[#This Row],[organisation_name]]</f>
        <v>VV Drienerlo</v>
      </c>
      <c r="B31" t="str">
        <f>IF(General2021[[#This Row],[sector]]= "",VLOOKUP(Data2021[[#This Row],[organisation_name]],'Response Rate sheet'!A:D,3,FALSE),General2021[[#This Row],[sector]])</f>
        <v>Sports</v>
      </c>
      <c r="C31" t="str">
        <f>General2021[[#This Row],[organisation_type]]</f>
        <v>association</v>
      </c>
      <c r="D31">
        <f>IF(ISBLANK(General2021[[#This Row],[number_of_members]]),"N/A",VLOOKUP(A31,General2021[[organisation_name]:[number_of_international_committee_board_members_not_eea]],6,FALSE))</f>
        <v>430</v>
      </c>
      <c r="E31">
        <f>IF(ISBLANK(General2021[[#This Row],[number_of_committee_board_members]]),"N/A",VLOOKUP(A31,General2021!B:M,10,FALSE))</f>
        <v>100</v>
      </c>
      <c r="F31">
        <f>IFERROR(Data2021[[#This Row],[Number of members]]-Data2021[[#This Row],[Number of active members]], "N/A")</f>
        <v>330</v>
      </c>
      <c r="G31">
        <f>IFERROR(Data2021[[#This Row],[Number of active members]]/Data2021[[#This Row],[Number of members]], "N/A")</f>
        <v>0.23255813953488372</v>
      </c>
      <c r="H31">
        <f>IFERROR(1-Data2021[[#This Row],[Percentage active members]],"N/A")</f>
        <v>0.76744186046511631</v>
      </c>
      <c r="I31" t="str">
        <f>IF(Data2021[[#This Row],[Number of members]]=0,"N/A",IF(Data2021[[#This Row],[Number of members]]&lt;50," A. 1 - 50 ",IF(Data2021[[#This Row],[Number of members]]&lt;100, "B. 50 - 100", IF(Data2021[[#This Row],[Number of members]]&lt;400, "C. 100 - 400", IF(Data2021[[#This Row],[Number of members]]&lt;1000,"D. 400 - 1000", "E. 1000 +")))))</f>
        <v>D. 400 - 1000</v>
      </c>
      <c r="J31">
        <f>IF(ISBLANK(General2021[[#This Row],[number_of_international_members_not_eea]]),"N/A",VLOOKUP(A31,General2021[[organisation_name]:[number_of_international_committee_board_members_not_eea]],9,FALSE))</f>
        <v>30</v>
      </c>
      <c r="K31">
        <f>IF(ISBLANK(General2021[[#This Row],[number_of_international_members_eea]]),"N/A",VLOOKUP(A31,General2021[[organisation_name]:[number_of_international_committee_board_members_not_eea]],8,FALSE))</f>
        <v>30</v>
      </c>
      <c r="L31">
        <f>IFERROR(IF(Data2021[[#This Row],[Number of members]]-Data2021[[#This Row],[Non-EEA Total]]-Data2021[[#This Row],[EEA total]]&lt;1,"N/A", Data2021[[#This Row],[Number of members]]-Data2021[[#This Row],[Non-EEA Total]]-Data2021[[#This Row],[EEA total]]),"N/A")</f>
        <v>370</v>
      </c>
      <c r="M31">
        <f>VLOOKUP(A31,General2021[[organisation_name]:[number_of_international_committee_board_members_not_eea]],12,FALSE)</f>
        <v>0</v>
      </c>
      <c r="N31">
        <f>VLOOKUP(A31,General2021[[organisation_name]:[number_of_international_committee_board_members_not_eea]],11,FALSE)</f>
        <v>3</v>
      </c>
      <c r="O31">
        <f>IFERROR(IF(Data2021[[#This Row],[Number of active members]]-Data2021[[#This Row],[Non-EEA Active ]]-Data2021[[#This Row],[EEA Active]]&lt;1,"N/A", Data2021[[#This Row],[Number of active members]]-Data2021[[#This Row],[Non-EEA Active ]]-Data2021[[#This Row],[EEA Active]]),"N/A")</f>
        <v>97</v>
      </c>
      <c r="P31">
        <f>IFERROR(Data2021[[#This Row],[Non-EEA Active ]]/Data2021[[#This Row],[Number of active members]],"N/A")</f>
        <v>0</v>
      </c>
      <c r="Q31">
        <f>IFERROR(Data2021[[#This Row],[EEA Active]]/Data2021[[#This Row],[EEA total]], "N/A")</f>
        <v>0.1</v>
      </c>
      <c r="R31">
        <f>IFERROR(Data2021[[#This Row],[Dutch Active]]/Data2021[[#This Row],[Dutch total]],"N/A")</f>
        <v>0.26216216216216215</v>
      </c>
      <c r="S31" t="str">
        <f>IFERROR(IF(Data2021[[#This Row],[Number of members]]=Data2021[[#This Row],[Non-EEA Total]]+Data2021[[#This Row],[EEA total]]+Data2021[[#This Row],[Dutch total]],"T","F"),"F")</f>
        <v>T</v>
      </c>
      <c r="T31" t="str">
        <f>IFERROR(IF(Data2021[[#This Row],[Number of active members]]=Data2021[[#This Row],[Non-EEA Active ]]+Data2021[[#This Row],[EEA Active]]+Data2021[[#This Row],[Dutch Active]],"T","F"),"F")</f>
        <v>T</v>
      </c>
      <c r="U31" t="str">
        <f>IFERROR(IF(Data2021[[#This Row],[Number of members]]-Data2021[[#This Row],[Non-EEA Active ]]-Data2021[[#This Row],[EEA Active]]-Data2021[[#This Row],[Dutch Active]]=Data2021[[#This Row],[Number of  inactive members]],"T","F"),"F")</f>
        <v>T</v>
      </c>
      <c r="V31" t="str">
        <f>IF(Data2021[[#This Row],[EEA Active]]&lt;=Data2021[[#This Row],[EEA total]],"T","F")</f>
        <v>T</v>
      </c>
      <c r="W31" t="str">
        <f>IF(Data2021[[#This Row],[Dutch Active]]&lt;=Data2021[[#This Row],[Dutch total]],"T","F")</f>
        <v>T</v>
      </c>
      <c r="X31" t="str">
        <f>IF(Data2021[[#This Row],[Non-EEA Active ]]&lt;=Data2021[[#This Row],[Non-EEA Total]],"T","F")</f>
        <v>T</v>
      </c>
      <c r="Y31"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31">
        <f>IFERROR(VLOOKUP(Data2021[[#This Row],[organisation_name]],'Division Study Year Committees'!$A$1:$L$108,2,FALSE),"N/A")</f>
        <v>4</v>
      </c>
      <c r="AA31">
        <f>IFERROR(VLOOKUP(Data2021[[#This Row],[organisation_name]],'Division Study Year Committees'!$A$1:$L$108,3,FALSE),"N/A")</f>
        <v>6</v>
      </c>
      <c r="AB31">
        <f>IFERROR(VLOOKUP(Data2021[[#This Row],[organisation_name]],'Division Study Year Committees'!$A$1:$L$108,4,FALSE),"N/A")</f>
        <v>12</v>
      </c>
      <c r="AC31">
        <f>IFERROR(VLOOKUP(Data2021[[#This Row],[organisation_name]],'Division Study Year Committees'!$A$1:$L$108,5,FALSE), "N/A")</f>
        <v>6</v>
      </c>
      <c r="AD31">
        <f>IFERROR(VLOOKUP(Data2021[[#This Row],[organisation_name]],'Division Study Year Committees'!$A$1:$L$108,6,FALSE), "N/A")</f>
        <v>1</v>
      </c>
      <c r="AE31">
        <f>SUM(Data2021[[#This Row],[Number of first year comittee members]:[Number of 4+ year comittee members]])</f>
        <v>29</v>
      </c>
      <c r="AF31">
        <f>COUNTIF('Comittee2021'!D:D,Data2021[[#This Row],[organisation_name]])</f>
        <v>13</v>
      </c>
      <c r="AG31">
        <f>COUNTIFS('Comittee2021'!$D:$D,Data2021[[#This Row],[organisation_name]],'Comittee2021'!$O:$O,"strong decrease")</f>
        <v>6</v>
      </c>
      <c r="AH31">
        <f>COUNTIFS('Comittee2021'!$D:$D,Data2021[[#This Row],[organisation_name]],'Comittee2021'!$O:$O,"slight decrease")</f>
        <v>6</v>
      </c>
      <c r="AI31">
        <f>COUNTIFS('Comittee2021'!$D:$D,Data2021[[#This Row],[organisation_name]],'Comittee2021'!$O:$O,"no influence")</f>
        <v>1</v>
      </c>
      <c r="AJ31">
        <f>COUNTIFS('Comittee2021'!$D:$D,Data2021[[#This Row],[organisation_name]],'Comittee2021'!$O:$O,"slight increase")</f>
        <v>0</v>
      </c>
      <c r="AK31">
        <f>COUNTIFS('Comittee2021'!$D:$D,Data2021[[#This Row],[organisation_name]],'Comittee2021'!$O:$O,"strong increase")</f>
        <v>0</v>
      </c>
      <c r="AL31">
        <v>2021</v>
      </c>
    </row>
    <row r="32" spans="1:38" x14ac:dyDescent="0.3">
      <c r="A32" t="str">
        <f>General2021[[#This Row],[organisation_name]]</f>
        <v>VV Harambee</v>
      </c>
      <c r="B32" t="str">
        <f>IF(General2021[[#This Row],[sector]]= "",VLOOKUP(Data2021[[#This Row],[organisation_name]],'Response Rate sheet'!A:D,3,FALSE),General2021[[#This Row],[sector]])</f>
        <v>Sports</v>
      </c>
      <c r="C32" t="str">
        <f>General2021[[#This Row],[organisation_type]]</f>
        <v>association</v>
      </c>
      <c r="D32">
        <f>IF(ISBLANK(General2021[[#This Row],[number_of_members]]),"N/A",VLOOKUP(A32,General2021[[organisation_name]:[number_of_international_committee_board_members_not_eea]],6,FALSE))</f>
        <v>420</v>
      </c>
      <c r="E32">
        <f>IF(ISBLANK(General2021[[#This Row],[number_of_committee_board_members]]),"N/A",VLOOKUP(A32,General2021!B:M,10,FALSE))</f>
        <v>100</v>
      </c>
      <c r="F32">
        <f>IFERROR(Data2021[[#This Row],[Number of members]]-Data2021[[#This Row],[Number of active members]], "N/A")</f>
        <v>320</v>
      </c>
      <c r="G32">
        <f>IFERROR(Data2021[[#This Row],[Number of active members]]/Data2021[[#This Row],[Number of members]], "N/A")</f>
        <v>0.23809523809523808</v>
      </c>
      <c r="H32">
        <f>IFERROR(1-Data2021[[#This Row],[Percentage active members]],"N/A")</f>
        <v>0.76190476190476186</v>
      </c>
      <c r="I32" t="str">
        <f>IF(Data2021[[#This Row],[Number of members]]=0,"N/A",IF(Data2021[[#This Row],[Number of members]]&lt;50," A. 1 - 50 ",IF(Data2021[[#This Row],[Number of members]]&lt;100, "B. 50 - 100", IF(Data2021[[#This Row],[Number of members]]&lt;400, "C. 100 - 400", IF(Data2021[[#This Row],[Number of members]]&lt;1000,"D. 400 - 1000", "E. 1000 +")))))</f>
        <v>D. 400 - 1000</v>
      </c>
      <c r="J32">
        <f>IF(ISBLANK(General2021[[#This Row],[number_of_international_members_not_eea]]),"N/A",VLOOKUP(A32,General2021[[organisation_name]:[number_of_international_committee_board_members_not_eea]],9,FALSE))</f>
        <v>100</v>
      </c>
      <c r="K32" t="str">
        <f>IF(ISBLANK(General2021[[#This Row],[number_of_international_members_eea]]),"N/A",VLOOKUP(A32,General2021[[organisation_name]:[number_of_international_committee_board_members_not_eea]],8,FALSE))</f>
        <v>N/A</v>
      </c>
      <c r="L32" t="str">
        <f>IFERROR(IF(Data2021[[#This Row],[Number of members]]-Data2021[[#This Row],[Non-EEA Total]]-Data2021[[#This Row],[EEA total]]&lt;1,"N/A", Data2021[[#This Row],[Number of members]]-Data2021[[#This Row],[Non-EEA Total]]-Data2021[[#This Row],[EEA total]]),"N/A")</f>
        <v>N/A</v>
      </c>
      <c r="M32">
        <f>VLOOKUP(A32,General2021[[organisation_name]:[number_of_international_committee_board_members_not_eea]],12,FALSE)</f>
        <v>0</v>
      </c>
      <c r="N32">
        <f>VLOOKUP(A32,General2021[[organisation_name]:[number_of_international_committee_board_members_not_eea]],11,FALSE)</f>
        <v>0</v>
      </c>
      <c r="O32">
        <f>IFERROR(IF(Data2021[[#This Row],[Number of active members]]-Data2021[[#This Row],[Non-EEA Active ]]-Data2021[[#This Row],[EEA Active]]&lt;1,"N/A", Data2021[[#This Row],[Number of active members]]-Data2021[[#This Row],[Non-EEA Active ]]-Data2021[[#This Row],[EEA Active]]),"N/A")</f>
        <v>100</v>
      </c>
      <c r="P32">
        <f>IFERROR(Data2021[[#This Row],[Non-EEA Active ]]/Data2021[[#This Row],[Number of active members]],"N/A")</f>
        <v>0</v>
      </c>
      <c r="Q32" t="str">
        <f>IFERROR(Data2021[[#This Row],[EEA Active]]/Data2021[[#This Row],[EEA total]], "N/A")</f>
        <v>N/A</v>
      </c>
      <c r="R32" t="str">
        <f>IFERROR(Data2021[[#This Row],[Dutch Active]]/Data2021[[#This Row],[Dutch total]],"N/A")</f>
        <v>N/A</v>
      </c>
      <c r="S32" t="str">
        <f>IFERROR(IF(Data2021[[#This Row],[Number of members]]=Data2021[[#This Row],[Non-EEA Total]]+Data2021[[#This Row],[EEA total]]+Data2021[[#This Row],[Dutch total]],"T","F"),"F")</f>
        <v>F</v>
      </c>
      <c r="T32" t="str">
        <f>IFERROR(IF(Data2021[[#This Row],[Number of active members]]=Data2021[[#This Row],[Non-EEA Active ]]+Data2021[[#This Row],[EEA Active]]+Data2021[[#This Row],[Dutch Active]],"T","F"),"F")</f>
        <v>T</v>
      </c>
      <c r="U32" t="str">
        <f>IFERROR(IF(Data2021[[#This Row],[Number of members]]-Data2021[[#This Row],[Non-EEA Active ]]-Data2021[[#This Row],[EEA Active]]-Data2021[[#This Row],[Dutch Active]]=Data2021[[#This Row],[Number of  inactive members]],"T","F"),"F")</f>
        <v>T</v>
      </c>
      <c r="V32" t="str">
        <f>IF(Data2021[[#This Row],[EEA Active]]&lt;=Data2021[[#This Row],[EEA total]],"T","F")</f>
        <v>T</v>
      </c>
      <c r="W32" t="str">
        <f>IF(Data2021[[#This Row],[Dutch Active]]&lt;=Data2021[[#This Row],[Dutch total]],"T","F")</f>
        <v>T</v>
      </c>
      <c r="X32" t="str">
        <f>IF(Data2021[[#This Row],[Non-EEA Active ]]&lt;=Data2021[[#This Row],[Non-EEA Total]],"T","F")</f>
        <v>T</v>
      </c>
      <c r="Y3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2">
        <f>IFERROR(VLOOKUP(Data2021[[#This Row],[organisation_name]],'Division Study Year Committees'!$A$1:$L$108,2,FALSE),"N/A")</f>
        <v>12</v>
      </c>
      <c r="AA32">
        <f>IFERROR(VLOOKUP(Data2021[[#This Row],[organisation_name]],'Division Study Year Committees'!$A$1:$L$108,3,FALSE),"N/A")</f>
        <v>11</v>
      </c>
      <c r="AB32">
        <f>IFERROR(VLOOKUP(Data2021[[#This Row],[organisation_name]],'Division Study Year Committees'!$A$1:$L$108,4,FALSE),"N/A")</f>
        <v>12</v>
      </c>
      <c r="AC32">
        <f>IFERROR(VLOOKUP(Data2021[[#This Row],[organisation_name]],'Division Study Year Committees'!$A$1:$L$108,5,FALSE), "N/A")</f>
        <v>13</v>
      </c>
      <c r="AD32">
        <f>IFERROR(VLOOKUP(Data2021[[#This Row],[organisation_name]],'Division Study Year Committees'!$A$1:$L$108,6,FALSE), "N/A")</f>
        <v>8</v>
      </c>
      <c r="AE32">
        <f>SUM(Data2021[[#This Row],[Number of first year comittee members]:[Number of 4+ year comittee members]])</f>
        <v>56</v>
      </c>
      <c r="AF32">
        <f>COUNTIF('Comittee2021'!D:D,Data2021[[#This Row],[organisation_name]])</f>
        <v>19</v>
      </c>
      <c r="AG32">
        <f>COUNTIFS('Comittee2021'!$D:$D,Data2021[[#This Row],[organisation_name]],'Comittee2021'!$O:$O,"strong decrease")</f>
        <v>0</v>
      </c>
      <c r="AH32">
        <f>COUNTIFS('Comittee2021'!$D:$D,Data2021[[#This Row],[organisation_name]],'Comittee2021'!$O:$O,"slight decrease")</f>
        <v>4</v>
      </c>
      <c r="AI32">
        <f>COUNTIFS('Comittee2021'!$D:$D,Data2021[[#This Row],[organisation_name]],'Comittee2021'!$O:$O,"no influence")</f>
        <v>14</v>
      </c>
      <c r="AJ32">
        <f>COUNTIFS('Comittee2021'!$D:$D,Data2021[[#This Row],[organisation_name]],'Comittee2021'!$O:$O,"slight increase")</f>
        <v>1</v>
      </c>
      <c r="AK32">
        <f>COUNTIFS('Comittee2021'!$D:$D,Data2021[[#This Row],[organisation_name]],'Comittee2021'!$O:$O,"strong increase")</f>
        <v>0</v>
      </c>
      <c r="AL32">
        <v>2021</v>
      </c>
    </row>
    <row r="33" spans="1:38" x14ac:dyDescent="0.3">
      <c r="A33" t="str">
        <f>General2021[[#This Row],[organisation_name]]</f>
        <v>ZPV Piranha</v>
      </c>
      <c r="B33" t="str">
        <f>IF(General2021[[#This Row],[sector]]= "",VLOOKUP(Data2021[[#This Row],[organisation_name]],'Response Rate sheet'!A:D,3,FALSE),General2021[[#This Row],[sector]])</f>
        <v>Sports</v>
      </c>
      <c r="C33" t="str">
        <f>General2021[[#This Row],[organisation_type]]</f>
        <v>association</v>
      </c>
      <c r="D33">
        <f>IF(ISBLANK(General2021[[#This Row],[number_of_members]]),"N/A",VLOOKUP(A33,General2021[[organisation_name]:[number_of_international_committee_board_members_not_eea]],6,FALSE))</f>
        <v>278</v>
      </c>
      <c r="E33">
        <f>IF(ISBLANK(General2021[[#This Row],[number_of_committee_board_members]]),"N/A",VLOOKUP(A33,General2021!B:M,10,FALSE))</f>
        <v>90</v>
      </c>
      <c r="F33">
        <f>IFERROR(Data2021[[#This Row],[Number of members]]-Data2021[[#This Row],[Number of active members]], "N/A")</f>
        <v>188</v>
      </c>
      <c r="G33">
        <f>IFERROR(Data2021[[#This Row],[Number of active members]]/Data2021[[#This Row],[Number of members]], "N/A")</f>
        <v>0.32374100719424459</v>
      </c>
      <c r="H33">
        <f>IFERROR(1-Data2021[[#This Row],[Percentage active members]],"N/A")</f>
        <v>0.67625899280575541</v>
      </c>
      <c r="I33" t="str">
        <f>IF(Data2021[[#This Row],[Number of members]]=0,"N/A",IF(Data2021[[#This Row],[Number of members]]&lt;50," A. 1 - 50 ",IF(Data2021[[#This Row],[Number of members]]&lt;100, "B. 50 - 100", IF(Data2021[[#This Row],[Number of members]]&lt;400, "C. 100 - 400", IF(Data2021[[#This Row],[Number of members]]&lt;1000,"D. 400 - 1000", "E. 1000 +")))))</f>
        <v>C. 100 - 400</v>
      </c>
      <c r="J33">
        <f>IF(ISBLANK(General2021[[#This Row],[number_of_international_members_not_eea]]),"N/A",VLOOKUP(A33,General2021[[organisation_name]:[number_of_international_committee_board_members_not_eea]],9,FALSE))</f>
        <v>81</v>
      </c>
      <c r="K33">
        <f>IF(ISBLANK(General2021[[#This Row],[number_of_international_members_eea]]),"N/A",VLOOKUP(A33,General2021[[organisation_name]:[number_of_international_committee_board_members_not_eea]],8,FALSE))</f>
        <v>7</v>
      </c>
      <c r="L33">
        <f>IFERROR(IF(Data2021[[#This Row],[Number of members]]-Data2021[[#This Row],[Non-EEA Total]]-Data2021[[#This Row],[EEA total]]&lt;1,"N/A", Data2021[[#This Row],[Number of members]]-Data2021[[#This Row],[Non-EEA Total]]-Data2021[[#This Row],[EEA total]]),"N/A")</f>
        <v>190</v>
      </c>
      <c r="M33">
        <f>VLOOKUP(A33,General2021[[organisation_name]:[number_of_international_committee_board_members_not_eea]],12,FALSE)</f>
        <v>2</v>
      </c>
      <c r="N33">
        <f>VLOOKUP(A33,General2021[[organisation_name]:[number_of_international_committee_board_members_not_eea]],11,FALSE)</f>
        <v>6</v>
      </c>
      <c r="O33">
        <f>IFERROR(IF(Data2021[[#This Row],[Number of active members]]-Data2021[[#This Row],[Non-EEA Active ]]-Data2021[[#This Row],[EEA Active]]&lt;1,"N/A", Data2021[[#This Row],[Number of active members]]-Data2021[[#This Row],[Non-EEA Active ]]-Data2021[[#This Row],[EEA Active]]),"N/A")</f>
        <v>82</v>
      </c>
      <c r="P33">
        <f>IFERROR(Data2021[[#This Row],[Non-EEA Active ]]/Data2021[[#This Row],[Number of active members]],"N/A")</f>
        <v>2.2222222222222223E-2</v>
      </c>
      <c r="Q33">
        <f>IFERROR(Data2021[[#This Row],[EEA Active]]/Data2021[[#This Row],[EEA total]], "N/A")</f>
        <v>0.8571428571428571</v>
      </c>
      <c r="R33">
        <f>IFERROR(Data2021[[#This Row],[Dutch Active]]/Data2021[[#This Row],[Dutch total]],"N/A")</f>
        <v>0.43157894736842106</v>
      </c>
      <c r="S33" t="str">
        <f>IFERROR(IF(Data2021[[#This Row],[Number of members]]=Data2021[[#This Row],[Non-EEA Total]]+Data2021[[#This Row],[EEA total]]+Data2021[[#This Row],[Dutch total]],"T","F"),"F")</f>
        <v>T</v>
      </c>
      <c r="T33" t="str">
        <f>IFERROR(IF(Data2021[[#This Row],[Number of active members]]=Data2021[[#This Row],[Non-EEA Active ]]+Data2021[[#This Row],[EEA Active]]+Data2021[[#This Row],[Dutch Active]],"T","F"),"F")</f>
        <v>T</v>
      </c>
      <c r="U33" t="str">
        <f>IFERROR(IF(Data2021[[#This Row],[Number of members]]-Data2021[[#This Row],[Non-EEA Active ]]-Data2021[[#This Row],[EEA Active]]-Data2021[[#This Row],[Dutch Active]]=Data2021[[#This Row],[Number of  inactive members]],"T","F"),"F")</f>
        <v>T</v>
      </c>
      <c r="V33" t="str">
        <f>IF(Data2021[[#This Row],[EEA Active]]&lt;=Data2021[[#This Row],[EEA total]],"T","F")</f>
        <v>T</v>
      </c>
      <c r="W33" t="str">
        <f>IF(Data2021[[#This Row],[Dutch Active]]&lt;=Data2021[[#This Row],[Dutch total]],"T","F")</f>
        <v>T</v>
      </c>
      <c r="X33" t="str">
        <f>IF(Data2021[[#This Row],[Non-EEA Active ]]&lt;=Data2021[[#This Row],[Non-EEA Total]],"T","F")</f>
        <v>T</v>
      </c>
      <c r="Y33"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33">
        <f>IFERROR(VLOOKUP(Data2021[[#This Row],[organisation_name]],'Division Study Year Committees'!$A$1:$L$108,2,FALSE),"N/A")</f>
        <v>1</v>
      </c>
      <c r="AA33">
        <f>IFERROR(VLOOKUP(Data2021[[#This Row],[organisation_name]],'Division Study Year Committees'!$A$1:$L$108,3,FALSE),"N/A")</f>
        <v>2</v>
      </c>
      <c r="AB33">
        <f>IFERROR(VLOOKUP(Data2021[[#This Row],[organisation_name]],'Division Study Year Committees'!$A$1:$L$108,4,FALSE),"N/A")</f>
        <v>1</v>
      </c>
      <c r="AC33">
        <f>IFERROR(VLOOKUP(Data2021[[#This Row],[organisation_name]],'Division Study Year Committees'!$A$1:$L$108,5,FALSE), "N/A")</f>
        <v>1</v>
      </c>
      <c r="AD33">
        <f>IFERROR(VLOOKUP(Data2021[[#This Row],[organisation_name]],'Division Study Year Committees'!$A$1:$L$108,6,FALSE), "N/A")</f>
        <v>0</v>
      </c>
      <c r="AE33">
        <f>SUM(Data2021[[#This Row],[Number of first year comittee members]:[Number of 4+ year comittee members]])</f>
        <v>5</v>
      </c>
      <c r="AF33">
        <f>COUNTIF('Comittee2021'!D:D,Data2021[[#This Row],[organisation_name]])</f>
        <v>22</v>
      </c>
      <c r="AG33">
        <f>COUNTIFS('Comittee2021'!$D:$D,Data2021[[#This Row],[organisation_name]],'Comittee2021'!$O:$O,"strong decrease")</f>
        <v>1</v>
      </c>
      <c r="AH33">
        <f>COUNTIFS('Comittee2021'!$D:$D,Data2021[[#This Row],[organisation_name]],'Comittee2021'!$O:$O,"slight decrease")</f>
        <v>7</v>
      </c>
      <c r="AI33">
        <f>COUNTIFS('Comittee2021'!$D:$D,Data2021[[#This Row],[organisation_name]],'Comittee2021'!$O:$O,"no influence")</f>
        <v>12</v>
      </c>
      <c r="AJ33">
        <f>COUNTIFS('Comittee2021'!$D:$D,Data2021[[#This Row],[organisation_name]],'Comittee2021'!$O:$O,"slight increase")</f>
        <v>2</v>
      </c>
      <c r="AK33">
        <f>COUNTIFS('Comittee2021'!$D:$D,Data2021[[#This Row],[organisation_name]],'Comittee2021'!$O:$O,"strong increase")</f>
        <v>0</v>
      </c>
      <c r="AL33">
        <v>2021</v>
      </c>
    </row>
    <row r="34" spans="1:38" x14ac:dyDescent="0.3">
      <c r="A34" t="str">
        <f>General2021[[#This Row],[organisation_name]]</f>
        <v>Twentse Thestrals</v>
      </c>
      <c r="B34" t="str">
        <f>IF(General2021[[#This Row],[sector]]= "",VLOOKUP(Data2021[[#This Row],[organisation_name]],'Response Rate sheet'!A:D,3,FALSE),General2021[[#This Row],[sector]])</f>
        <v>Sports</v>
      </c>
      <c r="C34" t="str">
        <f>General2021[[#This Row],[organisation_type]]</f>
        <v>association</v>
      </c>
      <c r="D34" t="str">
        <f>IF(ISBLANK(General2021[[#This Row],[number_of_members]]),"N/A",VLOOKUP(A34,General2021[[organisation_name]:[number_of_international_committee_board_members_not_eea]],6,FALSE))</f>
        <v>N/A</v>
      </c>
      <c r="E34" t="str">
        <f>IF(ISBLANK(General2021[[#This Row],[number_of_committee_board_members]]),"N/A",VLOOKUP(A34,General2021!B:M,10,FALSE))</f>
        <v>N/A</v>
      </c>
      <c r="F34" t="str">
        <f>IFERROR(Data2021[[#This Row],[Number of members]]-Data2021[[#This Row],[Number of active members]], "N/A")</f>
        <v>N/A</v>
      </c>
      <c r="G34" t="str">
        <f>IFERROR(Data2021[[#This Row],[Number of active members]]/Data2021[[#This Row],[Number of members]], "N/A")</f>
        <v>N/A</v>
      </c>
      <c r="H34" t="str">
        <f>IFERROR(1-Data2021[[#This Row],[Percentage active members]],"N/A")</f>
        <v>N/A</v>
      </c>
      <c r="I34" t="str">
        <f>IF(Data2021[[#This Row],[Number of members]]=0,"N/A",IF(Data2021[[#This Row],[Number of members]]&lt;50," A. 1 - 50 ",IF(Data2021[[#This Row],[Number of members]]&lt;100, "B. 50 - 100", IF(Data2021[[#This Row],[Number of members]]&lt;400, "C. 100 - 400", IF(Data2021[[#This Row],[Number of members]]&lt;1000,"D. 400 - 1000", "E. 1000 +")))))</f>
        <v>E. 1000 +</v>
      </c>
      <c r="J34" t="str">
        <f>IF(ISBLANK(General2021[[#This Row],[number_of_international_members_not_eea]]),"N/A",VLOOKUP(A34,General2021[[organisation_name]:[number_of_international_committee_board_members_not_eea]],9,FALSE))</f>
        <v>N/A</v>
      </c>
      <c r="K34" t="str">
        <f>IF(ISBLANK(General2021[[#This Row],[number_of_international_members_eea]]),"N/A",VLOOKUP(A34,General2021[[organisation_name]:[number_of_international_committee_board_members_not_eea]],8,FALSE))</f>
        <v>N/A</v>
      </c>
      <c r="L34" t="str">
        <f>IFERROR(IF(Data2021[[#This Row],[Number of members]]-Data2021[[#This Row],[Non-EEA Total]]-Data2021[[#This Row],[EEA total]]&lt;1,"N/A", Data2021[[#This Row],[Number of members]]-Data2021[[#This Row],[Non-EEA Total]]-Data2021[[#This Row],[EEA total]]),"N/A")</f>
        <v>N/A</v>
      </c>
      <c r="M34">
        <f>VLOOKUP(A34,General2021[[organisation_name]:[number_of_international_committee_board_members_not_eea]],12,FALSE)</f>
        <v>0</v>
      </c>
      <c r="N34">
        <f>VLOOKUP(A34,General2021[[organisation_name]:[number_of_international_committee_board_members_not_eea]],11,FALSE)</f>
        <v>0</v>
      </c>
      <c r="O34" t="str">
        <f>IFERROR(IF(Data2021[[#This Row],[Number of active members]]-Data2021[[#This Row],[Non-EEA Active ]]-Data2021[[#This Row],[EEA Active]]&lt;1,"N/A", Data2021[[#This Row],[Number of active members]]-Data2021[[#This Row],[Non-EEA Active ]]-Data2021[[#This Row],[EEA Active]]),"N/A")</f>
        <v>N/A</v>
      </c>
      <c r="P34" t="str">
        <f>IFERROR(Data2021[[#This Row],[Non-EEA Active ]]/Data2021[[#This Row],[Number of active members]],"N/A")</f>
        <v>N/A</v>
      </c>
      <c r="Q34" t="str">
        <f>IFERROR(Data2021[[#This Row],[EEA Active]]/Data2021[[#This Row],[EEA total]], "N/A")</f>
        <v>N/A</v>
      </c>
      <c r="R34" t="str">
        <f>IFERROR(Data2021[[#This Row],[Dutch Active]]/Data2021[[#This Row],[Dutch total]],"N/A")</f>
        <v>N/A</v>
      </c>
      <c r="S34" t="str">
        <f>IFERROR(IF(Data2021[[#This Row],[Number of members]]=Data2021[[#This Row],[Non-EEA Total]]+Data2021[[#This Row],[EEA total]]+Data2021[[#This Row],[Dutch total]],"T","F"),"F")</f>
        <v>F</v>
      </c>
      <c r="T34" t="str">
        <f>IFERROR(IF(Data2021[[#This Row],[Number of active members]]=Data2021[[#This Row],[Non-EEA Active ]]+Data2021[[#This Row],[EEA Active]]+Data2021[[#This Row],[Dutch Active]],"T","F"),"F")</f>
        <v>F</v>
      </c>
      <c r="U34" t="str">
        <f>IFERROR(IF(Data2021[[#This Row],[Number of members]]-Data2021[[#This Row],[Non-EEA Active ]]-Data2021[[#This Row],[EEA Active]]-Data2021[[#This Row],[Dutch Active]]=Data2021[[#This Row],[Number of  inactive members]],"T","F"),"F")</f>
        <v>F</v>
      </c>
      <c r="V34" t="str">
        <f>IF(Data2021[[#This Row],[EEA Active]]&lt;=Data2021[[#This Row],[EEA total]],"T","F")</f>
        <v>T</v>
      </c>
      <c r="W34" t="str">
        <f>IF(Data2021[[#This Row],[Dutch Active]]&lt;=Data2021[[#This Row],[Dutch total]],"T","F")</f>
        <v>T</v>
      </c>
      <c r="X34" t="str">
        <f>IF(Data2021[[#This Row],[Non-EEA Active ]]&lt;=Data2021[[#This Row],[Non-EEA Total]],"T","F")</f>
        <v>T</v>
      </c>
      <c r="Y3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4" t="str">
        <f>IFERROR(VLOOKUP(Data2021[[#This Row],[organisation_name]],'Division Study Year Committees'!$A$1:$L$108,2,FALSE),"N/A")</f>
        <v>N/A</v>
      </c>
      <c r="AA34" t="str">
        <f>IFERROR(VLOOKUP(Data2021[[#This Row],[organisation_name]],'Division Study Year Committees'!$A$1:$L$108,3,FALSE),"N/A")</f>
        <v>N/A</v>
      </c>
      <c r="AB34" t="str">
        <f>IFERROR(VLOOKUP(Data2021[[#This Row],[organisation_name]],'Division Study Year Committees'!$A$1:$L$108,4,FALSE),"N/A")</f>
        <v>N/A</v>
      </c>
      <c r="AC34" t="str">
        <f>IFERROR(VLOOKUP(Data2021[[#This Row],[organisation_name]],'Division Study Year Committees'!$A$1:$L$108,5,FALSE), "N/A")</f>
        <v>N/A</v>
      </c>
      <c r="AD34" t="str">
        <f>IFERROR(VLOOKUP(Data2021[[#This Row],[organisation_name]],'Division Study Year Committees'!$A$1:$L$108,6,FALSE), "N/A")</f>
        <v>N/A</v>
      </c>
      <c r="AE34">
        <f>SUM(Data2021[[#This Row],[Number of first year comittee members]:[Number of 4+ year comittee members]])</f>
        <v>0</v>
      </c>
      <c r="AF34">
        <f>COUNTIF('Comittee2021'!D:D,Data2021[[#This Row],[organisation_name]])</f>
        <v>0</v>
      </c>
      <c r="AG34">
        <f>COUNTIFS('Comittee2021'!$D:$D,Data2021[[#This Row],[organisation_name]],'Comittee2021'!$O:$O,"strong decrease")</f>
        <v>0</v>
      </c>
      <c r="AH34">
        <f>COUNTIFS('Comittee2021'!$D:$D,Data2021[[#This Row],[organisation_name]],'Comittee2021'!$O:$O,"slight decrease")</f>
        <v>0</v>
      </c>
      <c r="AI34">
        <f>COUNTIFS('Comittee2021'!$D:$D,Data2021[[#This Row],[organisation_name]],'Comittee2021'!$O:$O,"no influence")</f>
        <v>0</v>
      </c>
      <c r="AJ34">
        <f>COUNTIFS('Comittee2021'!$D:$D,Data2021[[#This Row],[organisation_name]],'Comittee2021'!$O:$O,"slight increase")</f>
        <v>0</v>
      </c>
      <c r="AK34">
        <f>COUNTIFS('Comittee2021'!$D:$D,Data2021[[#This Row],[organisation_name]],'Comittee2021'!$O:$O,"strong increase")</f>
        <v>0</v>
      </c>
      <c r="AL34">
        <v>2021</v>
      </c>
    </row>
    <row r="35" spans="1:38" x14ac:dyDescent="0.3">
      <c r="A35" t="str">
        <f>General2021[[#This Row],[organisation_name]]</f>
        <v>Primo Ballerino</v>
      </c>
      <c r="B35" t="str">
        <f>IF(General2021[[#This Row],[sector]]= "",VLOOKUP(Data2021[[#This Row],[organisation_name]],'Response Rate sheet'!A:D,3,FALSE),General2021[[#This Row],[sector]])</f>
        <v>Culture</v>
      </c>
      <c r="C35" t="str">
        <f>General2021[[#This Row],[organisation_type]]</f>
        <v>association</v>
      </c>
      <c r="D35">
        <f>IF(ISBLANK(General2021[[#This Row],[number_of_members]]),"N/A",VLOOKUP(A35,General2021[[organisation_name]:[number_of_international_committee_board_members_not_eea]],6,FALSE))</f>
        <v>41</v>
      </c>
      <c r="E35">
        <f>IF(ISBLANK(General2021[[#This Row],[number_of_committee_board_members]]),"N/A",VLOOKUP(A35,General2021!B:M,10,FALSE))</f>
        <v>10</v>
      </c>
      <c r="F35">
        <f>IFERROR(Data2021[[#This Row],[Number of members]]-Data2021[[#This Row],[Number of active members]], "N/A")</f>
        <v>31</v>
      </c>
      <c r="G35">
        <f>IFERROR(Data2021[[#This Row],[Number of active members]]/Data2021[[#This Row],[Number of members]], "N/A")</f>
        <v>0.24390243902439024</v>
      </c>
      <c r="H35">
        <f>IFERROR(1-Data2021[[#This Row],[Percentage active members]],"N/A")</f>
        <v>0.75609756097560976</v>
      </c>
      <c r="I35"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35">
        <f>IF(ISBLANK(General2021[[#This Row],[number_of_international_members_not_eea]]),"N/A",VLOOKUP(A35,General2021[[organisation_name]:[number_of_international_committee_board_members_not_eea]],9,FALSE))</f>
        <v>20</v>
      </c>
      <c r="K35">
        <f>IF(ISBLANK(General2021[[#This Row],[number_of_international_members_eea]]),"N/A",VLOOKUP(A35,General2021[[organisation_name]:[number_of_international_committee_board_members_not_eea]],8,FALSE))</f>
        <v>0</v>
      </c>
      <c r="L35">
        <f>IFERROR(IF(Data2021[[#This Row],[Number of members]]-Data2021[[#This Row],[Non-EEA Total]]-Data2021[[#This Row],[EEA total]]&lt;1,"N/A", Data2021[[#This Row],[Number of members]]-Data2021[[#This Row],[Non-EEA Total]]-Data2021[[#This Row],[EEA total]]),"N/A")</f>
        <v>21</v>
      </c>
      <c r="M35">
        <f>VLOOKUP(A35,General2021[[organisation_name]:[number_of_international_committee_board_members_not_eea]],12,FALSE)</f>
        <v>0</v>
      </c>
      <c r="N35">
        <f>VLOOKUP(A35,General2021[[organisation_name]:[number_of_international_committee_board_members_not_eea]],11,FALSE)</f>
        <v>1</v>
      </c>
      <c r="O35">
        <f>IFERROR(IF(Data2021[[#This Row],[Number of active members]]-Data2021[[#This Row],[Non-EEA Active ]]-Data2021[[#This Row],[EEA Active]]&lt;1,"N/A", Data2021[[#This Row],[Number of active members]]-Data2021[[#This Row],[Non-EEA Active ]]-Data2021[[#This Row],[EEA Active]]),"N/A")</f>
        <v>9</v>
      </c>
      <c r="P35">
        <f>IFERROR(Data2021[[#This Row],[Non-EEA Active ]]/Data2021[[#This Row],[Number of active members]],"N/A")</f>
        <v>0</v>
      </c>
      <c r="Q35" t="str">
        <f>IFERROR(Data2021[[#This Row],[EEA Active]]/Data2021[[#This Row],[EEA total]], "N/A")</f>
        <v>N/A</v>
      </c>
      <c r="R35">
        <f>IFERROR(Data2021[[#This Row],[Dutch Active]]/Data2021[[#This Row],[Dutch total]],"N/A")</f>
        <v>0.42857142857142855</v>
      </c>
      <c r="S35" t="str">
        <f>IFERROR(IF(Data2021[[#This Row],[Number of members]]=Data2021[[#This Row],[Non-EEA Total]]+Data2021[[#This Row],[EEA total]]+Data2021[[#This Row],[Dutch total]],"T","F"),"F")</f>
        <v>T</v>
      </c>
      <c r="T35" t="str">
        <f>IFERROR(IF(Data2021[[#This Row],[Number of active members]]=Data2021[[#This Row],[Non-EEA Active ]]+Data2021[[#This Row],[EEA Active]]+Data2021[[#This Row],[Dutch Active]],"T","F"),"F")</f>
        <v>T</v>
      </c>
      <c r="U35" t="str">
        <f>IFERROR(IF(Data2021[[#This Row],[Number of members]]-Data2021[[#This Row],[Non-EEA Active ]]-Data2021[[#This Row],[EEA Active]]-Data2021[[#This Row],[Dutch Active]]=Data2021[[#This Row],[Number of  inactive members]],"T","F"),"F")</f>
        <v>T</v>
      </c>
      <c r="V35" t="str">
        <f>IF(Data2021[[#This Row],[EEA Active]]&lt;=Data2021[[#This Row],[EEA total]],"T","F")</f>
        <v>F</v>
      </c>
      <c r="W35" t="str">
        <f>IF(Data2021[[#This Row],[Dutch Active]]&lt;=Data2021[[#This Row],[Dutch total]],"T","F")</f>
        <v>T</v>
      </c>
      <c r="X35" t="str">
        <f>IF(Data2021[[#This Row],[Non-EEA Active ]]&lt;=Data2021[[#This Row],[Non-EEA Total]],"T","F")</f>
        <v>T</v>
      </c>
      <c r="Y3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5">
        <f>IFERROR(VLOOKUP(Data2021[[#This Row],[organisation_name]],'Division Study Year Committees'!$A$1:$L$108,2,FALSE),"N/A")</f>
        <v>0</v>
      </c>
      <c r="AA35">
        <f>IFERROR(VLOOKUP(Data2021[[#This Row],[organisation_name]],'Division Study Year Committees'!$A$1:$L$108,3,FALSE),"N/A")</f>
        <v>0</v>
      </c>
      <c r="AB35">
        <f>IFERROR(VLOOKUP(Data2021[[#This Row],[organisation_name]],'Division Study Year Committees'!$A$1:$L$108,4,FALSE),"N/A")</f>
        <v>1</v>
      </c>
      <c r="AC35">
        <f>IFERROR(VLOOKUP(Data2021[[#This Row],[organisation_name]],'Division Study Year Committees'!$A$1:$L$108,5,FALSE), "N/A")</f>
        <v>1</v>
      </c>
      <c r="AD35">
        <f>IFERROR(VLOOKUP(Data2021[[#This Row],[organisation_name]],'Division Study Year Committees'!$A$1:$L$108,6,FALSE), "N/A")</f>
        <v>1</v>
      </c>
      <c r="AE35">
        <f>SUM(Data2021[[#This Row],[Number of first year comittee members]:[Number of 4+ year comittee members]])</f>
        <v>3</v>
      </c>
      <c r="AF35">
        <f>COUNTIF('Comittee2021'!D:D,Data2021[[#This Row],[organisation_name]])</f>
        <v>7</v>
      </c>
      <c r="AG35">
        <f>COUNTIFS('Comittee2021'!$D:$D,Data2021[[#This Row],[organisation_name]],'Comittee2021'!$O:$O,"strong decrease")</f>
        <v>1</v>
      </c>
      <c r="AH35">
        <f>COUNTIFS('Comittee2021'!$D:$D,Data2021[[#This Row],[organisation_name]],'Comittee2021'!$O:$O,"slight decrease")</f>
        <v>0</v>
      </c>
      <c r="AI35">
        <f>COUNTIFS('Comittee2021'!$D:$D,Data2021[[#This Row],[organisation_name]],'Comittee2021'!$O:$O,"no influence")</f>
        <v>1</v>
      </c>
      <c r="AJ35">
        <f>COUNTIFS('Comittee2021'!$D:$D,Data2021[[#This Row],[organisation_name]],'Comittee2021'!$O:$O,"slight increase")</f>
        <v>0</v>
      </c>
      <c r="AK35">
        <f>COUNTIFS('Comittee2021'!$D:$D,Data2021[[#This Row],[organisation_name]],'Comittee2021'!$O:$O,"strong increase")</f>
        <v>0</v>
      </c>
      <c r="AL35">
        <v>2021</v>
      </c>
    </row>
    <row r="36" spans="1:38" x14ac:dyDescent="0.3">
      <c r="A36" t="str">
        <f>General2021[[#This Row],[organisation_name]]</f>
        <v>Phoenix Lacrosse</v>
      </c>
      <c r="B36" t="str">
        <f>IF(General2021[[#This Row],[sector]]= "",VLOOKUP(Data2021[[#This Row],[organisation_name]],'Response Rate sheet'!A:D,3,FALSE),General2021[[#This Row],[sector]])</f>
        <v>Sports</v>
      </c>
      <c r="C36" t="str">
        <f>General2021[[#This Row],[organisation_type]]</f>
        <v>association</v>
      </c>
      <c r="D36" t="str">
        <f>IF(ISBLANK(General2021[[#This Row],[number_of_members]]),"N/A",VLOOKUP(A36,General2021[[organisation_name]:[number_of_international_committee_board_members_not_eea]],6,FALSE))</f>
        <v>N/A</v>
      </c>
      <c r="E36" t="str">
        <f>IF(ISBLANK(General2021[[#This Row],[number_of_committee_board_members]]),"N/A",VLOOKUP(A36,General2021!B:M,10,FALSE))</f>
        <v>N/A</v>
      </c>
      <c r="F36" t="str">
        <f>IFERROR(Data2021[[#This Row],[Number of members]]-Data2021[[#This Row],[Number of active members]], "N/A")</f>
        <v>N/A</v>
      </c>
      <c r="G36" t="str">
        <f>IFERROR(Data2021[[#This Row],[Number of active members]]/Data2021[[#This Row],[Number of members]], "N/A")</f>
        <v>N/A</v>
      </c>
      <c r="H36" t="str">
        <f>IFERROR(1-Data2021[[#This Row],[Percentage active members]],"N/A")</f>
        <v>N/A</v>
      </c>
      <c r="I36" t="str">
        <f>IF(Data2021[[#This Row],[Number of members]]=0,"N/A",IF(Data2021[[#This Row],[Number of members]]&lt;50," A. 1 - 50 ",IF(Data2021[[#This Row],[Number of members]]&lt;100, "B. 50 - 100", IF(Data2021[[#This Row],[Number of members]]&lt;400, "C. 100 - 400", IF(Data2021[[#This Row],[Number of members]]&lt;1000,"D. 400 - 1000", "E. 1000 +")))))</f>
        <v>E. 1000 +</v>
      </c>
      <c r="J36" t="str">
        <f>IF(ISBLANK(General2021[[#This Row],[number_of_international_members_not_eea]]),"N/A",VLOOKUP(A36,General2021[[organisation_name]:[number_of_international_committee_board_members_not_eea]],9,FALSE))</f>
        <v>N/A</v>
      </c>
      <c r="K36" t="str">
        <f>IF(ISBLANK(General2021[[#This Row],[number_of_international_members_eea]]),"N/A",VLOOKUP(A36,General2021[[organisation_name]:[number_of_international_committee_board_members_not_eea]],8,FALSE))</f>
        <v>N/A</v>
      </c>
      <c r="L36" t="str">
        <f>IFERROR(IF(Data2021[[#This Row],[Number of members]]-Data2021[[#This Row],[Non-EEA Total]]-Data2021[[#This Row],[EEA total]]&lt;1,"N/A", Data2021[[#This Row],[Number of members]]-Data2021[[#This Row],[Non-EEA Total]]-Data2021[[#This Row],[EEA total]]),"N/A")</f>
        <v>N/A</v>
      </c>
      <c r="M36">
        <f>VLOOKUP(A36,General2021[[organisation_name]:[number_of_international_committee_board_members_not_eea]],12,FALSE)</f>
        <v>0</v>
      </c>
      <c r="N36">
        <f>VLOOKUP(A36,General2021[[organisation_name]:[number_of_international_committee_board_members_not_eea]],11,FALSE)</f>
        <v>0</v>
      </c>
      <c r="O36" t="str">
        <f>IFERROR(IF(Data2021[[#This Row],[Number of active members]]-Data2021[[#This Row],[Non-EEA Active ]]-Data2021[[#This Row],[EEA Active]]&lt;1,"N/A", Data2021[[#This Row],[Number of active members]]-Data2021[[#This Row],[Non-EEA Active ]]-Data2021[[#This Row],[EEA Active]]),"N/A")</f>
        <v>N/A</v>
      </c>
      <c r="P36" t="str">
        <f>IFERROR(Data2021[[#This Row],[Non-EEA Active ]]/Data2021[[#This Row],[Number of active members]],"N/A")</f>
        <v>N/A</v>
      </c>
      <c r="Q36" t="str">
        <f>IFERROR(Data2021[[#This Row],[EEA Active]]/Data2021[[#This Row],[EEA total]], "N/A")</f>
        <v>N/A</v>
      </c>
      <c r="R36" t="str">
        <f>IFERROR(Data2021[[#This Row],[Dutch Active]]/Data2021[[#This Row],[Dutch total]],"N/A")</f>
        <v>N/A</v>
      </c>
      <c r="S36" t="str">
        <f>IFERROR(IF(Data2021[[#This Row],[Number of members]]=Data2021[[#This Row],[Non-EEA Total]]+Data2021[[#This Row],[EEA total]]+Data2021[[#This Row],[Dutch total]],"T","F"),"F")</f>
        <v>F</v>
      </c>
      <c r="T36" t="str">
        <f>IFERROR(IF(Data2021[[#This Row],[Number of active members]]=Data2021[[#This Row],[Non-EEA Active ]]+Data2021[[#This Row],[EEA Active]]+Data2021[[#This Row],[Dutch Active]],"T","F"),"F")</f>
        <v>F</v>
      </c>
      <c r="U36" t="str">
        <f>IFERROR(IF(Data2021[[#This Row],[Number of members]]-Data2021[[#This Row],[Non-EEA Active ]]-Data2021[[#This Row],[EEA Active]]-Data2021[[#This Row],[Dutch Active]]=Data2021[[#This Row],[Number of  inactive members]],"T","F"),"F")</f>
        <v>F</v>
      </c>
      <c r="V36" t="str">
        <f>IF(Data2021[[#This Row],[EEA Active]]&lt;=Data2021[[#This Row],[EEA total]],"T","F")</f>
        <v>T</v>
      </c>
      <c r="W36" t="str">
        <f>IF(Data2021[[#This Row],[Dutch Active]]&lt;=Data2021[[#This Row],[Dutch total]],"T","F")</f>
        <v>T</v>
      </c>
      <c r="X36" t="str">
        <f>IF(Data2021[[#This Row],[Non-EEA Active ]]&lt;=Data2021[[#This Row],[Non-EEA Total]],"T","F")</f>
        <v>T</v>
      </c>
      <c r="Y3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6" t="str">
        <f>IFERROR(VLOOKUP(Data2021[[#This Row],[organisation_name]],'Division Study Year Committees'!$A$1:$L$108,2,FALSE),"N/A")</f>
        <v>N/A</v>
      </c>
      <c r="AA36" t="str">
        <f>IFERROR(VLOOKUP(Data2021[[#This Row],[organisation_name]],'Division Study Year Committees'!$A$1:$L$108,3,FALSE),"N/A")</f>
        <v>N/A</v>
      </c>
      <c r="AB36" t="str">
        <f>IFERROR(VLOOKUP(Data2021[[#This Row],[organisation_name]],'Division Study Year Committees'!$A$1:$L$108,4,FALSE),"N/A")</f>
        <v>N/A</v>
      </c>
      <c r="AC36" t="str">
        <f>IFERROR(VLOOKUP(Data2021[[#This Row],[organisation_name]],'Division Study Year Committees'!$A$1:$L$108,5,FALSE), "N/A")</f>
        <v>N/A</v>
      </c>
      <c r="AD36" t="str">
        <f>IFERROR(VLOOKUP(Data2021[[#This Row],[organisation_name]],'Division Study Year Committees'!$A$1:$L$108,6,FALSE), "N/A")</f>
        <v>N/A</v>
      </c>
      <c r="AE36">
        <f>SUM(Data2021[[#This Row],[Number of first year comittee members]:[Number of 4+ year comittee members]])</f>
        <v>0</v>
      </c>
      <c r="AF36">
        <f>COUNTIF('Comittee2021'!D:D,Data2021[[#This Row],[organisation_name]])</f>
        <v>0</v>
      </c>
      <c r="AG36">
        <f>COUNTIFS('Comittee2021'!$D:$D,Data2021[[#This Row],[organisation_name]],'Comittee2021'!$O:$O,"strong decrease")</f>
        <v>0</v>
      </c>
      <c r="AH36">
        <f>COUNTIFS('Comittee2021'!$D:$D,Data2021[[#This Row],[organisation_name]],'Comittee2021'!$O:$O,"slight decrease")</f>
        <v>0</v>
      </c>
      <c r="AI36">
        <f>COUNTIFS('Comittee2021'!$D:$D,Data2021[[#This Row],[organisation_name]],'Comittee2021'!$O:$O,"no influence")</f>
        <v>0</v>
      </c>
      <c r="AJ36">
        <f>COUNTIFS('Comittee2021'!$D:$D,Data2021[[#This Row],[organisation_name]],'Comittee2021'!$O:$O,"slight increase")</f>
        <v>0</v>
      </c>
      <c r="AK36">
        <f>COUNTIFS('Comittee2021'!$D:$D,Data2021[[#This Row],[organisation_name]],'Comittee2021'!$O:$O,"strong increase")</f>
        <v>0</v>
      </c>
      <c r="AL36">
        <v>2021</v>
      </c>
    </row>
    <row r="37" spans="1:38" x14ac:dyDescent="0.3">
      <c r="A37" t="str">
        <f>General2021[[#This Row],[organisation_name]]</f>
        <v>SKV Hercules</v>
      </c>
      <c r="B37" t="str">
        <f>IF(General2021[[#This Row],[sector]]= "",VLOOKUP(Data2021[[#This Row],[organisation_name]],'Response Rate sheet'!A:D,3,FALSE),General2021[[#This Row],[sector]])</f>
        <v>Sports</v>
      </c>
      <c r="C37" t="str">
        <f>General2021[[#This Row],[organisation_type]]</f>
        <v>association</v>
      </c>
      <c r="D37" t="str">
        <f>IF(ISBLANK(General2021[[#This Row],[number_of_members]]),"N/A",VLOOKUP(A37,General2021[[organisation_name]:[number_of_international_committee_board_members_not_eea]],6,FALSE))</f>
        <v>N/A</v>
      </c>
      <c r="E37" t="str">
        <f>IF(ISBLANK(General2021[[#This Row],[number_of_committee_board_members]]),"N/A",VLOOKUP(A37,General2021!B:M,10,FALSE))</f>
        <v>N/A</v>
      </c>
      <c r="F37" t="str">
        <f>IFERROR(Data2021[[#This Row],[Number of members]]-Data2021[[#This Row],[Number of active members]], "N/A")</f>
        <v>N/A</v>
      </c>
      <c r="G37" t="str">
        <f>IFERROR(Data2021[[#This Row],[Number of active members]]/Data2021[[#This Row],[Number of members]], "N/A")</f>
        <v>N/A</v>
      </c>
      <c r="H37" t="str">
        <f>IFERROR(1-Data2021[[#This Row],[Percentage active members]],"N/A")</f>
        <v>N/A</v>
      </c>
      <c r="I37" t="str">
        <f>IF(Data2021[[#This Row],[Number of members]]=0,"N/A",IF(Data2021[[#This Row],[Number of members]]&lt;50," A. 1 - 50 ",IF(Data2021[[#This Row],[Number of members]]&lt;100, "B. 50 - 100", IF(Data2021[[#This Row],[Number of members]]&lt;400, "C. 100 - 400", IF(Data2021[[#This Row],[Number of members]]&lt;1000,"D. 400 - 1000", "E. 1000 +")))))</f>
        <v>E. 1000 +</v>
      </c>
      <c r="J37" t="str">
        <f>IF(ISBLANK(General2021[[#This Row],[number_of_international_members_not_eea]]),"N/A",VLOOKUP(A37,General2021[[organisation_name]:[number_of_international_committee_board_members_not_eea]],9,FALSE))</f>
        <v>N/A</v>
      </c>
      <c r="K37" t="str">
        <f>IF(ISBLANK(General2021[[#This Row],[number_of_international_members_eea]]),"N/A",VLOOKUP(A37,General2021[[organisation_name]:[number_of_international_committee_board_members_not_eea]],8,FALSE))</f>
        <v>N/A</v>
      </c>
      <c r="L37" t="str">
        <f>IFERROR(IF(Data2021[[#This Row],[Number of members]]-Data2021[[#This Row],[Non-EEA Total]]-Data2021[[#This Row],[EEA total]]&lt;1,"N/A", Data2021[[#This Row],[Number of members]]-Data2021[[#This Row],[Non-EEA Total]]-Data2021[[#This Row],[EEA total]]),"N/A")</f>
        <v>N/A</v>
      </c>
      <c r="M37">
        <f>VLOOKUP(A37,General2021[[organisation_name]:[number_of_international_committee_board_members_not_eea]],12,FALSE)</f>
        <v>0</v>
      </c>
      <c r="N37">
        <f>VLOOKUP(A37,General2021[[organisation_name]:[number_of_international_committee_board_members_not_eea]],11,FALSE)</f>
        <v>0</v>
      </c>
      <c r="O37" t="str">
        <f>IFERROR(IF(Data2021[[#This Row],[Number of active members]]-Data2021[[#This Row],[Non-EEA Active ]]-Data2021[[#This Row],[EEA Active]]&lt;1,"N/A", Data2021[[#This Row],[Number of active members]]-Data2021[[#This Row],[Non-EEA Active ]]-Data2021[[#This Row],[EEA Active]]),"N/A")</f>
        <v>N/A</v>
      </c>
      <c r="P37" t="str">
        <f>IFERROR(Data2021[[#This Row],[Non-EEA Active ]]/Data2021[[#This Row],[Number of active members]],"N/A")</f>
        <v>N/A</v>
      </c>
      <c r="Q37" t="str">
        <f>IFERROR(Data2021[[#This Row],[EEA Active]]/Data2021[[#This Row],[EEA total]], "N/A")</f>
        <v>N/A</v>
      </c>
      <c r="R37" t="str">
        <f>IFERROR(Data2021[[#This Row],[Dutch Active]]/Data2021[[#This Row],[Dutch total]],"N/A")</f>
        <v>N/A</v>
      </c>
      <c r="S37" t="str">
        <f>IFERROR(IF(Data2021[[#This Row],[Number of members]]=Data2021[[#This Row],[Non-EEA Total]]+Data2021[[#This Row],[EEA total]]+Data2021[[#This Row],[Dutch total]],"T","F"),"F")</f>
        <v>F</v>
      </c>
      <c r="T37" t="str">
        <f>IFERROR(IF(Data2021[[#This Row],[Number of active members]]=Data2021[[#This Row],[Non-EEA Active ]]+Data2021[[#This Row],[EEA Active]]+Data2021[[#This Row],[Dutch Active]],"T","F"),"F")</f>
        <v>F</v>
      </c>
      <c r="U37" t="str">
        <f>IFERROR(IF(Data2021[[#This Row],[Number of members]]-Data2021[[#This Row],[Non-EEA Active ]]-Data2021[[#This Row],[EEA Active]]-Data2021[[#This Row],[Dutch Active]]=Data2021[[#This Row],[Number of  inactive members]],"T","F"),"F")</f>
        <v>F</v>
      </c>
      <c r="V37" t="str">
        <f>IF(Data2021[[#This Row],[EEA Active]]&lt;=Data2021[[#This Row],[EEA total]],"T","F")</f>
        <v>T</v>
      </c>
      <c r="W37" t="str">
        <f>IF(Data2021[[#This Row],[Dutch Active]]&lt;=Data2021[[#This Row],[Dutch total]],"T","F")</f>
        <v>T</v>
      </c>
      <c r="X37" t="str">
        <f>IF(Data2021[[#This Row],[Non-EEA Active ]]&lt;=Data2021[[#This Row],[Non-EEA Total]],"T","F")</f>
        <v>T</v>
      </c>
      <c r="Y3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7" t="str">
        <f>IFERROR(VLOOKUP(Data2021[[#This Row],[organisation_name]],'Division Study Year Committees'!$A$1:$L$108,2,FALSE),"N/A")</f>
        <v>N/A</v>
      </c>
      <c r="AA37" t="str">
        <f>IFERROR(VLOOKUP(Data2021[[#This Row],[organisation_name]],'Division Study Year Committees'!$A$1:$L$108,3,FALSE),"N/A")</f>
        <v>N/A</v>
      </c>
      <c r="AB37" t="str">
        <f>IFERROR(VLOOKUP(Data2021[[#This Row],[organisation_name]],'Division Study Year Committees'!$A$1:$L$108,4,FALSE),"N/A")</f>
        <v>N/A</v>
      </c>
      <c r="AC37" t="str">
        <f>IFERROR(VLOOKUP(Data2021[[#This Row],[organisation_name]],'Division Study Year Committees'!$A$1:$L$108,5,FALSE), "N/A")</f>
        <v>N/A</v>
      </c>
      <c r="AD37" t="str">
        <f>IFERROR(VLOOKUP(Data2021[[#This Row],[organisation_name]],'Division Study Year Committees'!$A$1:$L$108,6,FALSE), "N/A")</f>
        <v>N/A</v>
      </c>
      <c r="AE37">
        <f>SUM(Data2021[[#This Row],[Number of first year comittee members]:[Number of 4+ year comittee members]])</f>
        <v>0</v>
      </c>
      <c r="AF37">
        <f>COUNTIF('Comittee2021'!D:D,Data2021[[#This Row],[organisation_name]])</f>
        <v>0</v>
      </c>
      <c r="AG37">
        <f>COUNTIFS('Comittee2021'!$D:$D,Data2021[[#This Row],[organisation_name]],'Comittee2021'!$O:$O,"strong decrease")</f>
        <v>0</v>
      </c>
      <c r="AH37">
        <f>COUNTIFS('Comittee2021'!$D:$D,Data2021[[#This Row],[organisation_name]],'Comittee2021'!$O:$O,"slight decrease")</f>
        <v>0</v>
      </c>
      <c r="AI37">
        <f>COUNTIFS('Comittee2021'!$D:$D,Data2021[[#This Row],[organisation_name]],'Comittee2021'!$O:$O,"no influence")</f>
        <v>0</v>
      </c>
      <c r="AJ37">
        <f>COUNTIFS('Comittee2021'!$D:$D,Data2021[[#This Row],[organisation_name]],'Comittee2021'!$O:$O,"slight increase")</f>
        <v>0</v>
      </c>
      <c r="AK37">
        <f>COUNTIFS('Comittee2021'!$D:$D,Data2021[[#This Row],[organisation_name]],'Comittee2021'!$O:$O,"strong increase")</f>
        <v>0</v>
      </c>
      <c r="AL37">
        <v>2021</v>
      </c>
    </row>
    <row r="38" spans="1:38" x14ac:dyDescent="0.3">
      <c r="A38" t="str">
        <f>General2021[[#This Row],[organisation_name]]</f>
        <v>A la Kart</v>
      </c>
      <c r="B38" t="str">
        <f>IF(General2021[[#This Row],[sector]]= "",VLOOKUP(Data2021[[#This Row],[organisation_name]],'Response Rate sheet'!A:D,3,FALSE),General2021[[#This Row],[sector]])</f>
        <v>Sports</v>
      </c>
      <c r="C38" t="str">
        <f>General2021[[#This Row],[organisation_type]]</f>
        <v>association</v>
      </c>
      <c r="D38" t="str">
        <f>IF(ISBLANK(General2021[[#This Row],[number_of_members]]),"N/A",VLOOKUP(A38,General2021[[organisation_name]:[number_of_international_committee_board_members_not_eea]],6,FALSE))</f>
        <v>N/A</v>
      </c>
      <c r="E38" t="str">
        <f>IF(ISBLANK(General2021[[#This Row],[number_of_committee_board_members]]),"N/A",VLOOKUP(A38,General2021!B:M,10,FALSE))</f>
        <v>N/A</v>
      </c>
      <c r="F38" t="str">
        <f>IFERROR(Data2021[[#This Row],[Number of members]]-Data2021[[#This Row],[Number of active members]], "N/A")</f>
        <v>N/A</v>
      </c>
      <c r="G38" t="str">
        <f>IFERROR(Data2021[[#This Row],[Number of active members]]/Data2021[[#This Row],[Number of members]], "N/A")</f>
        <v>N/A</v>
      </c>
      <c r="H38" t="str">
        <f>IFERROR(1-Data2021[[#This Row],[Percentage active members]],"N/A")</f>
        <v>N/A</v>
      </c>
      <c r="I38" t="str">
        <f>IF(Data2021[[#This Row],[Number of members]]=0,"N/A",IF(Data2021[[#This Row],[Number of members]]&lt;50," A. 1 - 50 ",IF(Data2021[[#This Row],[Number of members]]&lt;100, "B. 50 - 100", IF(Data2021[[#This Row],[Number of members]]&lt;400, "C. 100 - 400", IF(Data2021[[#This Row],[Number of members]]&lt;1000,"D. 400 - 1000", "E. 1000 +")))))</f>
        <v>E. 1000 +</v>
      </c>
      <c r="J38" t="str">
        <f>IF(ISBLANK(General2021[[#This Row],[number_of_international_members_not_eea]]),"N/A",VLOOKUP(A38,General2021[[organisation_name]:[number_of_international_committee_board_members_not_eea]],9,FALSE))</f>
        <v>N/A</v>
      </c>
      <c r="K38" t="str">
        <f>IF(ISBLANK(General2021[[#This Row],[number_of_international_members_eea]]),"N/A",VLOOKUP(A38,General2021[[organisation_name]:[number_of_international_committee_board_members_not_eea]],8,FALSE))</f>
        <v>N/A</v>
      </c>
      <c r="L38" t="str">
        <f>IFERROR(IF(Data2021[[#This Row],[Number of members]]-Data2021[[#This Row],[Non-EEA Total]]-Data2021[[#This Row],[EEA total]]&lt;1,"N/A", Data2021[[#This Row],[Number of members]]-Data2021[[#This Row],[Non-EEA Total]]-Data2021[[#This Row],[EEA total]]),"N/A")</f>
        <v>N/A</v>
      </c>
      <c r="M38">
        <f>VLOOKUP(A38,General2021[[organisation_name]:[number_of_international_committee_board_members_not_eea]],12,FALSE)</f>
        <v>0</v>
      </c>
      <c r="N38">
        <f>VLOOKUP(A38,General2021[[organisation_name]:[number_of_international_committee_board_members_not_eea]],11,FALSE)</f>
        <v>0</v>
      </c>
      <c r="O38" t="str">
        <f>IFERROR(IF(Data2021[[#This Row],[Number of active members]]-Data2021[[#This Row],[Non-EEA Active ]]-Data2021[[#This Row],[EEA Active]]&lt;1,"N/A", Data2021[[#This Row],[Number of active members]]-Data2021[[#This Row],[Non-EEA Active ]]-Data2021[[#This Row],[EEA Active]]),"N/A")</f>
        <v>N/A</v>
      </c>
      <c r="P38" t="str">
        <f>IFERROR(Data2021[[#This Row],[Non-EEA Active ]]/Data2021[[#This Row],[Number of active members]],"N/A")</f>
        <v>N/A</v>
      </c>
      <c r="Q38" t="str">
        <f>IFERROR(Data2021[[#This Row],[EEA Active]]/Data2021[[#This Row],[EEA total]], "N/A")</f>
        <v>N/A</v>
      </c>
      <c r="R38" t="str">
        <f>IFERROR(Data2021[[#This Row],[Dutch Active]]/Data2021[[#This Row],[Dutch total]],"N/A")</f>
        <v>N/A</v>
      </c>
      <c r="S38" t="str">
        <f>IFERROR(IF(Data2021[[#This Row],[Number of members]]=Data2021[[#This Row],[Non-EEA Total]]+Data2021[[#This Row],[EEA total]]+Data2021[[#This Row],[Dutch total]],"T","F"),"F")</f>
        <v>F</v>
      </c>
      <c r="T38" t="str">
        <f>IFERROR(IF(Data2021[[#This Row],[Number of active members]]=Data2021[[#This Row],[Non-EEA Active ]]+Data2021[[#This Row],[EEA Active]]+Data2021[[#This Row],[Dutch Active]],"T","F"),"F")</f>
        <v>F</v>
      </c>
      <c r="U38" t="str">
        <f>IFERROR(IF(Data2021[[#This Row],[Number of members]]-Data2021[[#This Row],[Non-EEA Active ]]-Data2021[[#This Row],[EEA Active]]-Data2021[[#This Row],[Dutch Active]]=Data2021[[#This Row],[Number of  inactive members]],"T","F"),"F")</f>
        <v>F</v>
      </c>
      <c r="V38" t="str">
        <f>IF(Data2021[[#This Row],[EEA Active]]&lt;=Data2021[[#This Row],[EEA total]],"T","F")</f>
        <v>T</v>
      </c>
      <c r="W38" t="str">
        <f>IF(Data2021[[#This Row],[Dutch Active]]&lt;=Data2021[[#This Row],[Dutch total]],"T","F")</f>
        <v>T</v>
      </c>
      <c r="X38" t="str">
        <f>IF(Data2021[[#This Row],[Non-EEA Active ]]&lt;=Data2021[[#This Row],[Non-EEA Total]],"T","F")</f>
        <v>T</v>
      </c>
      <c r="Y3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8" t="str">
        <f>IFERROR(VLOOKUP(Data2021[[#This Row],[organisation_name]],'Division Study Year Committees'!$A$1:$L$108,2,FALSE),"N/A")</f>
        <v>N/A</v>
      </c>
      <c r="AA38" t="str">
        <f>IFERROR(VLOOKUP(Data2021[[#This Row],[organisation_name]],'Division Study Year Committees'!$A$1:$L$108,3,FALSE),"N/A")</f>
        <v>N/A</v>
      </c>
      <c r="AB38" t="str">
        <f>IFERROR(VLOOKUP(Data2021[[#This Row],[organisation_name]],'Division Study Year Committees'!$A$1:$L$108,4,FALSE),"N/A")</f>
        <v>N/A</v>
      </c>
      <c r="AC38" t="str">
        <f>IFERROR(VLOOKUP(Data2021[[#This Row],[organisation_name]],'Division Study Year Committees'!$A$1:$L$108,5,FALSE), "N/A")</f>
        <v>N/A</v>
      </c>
      <c r="AD38" t="str">
        <f>IFERROR(VLOOKUP(Data2021[[#This Row],[organisation_name]],'Division Study Year Committees'!$A$1:$L$108,6,FALSE), "N/A")</f>
        <v>N/A</v>
      </c>
      <c r="AE38">
        <f>SUM(Data2021[[#This Row],[Number of first year comittee members]:[Number of 4+ year comittee members]])</f>
        <v>0</v>
      </c>
      <c r="AF38">
        <f>COUNTIF('Comittee2021'!D:D,Data2021[[#This Row],[organisation_name]])</f>
        <v>0</v>
      </c>
      <c r="AG38">
        <f>COUNTIFS('Comittee2021'!$D:$D,Data2021[[#This Row],[organisation_name]],'Comittee2021'!$O:$O,"strong decrease")</f>
        <v>0</v>
      </c>
      <c r="AH38">
        <f>COUNTIFS('Comittee2021'!$D:$D,Data2021[[#This Row],[organisation_name]],'Comittee2021'!$O:$O,"slight decrease")</f>
        <v>0</v>
      </c>
      <c r="AI38">
        <f>COUNTIFS('Comittee2021'!$D:$D,Data2021[[#This Row],[organisation_name]],'Comittee2021'!$O:$O,"no influence")</f>
        <v>0</v>
      </c>
      <c r="AJ38">
        <f>COUNTIFS('Comittee2021'!$D:$D,Data2021[[#This Row],[organisation_name]],'Comittee2021'!$O:$O,"slight increase")</f>
        <v>0</v>
      </c>
      <c r="AK38">
        <f>COUNTIFS('Comittee2021'!$D:$D,Data2021[[#This Row],[organisation_name]],'Comittee2021'!$O:$O,"strong increase")</f>
        <v>0</v>
      </c>
      <c r="AL38">
        <v>2021</v>
      </c>
    </row>
    <row r="39" spans="1:38" x14ac:dyDescent="0.3">
      <c r="A39" t="str">
        <f>General2021[[#This Row],[organisation_name]]</f>
        <v>BSV de Stoottroepen</v>
      </c>
      <c r="B39" t="str">
        <f>IF(General2021[[#This Row],[sector]]= "",VLOOKUP(Data2021[[#This Row],[organisation_name]],'Response Rate sheet'!A:D,3,FALSE),General2021[[#This Row],[sector]])</f>
        <v>sports</v>
      </c>
      <c r="C39" t="str">
        <f>General2021[[#This Row],[organisation_type]]</f>
        <v>association</v>
      </c>
      <c r="D39" t="str">
        <f>IF(ISBLANK(General2021[[#This Row],[number_of_members]]),"N/A",VLOOKUP(A39,General2021[[organisation_name]:[number_of_international_committee_board_members_not_eea]],6,FALSE))</f>
        <v>N/A</v>
      </c>
      <c r="E39" t="str">
        <f>IF(ISBLANK(General2021[[#This Row],[number_of_committee_board_members]]),"N/A",VLOOKUP(A39,General2021!B:M,10,FALSE))</f>
        <v>N/A</v>
      </c>
      <c r="F39" t="str">
        <f>IFERROR(Data2021[[#This Row],[Number of members]]-Data2021[[#This Row],[Number of active members]], "N/A")</f>
        <v>N/A</v>
      </c>
      <c r="G39" t="str">
        <f>IFERROR(Data2021[[#This Row],[Number of active members]]/Data2021[[#This Row],[Number of members]], "N/A")</f>
        <v>N/A</v>
      </c>
      <c r="H39" t="str">
        <f>IFERROR(1-Data2021[[#This Row],[Percentage active members]],"N/A")</f>
        <v>N/A</v>
      </c>
      <c r="I39" t="str">
        <f>IF(Data2021[[#This Row],[Number of members]]=0,"N/A",IF(Data2021[[#This Row],[Number of members]]&lt;50," A. 1 - 50 ",IF(Data2021[[#This Row],[Number of members]]&lt;100, "B. 50 - 100", IF(Data2021[[#This Row],[Number of members]]&lt;400, "C. 100 - 400", IF(Data2021[[#This Row],[Number of members]]&lt;1000,"D. 400 - 1000", "E. 1000 +")))))</f>
        <v>E. 1000 +</v>
      </c>
      <c r="J39" t="str">
        <f>IF(ISBLANK(General2021[[#This Row],[number_of_international_members_not_eea]]),"N/A",VLOOKUP(A39,General2021[[organisation_name]:[number_of_international_committee_board_members_not_eea]],9,FALSE))</f>
        <v>N/A</v>
      </c>
      <c r="K39" t="str">
        <f>IF(ISBLANK(General2021[[#This Row],[number_of_international_members_eea]]),"N/A",VLOOKUP(A39,General2021[[organisation_name]:[number_of_international_committee_board_members_not_eea]],8,FALSE))</f>
        <v>N/A</v>
      </c>
      <c r="L39" t="str">
        <f>IFERROR(IF(Data2021[[#This Row],[Number of members]]-Data2021[[#This Row],[Non-EEA Total]]-Data2021[[#This Row],[EEA total]]&lt;1,"N/A", Data2021[[#This Row],[Number of members]]-Data2021[[#This Row],[Non-EEA Total]]-Data2021[[#This Row],[EEA total]]),"N/A")</f>
        <v>N/A</v>
      </c>
      <c r="M39">
        <f>VLOOKUP(A39,General2021[[organisation_name]:[number_of_international_committee_board_members_not_eea]],12,FALSE)</f>
        <v>0</v>
      </c>
      <c r="N39">
        <f>VLOOKUP(A39,General2021[[organisation_name]:[number_of_international_committee_board_members_not_eea]],11,FALSE)</f>
        <v>0</v>
      </c>
      <c r="O39" t="str">
        <f>IFERROR(IF(Data2021[[#This Row],[Number of active members]]-Data2021[[#This Row],[Non-EEA Active ]]-Data2021[[#This Row],[EEA Active]]&lt;1,"N/A", Data2021[[#This Row],[Number of active members]]-Data2021[[#This Row],[Non-EEA Active ]]-Data2021[[#This Row],[EEA Active]]),"N/A")</f>
        <v>N/A</v>
      </c>
      <c r="P39" t="str">
        <f>IFERROR(Data2021[[#This Row],[Non-EEA Active ]]/Data2021[[#This Row],[Number of active members]],"N/A")</f>
        <v>N/A</v>
      </c>
      <c r="Q39" t="str">
        <f>IFERROR(Data2021[[#This Row],[EEA Active]]/Data2021[[#This Row],[EEA total]], "N/A")</f>
        <v>N/A</v>
      </c>
      <c r="R39" t="str">
        <f>IFERROR(Data2021[[#This Row],[Dutch Active]]/Data2021[[#This Row],[Dutch total]],"N/A")</f>
        <v>N/A</v>
      </c>
      <c r="S39" t="str">
        <f>IFERROR(IF(Data2021[[#This Row],[Number of members]]=Data2021[[#This Row],[Non-EEA Total]]+Data2021[[#This Row],[EEA total]]+Data2021[[#This Row],[Dutch total]],"T","F"),"F")</f>
        <v>F</v>
      </c>
      <c r="T39" t="str">
        <f>IFERROR(IF(Data2021[[#This Row],[Number of active members]]=Data2021[[#This Row],[Non-EEA Active ]]+Data2021[[#This Row],[EEA Active]]+Data2021[[#This Row],[Dutch Active]],"T","F"),"F")</f>
        <v>F</v>
      </c>
      <c r="U39" t="str">
        <f>IFERROR(IF(Data2021[[#This Row],[Number of members]]-Data2021[[#This Row],[Non-EEA Active ]]-Data2021[[#This Row],[EEA Active]]-Data2021[[#This Row],[Dutch Active]]=Data2021[[#This Row],[Number of  inactive members]],"T","F"),"F")</f>
        <v>F</v>
      </c>
      <c r="V39" t="str">
        <f>IF(Data2021[[#This Row],[EEA Active]]&lt;=Data2021[[#This Row],[EEA total]],"T","F")</f>
        <v>T</v>
      </c>
      <c r="W39" t="str">
        <f>IF(Data2021[[#This Row],[Dutch Active]]&lt;=Data2021[[#This Row],[Dutch total]],"T","F")</f>
        <v>T</v>
      </c>
      <c r="X39" t="str">
        <f>IF(Data2021[[#This Row],[Non-EEA Active ]]&lt;=Data2021[[#This Row],[Non-EEA Total]],"T","F")</f>
        <v>T</v>
      </c>
      <c r="Y3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39" t="str">
        <f>IFERROR(VLOOKUP(Data2021[[#This Row],[organisation_name]],'Division Study Year Committees'!$A$1:$L$108,2,FALSE),"N/A")</f>
        <v>N/A</v>
      </c>
      <c r="AA39" t="str">
        <f>IFERROR(VLOOKUP(Data2021[[#This Row],[organisation_name]],'Division Study Year Committees'!$A$1:$L$108,3,FALSE),"N/A")</f>
        <v>N/A</v>
      </c>
      <c r="AB39" t="str">
        <f>IFERROR(VLOOKUP(Data2021[[#This Row],[organisation_name]],'Division Study Year Committees'!$A$1:$L$108,4,FALSE),"N/A")</f>
        <v>N/A</v>
      </c>
      <c r="AC39" t="str">
        <f>IFERROR(VLOOKUP(Data2021[[#This Row],[organisation_name]],'Division Study Year Committees'!$A$1:$L$108,5,FALSE), "N/A")</f>
        <v>N/A</v>
      </c>
      <c r="AD39" t="str">
        <f>IFERROR(VLOOKUP(Data2021[[#This Row],[organisation_name]],'Division Study Year Committees'!$A$1:$L$108,6,FALSE), "N/A")</f>
        <v>N/A</v>
      </c>
      <c r="AE39">
        <f>SUM(Data2021[[#This Row],[Number of first year comittee members]:[Number of 4+ year comittee members]])</f>
        <v>0</v>
      </c>
      <c r="AF39">
        <f>COUNTIF('Comittee2021'!D:D,Data2021[[#This Row],[organisation_name]])</f>
        <v>0</v>
      </c>
      <c r="AG39">
        <f>COUNTIFS('Comittee2021'!$D:$D,Data2021[[#This Row],[organisation_name]],'Comittee2021'!$O:$O,"strong decrease")</f>
        <v>0</v>
      </c>
      <c r="AH39">
        <f>COUNTIFS('Comittee2021'!$D:$D,Data2021[[#This Row],[organisation_name]],'Comittee2021'!$O:$O,"slight decrease")</f>
        <v>0</v>
      </c>
      <c r="AI39">
        <f>COUNTIFS('Comittee2021'!$D:$D,Data2021[[#This Row],[organisation_name]],'Comittee2021'!$O:$O,"no influence")</f>
        <v>0</v>
      </c>
      <c r="AJ39">
        <f>COUNTIFS('Comittee2021'!$D:$D,Data2021[[#This Row],[organisation_name]],'Comittee2021'!$O:$O,"slight increase")</f>
        <v>0</v>
      </c>
      <c r="AK39">
        <f>COUNTIFS('Comittee2021'!$D:$D,Data2021[[#This Row],[organisation_name]],'Comittee2021'!$O:$O,"strong increase")</f>
        <v>0</v>
      </c>
      <c r="AL39">
        <v>2021</v>
      </c>
    </row>
    <row r="40" spans="1:38" x14ac:dyDescent="0.3">
      <c r="A40" t="str">
        <f>General2021[[#This Row],[organisation_name]]</f>
        <v>SV Muurvast</v>
      </c>
      <c r="B40" t="str">
        <f>IF(General2021[[#This Row],[sector]]= "",VLOOKUP(Data2021[[#This Row],[organisation_name]],'Response Rate sheet'!A:D,3,FALSE),General2021[[#This Row],[sector]])</f>
        <v>Sports</v>
      </c>
      <c r="C40" t="str">
        <f>General2021[[#This Row],[organisation_type]]</f>
        <v>association</v>
      </c>
      <c r="D40" t="str">
        <f>IF(ISBLANK(General2021[[#This Row],[number_of_members]]),"N/A",VLOOKUP(A40,General2021[[organisation_name]:[number_of_international_committee_board_members_not_eea]],6,FALSE))</f>
        <v>N/A</v>
      </c>
      <c r="E40" t="str">
        <f>IF(ISBLANK(General2021[[#This Row],[number_of_committee_board_members]]),"N/A",VLOOKUP(A40,General2021!B:M,10,FALSE))</f>
        <v>N/A</v>
      </c>
      <c r="F40" t="str">
        <f>IFERROR(Data2021[[#This Row],[Number of members]]-Data2021[[#This Row],[Number of active members]], "N/A")</f>
        <v>N/A</v>
      </c>
      <c r="G40" t="str">
        <f>IFERROR(Data2021[[#This Row],[Number of active members]]/Data2021[[#This Row],[Number of members]], "N/A")</f>
        <v>N/A</v>
      </c>
      <c r="H40" t="str">
        <f>IFERROR(1-Data2021[[#This Row],[Percentage active members]],"N/A")</f>
        <v>N/A</v>
      </c>
      <c r="I40" t="str">
        <f>IF(Data2021[[#This Row],[Number of members]]=0,"N/A",IF(Data2021[[#This Row],[Number of members]]&lt;50," A. 1 - 50 ",IF(Data2021[[#This Row],[Number of members]]&lt;100, "B. 50 - 100", IF(Data2021[[#This Row],[Number of members]]&lt;400, "C. 100 - 400", IF(Data2021[[#This Row],[Number of members]]&lt;1000,"D. 400 - 1000", "E. 1000 +")))))</f>
        <v>E. 1000 +</v>
      </c>
      <c r="J40" t="str">
        <f>IF(ISBLANK(General2021[[#This Row],[number_of_international_members_not_eea]]),"N/A",VLOOKUP(A40,General2021[[organisation_name]:[number_of_international_committee_board_members_not_eea]],9,FALSE))</f>
        <v>N/A</v>
      </c>
      <c r="K40" t="str">
        <f>IF(ISBLANK(General2021[[#This Row],[number_of_international_members_eea]]),"N/A",VLOOKUP(A40,General2021[[organisation_name]:[number_of_international_committee_board_members_not_eea]],8,FALSE))</f>
        <v>N/A</v>
      </c>
      <c r="L40" t="str">
        <f>IFERROR(IF(Data2021[[#This Row],[Number of members]]-Data2021[[#This Row],[Non-EEA Total]]-Data2021[[#This Row],[EEA total]]&lt;1,"N/A", Data2021[[#This Row],[Number of members]]-Data2021[[#This Row],[Non-EEA Total]]-Data2021[[#This Row],[EEA total]]),"N/A")</f>
        <v>N/A</v>
      </c>
      <c r="M40">
        <f>VLOOKUP(A40,General2021[[organisation_name]:[number_of_international_committee_board_members_not_eea]],12,FALSE)</f>
        <v>0</v>
      </c>
      <c r="N40">
        <f>VLOOKUP(A40,General2021[[organisation_name]:[number_of_international_committee_board_members_not_eea]],11,FALSE)</f>
        <v>0</v>
      </c>
      <c r="O40" t="str">
        <f>IFERROR(IF(Data2021[[#This Row],[Number of active members]]-Data2021[[#This Row],[Non-EEA Active ]]-Data2021[[#This Row],[EEA Active]]&lt;1,"N/A", Data2021[[#This Row],[Number of active members]]-Data2021[[#This Row],[Non-EEA Active ]]-Data2021[[#This Row],[EEA Active]]),"N/A")</f>
        <v>N/A</v>
      </c>
      <c r="P40" t="str">
        <f>IFERROR(Data2021[[#This Row],[Non-EEA Active ]]/Data2021[[#This Row],[Number of active members]],"N/A")</f>
        <v>N/A</v>
      </c>
      <c r="Q40" t="str">
        <f>IFERROR(Data2021[[#This Row],[EEA Active]]/Data2021[[#This Row],[EEA total]], "N/A")</f>
        <v>N/A</v>
      </c>
      <c r="R40" t="str">
        <f>IFERROR(Data2021[[#This Row],[Dutch Active]]/Data2021[[#This Row],[Dutch total]],"N/A")</f>
        <v>N/A</v>
      </c>
      <c r="S40" t="str">
        <f>IFERROR(IF(Data2021[[#This Row],[Number of members]]=Data2021[[#This Row],[Non-EEA Total]]+Data2021[[#This Row],[EEA total]]+Data2021[[#This Row],[Dutch total]],"T","F"),"F")</f>
        <v>F</v>
      </c>
      <c r="T40" t="str">
        <f>IFERROR(IF(Data2021[[#This Row],[Number of active members]]=Data2021[[#This Row],[Non-EEA Active ]]+Data2021[[#This Row],[EEA Active]]+Data2021[[#This Row],[Dutch Active]],"T","F"),"F")</f>
        <v>F</v>
      </c>
      <c r="U40" t="str">
        <f>IFERROR(IF(Data2021[[#This Row],[Number of members]]-Data2021[[#This Row],[Non-EEA Active ]]-Data2021[[#This Row],[EEA Active]]-Data2021[[#This Row],[Dutch Active]]=Data2021[[#This Row],[Number of  inactive members]],"T","F"),"F")</f>
        <v>F</v>
      </c>
      <c r="V40" t="str">
        <f>IF(Data2021[[#This Row],[EEA Active]]&lt;=Data2021[[#This Row],[EEA total]],"T","F")</f>
        <v>T</v>
      </c>
      <c r="W40" t="str">
        <f>IF(Data2021[[#This Row],[Dutch Active]]&lt;=Data2021[[#This Row],[Dutch total]],"T","F")</f>
        <v>T</v>
      </c>
      <c r="X40" t="str">
        <f>IF(Data2021[[#This Row],[Non-EEA Active ]]&lt;=Data2021[[#This Row],[Non-EEA Total]],"T","F")</f>
        <v>T</v>
      </c>
      <c r="Y4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0" t="str">
        <f>IFERROR(VLOOKUP(Data2021[[#This Row],[organisation_name]],'Division Study Year Committees'!$A$1:$L$108,2,FALSE),"N/A")</f>
        <v>N/A</v>
      </c>
      <c r="AA40" t="str">
        <f>IFERROR(VLOOKUP(Data2021[[#This Row],[organisation_name]],'Division Study Year Committees'!$A$1:$L$108,3,FALSE),"N/A")</f>
        <v>N/A</v>
      </c>
      <c r="AB40" t="str">
        <f>IFERROR(VLOOKUP(Data2021[[#This Row],[organisation_name]],'Division Study Year Committees'!$A$1:$L$108,4,FALSE),"N/A")</f>
        <v>N/A</v>
      </c>
      <c r="AC40" t="str">
        <f>IFERROR(VLOOKUP(Data2021[[#This Row],[organisation_name]],'Division Study Year Committees'!$A$1:$L$108,5,FALSE), "N/A")</f>
        <v>N/A</v>
      </c>
      <c r="AD40" t="str">
        <f>IFERROR(VLOOKUP(Data2021[[#This Row],[organisation_name]],'Division Study Year Committees'!$A$1:$L$108,6,FALSE), "N/A")</f>
        <v>N/A</v>
      </c>
      <c r="AE40">
        <f>SUM(Data2021[[#This Row],[Number of first year comittee members]:[Number of 4+ year comittee members]])</f>
        <v>0</v>
      </c>
      <c r="AF40">
        <f>COUNTIF('Comittee2021'!D:D,Data2021[[#This Row],[organisation_name]])</f>
        <v>0</v>
      </c>
      <c r="AG40">
        <f>COUNTIFS('Comittee2021'!$D:$D,Data2021[[#This Row],[organisation_name]],'Comittee2021'!$O:$O,"strong decrease")</f>
        <v>0</v>
      </c>
      <c r="AH40">
        <f>COUNTIFS('Comittee2021'!$D:$D,Data2021[[#This Row],[organisation_name]],'Comittee2021'!$O:$O,"slight decrease")</f>
        <v>0</v>
      </c>
      <c r="AI40">
        <f>COUNTIFS('Comittee2021'!$D:$D,Data2021[[#This Row],[organisation_name]],'Comittee2021'!$O:$O,"no influence")</f>
        <v>0</v>
      </c>
      <c r="AJ40">
        <f>COUNTIFS('Comittee2021'!$D:$D,Data2021[[#This Row],[organisation_name]],'Comittee2021'!$O:$O,"slight increase")</f>
        <v>0</v>
      </c>
      <c r="AK40">
        <f>COUNTIFS('Comittee2021'!$D:$D,Data2021[[#This Row],[organisation_name]],'Comittee2021'!$O:$O,"strong increase")</f>
        <v>0</v>
      </c>
      <c r="AL40">
        <v>2021</v>
      </c>
    </row>
    <row r="41" spans="1:38" x14ac:dyDescent="0.3">
      <c r="A41" t="str">
        <f>General2021[[#This Row],[organisation_name]]</f>
        <v>DKV De Zeeuven Reen</v>
      </c>
      <c r="B41" t="str">
        <f>IF(General2021[[#This Row],[sector]]= "",VLOOKUP(Data2021[[#This Row],[organisation_name]],'Response Rate sheet'!A:D,3,FALSE),General2021[[#This Row],[sector]])</f>
        <v>Sports</v>
      </c>
      <c r="C41" t="str">
        <f>General2021[[#This Row],[organisation_type]]</f>
        <v>association</v>
      </c>
      <c r="D41" t="str">
        <f>IF(ISBLANK(General2021[[#This Row],[number_of_members]]),"N/A",VLOOKUP(A41,General2021[[organisation_name]:[number_of_international_committee_board_members_not_eea]],6,FALSE))</f>
        <v>N/A</v>
      </c>
      <c r="E41" t="str">
        <f>IF(ISBLANK(General2021[[#This Row],[number_of_committee_board_members]]),"N/A",VLOOKUP(A41,General2021!B:M,10,FALSE))</f>
        <v>N/A</v>
      </c>
      <c r="F41" t="str">
        <f>IFERROR(Data2021[[#This Row],[Number of members]]-Data2021[[#This Row],[Number of active members]], "N/A")</f>
        <v>N/A</v>
      </c>
      <c r="G41" t="str">
        <f>IFERROR(Data2021[[#This Row],[Number of active members]]/Data2021[[#This Row],[Number of members]], "N/A")</f>
        <v>N/A</v>
      </c>
      <c r="H41" t="str">
        <f>IFERROR(1-Data2021[[#This Row],[Percentage active members]],"N/A")</f>
        <v>N/A</v>
      </c>
      <c r="I41" t="str">
        <f>IF(Data2021[[#This Row],[Number of members]]=0,"N/A",IF(Data2021[[#This Row],[Number of members]]&lt;50," A. 1 - 50 ",IF(Data2021[[#This Row],[Number of members]]&lt;100, "B. 50 - 100", IF(Data2021[[#This Row],[Number of members]]&lt;400, "C. 100 - 400", IF(Data2021[[#This Row],[Number of members]]&lt;1000,"D. 400 - 1000", "E. 1000 +")))))</f>
        <v>E. 1000 +</v>
      </c>
      <c r="J41" t="str">
        <f>IF(ISBLANK(General2021[[#This Row],[number_of_international_members_not_eea]]),"N/A",VLOOKUP(A41,General2021[[organisation_name]:[number_of_international_committee_board_members_not_eea]],9,FALSE))</f>
        <v>N/A</v>
      </c>
      <c r="K41" t="str">
        <f>IF(ISBLANK(General2021[[#This Row],[number_of_international_members_eea]]),"N/A",VLOOKUP(A41,General2021[[organisation_name]:[number_of_international_committee_board_members_not_eea]],8,FALSE))</f>
        <v>N/A</v>
      </c>
      <c r="L41" t="str">
        <f>IFERROR(IF(Data2021[[#This Row],[Number of members]]-Data2021[[#This Row],[Non-EEA Total]]-Data2021[[#This Row],[EEA total]]&lt;1,"N/A", Data2021[[#This Row],[Number of members]]-Data2021[[#This Row],[Non-EEA Total]]-Data2021[[#This Row],[EEA total]]),"N/A")</f>
        <v>N/A</v>
      </c>
      <c r="M41">
        <f>VLOOKUP(A41,General2021[[organisation_name]:[number_of_international_committee_board_members_not_eea]],12,FALSE)</f>
        <v>0</v>
      </c>
      <c r="N41">
        <f>VLOOKUP(A41,General2021[[organisation_name]:[number_of_international_committee_board_members_not_eea]],11,FALSE)</f>
        <v>0</v>
      </c>
      <c r="O41" t="str">
        <f>IFERROR(IF(Data2021[[#This Row],[Number of active members]]-Data2021[[#This Row],[Non-EEA Active ]]-Data2021[[#This Row],[EEA Active]]&lt;1,"N/A", Data2021[[#This Row],[Number of active members]]-Data2021[[#This Row],[Non-EEA Active ]]-Data2021[[#This Row],[EEA Active]]),"N/A")</f>
        <v>N/A</v>
      </c>
      <c r="P41" t="str">
        <f>IFERROR(Data2021[[#This Row],[Non-EEA Active ]]/Data2021[[#This Row],[Number of active members]],"N/A")</f>
        <v>N/A</v>
      </c>
      <c r="Q41" t="str">
        <f>IFERROR(Data2021[[#This Row],[EEA Active]]/Data2021[[#This Row],[EEA total]], "N/A")</f>
        <v>N/A</v>
      </c>
      <c r="R41" t="str">
        <f>IFERROR(Data2021[[#This Row],[Dutch Active]]/Data2021[[#This Row],[Dutch total]],"N/A")</f>
        <v>N/A</v>
      </c>
      <c r="S41" t="str">
        <f>IFERROR(IF(Data2021[[#This Row],[Number of members]]=Data2021[[#This Row],[Non-EEA Total]]+Data2021[[#This Row],[EEA total]]+Data2021[[#This Row],[Dutch total]],"T","F"),"F")</f>
        <v>F</v>
      </c>
      <c r="T41" t="str">
        <f>IFERROR(IF(Data2021[[#This Row],[Number of active members]]=Data2021[[#This Row],[Non-EEA Active ]]+Data2021[[#This Row],[EEA Active]]+Data2021[[#This Row],[Dutch Active]],"T","F"),"F")</f>
        <v>F</v>
      </c>
      <c r="U41" t="str">
        <f>IFERROR(IF(Data2021[[#This Row],[Number of members]]-Data2021[[#This Row],[Non-EEA Active ]]-Data2021[[#This Row],[EEA Active]]-Data2021[[#This Row],[Dutch Active]]=Data2021[[#This Row],[Number of  inactive members]],"T","F"),"F")</f>
        <v>F</v>
      </c>
      <c r="V41" t="str">
        <f>IF(Data2021[[#This Row],[EEA Active]]&lt;=Data2021[[#This Row],[EEA total]],"T","F")</f>
        <v>T</v>
      </c>
      <c r="W41" t="str">
        <f>IF(Data2021[[#This Row],[Dutch Active]]&lt;=Data2021[[#This Row],[Dutch total]],"T","F")</f>
        <v>T</v>
      </c>
      <c r="X41" t="str">
        <f>IF(Data2021[[#This Row],[Non-EEA Active ]]&lt;=Data2021[[#This Row],[Non-EEA Total]],"T","F")</f>
        <v>T</v>
      </c>
      <c r="Y4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1" t="str">
        <f>IFERROR(VLOOKUP(Data2021[[#This Row],[organisation_name]],'Division Study Year Committees'!$A$1:$L$108,2,FALSE),"N/A")</f>
        <v>N/A</v>
      </c>
      <c r="AA41" t="str">
        <f>IFERROR(VLOOKUP(Data2021[[#This Row],[organisation_name]],'Division Study Year Committees'!$A$1:$L$108,3,FALSE),"N/A")</f>
        <v>N/A</v>
      </c>
      <c r="AB41" t="str">
        <f>IFERROR(VLOOKUP(Data2021[[#This Row],[organisation_name]],'Division Study Year Committees'!$A$1:$L$108,4,FALSE),"N/A")</f>
        <v>N/A</v>
      </c>
      <c r="AC41" t="str">
        <f>IFERROR(VLOOKUP(Data2021[[#This Row],[organisation_name]],'Division Study Year Committees'!$A$1:$L$108,5,FALSE), "N/A")</f>
        <v>N/A</v>
      </c>
      <c r="AD41" t="str">
        <f>IFERROR(VLOOKUP(Data2021[[#This Row],[organisation_name]],'Division Study Year Committees'!$A$1:$L$108,6,FALSE), "N/A")</f>
        <v>N/A</v>
      </c>
      <c r="AE41">
        <f>SUM(Data2021[[#This Row],[Number of first year comittee members]:[Number of 4+ year comittee members]])</f>
        <v>0</v>
      </c>
      <c r="AF41">
        <f>COUNTIF('Comittee2021'!D:D,Data2021[[#This Row],[organisation_name]])</f>
        <v>0</v>
      </c>
      <c r="AG41">
        <f>COUNTIFS('Comittee2021'!$D:$D,Data2021[[#This Row],[organisation_name]],'Comittee2021'!$O:$O,"strong decrease")</f>
        <v>0</v>
      </c>
      <c r="AH41">
        <f>COUNTIFS('Comittee2021'!$D:$D,Data2021[[#This Row],[organisation_name]],'Comittee2021'!$O:$O,"slight decrease")</f>
        <v>0</v>
      </c>
      <c r="AI41">
        <f>COUNTIFS('Comittee2021'!$D:$D,Data2021[[#This Row],[organisation_name]],'Comittee2021'!$O:$O,"no influence")</f>
        <v>0</v>
      </c>
      <c r="AJ41">
        <f>COUNTIFS('Comittee2021'!$D:$D,Data2021[[#This Row],[organisation_name]],'Comittee2021'!$O:$O,"slight increase")</f>
        <v>0</v>
      </c>
      <c r="AK41">
        <f>COUNTIFS('Comittee2021'!$D:$D,Data2021[[#This Row],[organisation_name]],'Comittee2021'!$O:$O,"strong increase")</f>
        <v>0</v>
      </c>
      <c r="AL41">
        <v>2021</v>
      </c>
    </row>
    <row r="42" spans="1:38" x14ac:dyDescent="0.3">
      <c r="A42" t="str">
        <f>General2021[[#This Row],[organisation_name]]</f>
        <v>BlueShell</v>
      </c>
      <c r="B42" t="str">
        <f>IF(General2021[[#This Row],[sector]]= "",VLOOKUP(Data2021[[#This Row],[organisation_name]],'Response Rate sheet'!A:D,3,FALSE),General2021[[#This Row],[sector]])</f>
        <v>Sports</v>
      </c>
      <c r="C42" t="str">
        <f>General2021[[#This Row],[organisation_type]]</f>
        <v>association</v>
      </c>
      <c r="D42" t="str">
        <f>IF(ISBLANK(General2021[[#This Row],[number_of_members]]),"N/A",VLOOKUP(A42,General2021[[organisation_name]:[number_of_international_committee_board_members_not_eea]],6,FALSE))</f>
        <v>N/A</v>
      </c>
      <c r="E42" t="str">
        <f>IF(ISBLANK(General2021[[#This Row],[number_of_committee_board_members]]),"N/A",VLOOKUP(A42,General2021!B:M,10,FALSE))</f>
        <v>N/A</v>
      </c>
      <c r="F42" t="str">
        <f>IFERROR(Data2021[[#This Row],[Number of members]]-Data2021[[#This Row],[Number of active members]], "N/A")</f>
        <v>N/A</v>
      </c>
      <c r="G42" t="str">
        <f>IFERROR(Data2021[[#This Row],[Number of active members]]/Data2021[[#This Row],[Number of members]], "N/A")</f>
        <v>N/A</v>
      </c>
      <c r="H42" t="str">
        <f>IFERROR(1-Data2021[[#This Row],[Percentage active members]],"N/A")</f>
        <v>N/A</v>
      </c>
      <c r="I42" t="str">
        <f>IF(Data2021[[#This Row],[Number of members]]=0,"N/A",IF(Data2021[[#This Row],[Number of members]]&lt;50," A. 1 - 50 ",IF(Data2021[[#This Row],[Number of members]]&lt;100, "B. 50 - 100", IF(Data2021[[#This Row],[Number of members]]&lt;400, "C. 100 - 400", IF(Data2021[[#This Row],[Number of members]]&lt;1000,"D. 400 - 1000", "E. 1000 +")))))</f>
        <v>E. 1000 +</v>
      </c>
      <c r="J42" t="str">
        <f>IF(ISBLANK(General2021[[#This Row],[number_of_international_members_not_eea]]),"N/A",VLOOKUP(A42,General2021[[organisation_name]:[number_of_international_committee_board_members_not_eea]],9,FALSE))</f>
        <v>N/A</v>
      </c>
      <c r="K42" t="str">
        <f>IF(ISBLANK(General2021[[#This Row],[number_of_international_members_eea]]),"N/A",VLOOKUP(A42,General2021[[organisation_name]:[number_of_international_committee_board_members_not_eea]],8,FALSE))</f>
        <v>N/A</v>
      </c>
      <c r="L42" t="str">
        <f>IFERROR(IF(Data2021[[#This Row],[Number of members]]-Data2021[[#This Row],[Non-EEA Total]]-Data2021[[#This Row],[EEA total]]&lt;1,"N/A", Data2021[[#This Row],[Number of members]]-Data2021[[#This Row],[Non-EEA Total]]-Data2021[[#This Row],[EEA total]]),"N/A")</f>
        <v>N/A</v>
      </c>
      <c r="M42">
        <f>VLOOKUP(A42,General2021[[organisation_name]:[number_of_international_committee_board_members_not_eea]],12,FALSE)</f>
        <v>0</v>
      </c>
      <c r="N42">
        <f>VLOOKUP(A42,General2021[[organisation_name]:[number_of_international_committee_board_members_not_eea]],11,FALSE)</f>
        <v>0</v>
      </c>
      <c r="O42" t="str">
        <f>IFERROR(IF(Data2021[[#This Row],[Number of active members]]-Data2021[[#This Row],[Non-EEA Active ]]-Data2021[[#This Row],[EEA Active]]&lt;1,"N/A", Data2021[[#This Row],[Number of active members]]-Data2021[[#This Row],[Non-EEA Active ]]-Data2021[[#This Row],[EEA Active]]),"N/A")</f>
        <v>N/A</v>
      </c>
      <c r="P42" t="str">
        <f>IFERROR(Data2021[[#This Row],[Non-EEA Active ]]/Data2021[[#This Row],[Number of active members]],"N/A")</f>
        <v>N/A</v>
      </c>
      <c r="Q42" t="str">
        <f>IFERROR(Data2021[[#This Row],[EEA Active]]/Data2021[[#This Row],[EEA total]], "N/A")</f>
        <v>N/A</v>
      </c>
      <c r="R42" t="str">
        <f>IFERROR(Data2021[[#This Row],[Dutch Active]]/Data2021[[#This Row],[Dutch total]],"N/A")</f>
        <v>N/A</v>
      </c>
      <c r="S42" t="str">
        <f>IFERROR(IF(Data2021[[#This Row],[Number of members]]=Data2021[[#This Row],[Non-EEA Total]]+Data2021[[#This Row],[EEA total]]+Data2021[[#This Row],[Dutch total]],"T","F"),"F")</f>
        <v>F</v>
      </c>
      <c r="T42" t="str">
        <f>IFERROR(IF(Data2021[[#This Row],[Number of active members]]=Data2021[[#This Row],[Non-EEA Active ]]+Data2021[[#This Row],[EEA Active]]+Data2021[[#This Row],[Dutch Active]],"T","F"),"F")</f>
        <v>F</v>
      </c>
      <c r="U42" t="str">
        <f>IFERROR(IF(Data2021[[#This Row],[Number of members]]-Data2021[[#This Row],[Non-EEA Active ]]-Data2021[[#This Row],[EEA Active]]-Data2021[[#This Row],[Dutch Active]]=Data2021[[#This Row],[Number of  inactive members]],"T","F"),"F")</f>
        <v>F</v>
      </c>
      <c r="V42" t="str">
        <f>IF(Data2021[[#This Row],[EEA Active]]&lt;=Data2021[[#This Row],[EEA total]],"T","F")</f>
        <v>T</v>
      </c>
      <c r="W42" t="str">
        <f>IF(Data2021[[#This Row],[Dutch Active]]&lt;=Data2021[[#This Row],[Dutch total]],"T","F")</f>
        <v>T</v>
      </c>
      <c r="X42" t="str">
        <f>IF(Data2021[[#This Row],[Non-EEA Active ]]&lt;=Data2021[[#This Row],[Non-EEA Total]],"T","F")</f>
        <v>T</v>
      </c>
      <c r="Y4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2" t="str">
        <f>IFERROR(VLOOKUP(Data2021[[#This Row],[organisation_name]],'Division Study Year Committees'!$A$1:$L$108,2,FALSE),"N/A")</f>
        <v>N/A</v>
      </c>
      <c r="AA42" t="str">
        <f>IFERROR(VLOOKUP(Data2021[[#This Row],[organisation_name]],'Division Study Year Committees'!$A$1:$L$108,3,FALSE),"N/A")</f>
        <v>N/A</v>
      </c>
      <c r="AB42" t="str">
        <f>IFERROR(VLOOKUP(Data2021[[#This Row],[organisation_name]],'Division Study Year Committees'!$A$1:$L$108,4,FALSE),"N/A")</f>
        <v>N/A</v>
      </c>
      <c r="AC42" t="str">
        <f>IFERROR(VLOOKUP(Data2021[[#This Row],[organisation_name]],'Division Study Year Committees'!$A$1:$L$108,5,FALSE), "N/A")</f>
        <v>N/A</v>
      </c>
      <c r="AD42" t="str">
        <f>IFERROR(VLOOKUP(Data2021[[#This Row],[organisation_name]],'Division Study Year Committees'!$A$1:$L$108,6,FALSE), "N/A")</f>
        <v>N/A</v>
      </c>
      <c r="AE42">
        <f>SUM(Data2021[[#This Row],[Number of first year comittee members]:[Number of 4+ year comittee members]])</f>
        <v>0</v>
      </c>
      <c r="AF42">
        <f>COUNTIF('Comittee2021'!D:D,Data2021[[#This Row],[organisation_name]])</f>
        <v>0</v>
      </c>
      <c r="AG42">
        <f>COUNTIFS('Comittee2021'!$D:$D,Data2021[[#This Row],[organisation_name]],'Comittee2021'!$O:$O,"strong decrease")</f>
        <v>0</v>
      </c>
      <c r="AH42">
        <f>COUNTIFS('Comittee2021'!$D:$D,Data2021[[#This Row],[organisation_name]],'Comittee2021'!$O:$O,"slight decrease")</f>
        <v>0</v>
      </c>
      <c r="AI42">
        <f>COUNTIFS('Comittee2021'!$D:$D,Data2021[[#This Row],[organisation_name]],'Comittee2021'!$O:$O,"no influence")</f>
        <v>0</v>
      </c>
      <c r="AJ42">
        <f>COUNTIFS('Comittee2021'!$D:$D,Data2021[[#This Row],[organisation_name]],'Comittee2021'!$O:$O,"slight increase")</f>
        <v>0</v>
      </c>
      <c r="AK42">
        <f>COUNTIFS('Comittee2021'!$D:$D,Data2021[[#This Row],[organisation_name]],'Comittee2021'!$O:$O,"strong increase")</f>
        <v>0</v>
      </c>
      <c r="AL42">
        <v>2021</v>
      </c>
    </row>
    <row r="43" spans="1:38" x14ac:dyDescent="0.3">
      <c r="A43" t="str">
        <f>General2021[[#This Row],[organisation_name]]</f>
        <v>4 happy feet</v>
      </c>
      <c r="B43" t="str">
        <f>IF(General2021[[#This Row],[sector]]= "",VLOOKUP(Data2021[[#This Row],[organisation_name]],'Response Rate sheet'!A:D,3,FALSE),General2021[[#This Row],[sector]])</f>
        <v>Culture</v>
      </c>
      <c r="C43" t="str">
        <f>General2021[[#This Row],[organisation_type]]</f>
        <v>association</v>
      </c>
      <c r="D43" t="str">
        <f>IF(ISBLANK(General2021[[#This Row],[number_of_members]]),"N/A",VLOOKUP(A43,General2021[[organisation_name]:[number_of_international_committee_board_members_not_eea]],6,FALSE))</f>
        <v>N/A</v>
      </c>
      <c r="E43" t="str">
        <f>IF(ISBLANK(General2021[[#This Row],[number_of_committee_board_members]]),"N/A",VLOOKUP(A43,General2021!B:M,10,FALSE))</f>
        <v>N/A</v>
      </c>
      <c r="F43" t="str">
        <f>IFERROR(Data2021[[#This Row],[Number of members]]-Data2021[[#This Row],[Number of active members]], "N/A")</f>
        <v>N/A</v>
      </c>
      <c r="G43" t="str">
        <f>IFERROR(Data2021[[#This Row],[Number of active members]]/Data2021[[#This Row],[Number of members]], "N/A")</f>
        <v>N/A</v>
      </c>
      <c r="H43" t="str">
        <f>IFERROR(1-Data2021[[#This Row],[Percentage active members]],"N/A")</f>
        <v>N/A</v>
      </c>
      <c r="I43" t="str">
        <f>IF(Data2021[[#This Row],[Number of members]]=0,"N/A",IF(Data2021[[#This Row],[Number of members]]&lt;50," A. 1 - 50 ",IF(Data2021[[#This Row],[Number of members]]&lt;100, "B. 50 - 100", IF(Data2021[[#This Row],[Number of members]]&lt;400, "C. 100 - 400", IF(Data2021[[#This Row],[Number of members]]&lt;1000,"D. 400 - 1000", "E. 1000 +")))))</f>
        <v>E. 1000 +</v>
      </c>
      <c r="J43" t="str">
        <f>IF(ISBLANK(General2021[[#This Row],[number_of_international_members_not_eea]]),"N/A",VLOOKUP(A43,General2021[[organisation_name]:[number_of_international_committee_board_members_not_eea]],9,FALSE))</f>
        <v>N/A</v>
      </c>
      <c r="K43" t="str">
        <f>IF(ISBLANK(General2021[[#This Row],[number_of_international_members_eea]]),"N/A",VLOOKUP(A43,General2021[[organisation_name]:[number_of_international_committee_board_members_not_eea]],8,FALSE))</f>
        <v>N/A</v>
      </c>
      <c r="L43" t="str">
        <f>IFERROR(IF(Data2021[[#This Row],[Number of members]]-Data2021[[#This Row],[Non-EEA Total]]-Data2021[[#This Row],[EEA total]]&lt;1,"N/A", Data2021[[#This Row],[Number of members]]-Data2021[[#This Row],[Non-EEA Total]]-Data2021[[#This Row],[EEA total]]),"N/A")</f>
        <v>N/A</v>
      </c>
      <c r="M43">
        <f>VLOOKUP(A43,General2021[[organisation_name]:[number_of_international_committee_board_members_not_eea]],12,FALSE)</f>
        <v>0</v>
      </c>
      <c r="N43">
        <f>VLOOKUP(A43,General2021[[organisation_name]:[number_of_international_committee_board_members_not_eea]],11,FALSE)</f>
        <v>0</v>
      </c>
      <c r="O43" t="str">
        <f>IFERROR(IF(Data2021[[#This Row],[Number of active members]]-Data2021[[#This Row],[Non-EEA Active ]]-Data2021[[#This Row],[EEA Active]]&lt;1,"N/A", Data2021[[#This Row],[Number of active members]]-Data2021[[#This Row],[Non-EEA Active ]]-Data2021[[#This Row],[EEA Active]]),"N/A")</f>
        <v>N/A</v>
      </c>
      <c r="P43" t="str">
        <f>IFERROR(Data2021[[#This Row],[Non-EEA Active ]]/Data2021[[#This Row],[Number of active members]],"N/A")</f>
        <v>N/A</v>
      </c>
      <c r="Q43" t="str">
        <f>IFERROR(Data2021[[#This Row],[EEA Active]]/Data2021[[#This Row],[EEA total]], "N/A")</f>
        <v>N/A</v>
      </c>
      <c r="R43" t="str">
        <f>IFERROR(Data2021[[#This Row],[Dutch Active]]/Data2021[[#This Row],[Dutch total]],"N/A")</f>
        <v>N/A</v>
      </c>
      <c r="S43" t="str">
        <f>IFERROR(IF(Data2021[[#This Row],[Number of members]]=Data2021[[#This Row],[Non-EEA Total]]+Data2021[[#This Row],[EEA total]]+Data2021[[#This Row],[Dutch total]],"T","F"),"F")</f>
        <v>F</v>
      </c>
      <c r="T43" t="str">
        <f>IFERROR(IF(Data2021[[#This Row],[Number of active members]]=Data2021[[#This Row],[Non-EEA Active ]]+Data2021[[#This Row],[EEA Active]]+Data2021[[#This Row],[Dutch Active]],"T","F"),"F")</f>
        <v>F</v>
      </c>
      <c r="U43" t="str">
        <f>IFERROR(IF(Data2021[[#This Row],[Number of members]]-Data2021[[#This Row],[Non-EEA Active ]]-Data2021[[#This Row],[EEA Active]]-Data2021[[#This Row],[Dutch Active]]=Data2021[[#This Row],[Number of  inactive members]],"T","F"),"F")</f>
        <v>F</v>
      </c>
      <c r="V43" t="str">
        <f>IF(Data2021[[#This Row],[EEA Active]]&lt;=Data2021[[#This Row],[EEA total]],"T","F")</f>
        <v>T</v>
      </c>
      <c r="W43" t="str">
        <f>IF(Data2021[[#This Row],[Dutch Active]]&lt;=Data2021[[#This Row],[Dutch total]],"T","F")</f>
        <v>T</v>
      </c>
      <c r="X43" t="str">
        <f>IF(Data2021[[#This Row],[Non-EEA Active ]]&lt;=Data2021[[#This Row],[Non-EEA Total]],"T","F")</f>
        <v>T</v>
      </c>
      <c r="Y4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3" t="str">
        <f>IFERROR(VLOOKUP(Data2021[[#This Row],[organisation_name]],'Division Study Year Committees'!$A$1:$L$108,2,FALSE),"N/A")</f>
        <v>N/A</v>
      </c>
      <c r="AA43" t="str">
        <f>IFERROR(VLOOKUP(Data2021[[#This Row],[organisation_name]],'Division Study Year Committees'!$A$1:$L$108,3,FALSE),"N/A")</f>
        <v>N/A</v>
      </c>
      <c r="AB43" t="str">
        <f>IFERROR(VLOOKUP(Data2021[[#This Row],[organisation_name]],'Division Study Year Committees'!$A$1:$L$108,4,FALSE),"N/A")</f>
        <v>N/A</v>
      </c>
      <c r="AC43" t="str">
        <f>IFERROR(VLOOKUP(Data2021[[#This Row],[organisation_name]],'Division Study Year Committees'!$A$1:$L$108,5,FALSE), "N/A")</f>
        <v>N/A</v>
      </c>
      <c r="AD43" t="str">
        <f>IFERROR(VLOOKUP(Data2021[[#This Row],[organisation_name]],'Division Study Year Committees'!$A$1:$L$108,6,FALSE), "N/A")</f>
        <v>N/A</v>
      </c>
      <c r="AE43">
        <f>SUM(Data2021[[#This Row],[Number of first year comittee members]:[Number of 4+ year comittee members]])</f>
        <v>0</v>
      </c>
      <c r="AF43">
        <f>COUNTIF('Comittee2021'!D:D,Data2021[[#This Row],[organisation_name]])</f>
        <v>0</v>
      </c>
      <c r="AG43">
        <f>COUNTIFS('Comittee2021'!$D:$D,Data2021[[#This Row],[organisation_name]],'Comittee2021'!$O:$O,"strong decrease")</f>
        <v>0</v>
      </c>
      <c r="AH43">
        <f>COUNTIFS('Comittee2021'!$D:$D,Data2021[[#This Row],[organisation_name]],'Comittee2021'!$O:$O,"slight decrease")</f>
        <v>0</v>
      </c>
      <c r="AI43">
        <f>COUNTIFS('Comittee2021'!$D:$D,Data2021[[#This Row],[organisation_name]],'Comittee2021'!$O:$O,"no influence")</f>
        <v>0</v>
      </c>
      <c r="AJ43">
        <f>COUNTIFS('Comittee2021'!$D:$D,Data2021[[#This Row],[organisation_name]],'Comittee2021'!$O:$O,"slight increase")</f>
        <v>0</v>
      </c>
      <c r="AK43">
        <f>COUNTIFS('Comittee2021'!$D:$D,Data2021[[#This Row],[organisation_name]],'Comittee2021'!$O:$O,"strong increase")</f>
        <v>0</v>
      </c>
      <c r="AL43">
        <v>2021</v>
      </c>
    </row>
    <row r="44" spans="1:38" x14ac:dyDescent="0.3">
      <c r="A44" t="str">
        <f>General2021[[#This Row],[organisation_name]]</f>
        <v>AFVD Foton</v>
      </c>
      <c r="B44" t="str">
        <f>IF(General2021[[#This Row],[sector]]= "",VLOOKUP(Data2021[[#This Row],[organisation_name]],'Response Rate sheet'!A:D,3,FALSE),General2021[[#This Row],[sector]])</f>
        <v>Culture</v>
      </c>
      <c r="C44" t="str">
        <f>General2021[[#This Row],[organisation_type]]</f>
        <v>association</v>
      </c>
      <c r="D44" t="str">
        <f>IF(ISBLANK(General2021[[#This Row],[number_of_members]]),"N/A",VLOOKUP(A44,General2021[[organisation_name]:[number_of_international_committee_board_members_not_eea]],6,FALSE))</f>
        <v>N/A</v>
      </c>
      <c r="E44" t="str">
        <f>IF(ISBLANK(General2021[[#This Row],[number_of_committee_board_members]]),"N/A",VLOOKUP(A44,General2021!B:M,10,FALSE))</f>
        <v>N/A</v>
      </c>
      <c r="F44" t="str">
        <f>IFERROR(Data2021[[#This Row],[Number of members]]-Data2021[[#This Row],[Number of active members]], "N/A")</f>
        <v>N/A</v>
      </c>
      <c r="G44" t="str">
        <f>IFERROR(Data2021[[#This Row],[Number of active members]]/Data2021[[#This Row],[Number of members]], "N/A")</f>
        <v>N/A</v>
      </c>
      <c r="H44" t="str">
        <f>IFERROR(1-Data2021[[#This Row],[Percentage active members]],"N/A")</f>
        <v>N/A</v>
      </c>
      <c r="I44" t="str">
        <f>IF(Data2021[[#This Row],[Number of members]]=0,"N/A",IF(Data2021[[#This Row],[Number of members]]&lt;50," A. 1 - 50 ",IF(Data2021[[#This Row],[Number of members]]&lt;100, "B. 50 - 100", IF(Data2021[[#This Row],[Number of members]]&lt;400, "C. 100 - 400", IF(Data2021[[#This Row],[Number of members]]&lt;1000,"D. 400 - 1000", "E. 1000 +")))))</f>
        <v>E. 1000 +</v>
      </c>
      <c r="J44" t="str">
        <f>IF(ISBLANK(General2021[[#This Row],[number_of_international_members_not_eea]]),"N/A",VLOOKUP(A44,General2021[[organisation_name]:[number_of_international_committee_board_members_not_eea]],9,FALSE))</f>
        <v>N/A</v>
      </c>
      <c r="K44" t="str">
        <f>IF(ISBLANK(General2021[[#This Row],[number_of_international_members_eea]]),"N/A",VLOOKUP(A44,General2021[[organisation_name]:[number_of_international_committee_board_members_not_eea]],8,FALSE))</f>
        <v>N/A</v>
      </c>
      <c r="L44" t="str">
        <f>IFERROR(IF(Data2021[[#This Row],[Number of members]]-Data2021[[#This Row],[Non-EEA Total]]-Data2021[[#This Row],[EEA total]]&lt;1,"N/A", Data2021[[#This Row],[Number of members]]-Data2021[[#This Row],[Non-EEA Total]]-Data2021[[#This Row],[EEA total]]),"N/A")</f>
        <v>N/A</v>
      </c>
      <c r="M44">
        <f>VLOOKUP(A44,General2021[[organisation_name]:[number_of_international_committee_board_members_not_eea]],12,FALSE)</f>
        <v>0</v>
      </c>
      <c r="N44">
        <f>VLOOKUP(A44,General2021[[organisation_name]:[number_of_international_committee_board_members_not_eea]],11,FALSE)</f>
        <v>0</v>
      </c>
      <c r="O44" t="str">
        <f>IFERROR(IF(Data2021[[#This Row],[Number of active members]]-Data2021[[#This Row],[Non-EEA Active ]]-Data2021[[#This Row],[EEA Active]]&lt;1,"N/A", Data2021[[#This Row],[Number of active members]]-Data2021[[#This Row],[Non-EEA Active ]]-Data2021[[#This Row],[EEA Active]]),"N/A")</f>
        <v>N/A</v>
      </c>
      <c r="P44" t="str">
        <f>IFERROR(Data2021[[#This Row],[Non-EEA Active ]]/Data2021[[#This Row],[Number of active members]],"N/A")</f>
        <v>N/A</v>
      </c>
      <c r="Q44" t="str">
        <f>IFERROR(Data2021[[#This Row],[EEA Active]]/Data2021[[#This Row],[EEA total]], "N/A")</f>
        <v>N/A</v>
      </c>
      <c r="R44" t="str">
        <f>IFERROR(Data2021[[#This Row],[Dutch Active]]/Data2021[[#This Row],[Dutch total]],"N/A")</f>
        <v>N/A</v>
      </c>
      <c r="S44" t="str">
        <f>IFERROR(IF(Data2021[[#This Row],[Number of members]]=Data2021[[#This Row],[Non-EEA Total]]+Data2021[[#This Row],[EEA total]]+Data2021[[#This Row],[Dutch total]],"T","F"),"F")</f>
        <v>F</v>
      </c>
      <c r="T44" t="str">
        <f>IFERROR(IF(Data2021[[#This Row],[Number of active members]]=Data2021[[#This Row],[Non-EEA Active ]]+Data2021[[#This Row],[EEA Active]]+Data2021[[#This Row],[Dutch Active]],"T","F"),"F")</f>
        <v>F</v>
      </c>
      <c r="U44" t="str">
        <f>IFERROR(IF(Data2021[[#This Row],[Number of members]]-Data2021[[#This Row],[Non-EEA Active ]]-Data2021[[#This Row],[EEA Active]]-Data2021[[#This Row],[Dutch Active]]=Data2021[[#This Row],[Number of  inactive members]],"T","F"),"F")</f>
        <v>F</v>
      </c>
      <c r="V44" t="str">
        <f>IF(Data2021[[#This Row],[EEA Active]]&lt;=Data2021[[#This Row],[EEA total]],"T","F")</f>
        <v>T</v>
      </c>
      <c r="W44" t="str">
        <f>IF(Data2021[[#This Row],[Dutch Active]]&lt;=Data2021[[#This Row],[Dutch total]],"T","F")</f>
        <v>T</v>
      </c>
      <c r="X44" t="str">
        <f>IF(Data2021[[#This Row],[Non-EEA Active ]]&lt;=Data2021[[#This Row],[Non-EEA Total]],"T","F")</f>
        <v>T</v>
      </c>
      <c r="Y4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4" t="str">
        <f>IFERROR(VLOOKUP(Data2021[[#This Row],[organisation_name]],'Division Study Year Committees'!$A$1:$L$108,2,FALSE),"N/A")</f>
        <v>N/A</v>
      </c>
      <c r="AA44" t="str">
        <f>IFERROR(VLOOKUP(Data2021[[#This Row],[organisation_name]],'Division Study Year Committees'!$A$1:$L$108,3,FALSE),"N/A")</f>
        <v>N/A</v>
      </c>
      <c r="AB44" t="str">
        <f>IFERROR(VLOOKUP(Data2021[[#This Row],[organisation_name]],'Division Study Year Committees'!$A$1:$L$108,4,FALSE),"N/A")</f>
        <v>N/A</v>
      </c>
      <c r="AC44" t="str">
        <f>IFERROR(VLOOKUP(Data2021[[#This Row],[organisation_name]],'Division Study Year Committees'!$A$1:$L$108,5,FALSE), "N/A")</f>
        <v>N/A</v>
      </c>
      <c r="AD44" t="str">
        <f>IFERROR(VLOOKUP(Data2021[[#This Row],[organisation_name]],'Division Study Year Committees'!$A$1:$L$108,6,FALSE), "N/A")</f>
        <v>N/A</v>
      </c>
      <c r="AE44">
        <f>SUM(Data2021[[#This Row],[Number of first year comittee members]:[Number of 4+ year comittee members]])</f>
        <v>0</v>
      </c>
      <c r="AF44">
        <f>COUNTIF('Comittee2021'!D:D,Data2021[[#This Row],[organisation_name]])</f>
        <v>0</v>
      </c>
      <c r="AG44">
        <f>COUNTIFS('Comittee2021'!$D:$D,Data2021[[#This Row],[organisation_name]],'Comittee2021'!$O:$O,"strong decrease")</f>
        <v>0</v>
      </c>
      <c r="AH44">
        <f>COUNTIFS('Comittee2021'!$D:$D,Data2021[[#This Row],[organisation_name]],'Comittee2021'!$O:$O,"slight decrease")</f>
        <v>0</v>
      </c>
      <c r="AI44">
        <f>COUNTIFS('Comittee2021'!$D:$D,Data2021[[#This Row],[organisation_name]],'Comittee2021'!$O:$O,"no influence")</f>
        <v>0</v>
      </c>
      <c r="AJ44">
        <f>COUNTIFS('Comittee2021'!$D:$D,Data2021[[#This Row],[organisation_name]],'Comittee2021'!$O:$O,"slight increase")</f>
        <v>0</v>
      </c>
      <c r="AK44">
        <f>COUNTIFS('Comittee2021'!$D:$D,Data2021[[#This Row],[organisation_name]],'Comittee2021'!$O:$O,"strong increase")</f>
        <v>0</v>
      </c>
      <c r="AL44">
        <v>2021</v>
      </c>
    </row>
    <row r="45" spans="1:38" x14ac:dyDescent="0.3">
      <c r="A45" t="str">
        <f>General2021[[#This Row],[organisation_name]]</f>
        <v>Arabesque</v>
      </c>
      <c r="B45" t="str">
        <f>IF(General2021[[#This Row],[sector]]= "",VLOOKUP(Data2021[[#This Row],[organisation_name]],'Response Rate sheet'!A:D,3,FALSE),General2021[[#This Row],[sector]])</f>
        <v>Culture</v>
      </c>
      <c r="C45" t="str">
        <f>General2021[[#This Row],[organisation_type]]</f>
        <v>association</v>
      </c>
      <c r="D45">
        <f>IF(ISBLANK(General2021[[#This Row],[number_of_members]]),"N/A",VLOOKUP(A45,General2021[[organisation_name]:[number_of_international_committee_board_members_not_eea]],6,FALSE))</f>
        <v>28</v>
      </c>
      <c r="E45">
        <f>IF(ISBLANK(General2021[[#This Row],[number_of_committee_board_members]]),"N/A",VLOOKUP(A45,General2021!B:M,10,FALSE))</f>
        <v>6</v>
      </c>
      <c r="F45">
        <f>IFERROR(Data2021[[#This Row],[Number of members]]-Data2021[[#This Row],[Number of active members]], "N/A")</f>
        <v>22</v>
      </c>
      <c r="G45">
        <f>IFERROR(Data2021[[#This Row],[Number of active members]]/Data2021[[#This Row],[Number of members]], "N/A")</f>
        <v>0.21428571428571427</v>
      </c>
      <c r="H45">
        <f>IFERROR(1-Data2021[[#This Row],[Percentage active members]],"N/A")</f>
        <v>0.7857142857142857</v>
      </c>
      <c r="I45"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45">
        <f>IF(ISBLANK(General2021[[#This Row],[number_of_international_members_not_eea]]),"N/A",VLOOKUP(A45,General2021[[organisation_name]:[number_of_international_committee_board_members_not_eea]],9,FALSE))</f>
        <v>6</v>
      </c>
      <c r="K45">
        <f>IF(ISBLANK(General2021[[#This Row],[number_of_international_members_eea]]),"N/A",VLOOKUP(A45,General2021[[organisation_name]:[number_of_international_committee_board_members_not_eea]],8,FALSE))</f>
        <v>4</v>
      </c>
      <c r="L45">
        <f>IFERROR(IF(Data2021[[#This Row],[Number of members]]-Data2021[[#This Row],[Non-EEA Total]]-Data2021[[#This Row],[EEA total]]&lt;1,"N/A", Data2021[[#This Row],[Number of members]]-Data2021[[#This Row],[Non-EEA Total]]-Data2021[[#This Row],[EEA total]]),"N/A")</f>
        <v>18</v>
      </c>
      <c r="M45">
        <f>VLOOKUP(A45,General2021[[organisation_name]:[number_of_international_committee_board_members_not_eea]],12,FALSE)</f>
        <v>1</v>
      </c>
      <c r="N45">
        <f>VLOOKUP(A45,General2021[[organisation_name]:[number_of_international_committee_board_members_not_eea]],11,FALSE)</f>
        <v>3</v>
      </c>
      <c r="O45">
        <f>IFERROR(IF(Data2021[[#This Row],[Number of active members]]-Data2021[[#This Row],[Non-EEA Active ]]-Data2021[[#This Row],[EEA Active]]&lt;1,"N/A", Data2021[[#This Row],[Number of active members]]-Data2021[[#This Row],[Non-EEA Active ]]-Data2021[[#This Row],[EEA Active]]),"N/A")</f>
        <v>2</v>
      </c>
      <c r="P45">
        <f>IFERROR(Data2021[[#This Row],[Non-EEA Active ]]/Data2021[[#This Row],[Number of active members]],"N/A")</f>
        <v>0.16666666666666666</v>
      </c>
      <c r="Q45">
        <f>IFERROR(Data2021[[#This Row],[EEA Active]]/Data2021[[#This Row],[EEA total]], "N/A")</f>
        <v>0.75</v>
      </c>
      <c r="R45">
        <f>IFERROR(Data2021[[#This Row],[Dutch Active]]/Data2021[[#This Row],[Dutch total]],"N/A")</f>
        <v>0.1111111111111111</v>
      </c>
      <c r="S45" t="str">
        <f>IFERROR(IF(Data2021[[#This Row],[Number of members]]=Data2021[[#This Row],[Non-EEA Total]]+Data2021[[#This Row],[EEA total]]+Data2021[[#This Row],[Dutch total]],"T","F"),"F")</f>
        <v>T</v>
      </c>
      <c r="T45" t="str">
        <f>IFERROR(IF(Data2021[[#This Row],[Number of active members]]=Data2021[[#This Row],[Non-EEA Active ]]+Data2021[[#This Row],[EEA Active]]+Data2021[[#This Row],[Dutch Active]],"T","F"),"F")</f>
        <v>T</v>
      </c>
      <c r="U45" t="str">
        <f>IFERROR(IF(Data2021[[#This Row],[Number of members]]-Data2021[[#This Row],[Non-EEA Active ]]-Data2021[[#This Row],[EEA Active]]-Data2021[[#This Row],[Dutch Active]]=Data2021[[#This Row],[Number of  inactive members]],"T","F"),"F")</f>
        <v>T</v>
      </c>
      <c r="V45" t="str">
        <f>IF(Data2021[[#This Row],[EEA Active]]&lt;=Data2021[[#This Row],[EEA total]],"T","F")</f>
        <v>T</v>
      </c>
      <c r="W45" t="str">
        <f>IF(Data2021[[#This Row],[Dutch Active]]&lt;=Data2021[[#This Row],[Dutch total]],"T","F")</f>
        <v>T</v>
      </c>
      <c r="X45" t="str">
        <f>IF(Data2021[[#This Row],[Non-EEA Active ]]&lt;=Data2021[[#This Row],[Non-EEA Total]],"T","F")</f>
        <v>T</v>
      </c>
      <c r="Y4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45">
        <f>IFERROR(VLOOKUP(Data2021[[#This Row],[organisation_name]],'Division Study Year Committees'!$A$1:$L$108,2,FALSE),"N/A")</f>
        <v>0</v>
      </c>
      <c r="AA45">
        <f>IFERROR(VLOOKUP(Data2021[[#This Row],[organisation_name]],'Division Study Year Committees'!$A$1:$L$108,3,FALSE),"N/A")</f>
        <v>0</v>
      </c>
      <c r="AB45">
        <f>IFERROR(VLOOKUP(Data2021[[#This Row],[organisation_name]],'Division Study Year Committees'!$A$1:$L$108,4,FALSE),"N/A")</f>
        <v>5</v>
      </c>
      <c r="AC45">
        <f>IFERROR(VLOOKUP(Data2021[[#This Row],[organisation_name]],'Division Study Year Committees'!$A$1:$L$108,5,FALSE), "N/A")</f>
        <v>4</v>
      </c>
      <c r="AD45">
        <f>IFERROR(VLOOKUP(Data2021[[#This Row],[organisation_name]],'Division Study Year Committees'!$A$1:$L$108,6,FALSE), "N/A")</f>
        <v>2</v>
      </c>
      <c r="AE45">
        <f>SUM(Data2021[[#This Row],[Number of first year comittee members]:[Number of 4+ year comittee members]])</f>
        <v>11</v>
      </c>
      <c r="AF45">
        <f>COUNTIF('Comittee2021'!D:D,Data2021[[#This Row],[organisation_name]])</f>
        <v>3</v>
      </c>
      <c r="AG45">
        <f>COUNTIFS('Comittee2021'!$D:$D,Data2021[[#This Row],[organisation_name]],'Comittee2021'!$O:$O,"strong decrease")</f>
        <v>0</v>
      </c>
      <c r="AH45">
        <f>COUNTIFS('Comittee2021'!$D:$D,Data2021[[#This Row],[organisation_name]],'Comittee2021'!$O:$O,"slight decrease")</f>
        <v>1</v>
      </c>
      <c r="AI45">
        <f>COUNTIFS('Comittee2021'!$D:$D,Data2021[[#This Row],[organisation_name]],'Comittee2021'!$O:$O,"no influence")</f>
        <v>1</v>
      </c>
      <c r="AJ45">
        <f>COUNTIFS('Comittee2021'!$D:$D,Data2021[[#This Row],[organisation_name]],'Comittee2021'!$O:$O,"slight increase")</f>
        <v>1</v>
      </c>
      <c r="AK45">
        <f>COUNTIFS('Comittee2021'!$D:$D,Data2021[[#This Row],[organisation_name]],'Comittee2021'!$O:$O,"strong increase")</f>
        <v>0</v>
      </c>
      <c r="AL45">
        <v>2021</v>
      </c>
    </row>
    <row r="46" spans="1:38" x14ac:dyDescent="0.3">
      <c r="A46" t="str">
        <f>General2021[[#This Row],[organisation_name]]</f>
        <v>Belletrie Bibliotheek</v>
      </c>
      <c r="B46" t="str">
        <f>IF(General2021[[#This Row],[sector]]= "",VLOOKUP(Data2021[[#This Row],[organisation_name]],'Response Rate sheet'!A:D,3,FALSE),General2021[[#This Row],[sector]])</f>
        <v>Culture</v>
      </c>
      <c r="C46" t="str">
        <f>General2021[[#This Row],[organisation_type]]</f>
        <v>association</v>
      </c>
      <c r="D46" t="str">
        <f>IF(ISBLANK(General2021[[#This Row],[number_of_members]]),"N/A",VLOOKUP(A46,General2021[[organisation_name]:[number_of_international_committee_board_members_not_eea]],6,FALSE))</f>
        <v>N/A</v>
      </c>
      <c r="E46" t="str">
        <f>IF(ISBLANK(General2021[[#This Row],[number_of_committee_board_members]]),"N/A",VLOOKUP(A46,General2021!B:M,10,FALSE))</f>
        <v>N/A</v>
      </c>
      <c r="F46" t="str">
        <f>IFERROR(Data2021[[#This Row],[Number of members]]-Data2021[[#This Row],[Number of active members]], "N/A")</f>
        <v>N/A</v>
      </c>
      <c r="G46" t="str">
        <f>IFERROR(Data2021[[#This Row],[Number of active members]]/Data2021[[#This Row],[Number of members]], "N/A")</f>
        <v>N/A</v>
      </c>
      <c r="H46" t="str">
        <f>IFERROR(1-Data2021[[#This Row],[Percentage active members]],"N/A")</f>
        <v>N/A</v>
      </c>
      <c r="I46" t="str">
        <f>IF(Data2021[[#This Row],[Number of members]]=0,"N/A",IF(Data2021[[#This Row],[Number of members]]&lt;50," A. 1 - 50 ",IF(Data2021[[#This Row],[Number of members]]&lt;100, "B. 50 - 100", IF(Data2021[[#This Row],[Number of members]]&lt;400, "C. 100 - 400", IF(Data2021[[#This Row],[Number of members]]&lt;1000,"D. 400 - 1000", "E. 1000 +")))))</f>
        <v>E. 1000 +</v>
      </c>
      <c r="J46" t="str">
        <f>IF(ISBLANK(General2021[[#This Row],[number_of_international_members_not_eea]]),"N/A",VLOOKUP(A46,General2021[[organisation_name]:[number_of_international_committee_board_members_not_eea]],9,FALSE))</f>
        <v>N/A</v>
      </c>
      <c r="K46" t="str">
        <f>IF(ISBLANK(General2021[[#This Row],[number_of_international_members_eea]]),"N/A",VLOOKUP(A46,General2021[[organisation_name]:[number_of_international_committee_board_members_not_eea]],8,FALSE))</f>
        <v>N/A</v>
      </c>
      <c r="L46" t="str">
        <f>IFERROR(IF(Data2021[[#This Row],[Number of members]]-Data2021[[#This Row],[Non-EEA Total]]-Data2021[[#This Row],[EEA total]]&lt;1,"N/A", Data2021[[#This Row],[Number of members]]-Data2021[[#This Row],[Non-EEA Total]]-Data2021[[#This Row],[EEA total]]),"N/A")</f>
        <v>N/A</v>
      </c>
      <c r="M46">
        <f>VLOOKUP(A46,General2021[[organisation_name]:[number_of_international_committee_board_members_not_eea]],12,FALSE)</f>
        <v>0</v>
      </c>
      <c r="N46">
        <f>VLOOKUP(A46,General2021[[organisation_name]:[number_of_international_committee_board_members_not_eea]],11,FALSE)</f>
        <v>0</v>
      </c>
      <c r="O46" t="str">
        <f>IFERROR(IF(Data2021[[#This Row],[Number of active members]]-Data2021[[#This Row],[Non-EEA Active ]]-Data2021[[#This Row],[EEA Active]]&lt;1,"N/A", Data2021[[#This Row],[Number of active members]]-Data2021[[#This Row],[Non-EEA Active ]]-Data2021[[#This Row],[EEA Active]]),"N/A")</f>
        <v>N/A</v>
      </c>
      <c r="P46" t="str">
        <f>IFERROR(Data2021[[#This Row],[Non-EEA Active ]]/Data2021[[#This Row],[Number of active members]],"N/A")</f>
        <v>N/A</v>
      </c>
      <c r="Q46" t="str">
        <f>IFERROR(Data2021[[#This Row],[EEA Active]]/Data2021[[#This Row],[EEA total]], "N/A")</f>
        <v>N/A</v>
      </c>
      <c r="R46" t="str">
        <f>IFERROR(Data2021[[#This Row],[Dutch Active]]/Data2021[[#This Row],[Dutch total]],"N/A")</f>
        <v>N/A</v>
      </c>
      <c r="S46" t="str">
        <f>IFERROR(IF(Data2021[[#This Row],[Number of members]]=Data2021[[#This Row],[Non-EEA Total]]+Data2021[[#This Row],[EEA total]]+Data2021[[#This Row],[Dutch total]],"T","F"),"F")</f>
        <v>F</v>
      </c>
      <c r="T46" t="str">
        <f>IFERROR(IF(Data2021[[#This Row],[Number of active members]]=Data2021[[#This Row],[Non-EEA Active ]]+Data2021[[#This Row],[EEA Active]]+Data2021[[#This Row],[Dutch Active]],"T","F"),"F")</f>
        <v>F</v>
      </c>
      <c r="U46" t="str">
        <f>IFERROR(IF(Data2021[[#This Row],[Number of members]]-Data2021[[#This Row],[Non-EEA Active ]]-Data2021[[#This Row],[EEA Active]]-Data2021[[#This Row],[Dutch Active]]=Data2021[[#This Row],[Number of  inactive members]],"T","F"),"F")</f>
        <v>F</v>
      </c>
      <c r="V46" t="str">
        <f>IF(Data2021[[#This Row],[EEA Active]]&lt;=Data2021[[#This Row],[EEA total]],"T","F")</f>
        <v>T</v>
      </c>
      <c r="W46" t="str">
        <f>IF(Data2021[[#This Row],[Dutch Active]]&lt;=Data2021[[#This Row],[Dutch total]],"T","F")</f>
        <v>T</v>
      </c>
      <c r="X46" t="str">
        <f>IF(Data2021[[#This Row],[Non-EEA Active ]]&lt;=Data2021[[#This Row],[Non-EEA Total]],"T","F")</f>
        <v>T</v>
      </c>
      <c r="Y4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6" t="str">
        <f>IFERROR(VLOOKUP(Data2021[[#This Row],[organisation_name]],'Division Study Year Committees'!$A$1:$L$108,2,FALSE),"N/A")</f>
        <v>N/A</v>
      </c>
      <c r="AA46" t="str">
        <f>IFERROR(VLOOKUP(Data2021[[#This Row],[organisation_name]],'Division Study Year Committees'!$A$1:$L$108,3,FALSE),"N/A")</f>
        <v>N/A</v>
      </c>
      <c r="AB46" t="str">
        <f>IFERROR(VLOOKUP(Data2021[[#This Row],[organisation_name]],'Division Study Year Committees'!$A$1:$L$108,4,FALSE),"N/A")</f>
        <v>N/A</v>
      </c>
      <c r="AC46" t="str">
        <f>IFERROR(VLOOKUP(Data2021[[#This Row],[organisation_name]],'Division Study Year Committees'!$A$1:$L$108,5,FALSE), "N/A")</f>
        <v>N/A</v>
      </c>
      <c r="AD46" t="str">
        <f>IFERROR(VLOOKUP(Data2021[[#This Row],[organisation_name]],'Division Study Year Committees'!$A$1:$L$108,6,FALSE), "N/A")</f>
        <v>N/A</v>
      </c>
      <c r="AE46">
        <f>SUM(Data2021[[#This Row],[Number of first year comittee members]:[Number of 4+ year comittee members]])</f>
        <v>0</v>
      </c>
      <c r="AF46">
        <f>COUNTIF('Comittee2021'!D:D,Data2021[[#This Row],[organisation_name]])</f>
        <v>0</v>
      </c>
      <c r="AG46">
        <f>COUNTIFS('Comittee2021'!$D:$D,Data2021[[#This Row],[organisation_name]],'Comittee2021'!$O:$O,"strong decrease")</f>
        <v>0</v>
      </c>
      <c r="AH46">
        <f>COUNTIFS('Comittee2021'!$D:$D,Data2021[[#This Row],[organisation_name]],'Comittee2021'!$O:$O,"slight decrease")</f>
        <v>0</v>
      </c>
      <c r="AI46">
        <f>COUNTIFS('Comittee2021'!$D:$D,Data2021[[#This Row],[organisation_name]],'Comittee2021'!$O:$O,"no influence")</f>
        <v>0</v>
      </c>
      <c r="AJ46">
        <f>COUNTIFS('Comittee2021'!$D:$D,Data2021[[#This Row],[organisation_name]],'Comittee2021'!$O:$O,"slight increase")</f>
        <v>0</v>
      </c>
      <c r="AK46">
        <f>COUNTIFS('Comittee2021'!$D:$D,Data2021[[#This Row],[organisation_name]],'Comittee2021'!$O:$O,"strong increase")</f>
        <v>0</v>
      </c>
      <c r="AL46">
        <v>2021</v>
      </c>
    </row>
    <row r="47" spans="1:38" x14ac:dyDescent="0.3">
      <c r="A47" t="str">
        <f>General2021[[#This Row],[organisation_name]]</f>
        <v>Contramime</v>
      </c>
      <c r="B47" t="str">
        <f>IF(General2021[[#This Row],[sector]]= "",VLOOKUP(Data2021[[#This Row],[organisation_name]],'Response Rate sheet'!A:D,3,FALSE),General2021[[#This Row],[sector]])</f>
        <v>Culture</v>
      </c>
      <c r="C47" t="str">
        <f>General2021[[#This Row],[organisation_type]]</f>
        <v>association</v>
      </c>
      <c r="D47" t="str">
        <f>IF(ISBLANK(General2021[[#This Row],[number_of_members]]),"N/A",VLOOKUP(A47,General2021[[organisation_name]:[number_of_international_committee_board_members_not_eea]],6,FALSE))</f>
        <v>N/A</v>
      </c>
      <c r="E47" t="str">
        <f>IF(ISBLANK(General2021[[#This Row],[number_of_committee_board_members]]),"N/A",VLOOKUP(A47,General2021!B:M,10,FALSE))</f>
        <v>N/A</v>
      </c>
      <c r="F47" t="str">
        <f>IFERROR(Data2021[[#This Row],[Number of members]]-Data2021[[#This Row],[Number of active members]], "N/A")</f>
        <v>N/A</v>
      </c>
      <c r="G47" t="str">
        <f>IFERROR(Data2021[[#This Row],[Number of active members]]/Data2021[[#This Row],[Number of members]], "N/A")</f>
        <v>N/A</v>
      </c>
      <c r="H47" t="str">
        <f>IFERROR(1-Data2021[[#This Row],[Percentage active members]],"N/A")</f>
        <v>N/A</v>
      </c>
      <c r="I47" t="str">
        <f>IF(Data2021[[#This Row],[Number of members]]=0,"N/A",IF(Data2021[[#This Row],[Number of members]]&lt;50," A. 1 - 50 ",IF(Data2021[[#This Row],[Number of members]]&lt;100, "B. 50 - 100", IF(Data2021[[#This Row],[Number of members]]&lt;400, "C. 100 - 400", IF(Data2021[[#This Row],[Number of members]]&lt;1000,"D. 400 - 1000", "E. 1000 +")))))</f>
        <v>E. 1000 +</v>
      </c>
      <c r="J47" t="str">
        <f>IF(ISBLANK(General2021[[#This Row],[number_of_international_members_not_eea]]),"N/A",VLOOKUP(A47,General2021[[organisation_name]:[number_of_international_committee_board_members_not_eea]],9,FALSE))</f>
        <v>N/A</v>
      </c>
      <c r="K47" t="str">
        <f>IF(ISBLANK(General2021[[#This Row],[number_of_international_members_eea]]),"N/A",VLOOKUP(A47,General2021[[organisation_name]:[number_of_international_committee_board_members_not_eea]],8,FALSE))</f>
        <v>N/A</v>
      </c>
      <c r="L47" t="str">
        <f>IFERROR(IF(Data2021[[#This Row],[Number of members]]-Data2021[[#This Row],[Non-EEA Total]]-Data2021[[#This Row],[EEA total]]&lt;1,"N/A", Data2021[[#This Row],[Number of members]]-Data2021[[#This Row],[Non-EEA Total]]-Data2021[[#This Row],[EEA total]]),"N/A")</f>
        <v>N/A</v>
      </c>
      <c r="M47">
        <f>VLOOKUP(A47,General2021[[organisation_name]:[number_of_international_committee_board_members_not_eea]],12,FALSE)</f>
        <v>0</v>
      </c>
      <c r="N47">
        <f>VLOOKUP(A47,General2021[[organisation_name]:[number_of_international_committee_board_members_not_eea]],11,FALSE)</f>
        <v>0</v>
      </c>
      <c r="O47" t="str">
        <f>IFERROR(IF(Data2021[[#This Row],[Number of active members]]-Data2021[[#This Row],[Non-EEA Active ]]-Data2021[[#This Row],[EEA Active]]&lt;1,"N/A", Data2021[[#This Row],[Number of active members]]-Data2021[[#This Row],[Non-EEA Active ]]-Data2021[[#This Row],[EEA Active]]),"N/A")</f>
        <v>N/A</v>
      </c>
      <c r="P47" t="str">
        <f>IFERROR(Data2021[[#This Row],[Non-EEA Active ]]/Data2021[[#This Row],[Number of active members]],"N/A")</f>
        <v>N/A</v>
      </c>
      <c r="Q47" t="str">
        <f>IFERROR(Data2021[[#This Row],[EEA Active]]/Data2021[[#This Row],[EEA total]], "N/A")</f>
        <v>N/A</v>
      </c>
      <c r="R47" t="str">
        <f>IFERROR(Data2021[[#This Row],[Dutch Active]]/Data2021[[#This Row],[Dutch total]],"N/A")</f>
        <v>N/A</v>
      </c>
      <c r="S47" t="str">
        <f>IFERROR(IF(Data2021[[#This Row],[Number of members]]=Data2021[[#This Row],[Non-EEA Total]]+Data2021[[#This Row],[EEA total]]+Data2021[[#This Row],[Dutch total]],"T","F"),"F")</f>
        <v>F</v>
      </c>
      <c r="T47" t="str">
        <f>IFERROR(IF(Data2021[[#This Row],[Number of active members]]=Data2021[[#This Row],[Non-EEA Active ]]+Data2021[[#This Row],[EEA Active]]+Data2021[[#This Row],[Dutch Active]],"T","F"),"F")</f>
        <v>F</v>
      </c>
      <c r="U47" t="str">
        <f>IFERROR(IF(Data2021[[#This Row],[Number of members]]-Data2021[[#This Row],[Non-EEA Active ]]-Data2021[[#This Row],[EEA Active]]-Data2021[[#This Row],[Dutch Active]]=Data2021[[#This Row],[Number of  inactive members]],"T","F"),"F")</f>
        <v>F</v>
      </c>
      <c r="V47" t="str">
        <f>IF(Data2021[[#This Row],[EEA Active]]&lt;=Data2021[[#This Row],[EEA total]],"T","F")</f>
        <v>T</v>
      </c>
      <c r="W47" t="str">
        <f>IF(Data2021[[#This Row],[Dutch Active]]&lt;=Data2021[[#This Row],[Dutch total]],"T","F")</f>
        <v>T</v>
      </c>
      <c r="X47" t="str">
        <f>IF(Data2021[[#This Row],[Non-EEA Active ]]&lt;=Data2021[[#This Row],[Non-EEA Total]],"T","F")</f>
        <v>T</v>
      </c>
      <c r="Y4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7" t="str">
        <f>IFERROR(VLOOKUP(Data2021[[#This Row],[organisation_name]],'Division Study Year Committees'!$A$1:$L$108,2,FALSE),"N/A")</f>
        <v>N/A</v>
      </c>
      <c r="AA47" t="str">
        <f>IFERROR(VLOOKUP(Data2021[[#This Row],[organisation_name]],'Division Study Year Committees'!$A$1:$L$108,3,FALSE),"N/A")</f>
        <v>N/A</v>
      </c>
      <c r="AB47" t="str">
        <f>IFERROR(VLOOKUP(Data2021[[#This Row],[organisation_name]],'Division Study Year Committees'!$A$1:$L$108,4,FALSE),"N/A")</f>
        <v>N/A</v>
      </c>
      <c r="AC47" t="str">
        <f>IFERROR(VLOOKUP(Data2021[[#This Row],[organisation_name]],'Division Study Year Committees'!$A$1:$L$108,5,FALSE), "N/A")</f>
        <v>N/A</v>
      </c>
      <c r="AD47" t="str">
        <f>IFERROR(VLOOKUP(Data2021[[#This Row],[organisation_name]],'Division Study Year Committees'!$A$1:$L$108,6,FALSE), "N/A")</f>
        <v>N/A</v>
      </c>
      <c r="AE47">
        <f>SUM(Data2021[[#This Row],[Number of first year comittee members]:[Number of 4+ year comittee members]])</f>
        <v>0</v>
      </c>
      <c r="AF47">
        <f>COUNTIF('Comittee2021'!D:D,Data2021[[#This Row],[organisation_name]])</f>
        <v>0</v>
      </c>
      <c r="AG47">
        <f>COUNTIFS('Comittee2021'!$D:$D,Data2021[[#This Row],[organisation_name]],'Comittee2021'!$O:$O,"strong decrease")</f>
        <v>0</v>
      </c>
      <c r="AH47">
        <f>COUNTIFS('Comittee2021'!$D:$D,Data2021[[#This Row],[organisation_name]],'Comittee2021'!$O:$O,"slight decrease")</f>
        <v>0</v>
      </c>
      <c r="AI47">
        <f>COUNTIFS('Comittee2021'!$D:$D,Data2021[[#This Row],[organisation_name]],'Comittee2021'!$O:$O,"no influence")</f>
        <v>0</v>
      </c>
      <c r="AJ47">
        <f>COUNTIFS('Comittee2021'!$D:$D,Data2021[[#This Row],[organisation_name]],'Comittee2021'!$O:$O,"slight increase")</f>
        <v>0</v>
      </c>
      <c r="AK47">
        <f>COUNTIFS('Comittee2021'!$D:$D,Data2021[[#This Row],[organisation_name]],'Comittee2021'!$O:$O,"strong increase")</f>
        <v>0</v>
      </c>
      <c r="AL47">
        <v>2021</v>
      </c>
    </row>
    <row r="48" spans="1:38" x14ac:dyDescent="0.3">
      <c r="A48" t="str">
        <f>General2021[[#This Row],[organisation_name]]</f>
        <v>Fanaat</v>
      </c>
      <c r="B48" t="str">
        <f>IF(General2021[[#This Row],[sector]]= "",VLOOKUP(Data2021[[#This Row],[organisation_name]],'Response Rate sheet'!A:D,3,FALSE),General2021[[#This Row],[sector]])</f>
        <v>Culture</v>
      </c>
      <c r="C48" t="str">
        <f>General2021[[#This Row],[organisation_type]]</f>
        <v>association</v>
      </c>
      <c r="D48">
        <f>IF(ISBLANK(General2021[[#This Row],[number_of_members]]),"N/A",VLOOKUP(A48,General2021[[organisation_name]:[number_of_international_committee_board_members_not_eea]],6,FALSE))</f>
        <v>32</v>
      </c>
      <c r="E48">
        <f>IF(ISBLANK(General2021[[#This Row],[number_of_committee_board_members]]),"N/A",VLOOKUP(A48,General2021!B:M,10,FALSE))</f>
        <v>5</v>
      </c>
      <c r="F48">
        <f>IFERROR(Data2021[[#This Row],[Number of members]]-Data2021[[#This Row],[Number of active members]], "N/A")</f>
        <v>27</v>
      </c>
      <c r="G48">
        <f>IFERROR(Data2021[[#This Row],[Number of active members]]/Data2021[[#This Row],[Number of members]], "N/A")</f>
        <v>0.15625</v>
      </c>
      <c r="H48">
        <f>IFERROR(1-Data2021[[#This Row],[Percentage active members]],"N/A")</f>
        <v>0.84375</v>
      </c>
      <c r="I48"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48">
        <f>IF(ISBLANK(General2021[[#This Row],[number_of_international_members_not_eea]]),"N/A",VLOOKUP(A48,General2021[[organisation_name]:[number_of_international_committee_board_members_not_eea]],9,FALSE))</f>
        <v>10</v>
      </c>
      <c r="K48">
        <f>IF(ISBLANK(General2021[[#This Row],[number_of_international_members_eea]]),"N/A",VLOOKUP(A48,General2021[[organisation_name]:[number_of_international_committee_board_members_not_eea]],8,FALSE))</f>
        <v>1</v>
      </c>
      <c r="L48">
        <f>IFERROR(IF(Data2021[[#This Row],[Number of members]]-Data2021[[#This Row],[Non-EEA Total]]-Data2021[[#This Row],[EEA total]]&lt;1,"N/A", Data2021[[#This Row],[Number of members]]-Data2021[[#This Row],[Non-EEA Total]]-Data2021[[#This Row],[EEA total]]),"N/A")</f>
        <v>21</v>
      </c>
      <c r="M48">
        <f>VLOOKUP(A48,General2021[[organisation_name]:[number_of_international_committee_board_members_not_eea]],12,FALSE)</f>
        <v>1</v>
      </c>
      <c r="N48">
        <f>VLOOKUP(A48,General2021[[organisation_name]:[number_of_international_committee_board_members_not_eea]],11,FALSE)</f>
        <v>2</v>
      </c>
      <c r="O48">
        <f>IFERROR(IF(Data2021[[#This Row],[Number of active members]]-Data2021[[#This Row],[Non-EEA Active ]]-Data2021[[#This Row],[EEA Active]]&lt;1,"N/A", Data2021[[#This Row],[Number of active members]]-Data2021[[#This Row],[Non-EEA Active ]]-Data2021[[#This Row],[EEA Active]]),"N/A")</f>
        <v>2</v>
      </c>
      <c r="P48">
        <f>IFERROR(Data2021[[#This Row],[Non-EEA Active ]]/Data2021[[#This Row],[Number of active members]],"N/A")</f>
        <v>0.2</v>
      </c>
      <c r="Q48">
        <f>IFERROR(Data2021[[#This Row],[EEA Active]]/Data2021[[#This Row],[EEA total]], "N/A")</f>
        <v>2</v>
      </c>
      <c r="R48">
        <f>IFERROR(Data2021[[#This Row],[Dutch Active]]/Data2021[[#This Row],[Dutch total]],"N/A")</f>
        <v>9.5238095238095233E-2</v>
      </c>
      <c r="S48" t="str">
        <f>IFERROR(IF(Data2021[[#This Row],[Number of members]]=Data2021[[#This Row],[Non-EEA Total]]+Data2021[[#This Row],[EEA total]]+Data2021[[#This Row],[Dutch total]],"T","F"),"F")</f>
        <v>T</v>
      </c>
      <c r="T48" t="str">
        <f>IFERROR(IF(Data2021[[#This Row],[Number of active members]]=Data2021[[#This Row],[Non-EEA Active ]]+Data2021[[#This Row],[EEA Active]]+Data2021[[#This Row],[Dutch Active]],"T","F"),"F")</f>
        <v>T</v>
      </c>
      <c r="U48" t="str">
        <f>IFERROR(IF(Data2021[[#This Row],[Number of members]]-Data2021[[#This Row],[Non-EEA Active ]]-Data2021[[#This Row],[EEA Active]]-Data2021[[#This Row],[Dutch Active]]=Data2021[[#This Row],[Number of  inactive members]],"T","F"),"F")</f>
        <v>T</v>
      </c>
      <c r="V48" t="str">
        <f>IF(Data2021[[#This Row],[EEA Active]]&lt;=Data2021[[#This Row],[EEA total]],"T","F")</f>
        <v>F</v>
      </c>
      <c r="W48" t="str">
        <f>IF(Data2021[[#This Row],[Dutch Active]]&lt;=Data2021[[#This Row],[Dutch total]],"T","F")</f>
        <v>T</v>
      </c>
      <c r="X48" t="str">
        <f>IF(Data2021[[#This Row],[Non-EEA Active ]]&lt;=Data2021[[#This Row],[Non-EEA Total]],"T","F")</f>
        <v>T</v>
      </c>
      <c r="Y4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48">
        <f>IFERROR(VLOOKUP(Data2021[[#This Row],[organisation_name]],'Division Study Year Committees'!$A$1:$L$108,2,FALSE),"N/A")</f>
        <v>0</v>
      </c>
      <c r="AA48">
        <f>IFERROR(VLOOKUP(Data2021[[#This Row],[organisation_name]],'Division Study Year Committees'!$A$1:$L$108,3,FALSE),"N/A")</f>
        <v>6</v>
      </c>
      <c r="AB48">
        <f>IFERROR(VLOOKUP(Data2021[[#This Row],[organisation_name]],'Division Study Year Committees'!$A$1:$L$108,4,FALSE),"N/A")</f>
        <v>14</v>
      </c>
      <c r="AC48">
        <f>IFERROR(VLOOKUP(Data2021[[#This Row],[organisation_name]],'Division Study Year Committees'!$A$1:$L$108,5,FALSE), "N/A")</f>
        <v>10</v>
      </c>
      <c r="AD48">
        <f>IFERROR(VLOOKUP(Data2021[[#This Row],[organisation_name]],'Division Study Year Committees'!$A$1:$L$108,6,FALSE), "N/A")</f>
        <v>3</v>
      </c>
      <c r="AE48">
        <f>SUM(Data2021[[#This Row],[Number of first year comittee members]:[Number of 4+ year comittee members]])</f>
        <v>33</v>
      </c>
      <c r="AF48">
        <f>COUNTIF('Comittee2021'!D:D,Data2021[[#This Row],[organisation_name]])</f>
        <v>12</v>
      </c>
      <c r="AG48">
        <f>COUNTIFS('Comittee2021'!$D:$D,Data2021[[#This Row],[organisation_name]],'Comittee2021'!$O:$O,"strong decrease")</f>
        <v>8</v>
      </c>
      <c r="AH48">
        <f>COUNTIFS('Comittee2021'!$D:$D,Data2021[[#This Row],[organisation_name]],'Comittee2021'!$O:$O,"slight decrease")</f>
        <v>0</v>
      </c>
      <c r="AI48">
        <f>COUNTIFS('Comittee2021'!$D:$D,Data2021[[#This Row],[organisation_name]],'Comittee2021'!$O:$O,"no influence")</f>
        <v>2</v>
      </c>
      <c r="AJ48">
        <f>COUNTIFS('Comittee2021'!$D:$D,Data2021[[#This Row],[organisation_name]],'Comittee2021'!$O:$O,"slight increase")</f>
        <v>1</v>
      </c>
      <c r="AK48">
        <f>COUNTIFS('Comittee2021'!$D:$D,Data2021[[#This Row],[organisation_name]],'Comittee2021'!$O:$O,"strong increase")</f>
        <v>1</v>
      </c>
      <c r="AL48">
        <v>2021</v>
      </c>
    </row>
    <row r="49" spans="1:38" x14ac:dyDescent="0.3">
      <c r="A49" t="str">
        <f>General2021[[#This Row],[organisation_name]]</f>
        <v>Musica Silvestra Orkest</v>
      </c>
      <c r="B49" t="str">
        <f>IF(General2021[[#This Row],[sector]]= "",VLOOKUP(Data2021[[#This Row],[organisation_name]],'Response Rate sheet'!A:D,3,FALSE),General2021[[#This Row],[sector]])</f>
        <v>Culture</v>
      </c>
      <c r="C49" t="str">
        <f>General2021[[#This Row],[organisation_type]]</f>
        <v>association</v>
      </c>
      <c r="D49">
        <f>IF(ISBLANK(General2021[[#This Row],[number_of_members]]),"N/A",VLOOKUP(A49,General2021[[organisation_name]:[number_of_international_committee_board_members_not_eea]],6,FALSE))</f>
        <v>28</v>
      </c>
      <c r="E49">
        <f>IF(ISBLANK(General2021[[#This Row],[number_of_committee_board_members]]),"N/A",VLOOKUP(A49,General2021!B:M,10,FALSE))</f>
        <v>4</v>
      </c>
      <c r="F49">
        <f>IFERROR(Data2021[[#This Row],[Number of members]]-Data2021[[#This Row],[Number of active members]], "N/A")</f>
        <v>24</v>
      </c>
      <c r="G49">
        <f>IFERROR(Data2021[[#This Row],[Number of active members]]/Data2021[[#This Row],[Number of members]], "N/A")</f>
        <v>0.14285714285714285</v>
      </c>
      <c r="H49">
        <f>IFERROR(1-Data2021[[#This Row],[Percentage active members]],"N/A")</f>
        <v>0.85714285714285721</v>
      </c>
      <c r="I49"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49">
        <f>IF(ISBLANK(General2021[[#This Row],[number_of_international_members_not_eea]]),"N/A",VLOOKUP(A49,General2021[[organisation_name]:[number_of_international_committee_board_members_not_eea]],9,FALSE))</f>
        <v>15</v>
      </c>
      <c r="K49">
        <f>IF(ISBLANK(General2021[[#This Row],[number_of_international_members_eea]]),"N/A",VLOOKUP(A49,General2021[[organisation_name]:[number_of_international_committee_board_members_not_eea]],8,FALSE))</f>
        <v>2</v>
      </c>
      <c r="L49">
        <f>IFERROR(IF(Data2021[[#This Row],[Number of members]]-Data2021[[#This Row],[Non-EEA Total]]-Data2021[[#This Row],[EEA total]]&lt;1,"N/A", Data2021[[#This Row],[Number of members]]-Data2021[[#This Row],[Non-EEA Total]]-Data2021[[#This Row],[EEA total]]),"N/A")</f>
        <v>11</v>
      </c>
      <c r="M49">
        <f>VLOOKUP(A49,General2021[[organisation_name]:[number_of_international_committee_board_members_not_eea]],12,FALSE)</f>
        <v>0</v>
      </c>
      <c r="N49">
        <f>VLOOKUP(A49,General2021[[organisation_name]:[number_of_international_committee_board_members_not_eea]],11,FALSE)</f>
        <v>1</v>
      </c>
      <c r="O49">
        <f>IFERROR(IF(Data2021[[#This Row],[Number of active members]]-Data2021[[#This Row],[Non-EEA Active ]]-Data2021[[#This Row],[EEA Active]]&lt;1,"N/A", Data2021[[#This Row],[Number of active members]]-Data2021[[#This Row],[Non-EEA Active ]]-Data2021[[#This Row],[EEA Active]]),"N/A")</f>
        <v>3</v>
      </c>
      <c r="P49">
        <f>IFERROR(Data2021[[#This Row],[Non-EEA Active ]]/Data2021[[#This Row],[Number of active members]],"N/A")</f>
        <v>0</v>
      </c>
      <c r="Q49">
        <f>IFERROR(Data2021[[#This Row],[EEA Active]]/Data2021[[#This Row],[EEA total]], "N/A")</f>
        <v>0.5</v>
      </c>
      <c r="R49">
        <f>IFERROR(Data2021[[#This Row],[Dutch Active]]/Data2021[[#This Row],[Dutch total]],"N/A")</f>
        <v>0.27272727272727271</v>
      </c>
      <c r="S49" t="str">
        <f>IFERROR(IF(Data2021[[#This Row],[Number of members]]=Data2021[[#This Row],[Non-EEA Total]]+Data2021[[#This Row],[EEA total]]+Data2021[[#This Row],[Dutch total]],"T","F"),"F")</f>
        <v>T</v>
      </c>
      <c r="T49" t="str">
        <f>IFERROR(IF(Data2021[[#This Row],[Number of active members]]=Data2021[[#This Row],[Non-EEA Active ]]+Data2021[[#This Row],[EEA Active]]+Data2021[[#This Row],[Dutch Active]],"T","F"),"F")</f>
        <v>T</v>
      </c>
      <c r="U49" t="str">
        <f>IFERROR(IF(Data2021[[#This Row],[Number of members]]-Data2021[[#This Row],[Non-EEA Active ]]-Data2021[[#This Row],[EEA Active]]-Data2021[[#This Row],[Dutch Active]]=Data2021[[#This Row],[Number of  inactive members]],"T","F"),"F")</f>
        <v>T</v>
      </c>
      <c r="V49" t="str">
        <f>IF(Data2021[[#This Row],[EEA Active]]&lt;=Data2021[[#This Row],[EEA total]],"T","F")</f>
        <v>T</v>
      </c>
      <c r="W49" t="str">
        <f>IF(Data2021[[#This Row],[Dutch Active]]&lt;=Data2021[[#This Row],[Dutch total]],"T","F")</f>
        <v>T</v>
      </c>
      <c r="X49" t="str">
        <f>IF(Data2021[[#This Row],[Non-EEA Active ]]&lt;=Data2021[[#This Row],[Non-EEA Total]],"T","F")</f>
        <v>T</v>
      </c>
      <c r="Y49"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49">
        <f>IFERROR(VLOOKUP(Data2021[[#This Row],[organisation_name]],'Division Study Year Committees'!$A$1:$L$108,2,FALSE),"N/A")</f>
        <v>2</v>
      </c>
      <c r="AA49">
        <f>IFERROR(VLOOKUP(Data2021[[#This Row],[organisation_name]],'Division Study Year Committees'!$A$1:$L$108,3,FALSE),"N/A")</f>
        <v>7</v>
      </c>
      <c r="AB49">
        <f>IFERROR(VLOOKUP(Data2021[[#This Row],[organisation_name]],'Division Study Year Committees'!$A$1:$L$108,4,FALSE),"N/A")</f>
        <v>15</v>
      </c>
      <c r="AC49">
        <f>IFERROR(VLOOKUP(Data2021[[#This Row],[organisation_name]],'Division Study Year Committees'!$A$1:$L$108,5,FALSE), "N/A")</f>
        <v>6</v>
      </c>
      <c r="AD49">
        <f>IFERROR(VLOOKUP(Data2021[[#This Row],[organisation_name]],'Division Study Year Committees'!$A$1:$L$108,6,FALSE), "N/A")</f>
        <v>14</v>
      </c>
      <c r="AE49">
        <f>SUM(Data2021[[#This Row],[Number of first year comittee members]:[Number of 4+ year comittee members]])</f>
        <v>44</v>
      </c>
      <c r="AF49">
        <f>COUNTIF('Comittee2021'!D:D,Data2021[[#This Row],[organisation_name]])</f>
        <v>12</v>
      </c>
      <c r="AG49">
        <f>COUNTIFS('Comittee2021'!$D:$D,Data2021[[#This Row],[organisation_name]],'Comittee2021'!$O:$O,"strong decrease")</f>
        <v>0</v>
      </c>
      <c r="AH49">
        <f>COUNTIFS('Comittee2021'!$D:$D,Data2021[[#This Row],[organisation_name]],'Comittee2021'!$O:$O,"slight decrease")</f>
        <v>4</v>
      </c>
      <c r="AI49">
        <f>COUNTIFS('Comittee2021'!$D:$D,Data2021[[#This Row],[organisation_name]],'Comittee2021'!$O:$O,"no influence")</f>
        <v>4</v>
      </c>
      <c r="AJ49">
        <f>COUNTIFS('Comittee2021'!$D:$D,Data2021[[#This Row],[organisation_name]],'Comittee2021'!$O:$O,"slight increase")</f>
        <v>2</v>
      </c>
      <c r="AK49">
        <f>COUNTIFS('Comittee2021'!$D:$D,Data2021[[#This Row],[organisation_name]],'Comittee2021'!$O:$O,"strong increase")</f>
        <v>2</v>
      </c>
      <c r="AL49">
        <v>2021</v>
      </c>
    </row>
    <row r="50" spans="1:38" x14ac:dyDescent="0.3">
      <c r="A50" t="str">
        <f>General2021[[#This Row],[organisation_name]]</f>
        <v>Musilon</v>
      </c>
      <c r="B50" t="str">
        <f>IF(General2021[[#This Row],[sector]]= "",VLOOKUP(Data2021[[#This Row],[organisation_name]],'Response Rate sheet'!A:D,3,FALSE),General2021[[#This Row],[sector]])</f>
        <v>Culture</v>
      </c>
      <c r="C50" t="str">
        <f>General2021[[#This Row],[organisation_type]]</f>
        <v>association</v>
      </c>
      <c r="D50" t="str">
        <f>IF(ISBLANK(General2021[[#This Row],[number_of_members]]),"N/A",VLOOKUP(A50,General2021[[organisation_name]:[number_of_international_committee_board_members_not_eea]],6,FALSE))</f>
        <v>N/A</v>
      </c>
      <c r="E50" t="str">
        <f>IF(ISBLANK(General2021[[#This Row],[number_of_committee_board_members]]),"N/A",VLOOKUP(A50,General2021!B:M,10,FALSE))</f>
        <v>N/A</v>
      </c>
      <c r="F50" t="str">
        <f>IFERROR(Data2021[[#This Row],[Number of members]]-Data2021[[#This Row],[Number of active members]], "N/A")</f>
        <v>N/A</v>
      </c>
      <c r="G50" t="str">
        <f>IFERROR(Data2021[[#This Row],[Number of active members]]/Data2021[[#This Row],[Number of members]], "N/A")</f>
        <v>N/A</v>
      </c>
      <c r="H50" t="str">
        <f>IFERROR(1-Data2021[[#This Row],[Percentage active members]],"N/A")</f>
        <v>N/A</v>
      </c>
      <c r="I50" t="str">
        <f>IF(Data2021[[#This Row],[Number of members]]=0,"N/A",IF(Data2021[[#This Row],[Number of members]]&lt;50," A. 1 - 50 ",IF(Data2021[[#This Row],[Number of members]]&lt;100, "B. 50 - 100", IF(Data2021[[#This Row],[Number of members]]&lt;400, "C. 100 - 400", IF(Data2021[[#This Row],[Number of members]]&lt;1000,"D. 400 - 1000", "E. 1000 +")))))</f>
        <v>E. 1000 +</v>
      </c>
      <c r="J50" t="str">
        <f>IF(ISBLANK(General2021[[#This Row],[number_of_international_members_not_eea]]),"N/A",VLOOKUP(A50,General2021[[organisation_name]:[number_of_international_committee_board_members_not_eea]],9,FALSE))</f>
        <v>N/A</v>
      </c>
      <c r="K50" t="str">
        <f>IF(ISBLANK(General2021[[#This Row],[number_of_international_members_eea]]),"N/A",VLOOKUP(A50,General2021[[organisation_name]:[number_of_international_committee_board_members_not_eea]],8,FALSE))</f>
        <v>N/A</v>
      </c>
      <c r="L50" t="str">
        <f>IFERROR(IF(Data2021[[#This Row],[Number of members]]-Data2021[[#This Row],[Non-EEA Total]]-Data2021[[#This Row],[EEA total]]&lt;1,"N/A", Data2021[[#This Row],[Number of members]]-Data2021[[#This Row],[Non-EEA Total]]-Data2021[[#This Row],[EEA total]]),"N/A")</f>
        <v>N/A</v>
      </c>
      <c r="M50">
        <f>VLOOKUP(A50,General2021[[organisation_name]:[number_of_international_committee_board_members_not_eea]],12,FALSE)</f>
        <v>0</v>
      </c>
      <c r="N50">
        <f>VLOOKUP(A50,General2021[[organisation_name]:[number_of_international_committee_board_members_not_eea]],11,FALSE)</f>
        <v>0</v>
      </c>
      <c r="O50" t="str">
        <f>IFERROR(IF(Data2021[[#This Row],[Number of active members]]-Data2021[[#This Row],[Non-EEA Active ]]-Data2021[[#This Row],[EEA Active]]&lt;1,"N/A", Data2021[[#This Row],[Number of active members]]-Data2021[[#This Row],[Non-EEA Active ]]-Data2021[[#This Row],[EEA Active]]),"N/A")</f>
        <v>N/A</v>
      </c>
      <c r="P50" t="str">
        <f>IFERROR(Data2021[[#This Row],[Non-EEA Active ]]/Data2021[[#This Row],[Number of active members]],"N/A")</f>
        <v>N/A</v>
      </c>
      <c r="Q50" t="str">
        <f>IFERROR(Data2021[[#This Row],[EEA Active]]/Data2021[[#This Row],[EEA total]], "N/A")</f>
        <v>N/A</v>
      </c>
      <c r="R50" t="str">
        <f>IFERROR(Data2021[[#This Row],[Dutch Active]]/Data2021[[#This Row],[Dutch total]],"N/A")</f>
        <v>N/A</v>
      </c>
      <c r="S50" t="str">
        <f>IFERROR(IF(Data2021[[#This Row],[Number of members]]=Data2021[[#This Row],[Non-EEA Total]]+Data2021[[#This Row],[EEA total]]+Data2021[[#This Row],[Dutch total]],"T","F"),"F")</f>
        <v>F</v>
      </c>
      <c r="T50" t="str">
        <f>IFERROR(IF(Data2021[[#This Row],[Number of active members]]=Data2021[[#This Row],[Non-EEA Active ]]+Data2021[[#This Row],[EEA Active]]+Data2021[[#This Row],[Dutch Active]],"T","F"),"F")</f>
        <v>F</v>
      </c>
      <c r="U50" t="str">
        <f>IFERROR(IF(Data2021[[#This Row],[Number of members]]-Data2021[[#This Row],[Non-EEA Active ]]-Data2021[[#This Row],[EEA Active]]-Data2021[[#This Row],[Dutch Active]]=Data2021[[#This Row],[Number of  inactive members]],"T","F"),"F")</f>
        <v>F</v>
      </c>
      <c r="V50" t="str">
        <f>IF(Data2021[[#This Row],[EEA Active]]&lt;=Data2021[[#This Row],[EEA total]],"T","F")</f>
        <v>T</v>
      </c>
      <c r="W50" t="str">
        <f>IF(Data2021[[#This Row],[Dutch Active]]&lt;=Data2021[[#This Row],[Dutch total]],"T","F")</f>
        <v>T</v>
      </c>
      <c r="X50" t="str">
        <f>IF(Data2021[[#This Row],[Non-EEA Active ]]&lt;=Data2021[[#This Row],[Non-EEA Total]],"T","F")</f>
        <v>T</v>
      </c>
      <c r="Y5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0" t="str">
        <f>IFERROR(VLOOKUP(Data2021[[#This Row],[organisation_name]],'Division Study Year Committees'!$A$1:$L$108,2,FALSE),"N/A")</f>
        <v>N/A</v>
      </c>
      <c r="AA50" t="str">
        <f>IFERROR(VLOOKUP(Data2021[[#This Row],[organisation_name]],'Division Study Year Committees'!$A$1:$L$108,3,FALSE),"N/A")</f>
        <v>N/A</v>
      </c>
      <c r="AB50" t="str">
        <f>IFERROR(VLOOKUP(Data2021[[#This Row],[organisation_name]],'Division Study Year Committees'!$A$1:$L$108,4,FALSE),"N/A")</f>
        <v>N/A</v>
      </c>
      <c r="AC50" t="str">
        <f>IFERROR(VLOOKUP(Data2021[[#This Row],[organisation_name]],'Division Study Year Committees'!$A$1:$L$108,5,FALSE), "N/A")</f>
        <v>N/A</v>
      </c>
      <c r="AD50" t="str">
        <f>IFERROR(VLOOKUP(Data2021[[#This Row],[organisation_name]],'Division Study Year Committees'!$A$1:$L$108,6,FALSE), "N/A")</f>
        <v>N/A</v>
      </c>
      <c r="AE50">
        <f>SUM(Data2021[[#This Row],[Number of first year comittee members]:[Number of 4+ year comittee members]])</f>
        <v>0</v>
      </c>
      <c r="AF50">
        <f>COUNTIF('Comittee2021'!D:D,Data2021[[#This Row],[organisation_name]])</f>
        <v>0</v>
      </c>
      <c r="AG50">
        <f>COUNTIFS('Comittee2021'!$D:$D,Data2021[[#This Row],[organisation_name]],'Comittee2021'!$O:$O,"strong decrease")</f>
        <v>0</v>
      </c>
      <c r="AH50">
        <f>COUNTIFS('Comittee2021'!$D:$D,Data2021[[#This Row],[organisation_name]],'Comittee2021'!$O:$O,"slight decrease")</f>
        <v>0</v>
      </c>
      <c r="AI50">
        <f>COUNTIFS('Comittee2021'!$D:$D,Data2021[[#This Row],[organisation_name]],'Comittee2021'!$O:$O,"no influence")</f>
        <v>0</v>
      </c>
      <c r="AJ50">
        <f>COUNTIFS('Comittee2021'!$D:$D,Data2021[[#This Row],[organisation_name]],'Comittee2021'!$O:$O,"slight increase")</f>
        <v>0</v>
      </c>
      <c r="AK50">
        <f>COUNTIFS('Comittee2021'!$D:$D,Data2021[[#This Row],[organisation_name]],'Comittee2021'!$O:$O,"strong increase")</f>
        <v>0</v>
      </c>
      <c r="AL50">
        <v>2021</v>
      </c>
    </row>
    <row r="51" spans="1:38" x14ac:dyDescent="0.3">
      <c r="A51" t="str">
        <f>General2021[[#This Row],[organisation_name]]</f>
        <v>Nest</v>
      </c>
      <c r="B51" t="str">
        <f>IF(General2021[[#This Row],[sector]]= "",VLOOKUP(Data2021[[#This Row],[organisation_name]],'Response Rate sheet'!A:D,3,FALSE),General2021[[#This Row],[sector]])</f>
        <v>Culture</v>
      </c>
      <c r="C51" t="str">
        <f>General2021[[#This Row],[organisation_type]]</f>
        <v>association</v>
      </c>
      <c r="D51">
        <f>IF(ISBLANK(General2021[[#This Row],[number_of_members]]),"N/A",VLOOKUP(A51,General2021[[organisation_name]:[number_of_international_committee_board_members_not_eea]],6,FALSE))</f>
        <v>70</v>
      </c>
      <c r="E51">
        <f>IF(ISBLANK(General2021[[#This Row],[number_of_committee_board_members]]),"N/A",VLOOKUP(A51,General2021!B:M,10,FALSE))</f>
        <v>10</v>
      </c>
      <c r="F51">
        <f>IFERROR(Data2021[[#This Row],[Number of members]]-Data2021[[#This Row],[Number of active members]], "N/A")</f>
        <v>60</v>
      </c>
      <c r="G51">
        <f>IFERROR(Data2021[[#This Row],[Number of active members]]/Data2021[[#This Row],[Number of members]], "N/A")</f>
        <v>0.14285714285714285</v>
      </c>
      <c r="H51">
        <f>IFERROR(1-Data2021[[#This Row],[Percentage active members]],"N/A")</f>
        <v>0.85714285714285721</v>
      </c>
      <c r="I51" t="str">
        <f>IF(Data2021[[#This Row],[Number of members]]=0,"N/A",IF(Data2021[[#This Row],[Number of members]]&lt;50," A. 1 - 50 ",IF(Data2021[[#This Row],[Number of members]]&lt;100, "B. 50 - 100", IF(Data2021[[#This Row],[Number of members]]&lt;400, "C. 100 - 400", IF(Data2021[[#This Row],[Number of members]]&lt;1000,"D. 400 - 1000", "E. 1000 +")))))</f>
        <v>B. 50 - 100</v>
      </c>
      <c r="J51">
        <f>IF(ISBLANK(General2021[[#This Row],[number_of_international_members_not_eea]]),"N/A",VLOOKUP(A51,General2021[[organisation_name]:[number_of_international_committee_board_members_not_eea]],9,FALSE))</f>
        <v>28</v>
      </c>
      <c r="K51">
        <f>IF(ISBLANK(General2021[[#This Row],[number_of_international_members_eea]]),"N/A",VLOOKUP(A51,General2021[[organisation_name]:[number_of_international_committee_board_members_not_eea]],8,FALSE))</f>
        <v>0</v>
      </c>
      <c r="L51">
        <f>IFERROR(IF(Data2021[[#This Row],[Number of members]]-Data2021[[#This Row],[Non-EEA Total]]-Data2021[[#This Row],[EEA total]]&lt;1,"N/A", Data2021[[#This Row],[Number of members]]-Data2021[[#This Row],[Non-EEA Total]]-Data2021[[#This Row],[EEA total]]),"N/A")</f>
        <v>42</v>
      </c>
      <c r="M51">
        <f>VLOOKUP(A51,General2021[[organisation_name]:[number_of_international_committee_board_members_not_eea]],12,FALSE)</f>
        <v>0</v>
      </c>
      <c r="N51">
        <f>VLOOKUP(A51,General2021[[organisation_name]:[number_of_international_committee_board_members_not_eea]],11,FALSE)</f>
        <v>8</v>
      </c>
      <c r="O51">
        <f>IFERROR(IF(Data2021[[#This Row],[Number of active members]]-Data2021[[#This Row],[Non-EEA Active ]]-Data2021[[#This Row],[EEA Active]]&lt;1,"N/A", Data2021[[#This Row],[Number of active members]]-Data2021[[#This Row],[Non-EEA Active ]]-Data2021[[#This Row],[EEA Active]]),"N/A")</f>
        <v>2</v>
      </c>
      <c r="P51">
        <f>IFERROR(Data2021[[#This Row],[Non-EEA Active ]]/Data2021[[#This Row],[Number of active members]],"N/A")</f>
        <v>0</v>
      </c>
      <c r="Q51" t="str">
        <f>IFERROR(Data2021[[#This Row],[EEA Active]]/Data2021[[#This Row],[EEA total]], "N/A")</f>
        <v>N/A</v>
      </c>
      <c r="R51">
        <f>IFERROR(Data2021[[#This Row],[Dutch Active]]/Data2021[[#This Row],[Dutch total]],"N/A")</f>
        <v>4.7619047619047616E-2</v>
      </c>
      <c r="S51" t="str">
        <f>IFERROR(IF(Data2021[[#This Row],[Number of members]]=Data2021[[#This Row],[Non-EEA Total]]+Data2021[[#This Row],[EEA total]]+Data2021[[#This Row],[Dutch total]],"T","F"),"F")</f>
        <v>T</v>
      </c>
      <c r="T51" t="str">
        <f>IFERROR(IF(Data2021[[#This Row],[Number of active members]]=Data2021[[#This Row],[Non-EEA Active ]]+Data2021[[#This Row],[EEA Active]]+Data2021[[#This Row],[Dutch Active]],"T","F"),"F")</f>
        <v>T</v>
      </c>
      <c r="U51" t="str">
        <f>IFERROR(IF(Data2021[[#This Row],[Number of members]]-Data2021[[#This Row],[Non-EEA Active ]]-Data2021[[#This Row],[EEA Active]]-Data2021[[#This Row],[Dutch Active]]=Data2021[[#This Row],[Number of  inactive members]],"T","F"),"F")</f>
        <v>T</v>
      </c>
      <c r="V51" t="str">
        <f>IF(Data2021[[#This Row],[EEA Active]]&lt;=Data2021[[#This Row],[EEA total]],"T","F")</f>
        <v>F</v>
      </c>
      <c r="W51" t="str">
        <f>IF(Data2021[[#This Row],[Dutch Active]]&lt;=Data2021[[#This Row],[Dutch total]],"T","F")</f>
        <v>T</v>
      </c>
      <c r="X51" t="str">
        <f>IF(Data2021[[#This Row],[Non-EEA Active ]]&lt;=Data2021[[#This Row],[Non-EEA Total]],"T","F")</f>
        <v>T</v>
      </c>
      <c r="Y5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1">
        <f>IFERROR(VLOOKUP(Data2021[[#This Row],[organisation_name]],'Division Study Year Committees'!$A$1:$L$108,2,FALSE),"N/A")</f>
        <v>0</v>
      </c>
      <c r="AA51">
        <f>IFERROR(VLOOKUP(Data2021[[#This Row],[organisation_name]],'Division Study Year Committees'!$A$1:$L$108,3,FALSE),"N/A")</f>
        <v>0</v>
      </c>
      <c r="AB51">
        <f>IFERROR(VLOOKUP(Data2021[[#This Row],[organisation_name]],'Division Study Year Committees'!$A$1:$L$108,4,FALSE),"N/A")</f>
        <v>0</v>
      </c>
      <c r="AC51">
        <f>IFERROR(VLOOKUP(Data2021[[#This Row],[organisation_name]],'Division Study Year Committees'!$A$1:$L$108,5,FALSE), "N/A")</f>
        <v>0</v>
      </c>
      <c r="AD51">
        <f>IFERROR(VLOOKUP(Data2021[[#This Row],[organisation_name]],'Division Study Year Committees'!$A$1:$L$108,6,FALSE), "N/A")</f>
        <v>0</v>
      </c>
      <c r="AE51">
        <f>SUM(Data2021[[#This Row],[Number of first year comittee members]:[Number of 4+ year comittee members]])</f>
        <v>0</v>
      </c>
      <c r="AF51">
        <f>COUNTIF('Comittee2021'!D:D,Data2021[[#This Row],[organisation_name]])</f>
        <v>17</v>
      </c>
      <c r="AG51">
        <f>COUNTIFS('Comittee2021'!$D:$D,Data2021[[#This Row],[organisation_name]],'Comittee2021'!$O:$O,"strong decrease")</f>
        <v>3</v>
      </c>
      <c r="AH51">
        <f>COUNTIFS('Comittee2021'!$D:$D,Data2021[[#This Row],[organisation_name]],'Comittee2021'!$O:$O,"slight decrease")</f>
        <v>5</v>
      </c>
      <c r="AI51">
        <f>COUNTIFS('Comittee2021'!$D:$D,Data2021[[#This Row],[organisation_name]],'Comittee2021'!$O:$O,"no influence")</f>
        <v>8</v>
      </c>
      <c r="AJ51">
        <f>COUNTIFS('Comittee2021'!$D:$D,Data2021[[#This Row],[organisation_name]],'Comittee2021'!$O:$O,"slight increase")</f>
        <v>1</v>
      </c>
      <c r="AK51">
        <f>COUNTIFS('Comittee2021'!$D:$D,Data2021[[#This Row],[organisation_name]],'Comittee2021'!$O:$O,"strong increase")</f>
        <v>0</v>
      </c>
      <c r="AL51">
        <v>2021</v>
      </c>
    </row>
    <row r="52" spans="1:38" x14ac:dyDescent="0.3">
      <c r="A52" t="str">
        <f>General2021[[#This Row],[organisation_name]]</f>
        <v>Pro Deo</v>
      </c>
      <c r="B52" t="str">
        <f>IF(General2021[[#This Row],[sector]]= "",VLOOKUP(Data2021[[#This Row],[organisation_name]],'Response Rate sheet'!A:D,3,FALSE),General2021[[#This Row],[sector]])</f>
        <v>Culture</v>
      </c>
      <c r="C52" t="str">
        <f>General2021[[#This Row],[organisation_type]]</f>
        <v>association</v>
      </c>
      <c r="D52">
        <f>IF(ISBLANK(General2021[[#This Row],[number_of_members]]),"N/A",VLOOKUP(A52,General2021[[organisation_name]:[number_of_international_committee_board_members_not_eea]],6,FALSE))</f>
        <v>39</v>
      </c>
      <c r="E52">
        <f>IF(ISBLANK(General2021[[#This Row],[number_of_committee_board_members]]),"N/A",VLOOKUP(A52,General2021!B:M,10,FALSE))</f>
        <v>5</v>
      </c>
      <c r="F52">
        <f>IFERROR(Data2021[[#This Row],[Number of members]]-Data2021[[#This Row],[Number of active members]], "N/A")</f>
        <v>34</v>
      </c>
      <c r="G52">
        <f>IFERROR(Data2021[[#This Row],[Number of active members]]/Data2021[[#This Row],[Number of members]], "N/A")</f>
        <v>0.12820512820512819</v>
      </c>
      <c r="H52">
        <f>IFERROR(1-Data2021[[#This Row],[Percentage active members]],"N/A")</f>
        <v>0.87179487179487181</v>
      </c>
      <c r="I52"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52">
        <f>IF(ISBLANK(General2021[[#This Row],[number_of_international_members_not_eea]]),"N/A",VLOOKUP(A52,General2021[[organisation_name]:[number_of_international_committee_board_members_not_eea]],9,FALSE))</f>
        <v>10</v>
      </c>
      <c r="K52">
        <f>IF(ISBLANK(General2021[[#This Row],[number_of_international_members_eea]]),"N/A",VLOOKUP(A52,General2021[[organisation_name]:[number_of_international_committee_board_members_not_eea]],8,FALSE))</f>
        <v>4</v>
      </c>
      <c r="L52">
        <f>IFERROR(IF(Data2021[[#This Row],[Number of members]]-Data2021[[#This Row],[Non-EEA Total]]-Data2021[[#This Row],[EEA total]]&lt;1,"N/A", Data2021[[#This Row],[Number of members]]-Data2021[[#This Row],[Non-EEA Total]]-Data2021[[#This Row],[EEA total]]),"N/A")</f>
        <v>25</v>
      </c>
      <c r="M52">
        <f>VLOOKUP(A52,General2021[[organisation_name]:[number_of_international_committee_board_members_not_eea]],12,FALSE)</f>
        <v>0</v>
      </c>
      <c r="N52">
        <f>VLOOKUP(A52,General2021[[organisation_name]:[number_of_international_committee_board_members_not_eea]],11,FALSE)</f>
        <v>2</v>
      </c>
      <c r="O52">
        <f>IFERROR(IF(Data2021[[#This Row],[Number of active members]]-Data2021[[#This Row],[Non-EEA Active ]]-Data2021[[#This Row],[EEA Active]]&lt;1,"N/A", Data2021[[#This Row],[Number of active members]]-Data2021[[#This Row],[Non-EEA Active ]]-Data2021[[#This Row],[EEA Active]]),"N/A")</f>
        <v>3</v>
      </c>
      <c r="P52">
        <f>IFERROR(Data2021[[#This Row],[Non-EEA Active ]]/Data2021[[#This Row],[Number of active members]],"N/A")</f>
        <v>0</v>
      </c>
      <c r="Q52">
        <f>IFERROR(Data2021[[#This Row],[EEA Active]]/Data2021[[#This Row],[EEA total]], "N/A")</f>
        <v>0.5</v>
      </c>
      <c r="R52">
        <f>IFERROR(Data2021[[#This Row],[Dutch Active]]/Data2021[[#This Row],[Dutch total]],"N/A")</f>
        <v>0.12</v>
      </c>
      <c r="S52" t="str">
        <f>IFERROR(IF(Data2021[[#This Row],[Number of members]]=Data2021[[#This Row],[Non-EEA Total]]+Data2021[[#This Row],[EEA total]]+Data2021[[#This Row],[Dutch total]],"T","F"),"F")</f>
        <v>T</v>
      </c>
      <c r="T52" t="str">
        <f>IFERROR(IF(Data2021[[#This Row],[Number of active members]]=Data2021[[#This Row],[Non-EEA Active ]]+Data2021[[#This Row],[EEA Active]]+Data2021[[#This Row],[Dutch Active]],"T","F"),"F")</f>
        <v>T</v>
      </c>
      <c r="U52" t="str">
        <f>IFERROR(IF(Data2021[[#This Row],[Number of members]]-Data2021[[#This Row],[Non-EEA Active ]]-Data2021[[#This Row],[EEA Active]]-Data2021[[#This Row],[Dutch Active]]=Data2021[[#This Row],[Number of  inactive members]],"T","F"),"F")</f>
        <v>T</v>
      </c>
      <c r="V52" t="str">
        <f>IF(Data2021[[#This Row],[EEA Active]]&lt;=Data2021[[#This Row],[EEA total]],"T","F")</f>
        <v>T</v>
      </c>
      <c r="W52" t="str">
        <f>IF(Data2021[[#This Row],[Dutch Active]]&lt;=Data2021[[#This Row],[Dutch total]],"T","F")</f>
        <v>T</v>
      </c>
      <c r="X52" t="str">
        <f>IF(Data2021[[#This Row],[Non-EEA Active ]]&lt;=Data2021[[#This Row],[Non-EEA Total]],"T","F")</f>
        <v>T</v>
      </c>
      <c r="Y52"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52">
        <f>IFERROR(VLOOKUP(Data2021[[#This Row],[organisation_name]],'Division Study Year Committees'!$A$1:$L$108,2,FALSE),"N/A")</f>
        <v>0</v>
      </c>
      <c r="AA52">
        <f>IFERROR(VLOOKUP(Data2021[[#This Row],[organisation_name]],'Division Study Year Committees'!$A$1:$L$108,3,FALSE),"N/A")</f>
        <v>2</v>
      </c>
      <c r="AB52">
        <f>IFERROR(VLOOKUP(Data2021[[#This Row],[organisation_name]],'Division Study Year Committees'!$A$1:$L$108,4,FALSE),"N/A")</f>
        <v>1</v>
      </c>
      <c r="AC52">
        <f>IFERROR(VLOOKUP(Data2021[[#This Row],[organisation_name]],'Division Study Year Committees'!$A$1:$L$108,5,FALSE), "N/A")</f>
        <v>0</v>
      </c>
      <c r="AD52">
        <f>IFERROR(VLOOKUP(Data2021[[#This Row],[organisation_name]],'Division Study Year Committees'!$A$1:$L$108,6,FALSE), "N/A")</f>
        <v>16</v>
      </c>
      <c r="AE52">
        <f>SUM(Data2021[[#This Row],[Number of first year comittee members]:[Number of 4+ year comittee members]])</f>
        <v>19</v>
      </c>
      <c r="AF52">
        <f>COUNTIF('Comittee2021'!D:D,Data2021[[#This Row],[organisation_name]])</f>
        <v>10</v>
      </c>
      <c r="AG52">
        <f>COUNTIFS('Comittee2021'!$D:$D,Data2021[[#This Row],[organisation_name]],'Comittee2021'!$O:$O,"strong decrease")</f>
        <v>3</v>
      </c>
      <c r="AH52">
        <f>COUNTIFS('Comittee2021'!$D:$D,Data2021[[#This Row],[organisation_name]],'Comittee2021'!$O:$O,"slight decrease")</f>
        <v>1</v>
      </c>
      <c r="AI52">
        <f>COUNTIFS('Comittee2021'!$D:$D,Data2021[[#This Row],[organisation_name]],'Comittee2021'!$O:$O,"no influence")</f>
        <v>4</v>
      </c>
      <c r="AJ52">
        <f>COUNTIFS('Comittee2021'!$D:$D,Data2021[[#This Row],[organisation_name]],'Comittee2021'!$O:$O,"slight increase")</f>
        <v>2</v>
      </c>
      <c r="AK52">
        <f>COUNTIFS('Comittee2021'!$D:$D,Data2021[[#This Row],[organisation_name]],'Comittee2021'!$O:$O,"strong increase")</f>
        <v>0</v>
      </c>
      <c r="AL52">
        <v>2021</v>
      </c>
    </row>
    <row r="53" spans="1:38" x14ac:dyDescent="0.3">
      <c r="A53" t="str">
        <f>General2021[[#This Row],[organisation_name]]</f>
        <v>SDV Chasse</v>
      </c>
      <c r="B53" t="str">
        <f>IF(General2021[[#This Row],[sector]]= "",VLOOKUP(Data2021[[#This Row],[organisation_name]],'Response Rate sheet'!A:D,3,FALSE),General2021[[#This Row],[sector]])</f>
        <v>Culture</v>
      </c>
      <c r="C53" t="str">
        <f>General2021[[#This Row],[organisation_type]]</f>
        <v>association</v>
      </c>
      <c r="D53">
        <f>IF(ISBLANK(General2021[[#This Row],[number_of_members]]),"N/A",VLOOKUP(A53,General2021[[organisation_name]:[number_of_international_committee_board_members_not_eea]],6,FALSE))</f>
        <v>48</v>
      </c>
      <c r="E53">
        <f>IF(ISBLANK(General2021[[#This Row],[number_of_committee_board_members]]),"N/A",VLOOKUP(A53,General2021!B:M,10,FALSE))</f>
        <v>10</v>
      </c>
      <c r="F53">
        <f>IFERROR(Data2021[[#This Row],[Number of members]]-Data2021[[#This Row],[Number of active members]], "N/A")</f>
        <v>38</v>
      </c>
      <c r="G53">
        <f>IFERROR(Data2021[[#This Row],[Number of active members]]/Data2021[[#This Row],[Number of members]], "N/A")</f>
        <v>0.20833333333333334</v>
      </c>
      <c r="H53">
        <f>IFERROR(1-Data2021[[#This Row],[Percentage active members]],"N/A")</f>
        <v>0.79166666666666663</v>
      </c>
      <c r="I53"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53">
        <f>IF(ISBLANK(General2021[[#This Row],[number_of_international_members_not_eea]]),"N/A",VLOOKUP(A53,General2021[[organisation_name]:[number_of_international_committee_board_members_not_eea]],9,FALSE))</f>
        <v>25</v>
      </c>
      <c r="K53">
        <f>IF(ISBLANK(General2021[[#This Row],[number_of_international_members_eea]]),"N/A",VLOOKUP(A53,General2021[[organisation_name]:[number_of_international_committee_board_members_not_eea]],8,FALSE))</f>
        <v>6</v>
      </c>
      <c r="L53">
        <f>IFERROR(IF(Data2021[[#This Row],[Number of members]]-Data2021[[#This Row],[Non-EEA Total]]-Data2021[[#This Row],[EEA total]]&lt;1,"N/A", Data2021[[#This Row],[Number of members]]-Data2021[[#This Row],[Non-EEA Total]]-Data2021[[#This Row],[EEA total]]),"N/A")</f>
        <v>17</v>
      </c>
      <c r="M53">
        <f>VLOOKUP(A53,General2021[[organisation_name]:[number_of_international_committee_board_members_not_eea]],12,FALSE)</f>
        <v>2</v>
      </c>
      <c r="N53">
        <f>VLOOKUP(A53,General2021[[organisation_name]:[number_of_international_committee_board_members_not_eea]],11,FALSE)</f>
        <v>4</v>
      </c>
      <c r="O53">
        <f>IFERROR(IF(Data2021[[#This Row],[Number of active members]]-Data2021[[#This Row],[Non-EEA Active ]]-Data2021[[#This Row],[EEA Active]]&lt;1,"N/A", Data2021[[#This Row],[Number of active members]]-Data2021[[#This Row],[Non-EEA Active ]]-Data2021[[#This Row],[EEA Active]]),"N/A")</f>
        <v>4</v>
      </c>
      <c r="P53">
        <f>IFERROR(Data2021[[#This Row],[Non-EEA Active ]]/Data2021[[#This Row],[Number of active members]],"N/A")</f>
        <v>0.2</v>
      </c>
      <c r="Q53">
        <f>IFERROR(Data2021[[#This Row],[EEA Active]]/Data2021[[#This Row],[EEA total]], "N/A")</f>
        <v>0.66666666666666663</v>
      </c>
      <c r="R53">
        <f>IFERROR(Data2021[[#This Row],[Dutch Active]]/Data2021[[#This Row],[Dutch total]],"N/A")</f>
        <v>0.23529411764705882</v>
      </c>
      <c r="S53" t="str">
        <f>IFERROR(IF(Data2021[[#This Row],[Number of members]]=Data2021[[#This Row],[Non-EEA Total]]+Data2021[[#This Row],[EEA total]]+Data2021[[#This Row],[Dutch total]],"T","F"),"F")</f>
        <v>T</v>
      </c>
      <c r="T53" t="str">
        <f>IFERROR(IF(Data2021[[#This Row],[Number of active members]]=Data2021[[#This Row],[Non-EEA Active ]]+Data2021[[#This Row],[EEA Active]]+Data2021[[#This Row],[Dutch Active]],"T","F"),"F")</f>
        <v>T</v>
      </c>
      <c r="U53" t="str">
        <f>IFERROR(IF(Data2021[[#This Row],[Number of members]]-Data2021[[#This Row],[Non-EEA Active ]]-Data2021[[#This Row],[EEA Active]]-Data2021[[#This Row],[Dutch Active]]=Data2021[[#This Row],[Number of  inactive members]],"T","F"),"F")</f>
        <v>T</v>
      </c>
      <c r="V53" t="str">
        <f>IF(Data2021[[#This Row],[EEA Active]]&lt;=Data2021[[#This Row],[EEA total]],"T","F")</f>
        <v>T</v>
      </c>
      <c r="W53" t="str">
        <f>IF(Data2021[[#This Row],[Dutch Active]]&lt;=Data2021[[#This Row],[Dutch total]],"T","F")</f>
        <v>T</v>
      </c>
      <c r="X53" t="str">
        <f>IF(Data2021[[#This Row],[Non-EEA Active ]]&lt;=Data2021[[#This Row],[Non-EEA Total]],"T","F")</f>
        <v>T</v>
      </c>
      <c r="Y53"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53">
        <f>IFERROR(VLOOKUP(Data2021[[#This Row],[organisation_name]],'Division Study Year Committees'!$A$1:$L$108,2,FALSE),"N/A")</f>
        <v>0</v>
      </c>
      <c r="AA53">
        <f>IFERROR(VLOOKUP(Data2021[[#This Row],[organisation_name]],'Division Study Year Committees'!$A$1:$L$108,3,FALSE),"N/A")</f>
        <v>0</v>
      </c>
      <c r="AB53">
        <f>IFERROR(VLOOKUP(Data2021[[#This Row],[organisation_name]],'Division Study Year Committees'!$A$1:$L$108,4,FALSE),"N/A")</f>
        <v>0</v>
      </c>
      <c r="AC53">
        <f>IFERROR(VLOOKUP(Data2021[[#This Row],[organisation_name]],'Division Study Year Committees'!$A$1:$L$108,5,FALSE), "N/A")</f>
        <v>0</v>
      </c>
      <c r="AD53">
        <f>IFERROR(VLOOKUP(Data2021[[#This Row],[organisation_name]],'Division Study Year Committees'!$A$1:$L$108,6,FALSE), "N/A")</f>
        <v>0</v>
      </c>
      <c r="AE53">
        <f>SUM(Data2021[[#This Row],[Number of first year comittee members]:[Number of 4+ year comittee members]])</f>
        <v>0</v>
      </c>
      <c r="AF53">
        <f>COUNTIF('Comittee2021'!D:D,Data2021[[#This Row],[organisation_name]])</f>
        <v>9</v>
      </c>
      <c r="AG53">
        <f>COUNTIFS('Comittee2021'!$D:$D,Data2021[[#This Row],[organisation_name]],'Comittee2021'!$O:$O,"strong decrease")</f>
        <v>0</v>
      </c>
      <c r="AH53">
        <f>COUNTIFS('Comittee2021'!$D:$D,Data2021[[#This Row],[organisation_name]],'Comittee2021'!$O:$O,"slight decrease")</f>
        <v>0</v>
      </c>
      <c r="AI53">
        <f>COUNTIFS('Comittee2021'!$D:$D,Data2021[[#This Row],[organisation_name]],'Comittee2021'!$O:$O,"no influence")</f>
        <v>0</v>
      </c>
      <c r="AJ53">
        <f>COUNTIFS('Comittee2021'!$D:$D,Data2021[[#This Row],[organisation_name]],'Comittee2021'!$O:$O,"slight increase")</f>
        <v>0</v>
      </c>
      <c r="AK53">
        <f>COUNTIFS('Comittee2021'!$D:$D,Data2021[[#This Row],[organisation_name]],'Comittee2021'!$O:$O,"strong increase")</f>
        <v>0</v>
      </c>
      <c r="AL53">
        <v>2021</v>
      </c>
    </row>
    <row r="54" spans="1:38" x14ac:dyDescent="0.3">
      <c r="A54" t="str">
        <f>General2021[[#This Row],[organisation_name]]</f>
        <v>SHOT</v>
      </c>
      <c r="B54" t="str">
        <f>IF(General2021[[#This Row],[sector]]= "",VLOOKUP(Data2021[[#This Row],[organisation_name]],'Response Rate sheet'!A:D,3,FALSE),General2021[[#This Row],[sector]])</f>
        <v>Culture</v>
      </c>
      <c r="C54" t="str">
        <f>General2021[[#This Row],[organisation_type]]</f>
        <v>association</v>
      </c>
      <c r="D54" t="str">
        <f>IF(ISBLANK(General2021[[#This Row],[number_of_members]]),"N/A",VLOOKUP(A54,General2021[[organisation_name]:[number_of_international_committee_board_members_not_eea]],6,FALSE))</f>
        <v>N/A</v>
      </c>
      <c r="E54" t="str">
        <f>IF(ISBLANK(General2021[[#This Row],[number_of_committee_board_members]]),"N/A",VLOOKUP(A54,General2021!B:M,10,FALSE))</f>
        <v>N/A</v>
      </c>
      <c r="F54" t="str">
        <f>IFERROR(Data2021[[#This Row],[Number of members]]-Data2021[[#This Row],[Number of active members]], "N/A")</f>
        <v>N/A</v>
      </c>
      <c r="G54" t="str">
        <f>IFERROR(Data2021[[#This Row],[Number of active members]]/Data2021[[#This Row],[Number of members]], "N/A")</f>
        <v>N/A</v>
      </c>
      <c r="H54" t="str">
        <f>IFERROR(1-Data2021[[#This Row],[Percentage active members]],"N/A")</f>
        <v>N/A</v>
      </c>
      <c r="I54" t="str">
        <f>IF(Data2021[[#This Row],[Number of members]]=0,"N/A",IF(Data2021[[#This Row],[Number of members]]&lt;50," A. 1 - 50 ",IF(Data2021[[#This Row],[Number of members]]&lt;100, "B. 50 - 100", IF(Data2021[[#This Row],[Number of members]]&lt;400, "C. 100 - 400", IF(Data2021[[#This Row],[Number of members]]&lt;1000,"D. 400 - 1000", "E. 1000 +")))))</f>
        <v>E. 1000 +</v>
      </c>
      <c r="J54" t="str">
        <f>IF(ISBLANK(General2021[[#This Row],[number_of_international_members_not_eea]]),"N/A",VLOOKUP(A54,General2021[[organisation_name]:[number_of_international_committee_board_members_not_eea]],9,FALSE))</f>
        <v>N/A</v>
      </c>
      <c r="K54" t="str">
        <f>IF(ISBLANK(General2021[[#This Row],[number_of_international_members_eea]]),"N/A",VLOOKUP(A54,General2021[[organisation_name]:[number_of_international_committee_board_members_not_eea]],8,FALSE))</f>
        <v>N/A</v>
      </c>
      <c r="L54" t="str">
        <f>IFERROR(IF(Data2021[[#This Row],[Number of members]]-Data2021[[#This Row],[Non-EEA Total]]-Data2021[[#This Row],[EEA total]]&lt;1,"N/A", Data2021[[#This Row],[Number of members]]-Data2021[[#This Row],[Non-EEA Total]]-Data2021[[#This Row],[EEA total]]),"N/A")</f>
        <v>N/A</v>
      </c>
      <c r="M54">
        <f>VLOOKUP(A54,General2021[[organisation_name]:[number_of_international_committee_board_members_not_eea]],12,FALSE)</f>
        <v>0</v>
      </c>
      <c r="N54">
        <f>VLOOKUP(A54,General2021[[organisation_name]:[number_of_international_committee_board_members_not_eea]],11,FALSE)</f>
        <v>0</v>
      </c>
      <c r="O54" t="str">
        <f>IFERROR(IF(Data2021[[#This Row],[Number of active members]]-Data2021[[#This Row],[Non-EEA Active ]]-Data2021[[#This Row],[EEA Active]]&lt;1,"N/A", Data2021[[#This Row],[Number of active members]]-Data2021[[#This Row],[Non-EEA Active ]]-Data2021[[#This Row],[EEA Active]]),"N/A")</f>
        <v>N/A</v>
      </c>
      <c r="P54" t="str">
        <f>IFERROR(Data2021[[#This Row],[Non-EEA Active ]]/Data2021[[#This Row],[Number of active members]],"N/A")</f>
        <v>N/A</v>
      </c>
      <c r="Q54" t="str">
        <f>IFERROR(Data2021[[#This Row],[EEA Active]]/Data2021[[#This Row],[EEA total]], "N/A")</f>
        <v>N/A</v>
      </c>
      <c r="R54" t="str">
        <f>IFERROR(Data2021[[#This Row],[Dutch Active]]/Data2021[[#This Row],[Dutch total]],"N/A")</f>
        <v>N/A</v>
      </c>
      <c r="S54" t="str">
        <f>IFERROR(IF(Data2021[[#This Row],[Number of members]]=Data2021[[#This Row],[Non-EEA Total]]+Data2021[[#This Row],[EEA total]]+Data2021[[#This Row],[Dutch total]],"T","F"),"F")</f>
        <v>F</v>
      </c>
      <c r="T54" t="str">
        <f>IFERROR(IF(Data2021[[#This Row],[Number of active members]]=Data2021[[#This Row],[Non-EEA Active ]]+Data2021[[#This Row],[EEA Active]]+Data2021[[#This Row],[Dutch Active]],"T","F"),"F")</f>
        <v>F</v>
      </c>
      <c r="U54" t="str">
        <f>IFERROR(IF(Data2021[[#This Row],[Number of members]]-Data2021[[#This Row],[Non-EEA Active ]]-Data2021[[#This Row],[EEA Active]]-Data2021[[#This Row],[Dutch Active]]=Data2021[[#This Row],[Number of  inactive members]],"T","F"),"F")</f>
        <v>F</v>
      </c>
      <c r="V54" t="str">
        <f>IF(Data2021[[#This Row],[EEA Active]]&lt;=Data2021[[#This Row],[EEA total]],"T","F")</f>
        <v>T</v>
      </c>
      <c r="W54" t="str">
        <f>IF(Data2021[[#This Row],[Dutch Active]]&lt;=Data2021[[#This Row],[Dutch total]],"T","F")</f>
        <v>T</v>
      </c>
      <c r="X54" t="str">
        <f>IF(Data2021[[#This Row],[Non-EEA Active ]]&lt;=Data2021[[#This Row],[Non-EEA Total]],"T","F")</f>
        <v>T</v>
      </c>
      <c r="Y5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4" t="str">
        <f>IFERROR(VLOOKUP(Data2021[[#This Row],[organisation_name]],'Division Study Year Committees'!$A$1:$L$108,2,FALSE),"N/A")</f>
        <v>N/A</v>
      </c>
      <c r="AA54" t="str">
        <f>IFERROR(VLOOKUP(Data2021[[#This Row],[organisation_name]],'Division Study Year Committees'!$A$1:$L$108,3,FALSE),"N/A")</f>
        <v>N/A</v>
      </c>
      <c r="AB54" t="str">
        <f>IFERROR(VLOOKUP(Data2021[[#This Row],[organisation_name]],'Division Study Year Committees'!$A$1:$L$108,4,FALSE),"N/A")</f>
        <v>N/A</v>
      </c>
      <c r="AC54" t="str">
        <f>IFERROR(VLOOKUP(Data2021[[#This Row],[organisation_name]],'Division Study Year Committees'!$A$1:$L$108,5,FALSE), "N/A")</f>
        <v>N/A</v>
      </c>
      <c r="AD54" t="str">
        <f>IFERROR(VLOOKUP(Data2021[[#This Row],[organisation_name]],'Division Study Year Committees'!$A$1:$L$108,6,FALSE), "N/A")</f>
        <v>N/A</v>
      </c>
      <c r="AE54">
        <f>SUM(Data2021[[#This Row],[Number of first year comittee members]:[Number of 4+ year comittee members]])</f>
        <v>0</v>
      </c>
      <c r="AF54">
        <f>COUNTIF('Comittee2021'!D:D,Data2021[[#This Row],[organisation_name]])</f>
        <v>0</v>
      </c>
      <c r="AG54">
        <f>COUNTIFS('Comittee2021'!$D:$D,Data2021[[#This Row],[organisation_name]],'Comittee2021'!$O:$O,"strong decrease")</f>
        <v>0</v>
      </c>
      <c r="AH54">
        <f>COUNTIFS('Comittee2021'!$D:$D,Data2021[[#This Row],[organisation_name]],'Comittee2021'!$O:$O,"slight decrease")</f>
        <v>0</v>
      </c>
      <c r="AI54">
        <f>COUNTIFS('Comittee2021'!$D:$D,Data2021[[#This Row],[organisation_name]],'Comittee2021'!$O:$O,"no influence")</f>
        <v>0</v>
      </c>
      <c r="AJ54">
        <f>COUNTIFS('Comittee2021'!$D:$D,Data2021[[#This Row],[organisation_name]],'Comittee2021'!$O:$O,"slight increase")</f>
        <v>0</v>
      </c>
      <c r="AK54">
        <f>COUNTIFS('Comittee2021'!$D:$D,Data2021[[#This Row],[organisation_name]],'Comittee2021'!$O:$O,"strong increase")</f>
        <v>0</v>
      </c>
      <c r="AL54">
        <v>2021</v>
      </c>
    </row>
    <row r="55" spans="1:38" x14ac:dyDescent="0.3">
      <c r="A55" t="str">
        <f>General2021[[#This Row],[organisation_name]]</f>
        <v>Stubiba</v>
      </c>
      <c r="B55" t="str">
        <f>IF(General2021[[#This Row],[sector]]= "",VLOOKUP(Data2021[[#This Row],[organisation_name]],'Response Rate sheet'!A:D,3,FALSE),General2021[[#This Row],[sector]])</f>
        <v>Culture</v>
      </c>
      <c r="C55" t="str">
        <f>General2021[[#This Row],[organisation_type]]</f>
        <v>association</v>
      </c>
      <c r="D55" t="str">
        <f>IF(ISBLANK(General2021[[#This Row],[number_of_members]]),"N/A",VLOOKUP(A55,General2021[[organisation_name]:[number_of_international_committee_board_members_not_eea]],6,FALSE))</f>
        <v>N/A</v>
      </c>
      <c r="E55" t="str">
        <f>IF(ISBLANK(General2021[[#This Row],[number_of_committee_board_members]]),"N/A",VLOOKUP(A55,General2021!B:M,10,FALSE))</f>
        <v>N/A</v>
      </c>
      <c r="F55" t="str">
        <f>IFERROR(Data2021[[#This Row],[Number of members]]-Data2021[[#This Row],[Number of active members]], "N/A")</f>
        <v>N/A</v>
      </c>
      <c r="G55" t="str">
        <f>IFERROR(Data2021[[#This Row],[Number of active members]]/Data2021[[#This Row],[Number of members]], "N/A")</f>
        <v>N/A</v>
      </c>
      <c r="H55" t="str">
        <f>IFERROR(1-Data2021[[#This Row],[Percentage active members]],"N/A")</f>
        <v>N/A</v>
      </c>
      <c r="I55" t="str">
        <f>IF(Data2021[[#This Row],[Number of members]]=0,"N/A",IF(Data2021[[#This Row],[Number of members]]&lt;50," A. 1 - 50 ",IF(Data2021[[#This Row],[Number of members]]&lt;100, "B. 50 - 100", IF(Data2021[[#This Row],[Number of members]]&lt;400, "C. 100 - 400", IF(Data2021[[#This Row],[Number of members]]&lt;1000,"D. 400 - 1000", "E. 1000 +")))))</f>
        <v>E. 1000 +</v>
      </c>
      <c r="J55" t="str">
        <f>IF(ISBLANK(General2021[[#This Row],[number_of_international_members_not_eea]]),"N/A",VLOOKUP(A55,General2021[[organisation_name]:[number_of_international_committee_board_members_not_eea]],9,FALSE))</f>
        <v>N/A</v>
      </c>
      <c r="K55" t="str">
        <f>IF(ISBLANK(General2021[[#This Row],[number_of_international_members_eea]]),"N/A",VLOOKUP(A55,General2021[[organisation_name]:[number_of_international_committee_board_members_not_eea]],8,FALSE))</f>
        <v>N/A</v>
      </c>
      <c r="L55" t="str">
        <f>IFERROR(IF(Data2021[[#This Row],[Number of members]]-Data2021[[#This Row],[Non-EEA Total]]-Data2021[[#This Row],[EEA total]]&lt;1,"N/A", Data2021[[#This Row],[Number of members]]-Data2021[[#This Row],[Non-EEA Total]]-Data2021[[#This Row],[EEA total]]),"N/A")</f>
        <v>N/A</v>
      </c>
      <c r="M55">
        <f>VLOOKUP(A55,General2021[[organisation_name]:[number_of_international_committee_board_members_not_eea]],12,FALSE)</f>
        <v>0</v>
      </c>
      <c r="N55">
        <f>VLOOKUP(A55,General2021[[organisation_name]:[number_of_international_committee_board_members_not_eea]],11,FALSE)</f>
        <v>0</v>
      </c>
      <c r="O55" t="str">
        <f>IFERROR(IF(Data2021[[#This Row],[Number of active members]]-Data2021[[#This Row],[Non-EEA Active ]]-Data2021[[#This Row],[EEA Active]]&lt;1,"N/A", Data2021[[#This Row],[Number of active members]]-Data2021[[#This Row],[Non-EEA Active ]]-Data2021[[#This Row],[EEA Active]]),"N/A")</f>
        <v>N/A</v>
      </c>
      <c r="P55" t="str">
        <f>IFERROR(Data2021[[#This Row],[Non-EEA Active ]]/Data2021[[#This Row],[Number of active members]],"N/A")</f>
        <v>N/A</v>
      </c>
      <c r="Q55" t="str">
        <f>IFERROR(Data2021[[#This Row],[EEA Active]]/Data2021[[#This Row],[EEA total]], "N/A")</f>
        <v>N/A</v>
      </c>
      <c r="R55" t="str">
        <f>IFERROR(Data2021[[#This Row],[Dutch Active]]/Data2021[[#This Row],[Dutch total]],"N/A")</f>
        <v>N/A</v>
      </c>
      <c r="S55" t="str">
        <f>IFERROR(IF(Data2021[[#This Row],[Number of members]]=Data2021[[#This Row],[Non-EEA Total]]+Data2021[[#This Row],[EEA total]]+Data2021[[#This Row],[Dutch total]],"T","F"),"F")</f>
        <v>F</v>
      </c>
      <c r="T55" t="str">
        <f>IFERROR(IF(Data2021[[#This Row],[Number of active members]]=Data2021[[#This Row],[Non-EEA Active ]]+Data2021[[#This Row],[EEA Active]]+Data2021[[#This Row],[Dutch Active]],"T","F"),"F")</f>
        <v>F</v>
      </c>
      <c r="U55" t="str">
        <f>IFERROR(IF(Data2021[[#This Row],[Number of members]]-Data2021[[#This Row],[Non-EEA Active ]]-Data2021[[#This Row],[EEA Active]]-Data2021[[#This Row],[Dutch Active]]=Data2021[[#This Row],[Number of  inactive members]],"T","F"),"F")</f>
        <v>F</v>
      </c>
      <c r="V55" t="str">
        <f>IF(Data2021[[#This Row],[EEA Active]]&lt;=Data2021[[#This Row],[EEA total]],"T","F")</f>
        <v>T</v>
      </c>
      <c r="W55" t="str">
        <f>IF(Data2021[[#This Row],[Dutch Active]]&lt;=Data2021[[#This Row],[Dutch total]],"T","F")</f>
        <v>T</v>
      </c>
      <c r="X55" t="str">
        <f>IF(Data2021[[#This Row],[Non-EEA Active ]]&lt;=Data2021[[#This Row],[Non-EEA Total]],"T","F")</f>
        <v>T</v>
      </c>
      <c r="Y5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5" t="str">
        <f>IFERROR(VLOOKUP(Data2021[[#This Row],[organisation_name]],'Division Study Year Committees'!$A$1:$L$108,2,FALSE),"N/A")</f>
        <v>N/A</v>
      </c>
      <c r="AA55" t="str">
        <f>IFERROR(VLOOKUP(Data2021[[#This Row],[organisation_name]],'Division Study Year Committees'!$A$1:$L$108,3,FALSE),"N/A")</f>
        <v>N/A</v>
      </c>
      <c r="AB55" t="str">
        <f>IFERROR(VLOOKUP(Data2021[[#This Row],[organisation_name]],'Division Study Year Committees'!$A$1:$L$108,4,FALSE),"N/A")</f>
        <v>N/A</v>
      </c>
      <c r="AC55" t="str">
        <f>IFERROR(VLOOKUP(Data2021[[#This Row],[organisation_name]],'Division Study Year Committees'!$A$1:$L$108,5,FALSE), "N/A")</f>
        <v>N/A</v>
      </c>
      <c r="AD55" t="str">
        <f>IFERROR(VLOOKUP(Data2021[[#This Row],[organisation_name]],'Division Study Year Committees'!$A$1:$L$108,6,FALSE), "N/A")</f>
        <v>N/A</v>
      </c>
      <c r="AE55">
        <f>SUM(Data2021[[#This Row],[Number of first year comittee members]:[Number of 4+ year comittee members]])</f>
        <v>0</v>
      </c>
      <c r="AF55">
        <f>COUNTIF('Comittee2021'!D:D,Data2021[[#This Row],[organisation_name]])</f>
        <v>0</v>
      </c>
      <c r="AG55">
        <f>COUNTIFS('Comittee2021'!$D:$D,Data2021[[#This Row],[organisation_name]],'Comittee2021'!$O:$O,"strong decrease")</f>
        <v>0</v>
      </c>
      <c r="AH55">
        <f>COUNTIFS('Comittee2021'!$D:$D,Data2021[[#This Row],[organisation_name]],'Comittee2021'!$O:$O,"slight decrease")</f>
        <v>0</v>
      </c>
      <c r="AI55">
        <f>COUNTIFS('Comittee2021'!$D:$D,Data2021[[#This Row],[organisation_name]],'Comittee2021'!$O:$O,"no influence")</f>
        <v>0</v>
      </c>
      <c r="AJ55">
        <f>COUNTIFS('Comittee2021'!$D:$D,Data2021[[#This Row],[organisation_name]],'Comittee2021'!$O:$O,"slight increase")</f>
        <v>0</v>
      </c>
      <c r="AK55">
        <f>COUNTIFS('Comittee2021'!$D:$D,Data2021[[#This Row],[organisation_name]],'Comittee2021'!$O:$O,"strong increase")</f>
        <v>0</v>
      </c>
      <c r="AL55">
        <v>2021</v>
      </c>
    </row>
    <row r="56" spans="1:38" x14ac:dyDescent="0.3">
      <c r="A56" t="str">
        <f>General2021[[#This Row],[organisation_name]]</f>
        <v>Inspe</v>
      </c>
      <c r="B56" t="str">
        <f>IF(General2021[[#This Row],[sector]]= "",VLOOKUP(Data2021[[#This Row],[organisation_name]],'Response Rate sheet'!A:D,3,FALSE),General2021[[#This Row],[sector]])</f>
        <v>Culture</v>
      </c>
      <c r="C56" t="str">
        <f>General2021[[#This Row],[organisation_type]]</f>
        <v>foundation</v>
      </c>
      <c r="D56">
        <f>IF(ISBLANK(General2021[[#This Row],[number_of_members]]),"N/A",VLOOKUP(A56,General2021[[organisation_name]:[number_of_international_committee_board_members_not_eea]],6,FALSE))</f>
        <v>50</v>
      </c>
      <c r="E56">
        <f>IF(ISBLANK(General2021[[#This Row],[number_of_committee_board_members]]),"N/A",VLOOKUP(A56,General2021!B:M,10,FALSE))</f>
        <v>0</v>
      </c>
      <c r="F56">
        <f>IFERROR(Data2021[[#This Row],[Number of members]]-Data2021[[#This Row],[Number of active members]], "N/A")</f>
        <v>50</v>
      </c>
      <c r="G56">
        <f>IFERROR(Data2021[[#This Row],[Number of active members]]/Data2021[[#This Row],[Number of members]], "N/A")</f>
        <v>0</v>
      </c>
      <c r="H56">
        <f>IFERROR(1-Data2021[[#This Row],[Percentage active members]],"N/A")</f>
        <v>1</v>
      </c>
      <c r="I56" t="str">
        <f>IF(Data2021[[#This Row],[Number of members]]=0,"N/A",IF(Data2021[[#This Row],[Number of members]]&lt;50," A. 1 - 50 ",IF(Data2021[[#This Row],[Number of members]]&lt;100, "B. 50 - 100", IF(Data2021[[#This Row],[Number of members]]&lt;400, "C. 100 - 400", IF(Data2021[[#This Row],[Number of members]]&lt;1000,"D. 400 - 1000", "E. 1000 +")))))</f>
        <v>B. 50 - 100</v>
      </c>
      <c r="J56">
        <f>IF(ISBLANK(General2021[[#This Row],[number_of_international_members_not_eea]]),"N/A",VLOOKUP(A56,General2021[[organisation_name]:[number_of_international_committee_board_members_not_eea]],9,FALSE))</f>
        <v>0</v>
      </c>
      <c r="K56">
        <f>IF(ISBLANK(General2021[[#This Row],[number_of_international_members_eea]]),"N/A",VLOOKUP(A56,General2021[[organisation_name]:[number_of_international_committee_board_members_not_eea]],8,FALSE))</f>
        <v>2</v>
      </c>
      <c r="L56">
        <f>IFERROR(IF(Data2021[[#This Row],[Number of members]]-Data2021[[#This Row],[Non-EEA Total]]-Data2021[[#This Row],[EEA total]]&lt;1,"N/A", Data2021[[#This Row],[Number of members]]-Data2021[[#This Row],[Non-EEA Total]]-Data2021[[#This Row],[EEA total]]),"N/A")</f>
        <v>48</v>
      </c>
      <c r="M56">
        <f>VLOOKUP(A56,General2021[[organisation_name]:[number_of_international_committee_board_members_not_eea]],12,FALSE)</f>
        <v>0</v>
      </c>
      <c r="N56">
        <f>VLOOKUP(A56,General2021[[organisation_name]:[number_of_international_committee_board_members_not_eea]],11,FALSE)</f>
        <v>0</v>
      </c>
      <c r="O56" t="str">
        <f>IFERROR(IF(Data2021[[#This Row],[Number of active members]]-Data2021[[#This Row],[Non-EEA Active ]]-Data2021[[#This Row],[EEA Active]]&lt;1,"N/A", Data2021[[#This Row],[Number of active members]]-Data2021[[#This Row],[Non-EEA Active ]]-Data2021[[#This Row],[EEA Active]]),"N/A")</f>
        <v>N/A</v>
      </c>
      <c r="P56" t="str">
        <f>IFERROR(Data2021[[#This Row],[Non-EEA Active ]]/Data2021[[#This Row],[Number of active members]],"N/A")</f>
        <v>N/A</v>
      </c>
      <c r="Q56">
        <f>IFERROR(Data2021[[#This Row],[EEA Active]]/Data2021[[#This Row],[EEA total]], "N/A")</f>
        <v>0</v>
      </c>
      <c r="R56" t="str">
        <f>IFERROR(Data2021[[#This Row],[Dutch Active]]/Data2021[[#This Row],[Dutch total]],"N/A")</f>
        <v>N/A</v>
      </c>
      <c r="S56" t="str">
        <f>IFERROR(IF(Data2021[[#This Row],[Number of members]]=Data2021[[#This Row],[Non-EEA Total]]+Data2021[[#This Row],[EEA total]]+Data2021[[#This Row],[Dutch total]],"T","F"),"F")</f>
        <v>T</v>
      </c>
      <c r="T56" t="str">
        <f>IFERROR(IF(Data2021[[#This Row],[Number of active members]]=Data2021[[#This Row],[Non-EEA Active ]]+Data2021[[#This Row],[EEA Active]]+Data2021[[#This Row],[Dutch Active]],"T","F"),"F")</f>
        <v>F</v>
      </c>
      <c r="U56" t="str">
        <f>IFERROR(IF(Data2021[[#This Row],[Number of members]]-Data2021[[#This Row],[Non-EEA Active ]]-Data2021[[#This Row],[EEA Active]]-Data2021[[#This Row],[Dutch Active]]=Data2021[[#This Row],[Number of  inactive members]],"T","F"),"F")</f>
        <v>F</v>
      </c>
      <c r="V56" t="str">
        <f>IF(Data2021[[#This Row],[EEA Active]]&lt;=Data2021[[#This Row],[EEA total]],"T","F")</f>
        <v>T</v>
      </c>
      <c r="W56" t="str">
        <f>IF(Data2021[[#This Row],[Dutch Active]]&lt;=Data2021[[#This Row],[Dutch total]],"T","F")</f>
        <v>F</v>
      </c>
      <c r="X56" t="str">
        <f>IF(Data2021[[#This Row],[Non-EEA Active ]]&lt;=Data2021[[#This Row],[Non-EEA Total]],"T","F")</f>
        <v>T</v>
      </c>
      <c r="Y5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6">
        <f>IFERROR(VLOOKUP(Data2021[[#This Row],[organisation_name]],'Division Study Year Committees'!$A$1:$L$108,2,FALSE),"N/A")</f>
        <v>2</v>
      </c>
      <c r="AA56">
        <f>IFERROR(VLOOKUP(Data2021[[#This Row],[organisation_name]],'Division Study Year Committees'!$A$1:$L$108,3,FALSE),"N/A")</f>
        <v>0</v>
      </c>
      <c r="AB56">
        <f>IFERROR(VLOOKUP(Data2021[[#This Row],[organisation_name]],'Division Study Year Committees'!$A$1:$L$108,4,FALSE),"N/A")</f>
        <v>7</v>
      </c>
      <c r="AC56">
        <f>IFERROR(VLOOKUP(Data2021[[#This Row],[organisation_name]],'Division Study Year Committees'!$A$1:$L$108,5,FALSE), "N/A")</f>
        <v>8</v>
      </c>
      <c r="AD56">
        <f>IFERROR(VLOOKUP(Data2021[[#This Row],[organisation_name]],'Division Study Year Committees'!$A$1:$L$108,6,FALSE), "N/A")</f>
        <v>13</v>
      </c>
      <c r="AE56">
        <f>SUM(Data2021[[#This Row],[Number of first year comittee members]:[Number of 4+ year comittee members]])</f>
        <v>30</v>
      </c>
      <c r="AF56">
        <f>COUNTIF('Comittee2021'!D:D,Data2021[[#This Row],[organisation_name]])</f>
        <v>7</v>
      </c>
      <c r="AG56">
        <f>COUNTIFS('Comittee2021'!$D:$D,Data2021[[#This Row],[organisation_name]],'Comittee2021'!$O:$O,"strong decrease")</f>
        <v>0</v>
      </c>
      <c r="AH56">
        <f>COUNTIFS('Comittee2021'!$D:$D,Data2021[[#This Row],[organisation_name]],'Comittee2021'!$O:$O,"slight decrease")</f>
        <v>2</v>
      </c>
      <c r="AI56">
        <f>COUNTIFS('Comittee2021'!$D:$D,Data2021[[#This Row],[organisation_name]],'Comittee2021'!$O:$O,"no influence")</f>
        <v>5</v>
      </c>
      <c r="AJ56">
        <f>COUNTIFS('Comittee2021'!$D:$D,Data2021[[#This Row],[organisation_name]],'Comittee2021'!$O:$O,"slight increase")</f>
        <v>0</v>
      </c>
      <c r="AK56">
        <f>COUNTIFS('Comittee2021'!$D:$D,Data2021[[#This Row],[organisation_name]],'Comittee2021'!$O:$O,"strong increase")</f>
        <v>0</v>
      </c>
      <c r="AL56">
        <v>2021</v>
      </c>
    </row>
    <row r="57" spans="1:38" x14ac:dyDescent="0.3">
      <c r="A57" t="str">
        <f>General2021[[#This Row],[organisation_name]]</f>
        <v>Stukafest</v>
      </c>
      <c r="B57" t="str">
        <f>IF(General2021[[#This Row],[sector]]= "",VLOOKUP(Data2021[[#This Row],[organisation_name]],'Response Rate sheet'!A:D,3,FALSE),General2021[[#This Row],[sector]])</f>
        <v>Culture</v>
      </c>
      <c r="C57" t="str">
        <f>General2021[[#This Row],[organisation_type]]</f>
        <v>association</v>
      </c>
      <c r="D57" t="str">
        <f>IF(ISBLANK(General2021[[#This Row],[number_of_members]]),"N/A",VLOOKUP(A57,General2021[[organisation_name]:[number_of_international_committee_board_members_not_eea]],6,FALSE))</f>
        <v>N/A</v>
      </c>
      <c r="E57" t="str">
        <f>IF(ISBLANK(General2021[[#This Row],[number_of_committee_board_members]]),"N/A",VLOOKUP(A57,General2021!B:M,10,FALSE))</f>
        <v>N/A</v>
      </c>
      <c r="F57" t="str">
        <f>IFERROR(Data2021[[#This Row],[Number of members]]-Data2021[[#This Row],[Number of active members]], "N/A")</f>
        <v>N/A</v>
      </c>
      <c r="G57" t="str">
        <f>IFERROR(Data2021[[#This Row],[Number of active members]]/Data2021[[#This Row],[Number of members]], "N/A")</f>
        <v>N/A</v>
      </c>
      <c r="H57" t="str">
        <f>IFERROR(1-Data2021[[#This Row],[Percentage active members]],"N/A")</f>
        <v>N/A</v>
      </c>
      <c r="I57" t="str">
        <f>IF(Data2021[[#This Row],[Number of members]]=0,"N/A",IF(Data2021[[#This Row],[Number of members]]&lt;50," A. 1 - 50 ",IF(Data2021[[#This Row],[Number of members]]&lt;100, "B. 50 - 100", IF(Data2021[[#This Row],[Number of members]]&lt;400, "C. 100 - 400", IF(Data2021[[#This Row],[Number of members]]&lt;1000,"D. 400 - 1000", "E. 1000 +")))))</f>
        <v>E. 1000 +</v>
      </c>
      <c r="J57" t="str">
        <f>IF(ISBLANK(General2021[[#This Row],[number_of_international_members_not_eea]]),"N/A",VLOOKUP(A57,General2021[[organisation_name]:[number_of_international_committee_board_members_not_eea]],9,FALSE))</f>
        <v>N/A</v>
      </c>
      <c r="K57" t="str">
        <f>IF(ISBLANK(General2021[[#This Row],[number_of_international_members_eea]]),"N/A",VLOOKUP(A57,General2021[[organisation_name]:[number_of_international_committee_board_members_not_eea]],8,FALSE))</f>
        <v>N/A</v>
      </c>
      <c r="L57" t="str">
        <f>IFERROR(IF(Data2021[[#This Row],[Number of members]]-Data2021[[#This Row],[Non-EEA Total]]-Data2021[[#This Row],[EEA total]]&lt;1,"N/A", Data2021[[#This Row],[Number of members]]-Data2021[[#This Row],[Non-EEA Total]]-Data2021[[#This Row],[EEA total]]),"N/A")</f>
        <v>N/A</v>
      </c>
      <c r="M57">
        <f>VLOOKUP(A57,General2021[[organisation_name]:[number_of_international_committee_board_members_not_eea]],12,FALSE)</f>
        <v>0</v>
      </c>
      <c r="N57">
        <f>VLOOKUP(A57,General2021[[organisation_name]:[number_of_international_committee_board_members_not_eea]],11,FALSE)</f>
        <v>0</v>
      </c>
      <c r="O57" t="str">
        <f>IFERROR(IF(Data2021[[#This Row],[Number of active members]]-Data2021[[#This Row],[Non-EEA Active ]]-Data2021[[#This Row],[EEA Active]]&lt;1,"N/A", Data2021[[#This Row],[Number of active members]]-Data2021[[#This Row],[Non-EEA Active ]]-Data2021[[#This Row],[EEA Active]]),"N/A")</f>
        <v>N/A</v>
      </c>
      <c r="P57" t="str">
        <f>IFERROR(Data2021[[#This Row],[Non-EEA Active ]]/Data2021[[#This Row],[Number of active members]],"N/A")</f>
        <v>N/A</v>
      </c>
      <c r="Q57" t="str">
        <f>IFERROR(Data2021[[#This Row],[EEA Active]]/Data2021[[#This Row],[EEA total]], "N/A")</f>
        <v>N/A</v>
      </c>
      <c r="R57" t="str">
        <f>IFERROR(Data2021[[#This Row],[Dutch Active]]/Data2021[[#This Row],[Dutch total]],"N/A")</f>
        <v>N/A</v>
      </c>
      <c r="S57" t="str">
        <f>IFERROR(IF(Data2021[[#This Row],[Number of members]]=Data2021[[#This Row],[Non-EEA Total]]+Data2021[[#This Row],[EEA total]]+Data2021[[#This Row],[Dutch total]],"T","F"),"F")</f>
        <v>F</v>
      </c>
      <c r="T57" t="str">
        <f>IFERROR(IF(Data2021[[#This Row],[Number of active members]]=Data2021[[#This Row],[Non-EEA Active ]]+Data2021[[#This Row],[EEA Active]]+Data2021[[#This Row],[Dutch Active]],"T","F"),"F")</f>
        <v>F</v>
      </c>
      <c r="U57" t="str">
        <f>IFERROR(IF(Data2021[[#This Row],[Number of members]]-Data2021[[#This Row],[Non-EEA Active ]]-Data2021[[#This Row],[EEA Active]]-Data2021[[#This Row],[Dutch Active]]=Data2021[[#This Row],[Number of  inactive members]],"T","F"),"F")</f>
        <v>F</v>
      </c>
      <c r="V57" t="str">
        <f>IF(Data2021[[#This Row],[EEA Active]]&lt;=Data2021[[#This Row],[EEA total]],"T","F")</f>
        <v>T</v>
      </c>
      <c r="W57" t="str">
        <f>IF(Data2021[[#This Row],[Dutch Active]]&lt;=Data2021[[#This Row],[Dutch total]],"T","F")</f>
        <v>T</v>
      </c>
      <c r="X57" t="str">
        <f>IF(Data2021[[#This Row],[Non-EEA Active ]]&lt;=Data2021[[#This Row],[Non-EEA Total]],"T","F")</f>
        <v>T</v>
      </c>
      <c r="Y5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57" t="str">
        <f>IFERROR(VLOOKUP(Data2021[[#This Row],[organisation_name]],'Division Study Year Committees'!$A$1:$L$108,2,FALSE),"N/A")</f>
        <v>N/A</v>
      </c>
      <c r="AA57" t="str">
        <f>IFERROR(VLOOKUP(Data2021[[#This Row],[organisation_name]],'Division Study Year Committees'!$A$1:$L$108,3,FALSE),"N/A")</f>
        <v>N/A</v>
      </c>
      <c r="AB57" t="str">
        <f>IFERROR(VLOOKUP(Data2021[[#This Row],[organisation_name]],'Division Study Year Committees'!$A$1:$L$108,4,FALSE),"N/A")</f>
        <v>N/A</v>
      </c>
      <c r="AC57" t="str">
        <f>IFERROR(VLOOKUP(Data2021[[#This Row],[organisation_name]],'Division Study Year Committees'!$A$1:$L$108,5,FALSE), "N/A")</f>
        <v>N/A</v>
      </c>
      <c r="AD57" t="str">
        <f>IFERROR(VLOOKUP(Data2021[[#This Row],[organisation_name]],'Division Study Year Committees'!$A$1:$L$108,6,FALSE), "N/A")</f>
        <v>N/A</v>
      </c>
      <c r="AE57">
        <f>SUM(Data2021[[#This Row],[Number of first year comittee members]:[Number of 4+ year comittee members]])</f>
        <v>0</v>
      </c>
      <c r="AF57">
        <f>COUNTIF('Comittee2021'!D:D,Data2021[[#This Row],[organisation_name]])</f>
        <v>0</v>
      </c>
      <c r="AG57">
        <f>COUNTIFS('Comittee2021'!$D:$D,Data2021[[#This Row],[organisation_name]],'Comittee2021'!$O:$O,"strong decrease")</f>
        <v>0</v>
      </c>
      <c r="AH57">
        <f>COUNTIFS('Comittee2021'!$D:$D,Data2021[[#This Row],[organisation_name]],'Comittee2021'!$O:$O,"slight decrease")</f>
        <v>0</v>
      </c>
      <c r="AI57">
        <f>COUNTIFS('Comittee2021'!$D:$D,Data2021[[#This Row],[organisation_name]],'Comittee2021'!$O:$O,"no influence")</f>
        <v>0</v>
      </c>
      <c r="AJ57">
        <f>COUNTIFS('Comittee2021'!$D:$D,Data2021[[#This Row],[organisation_name]],'Comittee2021'!$O:$O,"slight increase")</f>
        <v>0</v>
      </c>
      <c r="AK57">
        <f>COUNTIFS('Comittee2021'!$D:$D,Data2021[[#This Row],[organisation_name]],'Comittee2021'!$O:$O,"strong increase")</f>
        <v>0</v>
      </c>
      <c r="AL57">
        <v>2021</v>
      </c>
    </row>
    <row r="58" spans="1:38" x14ac:dyDescent="0.3">
      <c r="A58" t="str">
        <f>General2021[[#This Row],[organisation_name]]</f>
        <v>Abacus</v>
      </c>
      <c r="B58" t="str">
        <f>IF(General2021[[#This Row],[sector]]= "",VLOOKUP(Data2021[[#This Row],[organisation_name]],'Response Rate sheet'!A:D,3,FALSE),General2021[[#This Row],[sector]])</f>
        <v>Study</v>
      </c>
      <c r="C58" t="str">
        <f>General2021[[#This Row],[organisation_type]]</f>
        <v>association</v>
      </c>
      <c r="D58">
        <f>IF(ISBLANK(General2021[[#This Row],[number_of_members]]),"N/A",VLOOKUP(A58,General2021[[organisation_name]:[number_of_international_committee_board_members_not_eea]],6,FALSE))</f>
        <v>441</v>
      </c>
      <c r="E58">
        <f>IF(ISBLANK(General2021[[#This Row],[number_of_committee_board_members]]),"N/A",VLOOKUP(A58,General2021!B:M,10,FALSE))</f>
        <v>15</v>
      </c>
      <c r="F58">
        <f>IFERROR(Data2021[[#This Row],[Number of members]]-Data2021[[#This Row],[Number of active members]], "N/A")</f>
        <v>426</v>
      </c>
      <c r="G58">
        <f>IFERROR(Data2021[[#This Row],[Number of active members]]/Data2021[[#This Row],[Number of members]], "N/A")</f>
        <v>3.4013605442176874E-2</v>
      </c>
      <c r="H58">
        <f>IFERROR(1-Data2021[[#This Row],[Percentage active members]],"N/A")</f>
        <v>0.96598639455782309</v>
      </c>
      <c r="I58" t="str">
        <f>IF(Data2021[[#This Row],[Number of members]]=0,"N/A",IF(Data2021[[#This Row],[Number of members]]&lt;50," A. 1 - 50 ",IF(Data2021[[#This Row],[Number of members]]&lt;100, "B. 50 - 100", IF(Data2021[[#This Row],[Number of members]]&lt;400, "C. 100 - 400", IF(Data2021[[#This Row],[Number of members]]&lt;1000,"D. 400 - 1000", "E. 1000 +")))))</f>
        <v>D. 400 - 1000</v>
      </c>
      <c r="J58">
        <f>IF(ISBLANK(General2021[[#This Row],[number_of_international_members_not_eea]]),"N/A",VLOOKUP(A58,General2021[[organisation_name]:[number_of_international_committee_board_members_not_eea]],9,FALSE))</f>
        <v>85</v>
      </c>
      <c r="K58">
        <f>IF(ISBLANK(General2021[[#This Row],[number_of_international_members_eea]]),"N/A",VLOOKUP(A58,General2021[[organisation_name]:[number_of_international_committee_board_members_not_eea]],8,FALSE))</f>
        <v>10</v>
      </c>
      <c r="L58">
        <f>IFERROR(IF(Data2021[[#This Row],[Number of members]]-Data2021[[#This Row],[Non-EEA Total]]-Data2021[[#This Row],[EEA total]]&lt;1,"N/A", Data2021[[#This Row],[Number of members]]-Data2021[[#This Row],[Non-EEA Total]]-Data2021[[#This Row],[EEA total]]),"N/A")</f>
        <v>346</v>
      </c>
      <c r="M58">
        <f>VLOOKUP(A58,General2021[[organisation_name]:[number_of_international_committee_board_members_not_eea]],12,FALSE)</f>
        <v>2</v>
      </c>
      <c r="N58">
        <f>VLOOKUP(A58,General2021[[organisation_name]:[number_of_international_committee_board_members_not_eea]],11,FALSE)</f>
        <v>2</v>
      </c>
      <c r="O58">
        <f>IFERROR(IF(Data2021[[#This Row],[Number of active members]]-Data2021[[#This Row],[Non-EEA Active ]]-Data2021[[#This Row],[EEA Active]]&lt;1,"N/A", Data2021[[#This Row],[Number of active members]]-Data2021[[#This Row],[Non-EEA Active ]]-Data2021[[#This Row],[EEA Active]]),"N/A")</f>
        <v>11</v>
      </c>
      <c r="P58">
        <f>IFERROR(Data2021[[#This Row],[Non-EEA Active ]]/Data2021[[#This Row],[Number of active members]],"N/A")</f>
        <v>0.13333333333333333</v>
      </c>
      <c r="Q58">
        <f>IFERROR(Data2021[[#This Row],[EEA Active]]/Data2021[[#This Row],[EEA total]], "N/A")</f>
        <v>0.2</v>
      </c>
      <c r="R58">
        <f>IFERROR(Data2021[[#This Row],[Dutch Active]]/Data2021[[#This Row],[Dutch total]],"N/A")</f>
        <v>3.1791907514450865E-2</v>
      </c>
      <c r="S58" t="str">
        <f>IFERROR(IF(Data2021[[#This Row],[Number of members]]=Data2021[[#This Row],[Non-EEA Total]]+Data2021[[#This Row],[EEA total]]+Data2021[[#This Row],[Dutch total]],"T","F"),"F")</f>
        <v>T</v>
      </c>
      <c r="T58" t="str">
        <f>IFERROR(IF(Data2021[[#This Row],[Number of active members]]=Data2021[[#This Row],[Non-EEA Active ]]+Data2021[[#This Row],[EEA Active]]+Data2021[[#This Row],[Dutch Active]],"T","F"),"F")</f>
        <v>T</v>
      </c>
      <c r="U58" t="str">
        <f>IFERROR(IF(Data2021[[#This Row],[Number of members]]-Data2021[[#This Row],[Non-EEA Active ]]-Data2021[[#This Row],[EEA Active]]-Data2021[[#This Row],[Dutch Active]]=Data2021[[#This Row],[Number of  inactive members]],"T","F"),"F")</f>
        <v>T</v>
      </c>
      <c r="V58" t="str">
        <f>IF(Data2021[[#This Row],[EEA Active]]&lt;=Data2021[[#This Row],[EEA total]],"T","F")</f>
        <v>T</v>
      </c>
      <c r="W58" t="str">
        <f>IF(Data2021[[#This Row],[Dutch Active]]&lt;=Data2021[[#This Row],[Dutch total]],"T","F")</f>
        <v>T</v>
      </c>
      <c r="X58" t="str">
        <f>IF(Data2021[[#This Row],[Non-EEA Active ]]&lt;=Data2021[[#This Row],[Non-EEA Total]],"T","F")</f>
        <v>T</v>
      </c>
      <c r="Y58"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58">
        <f>IFERROR(VLOOKUP(Data2021[[#This Row],[organisation_name]],'Division Study Year Committees'!$A$1:$L$108,2,FALSE),"N/A")</f>
        <v>11</v>
      </c>
      <c r="AA58">
        <f>IFERROR(VLOOKUP(Data2021[[#This Row],[organisation_name]],'Division Study Year Committees'!$A$1:$L$108,3,FALSE),"N/A")</f>
        <v>23</v>
      </c>
      <c r="AB58">
        <f>IFERROR(VLOOKUP(Data2021[[#This Row],[organisation_name]],'Division Study Year Committees'!$A$1:$L$108,4,FALSE),"N/A")</f>
        <v>46</v>
      </c>
      <c r="AC58">
        <f>IFERROR(VLOOKUP(Data2021[[#This Row],[organisation_name]],'Division Study Year Committees'!$A$1:$L$108,5,FALSE), "N/A")</f>
        <v>24</v>
      </c>
      <c r="AD58">
        <f>IFERROR(VLOOKUP(Data2021[[#This Row],[organisation_name]],'Division Study Year Committees'!$A$1:$L$108,6,FALSE), "N/A")</f>
        <v>14</v>
      </c>
      <c r="AE58">
        <f>SUM(Data2021[[#This Row],[Number of first year comittee members]:[Number of 4+ year comittee members]])</f>
        <v>118</v>
      </c>
      <c r="AF58">
        <f>COUNTIF('Comittee2021'!D:D,Data2021[[#This Row],[organisation_name]])</f>
        <v>20</v>
      </c>
      <c r="AG58">
        <f>COUNTIFS('Comittee2021'!$D:$D,Data2021[[#This Row],[organisation_name]],'Comittee2021'!$O:$O,"strong decrease")</f>
        <v>6</v>
      </c>
      <c r="AH58">
        <f>COUNTIFS('Comittee2021'!$D:$D,Data2021[[#This Row],[organisation_name]],'Comittee2021'!$O:$O,"slight decrease")</f>
        <v>4</v>
      </c>
      <c r="AI58">
        <f>COUNTIFS('Comittee2021'!$D:$D,Data2021[[#This Row],[organisation_name]],'Comittee2021'!$O:$O,"no influence")</f>
        <v>9</v>
      </c>
      <c r="AJ58">
        <f>COUNTIFS('Comittee2021'!$D:$D,Data2021[[#This Row],[organisation_name]],'Comittee2021'!$O:$O,"slight increase")</f>
        <v>0</v>
      </c>
      <c r="AK58">
        <f>COUNTIFS('Comittee2021'!$D:$D,Data2021[[#This Row],[organisation_name]],'Comittee2021'!$O:$O,"strong increase")</f>
        <v>1</v>
      </c>
      <c r="AL58">
        <v>2021</v>
      </c>
    </row>
    <row r="59" spans="1:38" x14ac:dyDescent="0.3">
      <c r="A59" t="str">
        <f>General2021[[#This Row],[organisation_name]]</f>
        <v>Alembic</v>
      </c>
      <c r="B59" t="str">
        <f>IF(General2021[[#This Row],[sector]]= "",VLOOKUP(Data2021[[#This Row],[organisation_name]],'Response Rate sheet'!A:D,3,FALSE),General2021[[#This Row],[sector]])</f>
        <v>Study</v>
      </c>
      <c r="C59" t="str">
        <f>General2021[[#This Row],[organisation_type]]</f>
        <v>association</v>
      </c>
      <c r="D59">
        <f>IF(ISBLANK(General2021[[#This Row],[number_of_members]]),"N/A",VLOOKUP(A59,General2021[[organisation_name]:[number_of_international_committee_board_members_not_eea]],6,FALSE))</f>
        <v>857</v>
      </c>
      <c r="E59">
        <f>IF(ISBLANK(General2021[[#This Row],[number_of_committee_board_members]]),"N/A",VLOOKUP(A59,General2021!B:M,10,FALSE))</f>
        <v>50</v>
      </c>
      <c r="F59">
        <f>IFERROR(Data2021[[#This Row],[Number of members]]-Data2021[[#This Row],[Number of active members]], "N/A")</f>
        <v>807</v>
      </c>
      <c r="G59">
        <f>IFERROR(Data2021[[#This Row],[Number of active members]]/Data2021[[#This Row],[Number of members]], "N/A")</f>
        <v>5.8343057176196034E-2</v>
      </c>
      <c r="H59">
        <f>IFERROR(1-Data2021[[#This Row],[Percentage active members]],"N/A")</f>
        <v>0.94165694282380397</v>
      </c>
      <c r="I59" t="str">
        <f>IF(Data2021[[#This Row],[Number of members]]=0,"N/A",IF(Data2021[[#This Row],[Number of members]]&lt;50," A. 1 - 50 ",IF(Data2021[[#This Row],[Number of members]]&lt;100, "B. 50 - 100", IF(Data2021[[#This Row],[Number of members]]&lt;400, "C. 100 - 400", IF(Data2021[[#This Row],[Number of members]]&lt;1000,"D. 400 - 1000", "E. 1000 +")))))</f>
        <v>D. 400 - 1000</v>
      </c>
      <c r="J59">
        <f>IF(ISBLANK(General2021[[#This Row],[number_of_international_members_not_eea]]),"N/A",VLOOKUP(A59,General2021[[organisation_name]:[number_of_international_committee_board_members_not_eea]],9,FALSE))</f>
        <v>218</v>
      </c>
      <c r="K59">
        <f>IF(ISBLANK(General2021[[#This Row],[number_of_international_members_eea]]),"N/A",VLOOKUP(A59,General2021[[organisation_name]:[number_of_international_committee_board_members_not_eea]],8,FALSE))</f>
        <v>20</v>
      </c>
      <c r="L59">
        <f>IFERROR(IF(Data2021[[#This Row],[Number of members]]-Data2021[[#This Row],[Non-EEA Total]]-Data2021[[#This Row],[EEA total]]&lt;1,"N/A", Data2021[[#This Row],[Number of members]]-Data2021[[#This Row],[Non-EEA Total]]-Data2021[[#This Row],[EEA total]]),"N/A")</f>
        <v>619</v>
      </c>
      <c r="M59">
        <f>VLOOKUP(A59,General2021[[organisation_name]:[number_of_international_committee_board_members_not_eea]],12,FALSE)</f>
        <v>5</v>
      </c>
      <c r="N59">
        <f>VLOOKUP(A59,General2021[[organisation_name]:[number_of_international_committee_board_members_not_eea]],11,FALSE)</f>
        <v>15</v>
      </c>
      <c r="O59">
        <f>IFERROR(IF(Data2021[[#This Row],[Number of active members]]-Data2021[[#This Row],[Non-EEA Active ]]-Data2021[[#This Row],[EEA Active]]&lt;1,"N/A", Data2021[[#This Row],[Number of active members]]-Data2021[[#This Row],[Non-EEA Active ]]-Data2021[[#This Row],[EEA Active]]),"N/A")</f>
        <v>30</v>
      </c>
      <c r="P59">
        <f>IFERROR(Data2021[[#This Row],[Non-EEA Active ]]/Data2021[[#This Row],[Number of active members]],"N/A")</f>
        <v>0.1</v>
      </c>
      <c r="Q59">
        <f>IFERROR(Data2021[[#This Row],[EEA Active]]/Data2021[[#This Row],[EEA total]], "N/A")</f>
        <v>0.75</v>
      </c>
      <c r="R59">
        <f>IFERROR(Data2021[[#This Row],[Dutch Active]]/Data2021[[#This Row],[Dutch total]],"N/A")</f>
        <v>4.8465266558966075E-2</v>
      </c>
      <c r="S59" t="str">
        <f>IFERROR(IF(Data2021[[#This Row],[Number of members]]=Data2021[[#This Row],[Non-EEA Total]]+Data2021[[#This Row],[EEA total]]+Data2021[[#This Row],[Dutch total]],"T","F"),"F")</f>
        <v>T</v>
      </c>
      <c r="T59" t="str">
        <f>IFERROR(IF(Data2021[[#This Row],[Number of active members]]=Data2021[[#This Row],[Non-EEA Active ]]+Data2021[[#This Row],[EEA Active]]+Data2021[[#This Row],[Dutch Active]],"T","F"),"F")</f>
        <v>T</v>
      </c>
      <c r="U59" t="str">
        <f>IFERROR(IF(Data2021[[#This Row],[Number of members]]-Data2021[[#This Row],[Non-EEA Active ]]-Data2021[[#This Row],[EEA Active]]-Data2021[[#This Row],[Dutch Active]]=Data2021[[#This Row],[Number of  inactive members]],"T","F"),"F")</f>
        <v>T</v>
      </c>
      <c r="V59" t="str">
        <f>IF(Data2021[[#This Row],[EEA Active]]&lt;=Data2021[[#This Row],[EEA total]],"T","F")</f>
        <v>T</v>
      </c>
      <c r="W59" t="str">
        <f>IF(Data2021[[#This Row],[Dutch Active]]&lt;=Data2021[[#This Row],[Dutch total]],"T","F")</f>
        <v>T</v>
      </c>
      <c r="X59" t="str">
        <f>IF(Data2021[[#This Row],[Non-EEA Active ]]&lt;=Data2021[[#This Row],[Non-EEA Total]],"T","F")</f>
        <v>T</v>
      </c>
      <c r="Y59"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59">
        <f>IFERROR(VLOOKUP(Data2021[[#This Row],[organisation_name]],'Division Study Year Committees'!$A$1:$L$108,2,FALSE),"N/A")</f>
        <v>24</v>
      </c>
      <c r="AA59">
        <f>IFERROR(VLOOKUP(Data2021[[#This Row],[organisation_name]],'Division Study Year Committees'!$A$1:$L$108,3,FALSE),"N/A")</f>
        <v>47</v>
      </c>
      <c r="AB59">
        <f>IFERROR(VLOOKUP(Data2021[[#This Row],[organisation_name]],'Division Study Year Committees'!$A$1:$L$108,4,FALSE),"N/A")</f>
        <v>58</v>
      </c>
      <c r="AC59">
        <f>IFERROR(VLOOKUP(Data2021[[#This Row],[organisation_name]],'Division Study Year Committees'!$A$1:$L$108,5,FALSE), "N/A")</f>
        <v>31</v>
      </c>
      <c r="AD59">
        <f>IFERROR(VLOOKUP(Data2021[[#This Row],[organisation_name]],'Division Study Year Committees'!$A$1:$L$108,6,FALSE), "N/A")</f>
        <v>30</v>
      </c>
      <c r="AE59">
        <f>SUM(Data2021[[#This Row],[Number of first year comittee members]:[Number of 4+ year comittee members]])</f>
        <v>190</v>
      </c>
      <c r="AF59">
        <f>COUNTIF('Comittee2021'!D:D,Data2021[[#This Row],[organisation_name]])</f>
        <v>28</v>
      </c>
      <c r="AG59">
        <f>COUNTIFS('Comittee2021'!$D:$D,Data2021[[#This Row],[organisation_name]],'Comittee2021'!$O:$O,"strong decrease")</f>
        <v>4</v>
      </c>
      <c r="AH59">
        <f>COUNTIFS('Comittee2021'!$D:$D,Data2021[[#This Row],[organisation_name]],'Comittee2021'!$O:$O,"slight decrease")</f>
        <v>10</v>
      </c>
      <c r="AI59">
        <f>COUNTIFS('Comittee2021'!$D:$D,Data2021[[#This Row],[organisation_name]],'Comittee2021'!$O:$O,"no influence")</f>
        <v>13</v>
      </c>
      <c r="AJ59">
        <f>COUNTIFS('Comittee2021'!$D:$D,Data2021[[#This Row],[organisation_name]],'Comittee2021'!$O:$O,"slight increase")</f>
        <v>1</v>
      </c>
      <c r="AK59">
        <f>COUNTIFS('Comittee2021'!$D:$D,Data2021[[#This Row],[organisation_name]],'Comittee2021'!$O:$O,"strong increase")</f>
        <v>0</v>
      </c>
      <c r="AL59">
        <v>2021</v>
      </c>
    </row>
    <row r="60" spans="1:38" x14ac:dyDescent="0.3">
      <c r="A60" t="str">
        <f>General2021[[#This Row],[organisation_name]]</f>
        <v>Arago</v>
      </c>
      <c r="B60" t="str">
        <f>IF(General2021[[#This Row],[sector]]= "",VLOOKUP(Data2021[[#This Row],[organisation_name]],'Response Rate sheet'!A:D,3,FALSE),General2021[[#This Row],[sector]])</f>
        <v>Study</v>
      </c>
      <c r="C60" t="str">
        <f>General2021[[#This Row],[organisation_type]]</f>
        <v>association</v>
      </c>
      <c r="D60">
        <f>IF(ISBLANK(General2021[[#This Row],[number_of_members]]),"N/A",VLOOKUP(A60,General2021[[organisation_name]:[number_of_international_committee_board_members_not_eea]],6,FALSE))</f>
        <v>564</v>
      </c>
      <c r="E60">
        <f>IF(ISBLANK(General2021[[#This Row],[number_of_committee_board_members]]),"N/A",VLOOKUP(A60,General2021!B:M,10,FALSE))</f>
        <v>10</v>
      </c>
      <c r="F60">
        <f>IFERROR(Data2021[[#This Row],[Number of members]]-Data2021[[#This Row],[Number of active members]], "N/A")</f>
        <v>554</v>
      </c>
      <c r="G60">
        <f>IFERROR(Data2021[[#This Row],[Number of active members]]/Data2021[[#This Row],[Number of members]], "N/A")</f>
        <v>1.7730496453900711E-2</v>
      </c>
      <c r="H60">
        <f>IFERROR(1-Data2021[[#This Row],[Percentage active members]],"N/A")</f>
        <v>0.98226950354609932</v>
      </c>
      <c r="I60" t="str">
        <f>IF(Data2021[[#This Row],[Number of members]]=0,"N/A",IF(Data2021[[#This Row],[Number of members]]&lt;50," A. 1 - 50 ",IF(Data2021[[#This Row],[Number of members]]&lt;100, "B. 50 - 100", IF(Data2021[[#This Row],[Number of members]]&lt;400, "C. 100 - 400", IF(Data2021[[#This Row],[Number of members]]&lt;1000,"D. 400 - 1000", "E. 1000 +")))))</f>
        <v>D. 400 - 1000</v>
      </c>
      <c r="J60">
        <f>IF(ISBLANK(General2021[[#This Row],[number_of_international_members_not_eea]]),"N/A",VLOOKUP(A60,General2021[[organisation_name]:[number_of_international_committee_board_members_not_eea]],9,FALSE))</f>
        <v>146</v>
      </c>
      <c r="K60">
        <f>IF(ISBLANK(General2021[[#This Row],[number_of_international_members_eea]]),"N/A",VLOOKUP(A60,General2021[[organisation_name]:[number_of_international_committee_board_members_not_eea]],8,FALSE))</f>
        <v>1</v>
      </c>
      <c r="L60">
        <f>IFERROR(IF(Data2021[[#This Row],[Number of members]]-Data2021[[#This Row],[Non-EEA Total]]-Data2021[[#This Row],[EEA total]]&lt;1,"N/A", Data2021[[#This Row],[Number of members]]-Data2021[[#This Row],[Non-EEA Total]]-Data2021[[#This Row],[EEA total]]),"N/A")</f>
        <v>417</v>
      </c>
      <c r="M60">
        <f>VLOOKUP(A60,General2021[[organisation_name]:[number_of_international_committee_board_members_not_eea]],12,FALSE)</f>
        <v>0</v>
      </c>
      <c r="N60">
        <f>VLOOKUP(A60,General2021[[organisation_name]:[number_of_international_committee_board_members_not_eea]],11,FALSE)</f>
        <v>0</v>
      </c>
      <c r="O60">
        <f>IFERROR(IF(Data2021[[#This Row],[Number of active members]]-Data2021[[#This Row],[Non-EEA Active ]]-Data2021[[#This Row],[EEA Active]]&lt;1,"N/A", Data2021[[#This Row],[Number of active members]]-Data2021[[#This Row],[Non-EEA Active ]]-Data2021[[#This Row],[EEA Active]]),"N/A")</f>
        <v>10</v>
      </c>
      <c r="P60">
        <f>IFERROR(Data2021[[#This Row],[Non-EEA Active ]]/Data2021[[#This Row],[Number of active members]],"N/A")</f>
        <v>0</v>
      </c>
      <c r="Q60">
        <f>IFERROR(Data2021[[#This Row],[EEA Active]]/Data2021[[#This Row],[EEA total]], "N/A")</f>
        <v>0</v>
      </c>
      <c r="R60">
        <f>IFERROR(Data2021[[#This Row],[Dutch Active]]/Data2021[[#This Row],[Dutch total]],"N/A")</f>
        <v>2.3980815347721823E-2</v>
      </c>
      <c r="S60" t="str">
        <f>IFERROR(IF(Data2021[[#This Row],[Number of members]]=Data2021[[#This Row],[Non-EEA Total]]+Data2021[[#This Row],[EEA total]]+Data2021[[#This Row],[Dutch total]],"T","F"),"F")</f>
        <v>T</v>
      </c>
      <c r="T60" t="str">
        <f>IFERROR(IF(Data2021[[#This Row],[Number of active members]]=Data2021[[#This Row],[Non-EEA Active ]]+Data2021[[#This Row],[EEA Active]]+Data2021[[#This Row],[Dutch Active]],"T","F"),"F")</f>
        <v>T</v>
      </c>
      <c r="U60" t="str">
        <f>IFERROR(IF(Data2021[[#This Row],[Number of members]]-Data2021[[#This Row],[Non-EEA Active ]]-Data2021[[#This Row],[EEA Active]]-Data2021[[#This Row],[Dutch Active]]=Data2021[[#This Row],[Number of  inactive members]],"T","F"),"F")</f>
        <v>T</v>
      </c>
      <c r="V60" t="str">
        <f>IF(Data2021[[#This Row],[EEA Active]]&lt;=Data2021[[#This Row],[EEA total]],"T","F")</f>
        <v>T</v>
      </c>
      <c r="W60" t="str">
        <f>IF(Data2021[[#This Row],[Dutch Active]]&lt;=Data2021[[#This Row],[Dutch total]],"T","F")</f>
        <v>T</v>
      </c>
      <c r="X60" t="str">
        <f>IF(Data2021[[#This Row],[Non-EEA Active ]]&lt;=Data2021[[#This Row],[Non-EEA Total]],"T","F")</f>
        <v>T</v>
      </c>
      <c r="Y60"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0">
        <f>IFERROR(VLOOKUP(Data2021[[#This Row],[organisation_name]],'Division Study Year Committees'!$A$1:$L$108,2,FALSE),"N/A")</f>
        <v>10</v>
      </c>
      <c r="AA60">
        <f>IFERROR(VLOOKUP(Data2021[[#This Row],[organisation_name]],'Division Study Year Committees'!$A$1:$L$108,3,FALSE),"N/A")</f>
        <v>5</v>
      </c>
      <c r="AB60">
        <f>IFERROR(VLOOKUP(Data2021[[#This Row],[organisation_name]],'Division Study Year Committees'!$A$1:$L$108,4,FALSE),"N/A")</f>
        <v>0</v>
      </c>
      <c r="AC60">
        <f>IFERROR(VLOOKUP(Data2021[[#This Row],[organisation_name]],'Division Study Year Committees'!$A$1:$L$108,5,FALSE), "N/A")</f>
        <v>3</v>
      </c>
      <c r="AD60">
        <f>IFERROR(VLOOKUP(Data2021[[#This Row],[organisation_name]],'Division Study Year Committees'!$A$1:$L$108,6,FALSE), "N/A")</f>
        <v>0</v>
      </c>
      <c r="AE60">
        <f>SUM(Data2021[[#This Row],[Number of first year comittee members]:[Number of 4+ year comittee members]])</f>
        <v>18</v>
      </c>
      <c r="AF60">
        <f>COUNTIF('Comittee2021'!D:D,Data2021[[#This Row],[organisation_name]])</f>
        <v>47</v>
      </c>
      <c r="AG60">
        <f>COUNTIFS('Comittee2021'!$D:$D,Data2021[[#This Row],[organisation_name]],'Comittee2021'!$O:$O,"strong decrease")</f>
        <v>17</v>
      </c>
      <c r="AH60">
        <f>COUNTIFS('Comittee2021'!$D:$D,Data2021[[#This Row],[organisation_name]],'Comittee2021'!$O:$O,"slight decrease")</f>
        <v>0</v>
      </c>
      <c r="AI60">
        <f>COUNTIFS('Comittee2021'!$D:$D,Data2021[[#This Row],[organisation_name]],'Comittee2021'!$O:$O,"no influence")</f>
        <v>8</v>
      </c>
      <c r="AJ60">
        <f>COUNTIFS('Comittee2021'!$D:$D,Data2021[[#This Row],[organisation_name]],'Comittee2021'!$O:$O,"slight increase")</f>
        <v>4</v>
      </c>
      <c r="AK60">
        <f>COUNTIFS('Comittee2021'!$D:$D,Data2021[[#This Row],[organisation_name]],'Comittee2021'!$O:$O,"strong increase")</f>
        <v>17</v>
      </c>
      <c r="AL60">
        <v>2021</v>
      </c>
    </row>
    <row r="61" spans="1:38" x14ac:dyDescent="0.3">
      <c r="A61" t="str">
        <f>General2021[[#This Row],[organisation_name]]</f>
        <v>Astatine</v>
      </c>
      <c r="B61" t="str">
        <f>IF(General2021[[#This Row],[sector]]= "",VLOOKUP(Data2021[[#This Row],[organisation_name]],'Response Rate sheet'!A:D,3,FALSE),General2021[[#This Row],[sector]])</f>
        <v>Study</v>
      </c>
      <c r="C61" t="str">
        <f>General2021[[#This Row],[organisation_type]]</f>
        <v>association</v>
      </c>
      <c r="D61">
        <f>IF(ISBLANK(General2021[[#This Row],[number_of_members]]),"N/A",VLOOKUP(A61,General2021[[organisation_name]:[number_of_international_committee_board_members_not_eea]],6,FALSE))</f>
        <v>442</v>
      </c>
      <c r="E61">
        <f>IF(ISBLANK(General2021[[#This Row],[number_of_committee_board_members]]),"N/A",VLOOKUP(A61,General2021!B:M,10,FALSE))</f>
        <v>0</v>
      </c>
      <c r="F61">
        <f>IFERROR(Data2021[[#This Row],[Number of members]]-Data2021[[#This Row],[Number of active members]], "N/A")</f>
        <v>442</v>
      </c>
      <c r="G61">
        <f>IFERROR(Data2021[[#This Row],[Number of active members]]/Data2021[[#This Row],[Number of members]], "N/A")</f>
        <v>0</v>
      </c>
      <c r="H61">
        <f>IFERROR(1-Data2021[[#This Row],[Percentage active members]],"N/A")</f>
        <v>1</v>
      </c>
      <c r="I61" t="str">
        <f>IF(Data2021[[#This Row],[Number of members]]=0,"N/A",IF(Data2021[[#This Row],[Number of members]]&lt;50," A. 1 - 50 ",IF(Data2021[[#This Row],[Number of members]]&lt;100, "B. 50 - 100", IF(Data2021[[#This Row],[Number of members]]&lt;400, "C. 100 - 400", IF(Data2021[[#This Row],[Number of members]]&lt;1000,"D. 400 - 1000", "E. 1000 +")))))</f>
        <v>D. 400 - 1000</v>
      </c>
      <c r="J61">
        <f>IF(ISBLANK(General2021[[#This Row],[number_of_international_members_not_eea]]),"N/A",VLOOKUP(A61,General2021[[organisation_name]:[number_of_international_committee_board_members_not_eea]],9,FALSE))</f>
        <v>108</v>
      </c>
      <c r="K61">
        <f>IF(ISBLANK(General2021[[#This Row],[number_of_international_members_eea]]),"N/A",VLOOKUP(A61,General2021[[organisation_name]:[number_of_international_committee_board_members_not_eea]],8,FALSE))</f>
        <v>36</v>
      </c>
      <c r="L61">
        <f>IFERROR(IF(Data2021[[#This Row],[Number of members]]-Data2021[[#This Row],[Non-EEA Total]]-Data2021[[#This Row],[EEA total]]&lt;1,"N/A", Data2021[[#This Row],[Number of members]]-Data2021[[#This Row],[Non-EEA Total]]-Data2021[[#This Row],[EEA total]]),"N/A")</f>
        <v>298</v>
      </c>
      <c r="M61">
        <f>VLOOKUP(A61,General2021[[organisation_name]:[number_of_international_committee_board_members_not_eea]],12,FALSE)</f>
        <v>5</v>
      </c>
      <c r="N61">
        <f>VLOOKUP(A61,General2021[[organisation_name]:[number_of_international_committee_board_members_not_eea]],11,FALSE)</f>
        <v>10</v>
      </c>
      <c r="O61" t="str">
        <f>IFERROR(IF(Data2021[[#This Row],[Number of active members]]-Data2021[[#This Row],[Non-EEA Active ]]-Data2021[[#This Row],[EEA Active]]&lt;1,"N/A", Data2021[[#This Row],[Number of active members]]-Data2021[[#This Row],[Non-EEA Active ]]-Data2021[[#This Row],[EEA Active]]),"N/A")</f>
        <v>N/A</v>
      </c>
      <c r="P61" t="str">
        <f>IFERROR(Data2021[[#This Row],[Non-EEA Active ]]/Data2021[[#This Row],[Number of active members]],"N/A")</f>
        <v>N/A</v>
      </c>
      <c r="Q61">
        <f>IFERROR(Data2021[[#This Row],[EEA Active]]/Data2021[[#This Row],[EEA total]], "N/A")</f>
        <v>0.27777777777777779</v>
      </c>
      <c r="R61" t="str">
        <f>IFERROR(Data2021[[#This Row],[Dutch Active]]/Data2021[[#This Row],[Dutch total]],"N/A")</f>
        <v>N/A</v>
      </c>
      <c r="S61" t="str">
        <f>IFERROR(IF(Data2021[[#This Row],[Number of members]]=Data2021[[#This Row],[Non-EEA Total]]+Data2021[[#This Row],[EEA total]]+Data2021[[#This Row],[Dutch total]],"T","F"),"F")</f>
        <v>T</v>
      </c>
      <c r="T61" t="str">
        <f>IFERROR(IF(Data2021[[#This Row],[Number of active members]]=Data2021[[#This Row],[Non-EEA Active ]]+Data2021[[#This Row],[EEA Active]]+Data2021[[#This Row],[Dutch Active]],"T","F"),"F")</f>
        <v>F</v>
      </c>
      <c r="U61" t="str">
        <f>IFERROR(IF(Data2021[[#This Row],[Number of members]]-Data2021[[#This Row],[Non-EEA Active ]]-Data2021[[#This Row],[EEA Active]]-Data2021[[#This Row],[Dutch Active]]=Data2021[[#This Row],[Number of  inactive members]],"T","F"),"F")</f>
        <v>F</v>
      </c>
      <c r="V61" t="str">
        <f>IF(Data2021[[#This Row],[EEA Active]]&lt;=Data2021[[#This Row],[EEA total]],"T","F")</f>
        <v>T</v>
      </c>
      <c r="W61" t="str">
        <f>IF(Data2021[[#This Row],[Dutch Active]]&lt;=Data2021[[#This Row],[Dutch total]],"T","F")</f>
        <v>F</v>
      </c>
      <c r="X61" t="str">
        <f>IF(Data2021[[#This Row],[Non-EEA Active ]]&lt;=Data2021[[#This Row],[Non-EEA Total]],"T","F")</f>
        <v>T</v>
      </c>
      <c r="Y6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61">
        <f>IFERROR(VLOOKUP(Data2021[[#This Row],[organisation_name]],'Division Study Year Committees'!$A$1:$L$108,2,FALSE),"N/A")</f>
        <v>39</v>
      </c>
      <c r="AA61">
        <f>IFERROR(VLOOKUP(Data2021[[#This Row],[organisation_name]],'Division Study Year Committees'!$A$1:$L$108,3,FALSE),"N/A")</f>
        <v>48</v>
      </c>
      <c r="AB61">
        <f>IFERROR(VLOOKUP(Data2021[[#This Row],[organisation_name]],'Division Study Year Committees'!$A$1:$L$108,4,FALSE),"N/A")</f>
        <v>72</v>
      </c>
      <c r="AC61">
        <f>IFERROR(VLOOKUP(Data2021[[#This Row],[organisation_name]],'Division Study Year Committees'!$A$1:$L$108,5,FALSE), "N/A")</f>
        <v>39</v>
      </c>
      <c r="AD61">
        <f>IFERROR(VLOOKUP(Data2021[[#This Row],[organisation_name]],'Division Study Year Committees'!$A$1:$L$108,6,FALSE), "N/A")</f>
        <v>14</v>
      </c>
      <c r="AE61">
        <f>SUM(Data2021[[#This Row],[Number of first year comittee members]:[Number of 4+ year comittee members]])</f>
        <v>212</v>
      </c>
      <c r="AF61">
        <f>COUNTIF('Comittee2021'!D:D,Data2021[[#This Row],[organisation_name]])</f>
        <v>27</v>
      </c>
      <c r="AG61">
        <f>COUNTIFS('Comittee2021'!$D:$D,Data2021[[#This Row],[organisation_name]],'Comittee2021'!$O:$O,"strong decrease")</f>
        <v>9</v>
      </c>
      <c r="AH61">
        <f>COUNTIFS('Comittee2021'!$D:$D,Data2021[[#This Row],[organisation_name]],'Comittee2021'!$O:$O,"slight decrease")</f>
        <v>8</v>
      </c>
      <c r="AI61">
        <f>COUNTIFS('Comittee2021'!$D:$D,Data2021[[#This Row],[organisation_name]],'Comittee2021'!$O:$O,"no influence")</f>
        <v>5</v>
      </c>
      <c r="AJ61">
        <f>COUNTIFS('Comittee2021'!$D:$D,Data2021[[#This Row],[organisation_name]],'Comittee2021'!$O:$O,"slight increase")</f>
        <v>4</v>
      </c>
      <c r="AK61">
        <f>COUNTIFS('Comittee2021'!$D:$D,Data2021[[#This Row],[organisation_name]],'Comittee2021'!$O:$O,"strong increase")</f>
        <v>1</v>
      </c>
      <c r="AL61">
        <v>2021</v>
      </c>
    </row>
    <row r="62" spans="1:38" x14ac:dyDescent="0.3">
      <c r="A62" t="str">
        <f>General2021[[#This Row],[organisation_name]]</f>
        <v>Atlantis</v>
      </c>
      <c r="B62" t="str">
        <f>IF(General2021[[#This Row],[sector]]= "",VLOOKUP(Data2021[[#This Row],[organisation_name]],'Response Rate sheet'!A:D,3,FALSE),General2021[[#This Row],[sector]])</f>
        <v>Study</v>
      </c>
      <c r="C62" t="str">
        <f>General2021[[#This Row],[organisation_type]]</f>
        <v>association</v>
      </c>
      <c r="D62">
        <f>IF(ISBLANK(General2021[[#This Row],[number_of_members]]),"N/A",VLOOKUP(A62,General2021[[organisation_name]:[number_of_international_committee_board_members_not_eea]],6,FALSE))</f>
        <v>344</v>
      </c>
      <c r="E62">
        <f>IF(ISBLANK(General2021[[#This Row],[number_of_committee_board_members]]),"N/A",VLOOKUP(A62,General2021!B:M,10,FALSE))</f>
        <v>5</v>
      </c>
      <c r="F62">
        <f>IFERROR(Data2021[[#This Row],[Number of members]]-Data2021[[#This Row],[Number of active members]], "N/A")</f>
        <v>339</v>
      </c>
      <c r="G62">
        <f>IFERROR(Data2021[[#This Row],[Number of active members]]/Data2021[[#This Row],[Number of members]], "N/A")</f>
        <v>1.4534883720930232E-2</v>
      </c>
      <c r="H62">
        <f>IFERROR(1-Data2021[[#This Row],[Percentage active members]],"N/A")</f>
        <v>0.98546511627906974</v>
      </c>
      <c r="I62" t="str">
        <f>IF(Data2021[[#This Row],[Number of members]]=0,"N/A",IF(Data2021[[#This Row],[Number of members]]&lt;50," A. 1 - 50 ",IF(Data2021[[#This Row],[Number of members]]&lt;100, "B. 50 - 100", IF(Data2021[[#This Row],[Number of members]]&lt;400, "C. 100 - 400", IF(Data2021[[#This Row],[Number of members]]&lt;1000,"D. 400 - 1000", "E. 1000 +")))))</f>
        <v>C. 100 - 400</v>
      </c>
      <c r="J62">
        <f>IF(ISBLANK(General2021[[#This Row],[number_of_international_members_not_eea]]),"N/A",VLOOKUP(A62,General2021[[organisation_name]:[number_of_international_committee_board_members_not_eea]],9,FALSE))</f>
        <v>70</v>
      </c>
      <c r="K62">
        <f>IF(ISBLANK(General2021[[#This Row],[number_of_international_members_eea]]),"N/A",VLOOKUP(A62,General2021[[organisation_name]:[number_of_international_committee_board_members_not_eea]],8,FALSE))</f>
        <v>50</v>
      </c>
      <c r="L62">
        <f>IFERROR(IF(Data2021[[#This Row],[Number of members]]-Data2021[[#This Row],[Non-EEA Total]]-Data2021[[#This Row],[EEA total]]&lt;1,"N/A", Data2021[[#This Row],[Number of members]]-Data2021[[#This Row],[Non-EEA Total]]-Data2021[[#This Row],[EEA total]]),"N/A")</f>
        <v>224</v>
      </c>
      <c r="M62">
        <f>VLOOKUP(A62,General2021[[organisation_name]:[number_of_international_committee_board_members_not_eea]],12,FALSE)</f>
        <v>8</v>
      </c>
      <c r="N62">
        <f>VLOOKUP(A62,General2021[[organisation_name]:[number_of_international_committee_board_members_not_eea]],11,FALSE)</f>
        <v>9</v>
      </c>
      <c r="O62" t="str">
        <f>IFERROR(IF(Data2021[[#This Row],[Number of active members]]-Data2021[[#This Row],[Non-EEA Active ]]-Data2021[[#This Row],[EEA Active]]&lt;1,"N/A", Data2021[[#This Row],[Number of active members]]-Data2021[[#This Row],[Non-EEA Active ]]-Data2021[[#This Row],[EEA Active]]),"N/A")</f>
        <v>N/A</v>
      </c>
      <c r="P62">
        <f>IFERROR(Data2021[[#This Row],[Non-EEA Active ]]/Data2021[[#This Row],[Number of active members]],"N/A")</f>
        <v>1.6</v>
      </c>
      <c r="Q62">
        <f>IFERROR(Data2021[[#This Row],[EEA Active]]/Data2021[[#This Row],[EEA total]], "N/A")</f>
        <v>0.18</v>
      </c>
      <c r="R62" t="str">
        <f>IFERROR(Data2021[[#This Row],[Dutch Active]]/Data2021[[#This Row],[Dutch total]],"N/A")</f>
        <v>N/A</v>
      </c>
      <c r="S62" t="str">
        <f>IFERROR(IF(Data2021[[#This Row],[Number of members]]=Data2021[[#This Row],[Non-EEA Total]]+Data2021[[#This Row],[EEA total]]+Data2021[[#This Row],[Dutch total]],"T","F"),"F")</f>
        <v>T</v>
      </c>
      <c r="T62" t="str">
        <f>IFERROR(IF(Data2021[[#This Row],[Number of active members]]=Data2021[[#This Row],[Non-EEA Active ]]+Data2021[[#This Row],[EEA Active]]+Data2021[[#This Row],[Dutch Active]],"T","F"),"F")</f>
        <v>F</v>
      </c>
      <c r="U62" t="str">
        <f>IFERROR(IF(Data2021[[#This Row],[Number of members]]-Data2021[[#This Row],[Non-EEA Active ]]-Data2021[[#This Row],[EEA Active]]-Data2021[[#This Row],[Dutch Active]]=Data2021[[#This Row],[Number of  inactive members]],"T","F"),"F")</f>
        <v>F</v>
      </c>
      <c r="V62" t="str">
        <f>IF(Data2021[[#This Row],[EEA Active]]&lt;=Data2021[[#This Row],[EEA total]],"T","F")</f>
        <v>T</v>
      </c>
      <c r="W62" t="str">
        <f>IF(Data2021[[#This Row],[Dutch Active]]&lt;=Data2021[[#This Row],[Dutch total]],"T","F")</f>
        <v>F</v>
      </c>
      <c r="X62" t="str">
        <f>IF(Data2021[[#This Row],[Non-EEA Active ]]&lt;=Data2021[[#This Row],[Non-EEA Total]],"T","F")</f>
        <v>T</v>
      </c>
      <c r="Y6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62">
        <f>IFERROR(VLOOKUP(Data2021[[#This Row],[organisation_name]],'Division Study Year Committees'!$A$1:$L$108,2,FALSE),"N/A")</f>
        <v>60</v>
      </c>
      <c r="AA62">
        <f>IFERROR(VLOOKUP(Data2021[[#This Row],[organisation_name]],'Division Study Year Committees'!$A$1:$L$108,3,FALSE),"N/A")</f>
        <v>43</v>
      </c>
      <c r="AB62">
        <f>IFERROR(VLOOKUP(Data2021[[#This Row],[organisation_name]],'Division Study Year Committees'!$A$1:$L$108,4,FALSE),"N/A")</f>
        <v>21</v>
      </c>
      <c r="AC62">
        <f>IFERROR(VLOOKUP(Data2021[[#This Row],[organisation_name]],'Division Study Year Committees'!$A$1:$L$108,5,FALSE), "N/A")</f>
        <v>6</v>
      </c>
      <c r="AD62">
        <f>IFERROR(VLOOKUP(Data2021[[#This Row],[organisation_name]],'Division Study Year Committees'!$A$1:$L$108,6,FALSE), "N/A")</f>
        <v>0</v>
      </c>
      <c r="AE62">
        <f>SUM(Data2021[[#This Row],[Number of first year comittee members]:[Number of 4+ year comittee members]])</f>
        <v>130</v>
      </c>
      <c r="AF62">
        <f>COUNTIF('Comittee2021'!D:D,Data2021[[#This Row],[organisation_name]])</f>
        <v>24</v>
      </c>
      <c r="AG62">
        <f>COUNTIFS('Comittee2021'!$D:$D,Data2021[[#This Row],[organisation_name]],'Comittee2021'!$O:$O,"strong decrease")</f>
        <v>8</v>
      </c>
      <c r="AH62">
        <f>COUNTIFS('Comittee2021'!$D:$D,Data2021[[#This Row],[organisation_name]],'Comittee2021'!$O:$O,"slight decrease")</f>
        <v>6</v>
      </c>
      <c r="AI62">
        <f>COUNTIFS('Comittee2021'!$D:$D,Data2021[[#This Row],[organisation_name]],'Comittee2021'!$O:$O,"no influence")</f>
        <v>7</v>
      </c>
      <c r="AJ62">
        <f>COUNTIFS('Comittee2021'!$D:$D,Data2021[[#This Row],[organisation_name]],'Comittee2021'!$O:$O,"slight increase")</f>
        <v>3</v>
      </c>
      <c r="AK62">
        <f>COUNTIFS('Comittee2021'!$D:$D,Data2021[[#This Row],[organisation_name]],'Comittee2021'!$O:$O,"strong increase")</f>
        <v>0</v>
      </c>
      <c r="AL62">
        <v>2021</v>
      </c>
    </row>
    <row r="63" spans="1:38" x14ac:dyDescent="0.3">
      <c r="A63" t="str">
        <f>General2021[[#This Row],[organisation_name]]</f>
        <v>Communique</v>
      </c>
      <c r="B63" t="str">
        <f>IF(General2021[[#This Row],[sector]]= "",VLOOKUP(Data2021[[#This Row],[organisation_name]],'Response Rate sheet'!A:D,3,FALSE),General2021[[#This Row],[sector]])</f>
        <v>Study</v>
      </c>
      <c r="C63" t="str">
        <f>General2021[[#This Row],[organisation_type]]</f>
        <v>association</v>
      </c>
      <c r="D63">
        <f>IF(ISBLANK(General2021[[#This Row],[number_of_members]]),"N/A",VLOOKUP(A63,General2021[[organisation_name]:[number_of_international_committee_board_members_not_eea]],6,FALSE))</f>
        <v>351</v>
      </c>
      <c r="E63">
        <f>IF(ISBLANK(General2021[[#This Row],[number_of_committee_board_members]]),"N/A",VLOOKUP(A63,General2021!B:M,10,FALSE))</f>
        <v>50</v>
      </c>
      <c r="F63">
        <f>IFERROR(Data2021[[#This Row],[Number of members]]-Data2021[[#This Row],[Number of active members]], "N/A")</f>
        <v>301</v>
      </c>
      <c r="G63">
        <f>IFERROR(Data2021[[#This Row],[Number of active members]]/Data2021[[#This Row],[Number of members]], "N/A")</f>
        <v>0.14245014245014245</v>
      </c>
      <c r="H63">
        <f>IFERROR(1-Data2021[[#This Row],[Percentage active members]],"N/A")</f>
        <v>0.85754985754985757</v>
      </c>
      <c r="I63" t="str">
        <f>IF(Data2021[[#This Row],[Number of members]]=0,"N/A",IF(Data2021[[#This Row],[Number of members]]&lt;50," A. 1 - 50 ",IF(Data2021[[#This Row],[Number of members]]&lt;100, "B. 50 - 100", IF(Data2021[[#This Row],[Number of members]]&lt;400, "C. 100 - 400", IF(Data2021[[#This Row],[Number of members]]&lt;1000,"D. 400 - 1000", "E. 1000 +")))))</f>
        <v>C. 100 - 400</v>
      </c>
      <c r="J63">
        <f>IF(ISBLANK(General2021[[#This Row],[number_of_international_members_not_eea]]),"N/A",VLOOKUP(A63,General2021[[organisation_name]:[number_of_international_committee_board_members_not_eea]],9,FALSE))</f>
        <v>46</v>
      </c>
      <c r="K63">
        <f>IF(ISBLANK(General2021[[#This Row],[number_of_international_members_eea]]),"N/A",VLOOKUP(A63,General2021[[organisation_name]:[number_of_international_committee_board_members_not_eea]],8,FALSE))</f>
        <v>30</v>
      </c>
      <c r="L63">
        <f>IFERROR(IF(Data2021[[#This Row],[Number of members]]-Data2021[[#This Row],[Non-EEA Total]]-Data2021[[#This Row],[EEA total]]&lt;1,"N/A", Data2021[[#This Row],[Number of members]]-Data2021[[#This Row],[Non-EEA Total]]-Data2021[[#This Row],[EEA total]]),"N/A")</f>
        <v>275</v>
      </c>
      <c r="M63">
        <f>VLOOKUP(A63,General2021[[organisation_name]:[number_of_international_committee_board_members_not_eea]],12,FALSE)</f>
        <v>0</v>
      </c>
      <c r="N63">
        <f>VLOOKUP(A63,General2021[[organisation_name]:[number_of_international_committee_board_members_not_eea]],11,FALSE)</f>
        <v>23</v>
      </c>
      <c r="O63">
        <f>IFERROR(IF(Data2021[[#This Row],[Number of active members]]-Data2021[[#This Row],[Non-EEA Active ]]-Data2021[[#This Row],[EEA Active]]&lt;1,"N/A", Data2021[[#This Row],[Number of active members]]-Data2021[[#This Row],[Non-EEA Active ]]-Data2021[[#This Row],[EEA Active]]),"N/A")</f>
        <v>27</v>
      </c>
      <c r="P63">
        <f>IFERROR(Data2021[[#This Row],[Non-EEA Active ]]/Data2021[[#This Row],[Number of active members]],"N/A")</f>
        <v>0</v>
      </c>
      <c r="Q63">
        <f>IFERROR(Data2021[[#This Row],[EEA Active]]/Data2021[[#This Row],[EEA total]], "N/A")</f>
        <v>0.76666666666666672</v>
      </c>
      <c r="R63">
        <f>IFERROR(Data2021[[#This Row],[Dutch Active]]/Data2021[[#This Row],[Dutch total]],"N/A")</f>
        <v>9.8181818181818176E-2</v>
      </c>
      <c r="S63" t="str">
        <f>IFERROR(IF(Data2021[[#This Row],[Number of members]]=Data2021[[#This Row],[Non-EEA Total]]+Data2021[[#This Row],[EEA total]]+Data2021[[#This Row],[Dutch total]],"T","F"),"F")</f>
        <v>T</v>
      </c>
      <c r="T63" t="str">
        <f>IFERROR(IF(Data2021[[#This Row],[Number of active members]]=Data2021[[#This Row],[Non-EEA Active ]]+Data2021[[#This Row],[EEA Active]]+Data2021[[#This Row],[Dutch Active]],"T","F"),"F")</f>
        <v>T</v>
      </c>
      <c r="U63" t="str">
        <f>IFERROR(IF(Data2021[[#This Row],[Number of members]]-Data2021[[#This Row],[Non-EEA Active ]]-Data2021[[#This Row],[EEA Active]]-Data2021[[#This Row],[Dutch Active]]=Data2021[[#This Row],[Number of  inactive members]],"T","F"),"F")</f>
        <v>T</v>
      </c>
      <c r="V63" t="str">
        <f>IF(Data2021[[#This Row],[EEA Active]]&lt;=Data2021[[#This Row],[EEA total]],"T","F")</f>
        <v>T</v>
      </c>
      <c r="W63" t="str">
        <f>IF(Data2021[[#This Row],[Dutch Active]]&lt;=Data2021[[#This Row],[Dutch total]],"T","F")</f>
        <v>T</v>
      </c>
      <c r="X63" t="str">
        <f>IF(Data2021[[#This Row],[Non-EEA Active ]]&lt;=Data2021[[#This Row],[Non-EEA Total]],"T","F")</f>
        <v>T</v>
      </c>
      <c r="Y63"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3">
        <f>IFERROR(VLOOKUP(Data2021[[#This Row],[organisation_name]],'Division Study Year Committees'!$A$1:$L$108,2,FALSE),"N/A")</f>
        <v>16</v>
      </c>
      <c r="AA63">
        <f>IFERROR(VLOOKUP(Data2021[[#This Row],[organisation_name]],'Division Study Year Committees'!$A$1:$L$108,3,FALSE),"N/A")</f>
        <v>19</v>
      </c>
      <c r="AB63">
        <f>IFERROR(VLOOKUP(Data2021[[#This Row],[organisation_name]],'Division Study Year Committees'!$A$1:$L$108,4,FALSE),"N/A")</f>
        <v>6</v>
      </c>
      <c r="AC63">
        <f>IFERROR(VLOOKUP(Data2021[[#This Row],[organisation_name]],'Division Study Year Committees'!$A$1:$L$108,5,FALSE), "N/A")</f>
        <v>12</v>
      </c>
      <c r="AD63">
        <f>IFERROR(VLOOKUP(Data2021[[#This Row],[organisation_name]],'Division Study Year Committees'!$A$1:$L$108,6,FALSE), "N/A")</f>
        <v>1</v>
      </c>
      <c r="AE63">
        <f>SUM(Data2021[[#This Row],[Number of first year comittee members]:[Number of 4+ year comittee members]])</f>
        <v>54</v>
      </c>
      <c r="AF63">
        <f>COUNTIF('Comittee2021'!D:D,Data2021[[#This Row],[organisation_name]])</f>
        <v>17</v>
      </c>
      <c r="AG63">
        <f>COUNTIFS('Comittee2021'!$D:$D,Data2021[[#This Row],[organisation_name]],'Comittee2021'!$O:$O,"strong decrease")</f>
        <v>7</v>
      </c>
      <c r="AH63">
        <f>COUNTIFS('Comittee2021'!$D:$D,Data2021[[#This Row],[organisation_name]],'Comittee2021'!$O:$O,"slight decrease")</f>
        <v>1</v>
      </c>
      <c r="AI63">
        <f>COUNTIFS('Comittee2021'!$D:$D,Data2021[[#This Row],[organisation_name]],'Comittee2021'!$O:$O,"no influence")</f>
        <v>1</v>
      </c>
      <c r="AJ63">
        <f>COUNTIFS('Comittee2021'!$D:$D,Data2021[[#This Row],[organisation_name]],'Comittee2021'!$O:$O,"slight increase")</f>
        <v>5</v>
      </c>
      <c r="AK63">
        <f>COUNTIFS('Comittee2021'!$D:$D,Data2021[[#This Row],[organisation_name]],'Comittee2021'!$O:$O,"strong increase")</f>
        <v>3</v>
      </c>
      <c r="AL63">
        <v>2021</v>
      </c>
    </row>
    <row r="64" spans="1:38" x14ac:dyDescent="0.3">
      <c r="A64" t="str">
        <f>General2021[[#This Row],[organisation_name]]</f>
        <v>ConcepT</v>
      </c>
      <c r="B64" t="str">
        <f>IF(General2021[[#This Row],[sector]]= "",VLOOKUP(Data2021[[#This Row],[organisation_name]],'Response Rate sheet'!A:D,3,FALSE),General2021[[#This Row],[sector]])</f>
        <v>Study</v>
      </c>
      <c r="C64" t="str">
        <f>General2021[[#This Row],[organisation_type]]</f>
        <v>association</v>
      </c>
      <c r="D64" t="str">
        <f>IF(ISBLANK(General2021[[#This Row],[number_of_members]]),"N/A",VLOOKUP(A64,General2021[[organisation_name]:[number_of_international_committee_board_members_not_eea]],6,FALSE))</f>
        <v>N/A</v>
      </c>
      <c r="E64" t="str">
        <f>IF(ISBLANK(General2021[[#This Row],[number_of_committee_board_members]]),"N/A",VLOOKUP(A64,General2021!B:M,10,FALSE))</f>
        <v>N/A</v>
      </c>
      <c r="F64" t="str">
        <f>IFERROR(Data2021[[#This Row],[Number of members]]-Data2021[[#This Row],[Number of active members]], "N/A")</f>
        <v>N/A</v>
      </c>
      <c r="G64" t="str">
        <f>IFERROR(Data2021[[#This Row],[Number of active members]]/Data2021[[#This Row],[Number of members]], "N/A")</f>
        <v>N/A</v>
      </c>
      <c r="H64" t="str">
        <f>IFERROR(1-Data2021[[#This Row],[Percentage active members]],"N/A")</f>
        <v>N/A</v>
      </c>
      <c r="I64" t="str">
        <f>IF(Data2021[[#This Row],[Number of members]]=0,"N/A",IF(Data2021[[#This Row],[Number of members]]&lt;50," A. 1 - 50 ",IF(Data2021[[#This Row],[Number of members]]&lt;100, "B. 50 - 100", IF(Data2021[[#This Row],[Number of members]]&lt;400, "C. 100 - 400", IF(Data2021[[#This Row],[Number of members]]&lt;1000,"D. 400 - 1000", "E. 1000 +")))))</f>
        <v>E. 1000 +</v>
      </c>
      <c r="J64" t="str">
        <f>IF(ISBLANK(General2021[[#This Row],[number_of_international_members_not_eea]]),"N/A",VLOOKUP(A64,General2021[[organisation_name]:[number_of_international_committee_board_members_not_eea]],9,FALSE))</f>
        <v>N/A</v>
      </c>
      <c r="K64" t="str">
        <f>IF(ISBLANK(General2021[[#This Row],[number_of_international_members_eea]]),"N/A",VLOOKUP(A64,General2021[[organisation_name]:[number_of_international_committee_board_members_not_eea]],8,FALSE))</f>
        <v>N/A</v>
      </c>
      <c r="L64" t="str">
        <f>IFERROR(IF(Data2021[[#This Row],[Number of members]]-Data2021[[#This Row],[Non-EEA Total]]-Data2021[[#This Row],[EEA total]]&lt;1,"N/A", Data2021[[#This Row],[Number of members]]-Data2021[[#This Row],[Non-EEA Total]]-Data2021[[#This Row],[EEA total]]),"N/A")</f>
        <v>N/A</v>
      </c>
      <c r="M64">
        <f>VLOOKUP(A64,General2021[[organisation_name]:[number_of_international_committee_board_members_not_eea]],12,FALSE)</f>
        <v>0</v>
      </c>
      <c r="N64">
        <f>VLOOKUP(A64,General2021[[organisation_name]:[number_of_international_committee_board_members_not_eea]],11,FALSE)</f>
        <v>0</v>
      </c>
      <c r="O64" t="str">
        <f>IFERROR(IF(Data2021[[#This Row],[Number of active members]]-Data2021[[#This Row],[Non-EEA Active ]]-Data2021[[#This Row],[EEA Active]]&lt;1,"N/A", Data2021[[#This Row],[Number of active members]]-Data2021[[#This Row],[Non-EEA Active ]]-Data2021[[#This Row],[EEA Active]]),"N/A")</f>
        <v>N/A</v>
      </c>
      <c r="P64" t="str">
        <f>IFERROR(Data2021[[#This Row],[Non-EEA Active ]]/Data2021[[#This Row],[Number of active members]],"N/A")</f>
        <v>N/A</v>
      </c>
      <c r="Q64" t="str">
        <f>IFERROR(Data2021[[#This Row],[EEA Active]]/Data2021[[#This Row],[EEA total]], "N/A")</f>
        <v>N/A</v>
      </c>
      <c r="R64" t="str">
        <f>IFERROR(Data2021[[#This Row],[Dutch Active]]/Data2021[[#This Row],[Dutch total]],"N/A")</f>
        <v>N/A</v>
      </c>
      <c r="S64" t="str">
        <f>IFERROR(IF(Data2021[[#This Row],[Number of members]]=Data2021[[#This Row],[Non-EEA Total]]+Data2021[[#This Row],[EEA total]]+Data2021[[#This Row],[Dutch total]],"T","F"),"F")</f>
        <v>F</v>
      </c>
      <c r="T64" t="str">
        <f>IFERROR(IF(Data2021[[#This Row],[Number of active members]]=Data2021[[#This Row],[Non-EEA Active ]]+Data2021[[#This Row],[EEA Active]]+Data2021[[#This Row],[Dutch Active]],"T","F"),"F")</f>
        <v>F</v>
      </c>
      <c r="U64" t="str">
        <f>IFERROR(IF(Data2021[[#This Row],[Number of members]]-Data2021[[#This Row],[Non-EEA Active ]]-Data2021[[#This Row],[EEA Active]]-Data2021[[#This Row],[Dutch Active]]=Data2021[[#This Row],[Number of  inactive members]],"T","F"),"F")</f>
        <v>F</v>
      </c>
      <c r="V64" t="str">
        <f>IF(Data2021[[#This Row],[EEA Active]]&lt;=Data2021[[#This Row],[EEA total]],"T","F")</f>
        <v>T</v>
      </c>
      <c r="W64" t="str">
        <f>IF(Data2021[[#This Row],[Dutch Active]]&lt;=Data2021[[#This Row],[Dutch total]],"T","F")</f>
        <v>T</v>
      </c>
      <c r="X64" t="str">
        <f>IF(Data2021[[#This Row],[Non-EEA Active ]]&lt;=Data2021[[#This Row],[Non-EEA Total]],"T","F")</f>
        <v>T</v>
      </c>
      <c r="Y6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64" t="str">
        <f>IFERROR(VLOOKUP(Data2021[[#This Row],[organisation_name]],'Division Study Year Committees'!$A$1:$L$108,2,FALSE),"N/A")</f>
        <v>N/A</v>
      </c>
      <c r="AA64" t="str">
        <f>IFERROR(VLOOKUP(Data2021[[#This Row],[organisation_name]],'Division Study Year Committees'!$A$1:$L$108,3,FALSE),"N/A")</f>
        <v>N/A</v>
      </c>
      <c r="AB64" t="str">
        <f>IFERROR(VLOOKUP(Data2021[[#This Row],[organisation_name]],'Division Study Year Committees'!$A$1:$L$108,4,FALSE),"N/A")</f>
        <v>N/A</v>
      </c>
      <c r="AC64" t="str">
        <f>IFERROR(VLOOKUP(Data2021[[#This Row],[organisation_name]],'Division Study Year Committees'!$A$1:$L$108,5,FALSE), "N/A")</f>
        <v>N/A</v>
      </c>
      <c r="AD64" t="str">
        <f>IFERROR(VLOOKUP(Data2021[[#This Row],[organisation_name]],'Division Study Year Committees'!$A$1:$L$108,6,FALSE), "N/A")</f>
        <v>N/A</v>
      </c>
      <c r="AE64">
        <f>SUM(Data2021[[#This Row],[Number of first year comittee members]:[Number of 4+ year comittee members]])</f>
        <v>0</v>
      </c>
      <c r="AF64">
        <f>COUNTIF('Comittee2021'!D:D,Data2021[[#This Row],[organisation_name]])</f>
        <v>0</v>
      </c>
      <c r="AG64">
        <f>COUNTIFS('Comittee2021'!$D:$D,Data2021[[#This Row],[organisation_name]],'Comittee2021'!$O:$O,"strong decrease")</f>
        <v>0</v>
      </c>
      <c r="AH64">
        <f>COUNTIFS('Comittee2021'!$D:$D,Data2021[[#This Row],[organisation_name]],'Comittee2021'!$O:$O,"slight decrease")</f>
        <v>0</v>
      </c>
      <c r="AI64">
        <f>COUNTIFS('Comittee2021'!$D:$D,Data2021[[#This Row],[organisation_name]],'Comittee2021'!$O:$O,"no influence")</f>
        <v>0</v>
      </c>
      <c r="AJ64">
        <f>COUNTIFS('Comittee2021'!$D:$D,Data2021[[#This Row],[organisation_name]],'Comittee2021'!$O:$O,"slight increase")</f>
        <v>0</v>
      </c>
      <c r="AK64">
        <f>COUNTIFS('Comittee2021'!$D:$D,Data2021[[#This Row],[organisation_name]],'Comittee2021'!$O:$O,"strong increase")</f>
        <v>0</v>
      </c>
      <c r="AL64">
        <v>2021</v>
      </c>
    </row>
    <row r="65" spans="1:38" x14ac:dyDescent="0.3">
      <c r="A65" t="str">
        <f>General2021[[#This Row],[organisation_name]]</f>
        <v>Daedalus</v>
      </c>
      <c r="B65" t="str">
        <f>IF(General2021[[#This Row],[sector]]= "",VLOOKUP(Data2021[[#This Row],[organisation_name]],'Response Rate sheet'!A:D,3,FALSE),General2021[[#This Row],[sector]])</f>
        <v>Study</v>
      </c>
      <c r="C65" t="str">
        <f>General2021[[#This Row],[organisation_type]]</f>
        <v>association</v>
      </c>
      <c r="D65">
        <f>IF(ISBLANK(General2021[[#This Row],[number_of_members]]),"N/A",VLOOKUP(A65,General2021[[organisation_name]:[number_of_international_committee_board_members_not_eea]],6,FALSE))</f>
        <v>770</v>
      </c>
      <c r="E65">
        <f>IF(ISBLANK(General2021[[#This Row],[number_of_committee_board_members]]),"N/A",VLOOKUP(A65,General2021!B:M,10,FALSE))</f>
        <v>400</v>
      </c>
      <c r="F65">
        <f>IFERROR(Data2021[[#This Row],[Number of members]]-Data2021[[#This Row],[Number of active members]], "N/A")</f>
        <v>370</v>
      </c>
      <c r="G65">
        <f>IFERROR(Data2021[[#This Row],[Number of active members]]/Data2021[[#This Row],[Number of members]], "N/A")</f>
        <v>0.51948051948051943</v>
      </c>
      <c r="H65">
        <f>IFERROR(1-Data2021[[#This Row],[Percentage active members]],"N/A")</f>
        <v>0.48051948051948057</v>
      </c>
      <c r="I65" t="str">
        <f>IF(Data2021[[#This Row],[Number of members]]=0,"N/A",IF(Data2021[[#This Row],[Number of members]]&lt;50," A. 1 - 50 ",IF(Data2021[[#This Row],[Number of members]]&lt;100, "B. 50 - 100", IF(Data2021[[#This Row],[Number of members]]&lt;400, "C. 100 - 400", IF(Data2021[[#This Row],[Number of members]]&lt;1000,"D. 400 - 1000", "E. 1000 +")))))</f>
        <v>D. 400 - 1000</v>
      </c>
      <c r="J65">
        <f>IF(ISBLANK(General2021[[#This Row],[number_of_international_members_not_eea]]),"N/A",VLOOKUP(A65,General2021[[organisation_name]:[number_of_international_committee_board_members_not_eea]],9,FALSE))</f>
        <v>160</v>
      </c>
      <c r="K65">
        <f>IF(ISBLANK(General2021[[#This Row],[number_of_international_members_eea]]),"N/A",VLOOKUP(A65,General2021[[organisation_name]:[number_of_international_committee_board_members_not_eea]],8,FALSE))</f>
        <v>45</v>
      </c>
      <c r="L65">
        <f>IFERROR(IF(Data2021[[#This Row],[Number of members]]-Data2021[[#This Row],[Non-EEA Total]]-Data2021[[#This Row],[EEA total]]&lt;1,"N/A", Data2021[[#This Row],[Number of members]]-Data2021[[#This Row],[Non-EEA Total]]-Data2021[[#This Row],[EEA total]]),"N/A")</f>
        <v>565</v>
      </c>
      <c r="M65">
        <f>VLOOKUP(A65,General2021[[organisation_name]:[number_of_international_committee_board_members_not_eea]],12,FALSE)</f>
        <v>5</v>
      </c>
      <c r="N65">
        <f>VLOOKUP(A65,General2021[[organisation_name]:[number_of_international_committee_board_members_not_eea]],11,FALSE)</f>
        <v>10</v>
      </c>
      <c r="O65">
        <f>IFERROR(IF(Data2021[[#This Row],[Number of active members]]-Data2021[[#This Row],[Non-EEA Active ]]-Data2021[[#This Row],[EEA Active]]&lt;1,"N/A", Data2021[[#This Row],[Number of active members]]-Data2021[[#This Row],[Non-EEA Active ]]-Data2021[[#This Row],[EEA Active]]),"N/A")</f>
        <v>385</v>
      </c>
      <c r="P65">
        <f>IFERROR(Data2021[[#This Row],[Non-EEA Active ]]/Data2021[[#This Row],[Number of active members]],"N/A")</f>
        <v>1.2500000000000001E-2</v>
      </c>
      <c r="Q65">
        <f>IFERROR(Data2021[[#This Row],[EEA Active]]/Data2021[[#This Row],[EEA total]], "N/A")</f>
        <v>0.22222222222222221</v>
      </c>
      <c r="R65">
        <f>IFERROR(Data2021[[#This Row],[Dutch Active]]/Data2021[[#This Row],[Dutch total]],"N/A")</f>
        <v>0.68141592920353977</v>
      </c>
      <c r="S65" t="str">
        <f>IFERROR(IF(Data2021[[#This Row],[Number of members]]=Data2021[[#This Row],[Non-EEA Total]]+Data2021[[#This Row],[EEA total]]+Data2021[[#This Row],[Dutch total]],"T","F"),"F")</f>
        <v>T</v>
      </c>
      <c r="T65" t="str">
        <f>IFERROR(IF(Data2021[[#This Row],[Number of active members]]=Data2021[[#This Row],[Non-EEA Active ]]+Data2021[[#This Row],[EEA Active]]+Data2021[[#This Row],[Dutch Active]],"T","F"),"F")</f>
        <v>T</v>
      </c>
      <c r="U65" t="str">
        <f>IFERROR(IF(Data2021[[#This Row],[Number of members]]-Data2021[[#This Row],[Non-EEA Active ]]-Data2021[[#This Row],[EEA Active]]-Data2021[[#This Row],[Dutch Active]]=Data2021[[#This Row],[Number of  inactive members]],"T","F"),"F")</f>
        <v>T</v>
      </c>
      <c r="V65" t="str">
        <f>IF(Data2021[[#This Row],[EEA Active]]&lt;=Data2021[[#This Row],[EEA total]],"T","F")</f>
        <v>T</v>
      </c>
      <c r="W65" t="str">
        <f>IF(Data2021[[#This Row],[Dutch Active]]&lt;=Data2021[[#This Row],[Dutch total]],"T","F")</f>
        <v>T</v>
      </c>
      <c r="X65" t="str">
        <f>IF(Data2021[[#This Row],[Non-EEA Active ]]&lt;=Data2021[[#This Row],[Non-EEA Total]],"T","F")</f>
        <v>T</v>
      </c>
      <c r="Y6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5">
        <f>IFERROR(VLOOKUP(Data2021[[#This Row],[organisation_name]],'Division Study Year Committees'!$A$1:$L$108,2,FALSE),"N/A")</f>
        <v>0</v>
      </c>
      <c r="AA65">
        <f>IFERROR(VLOOKUP(Data2021[[#This Row],[organisation_name]],'Division Study Year Committees'!$A$1:$L$108,3,FALSE),"N/A")</f>
        <v>0</v>
      </c>
      <c r="AB65">
        <f>IFERROR(VLOOKUP(Data2021[[#This Row],[organisation_name]],'Division Study Year Committees'!$A$1:$L$108,4,FALSE),"N/A")</f>
        <v>0</v>
      </c>
      <c r="AC65">
        <f>IFERROR(VLOOKUP(Data2021[[#This Row],[organisation_name]],'Division Study Year Committees'!$A$1:$L$108,5,FALSE), "N/A")</f>
        <v>0</v>
      </c>
      <c r="AD65">
        <f>IFERROR(VLOOKUP(Data2021[[#This Row],[organisation_name]],'Division Study Year Committees'!$A$1:$L$108,6,FALSE), "N/A")</f>
        <v>0</v>
      </c>
      <c r="AE65">
        <f>SUM(Data2021[[#This Row],[Number of first year comittee members]:[Number of 4+ year comittee members]])</f>
        <v>0</v>
      </c>
      <c r="AF65">
        <f>COUNTIF('Comittee2021'!D:D,Data2021[[#This Row],[organisation_name]])</f>
        <v>24</v>
      </c>
      <c r="AG65">
        <f>COUNTIFS('Comittee2021'!$D:$D,Data2021[[#This Row],[organisation_name]],'Comittee2021'!$O:$O,"strong decrease")</f>
        <v>0</v>
      </c>
      <c r="AH65">
        <f>COUNTIFS('Comittee2021'!$D:$D,Data2021[[#This Row],[organisation_name]],'Comittee2021'!$O:$O,"slight decrease")</f>
        <v>0</v>
      </c>
      <c r="AI65">
        <f>COUNTIFS('Comittee2021'!$D:$D,Data2021[[#This Row],[organisation_name]],'Comittee2021'!$O:$O,"no influence")</f>
        <v>0</v>
      </c>
      <c r="AJ65">
        <f>COUNTIFS('Comittee2021'!$D:$D,Data2021[[#This Row],[organisation_name]],'Comittee2021'!$O:$O,"slight increase")</f>
        <v>0</v>
      </c>
      <c r="AK65">
        <f>COUNTIFS('Comittee2021'!$D:$D,Data2021[[#This Row],[organisation_name]],'Comittee2021'!$O:$O,"strong increase")</f>
        <v>0</v>
      </c>
      <c r="AL65">
        <v>2021</v>
      </c>
    </row>
    <row r="66" spans="1:38" x14ac:dyDescent="0.3">
      <c r="A66" t="str">
        <f>General2021[[#This Row],[organisation_name]]</f>
        <v>Dimensie</v>
      </c>
      <c r="B66" t="str">
        <f>IF(General2021[[#This Row],[sector]]= "",VLOOKUP(Data2021[[#This Row],[organisation_name]],'Response Rate sheet'!A:D,3,FALSE),General2021[[#This Row],[sector]])</f>
        <v>Study</v>
      </c>
      <c r="C66" t="str">
        <f>General2021[[#This Row],[organisation_type]]</f>
        <v>association</v>
      </c>
      <c r="D66">
        <f>IF(ISBLANK(General2021[[#This Row],[number_of_members]]),"N/A",VLOOKUP(A66,General2021[[organisation_name]:[number_of_international_committee_board_members_not_eea]],6,FALSE))</f>
        <v>999</v>
      </c>
      <c r="E66">
        <f>IF(ISBLANK(General2021[[#This Row],[number_of_committee_board_members]]),"N/A",VLOOKUP(A66,General2021!B:M,10,FALSE))</f>
        <v>200</v>
      </c>
      <c r="F66">
        <f>IFERROR(Data2021[[#This Row],[Number of members]]-Data2021[[#This Row],[Number of active members]], "N/A")</f>
        <v>799</v>
      </c>
      <c r="G66">
        <f>IFERROR(Data2021[[#This Row],[Number of active members]]/Data2021[[#This Row],[Number of members]], "N/A")</f>
        <v>0.20020020020020021</v>
      </c>
      <c r="H66">
        <f>IFERROR(1-Data2021[[#This Row],[Percentage active members]],"N/A")</f>
        <v>0.79979979979979976</v>
      </c>
      <c r="I66" t="str">
        <f>IF(Data2021[[#This Row],[Number of members]]=0,"N/A",IF(Data2021[[#This Row],[Number of members]]&lt;50," A. 1 - 50 ",IF(Data2021[[#This Row],[Number of members]]&lt;100, "B. 50 - 100", IF(Data2021[[#This Row],[Number of members]]&lt;400, "C. 100 - 400", IF(Data2021[[#This Row],[Number of members]]&lt;1000,"D. 400 - 1000", "E. 1000 +")))))</f>
        <v>D. 400 - 1000</v>
      </c>
      <c r="J66">
        <f>IF(ISBLANK(General2021[[#This Row],[number_of_international_members_not_eea]]),"N/A",VLOOKUP(A66,General2021[[organisation_name]:[number_of_international_committee_board_members_not_eea]],9,FALSE))</f>
        <v>60</v>
      </c>
      <c r="K66">
        <f>IF(ISBLANK(General2021[[#This Row],[number_of_international_members_eea]]),"N/A",VLOOKUP(A66,General2021[[organisation_name]:[number_of_international_committee_board_members_not_eea]],8,FALSE))</f>
        <v>100</v>
      </c>
      <c r="L66">
        <f>IFERROR(IF(Data2021[[#This Row],[Number of members]]-Data2021[[#This Row],[Non-EEA Total]]-Data2021[[#This Row],[EEA total]]&lt;1,"N/A", Data2021[[#This Row],[Number of members]]-Data2021[[#This Row],[Non-EEA Total]]-Data2021[[#This Row],[EEA total]]),"N/A")</f>
        <v>839</v>
      </c>
      <c r="M66">
        <f>VLOOKUP(A66,General2021[[organisation_name]:[number_of_international_committee_board_members_not_eea]],12,FALSE)</f>
        <v>0</v>
      </c>
      <c r="N66">
        <f>VLOOKUP(A66,General2021[[organisation_name]:[number_of_international_committee_board_members_not_eea]],11,FALSE)</f>
        <v>35</v>
      </c>
      <c r="O66">
        <f>IFERROR(IF(Data2021[[#This Row],[Number of active members]]-Data2021[[#This Row],[Non-EEA Active ]]-Data2021[[#This Row],[EEA Active]]&lt;1,"N/A", Data2021[[#This Row],[Number of active members]]-Data2021[[#This Row],[Non-EEA Active ]]-Data2021[[#This Row],[EEA Active]]),"N/A")</f>
        <v>165</v>
      </c>
      <c r="P66">
        <f>IFERROR(Data2021[[#This Row],[Non-EEA Active ]]/Data2021[[#This Row],[Number of active members]],"N/A")</f>
        <v>0</v>
      </c>
      <c r="Q66">
        <f>IFERROR(Data2021[[#This Row],[EEA Active]]/Data2021[[#This Row],[EEA total]], "N/A")</f>
        <v>0.35</v>
      </c>
      <c r="R66">
        <f>IFERROR(Data2021[[#This Row],[Dutch Active]]/Data2021[[#This Row],[Dutch total]],"N/A")</f>
        <v>0.19666269368295591</v>
      </c>
      <c r="S66" t="str">
        <f>IFERROR(IF(Data2021[[#This Row],[Number of members]]=Data2021[[#This Row],[Non-EEA Total]]+Data2021[[#This Row],[EEA total]]+Data2021[[#This Row],[Dutch total]],"T","F"),"F")</f>
        <v>T</v>
      </c>
      <c r="T66" t="str">
        <f>IFERROR(IF(Data2021[[#This Row],[Number of active members]]=Data2021[[#This Row],[Non-EEA Active ]]+Data2021[[#This Row],[EEA Active]]+Data2021[[#This Row],[Dutch Active]],"T","F"),"F")</f>
        <v>T</v>
      </c>
      <c r="U66" t="str">
        <f>IFERROR(IF(Data2021[[#This Row],[Number of members]]-Data2021[[#This Row],[Non-EEA Active ]]-Data2021[[#This Row],[EEA Active]]-Data2021[[#This Row],[Dutch Active]]=Data2021[[#This Row],[Number of  inactive members]],"T","F"),"F")</f>
        <v>T</v>
      </c>
      <c r="V66" t="str">
        <f>IF(Data2021[[#This Row],[EEA Active]]&lt;=Data2021[[#This Row],[EEA total]],"T","F")</f>
        <v>T</v>
      </c>
      <c r="W66" t="str">
        <f>IF(Data2021[[#This Row],[Dutch Active]]&lt;=Data2021[[#This Row],[Dutch total]],"T","F")</f>
        <v>T</v>
      </c>
      <c r="X66" t="str">
        <f>IF(Data2021[[#This Row],[Non-EEA Active ]]&lt;=Data2021[[#This Row],[Non-EEA Total]],"T","F")</f>
        <v>T</v>
      </c>
      <c r="Y66"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6">
        <f>IFERROR(VLOOKUP(Data2021[[#This Row],[organisation_name]],'Division Study Year Committees'!$A$1:$L$108,2,FALSE),"N/A")</f>
        <v>22</v>
      </c>
      <c r="AA66">
        <f>IFERROR(VLOOKUP(Data2021[[#This Row],[organisation_name]],'Division Study Year Committees'!$A$1:$L$108,3,FALSE),"N/A")</f>
        <v>33</v>
      </c>
      <c r="AB66">
        <f>IFERROR(VLOOKUP(Data2021[[#This Row],[organisation_name]],'Division Study Year Committees'!$A$1:$L$108,4,FALSE),"N/A")</f>
        <v>21</v>
      </c>
      <c r="AC66">
        <f>IFERROR(VLOOKUP(Data2021[[#This Row],[organisation_name]],'Division Study Year Committees'!$A$1:$L$108,5,FALSE), "N/A")</f>
        <v>20</v>
      </c>
      <c r="AD66">
        <f>IFERROR(VLOOKUP(Data2021[[#This Row],[organisation_name]],'Division Study Year Committees'!$A$1:$L$108,6,FALSE), "N/A")</f>
        <v>9</v>
      </c>
      <c r="AE66">
        <f>SUM(Data2021[[#This Row],[Number of first year comittee members]:[Number of 4+ year comittee members]])</f>
        <v>105</v>
      </c>
      <c r="AF66">
        <f>COUNTIF('Comittee2021'!D:D,Data2021[[#This Row],[organisation_name]])</f>
        <v>20</v>
      </c>
      <c r="AG66">
        <f>COUNTIFS('Comittee2021'!$D:$D,Data2021[[#This Row],[organisation_name]],'Comittee2021'!$O:$O,"strong decrease")</f>
        <v>3</v>
      </c>
      <c r="AH66">
        <f>COUNTIFS('Comittee2021'!$D:$D,Data2021[[#This Row],[organisation_name]],'Comittee2021'!$O:$O,"slight decrease")</f>
        <v>4</v>
      </c>
      <c r="AI66">
        <f>COUNTIFS('Comittee2021'!$D:$D,Data2021[[#This Row],[organisation_name]],'Comittee2021'!$O:$O,"no influence")</f>
        <v>10</v>
      </c>
      <c r="AJ66">
        <f>COUNTIFS('Comittee2021'!$D:$D,Data2021[[#This Row],[organisation_name]],'Comittee2021'!$O:$O,"slight increase")</f>
        <v>3</v>
      </c>
      <c r="AK66">
        <f>COUNTIFS('Comittee2021'!$D:$D,Data2021[[#This Row],[organisation_name]],'Comittee2021'!$O:$O,"strong increase")</f>
        <v>0</v>
      </c>
      <c r="AL66">
        <v>2021</v>
      </c>
    </row>
    <row r="67" spans="1:38" x14ac:dyDescent="0.3">
      <c r="A67" t="str">
        <f>General2021[[#This Row],[organisation_name]]</f>
        <v>Ideefiks</v>
      </c>
      <c r="B67" t="str">
        <f>IF(General2021[[#This Row],[sector]]= "",VLOOKUP(Data2021[[#This Row],[organisation_name]],'Response Rate sheet'!A:D,3,FALSE),General2021[[#This Row],[sector]])</f>
        <v>Study</v>
      </c>
      <c r="C67" t="str">
        <f>General2021[[#This Row],[organisation_type]]</f>
        <v>association</v>
      </c>
      <c r="D67" t="str">
        <f>IF(ISBLANK(General2021[[#This Row],[number_of_members]]),"N/A",VLOOKUP(A67,General2021[[organisation_name]:[number_of_international_committee_board_members_not_eea]],6,FALSE))</f>
        <v>N/A</v>
      </c>
      <c r="E67" t="str">
        <f>IF(ISBLANK(General2021[[#This Row],[number_of_committee_board_members]]),"N/A",VLOOKUP(A67,General2021!B:M,10,FALSE))</f>
        <v>N/A</v>
      </c>
      <c r="F67" t="str">
        <f>IFERROR(Data2021[[#This Row],[Number of members]]-Data2021[[#This Row],[Number of active members]], "N/A")</f>
        <v>N/A</v>
      </c>
      <c r="G67" t="str">
        <f>IFERROR(Data2021[[#This Row],[Number of active members]]/Data2021[[#This Row],[Number of members]], "N/A")</f>
        <v>N/A</v>
      </c>
      <c r="H67" t="str">
        <f>IFERROR(1-Data2021[[#This Row],[Percentage active members]],"N/A")</f>
        <v>N/A</v>
      </c>
      <c r="I67" t="str">
        <f>IF(Data2021[[#This Row],[Number of members]]=0,"N/A",IF(Data2021[[#This Row],[Number of members]]&lt;50," A. 1 - 50 ",IF(Data2021[[#This Row],[Number of members]]&lt;100, "B. 50 - 100", IF(Data2021[[#This Row],[Number of members]]&lt;400, "C. 100 - 400", IF(Data2021[[#This Row],[Number of members]]&lt;1000,"D. 400 - 1000", "E. 1000 +")))))</f>
        <v>E. 1000 +</v>
      </c>
      <c r="J67" t="str">
        <f>IF(ISBLANK(General2021[[#This Row],[number_of_international_members_not_eea]]),"N/A",VLOOKUP(A67,General2021[[organisation_name]:[number_of_international_committee_board_members_not_eea]],9,FALSE))</f>
        <v>N/A</v>
      </c>
      <c r="K67" t="str">
        <f>IF(ISBLANK(General2021[[#This Row],[number_of_international_members_eea]]),"N/A",VLOOKUP(A67,General2021[[organisation_name]:[number_of_international_committee_board_members_not_eea]],8,FALSE))</f>
        <v>N/A</v>
      </c>
      <c r="L67" t="str">
        <f>IFERROR(IF(Data2021[[#This Row],[Number of members]]-Data2021[[#This Row],[Non-EEA Total]]-Data2021[[#This Row],[EEA total]]&lt;1,"N/A", Data2021[[#This Row],[Number of members]]-Data2021[[#This Row],[Non-EEA Total]]-Data2021[[#This Row],[EEA total]]),"N/A")</f>
        <v>N/A</v>
      </c>
      <c r="M67">
        <f>VLOOKUP(A67,General2021[[organisation_name]:[number_of_international_committee_board_members_not_eea]],12,FALSE)</f>
        <v>0</v>
      </c>
      <c r="N67">
        <f>VLOOKUP(A67,General2021[[organisation_name]:[number_of_international_committee_board_members_not_eea]],11,FALSE)</f>
        <v>0</v>
      </c>
      <c r="O67" t="str">
        <f>IFERROR(IF(Data2021[[#This Row],[Number of active members]]-Data2021[[#This Row],[Non-EEA Active ]]-Data2021[[#This Row],[EEA Active]]&lt;1,"N/A", Data2021[[#This Row],[Number of active members]]-Data2021[[#This Row],[Non-EEA Active ]]-Data2021[[#This Row],[EEA Active]]),"N/A")</f>
        <v>N/A</v>
      </c>
      <c r="P67" t="str">
        <f>IFERROR(Data2021[[#This Row],[Non-EEA Active ]]/Data2021[[#This Row],[Number of active members]],"N/A")</f>
        <v>N/A</v>
      </c>
      <c r="Q67" t="str">
        <f>IFERROR(Data2021[[#This Row],[EEA Active]]/Data2021[[#This Row],[EEA total]], "N/A")</f>
        <v>N/A</v>
      </c>
      <c r="R67" t="str">
        <f>IFERROR(Data2021[[#This Row],[Dutch Active]]/Data2021[[#This Row],[Dutch total]],"N/A")</f>
        <v>N/A</v>
      </c>
      <c r="S67" t="str">
        <f>IFERROR(IF(Data2021[[#This Row],[Number of members]]=Data2021[[#This Row],[Non-EEA Total]]+Data2021[[#This Row],[EEA total]]+Data2021[[#This Row],[Dutch total]],"T","F"),"F")</f>
        <v>F</v>
      </c>
      <c r="T67" t="str">
        <f>IFERROR(IF(Data2021[[#This Row],[Number of active members]]=Data2021[[#This Row],[Non-EEA Active ]]+Data2021[[#This Row],[EEA Active]]+Data2021[[#This Row],[Dutch Active]],"T","F"),"F")</f>
        <v>F</v>
      </c>
      <c r="U67" t="str">
        <f>IFERROR(IF(Data2021[[#This Row],[Number of members]]-Data2021[[#This Row],[Non-EEA Active ]]-Data2021[[#This Row],[EEA Active]]-Data2021[[#This Row],[Dutch Active]]=Data2021[[#This Row],[Number of  inactive members]],"T","F"),"F")</f>
        <v>F</v>
      </c>
      <c r="V67" t="str">
        <f>IF(Data2021[[#This Row],[EEA Active]]&lt;=Data2021[[#This Row],[EEA total]],"T","F")</f>
        <v>T</v>
      </c>
      <c r="W67" t="str">
        <f>IF(Data2021[[#This Row],[Dutch Active]]&lt;=Data2021[[#This Row],[Dutch total]],"T","F")</f>
        <v>T</v>
      </c>
      <c r="X67" t="str">
        <f>IF(Data2021[[#This Row],[Non-EEA Active ]]&lt;=Data2021[[#This Row],[Non-EEA Total]],"T","F")</f>
        <v>T</v>
      </c>
      <c r="Y6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67" t="str">
        <f>IFERROR(VLOOKUP(Data2021[[#This Row],[organisation_name]],'Division Study Year Committees'!$A$1:$L$108,2,FALSE),"N/A")</f>
        <v>N/A</v>
      </c>
      <c r="AA67" t="str">
        <f>IFERROR(VLOOKUP(Data2021[[#This Row],[organisation_name]],'Division Study Year Committees'!$A$1:$L$108,3,FALSE),"N/A")</f>
        <v>N/A</v>
      </c>
      <c r="AB67" t="str">
        <f>IFERROR(VLOOKUP(Data2021[[#This Row],[organisation_name]],'Division Study Year Committees'!$A$1:$L$108,4,FALSE),"N/A")</f>
        <v>N/A</v>
      </c>
      <c r="AC67" t="str">
        <f>IFERROR(VLOOKUP(Data2021[[#This Row],[organisation_name]],'Division Study Year Committees'!$A$1:$L$108,5,FALSE), "N/A")</f>
        <v>N/A</v>
      </c>
      <c r="AD67" t="str">
        <f>IFERROR(VLOOKUP(Data2021[[#This Row],[organisation_name]],'Division Study Year Committees'!$A$1:$L$108,6,FALSE), "N/A")</f>
        <v>N/A</v>
      </c>
      <c r="AE67">
        <f>SUM(Data2021[[#This Row],[Number of first year comittee members]:[Number of 4+ year comittee members]])</f>
        <v>0</v>
      </c>
      <c r="AF67">
        <f>COUNTIF('Comittee2021'!D:D,Data2021[[#This Row],[organisation_name]])</f>
        <v>0</v>
      </c>
      <c r="AG67">
        <f>COUNTIFS('Comittee2021'!$D:$D,Data2021[[#This Row],[organisation_name]],'Comittee2021'!$O:$O,"strong decrease")</f>
        <v>0</v>
      </c>
      <c r="AH67">
        <f>COUNTIFS('Comittee2021'!$D:$D,Data2021[[#This Row],[organisation_name]],'Comittee2021'!$O:$O,"slight decrease")</f>
        <v>0</v>
      </c>
      <c r="AI67">
        <f>COUNTIFS('Comittee2021'!$D:$D,Data2021[[#This Row],[organisation_name]],'Comittee2021'!$O:$O,"no influence")</f>
        <v>0</v>
      </c>
      <c r="AJ67">
        <f>COUNTIFS('Comittee2021'!$D:$D,Data2021[[#This Row],[organisation_name]],'Comittee2021'!$O:$O,"slight increase")</f>
        <v>0</v>
      </c>
      <c r="AK67">
        <f>COUNTIFS('Comittee2021'!$D:$D,Data2021[[#This Row],[organisation_name]],'Comittee2021'!$O:$O,"strong increase")</f>
        <v>0</v>
      </c>
      <c r="AL67">
        <v>2021</v>
      </c>
    </row>
    <row r="68" spans="1:38" x14ac:dyDescent="0.3">
      <c r="A68" t="str">
        <f>General2021[[#This Row],[organisation_name]]</f>
        <v>Inter-Actief</v>
      </c>
      <c r="B68" t="str">
        <f>IF(General2021[[#This Row],[sector]]= "",VLOOKUP(Data2021[[#This Row],[organisation_name]],'Response Rate sheet'!A:D,3,FALSE),General2021[[#This Row],[sector]])</f>
        <v>Study</v>
      </c>
      <c r="C68" t="str">
        <f>General2021[[#This Row],[organisation_type]]</f>
        <v>association</v>
      </c>
      <c r="D68">
        <f>IF(ISBLANK(General2021[[#This Row],[number_of_members]]),"N/A",VLOOKUP(A68,General2021[[organisation_name]:[number_of_international_committee_board_members_not_eea]],6,FALSE))</f>
        <v>1300</v>
      </c>
      <c r="E68">
        <f>IF(ISBLANK(General2021[[#This Row],[number_of_committee_board_members]]),"N/A",VLOOKUP(A68,General2021!B:M,10,FALSE))</f>
        <v>300</v>
      </c>
      <c r="F68">
        <f>IFERROR(Data2021[[#This Row],[Number of members]]-Data2021[[#This Row],[Number of active members]], "N/A")</f>
        <v>1000</v>
      </c>
      <c r="G68">
        <f>IFERROR(Data2021[[#This Row],[Number of active members]]/Data2021[[#This Row],[Number of members]], "N/A")</f>
        <v>0.23076923076923078</v>
      </c>
      <c r="H68">
        <f>IFERROR(1-Data2021[[#This Row],[Percentage active members]],"N/A")</f>
        <v>0.76923076923076916</v>
      </c>
      <c r="I68" t="str">
        <f>IF(Data2021[[#This Row],[Number of members]]=0,"N/A",IF(Data2021[[#This Row],[Number of members]]&lt;50," A. 1 - 50 ",IF(Data2021[[#This Row],[Number of members]]&lt;100, "B. 50 - 100", IF(Data2021[[#This Row],[Number of members]]&lt;400, "C. 100 - 400", IF(Data2021[[#This Row],[Number of members]]&lt;1000,"D. 400 - 1000", "E. 1000 +")))))</f>
        <v>E. 1000 +</v>
      </c>
      <c r="J68">
        <f>IF(ISBLANK(General2021[[#This Row],[number_of_international_members_not_eea]]),"N/A",VLOOKUP(A68,General2021[[organisation_name]:[number_of_international_committee_board_members_not_eea]],9,FALSE))</f>
        <v>160</v>
      </c>
      <c r="K68">
        <f>IF(ISBLANK(General2021[[#This Row],[number_of_international_members_eea]]),"N/A",VLOOKUP(A68,General2021[[organisation_name]:[number_of_international_committee_board_members_not_eea]],8,FALSE))</f>
        <v>120</v>
      </c>
      <c r="L68">
        <f>IFERROR(IF(Data2021[[#This Row],[Number of members]]-Data2021[[#This Row],[Non-EEA Total]]-Data2021[[#This Row],[EEA total]]&lt;1,"N/A", Data2021[[#This Row],[Number of members]]-Data2021[[#This Row],[Non-EEA Total]]-Data2021[[#This Row],[EEA total]]),"N/A")</f>
        <v>1020</v>
      </c>
      <c r="M68">
        <f>VLOOKUP(A68,General2021[[organisation_name]:[number_of_international_committee_board_members_not_eea]],12,FALSE)</f>
        <v>7</v>
      </c>
      <c r="N68">
        <f>VLOOKUP(A68,General2021[[organisation_name]:[number_of_international_committee_board_members_not_eea]],11,FALSE)</f>
        <v>7</v>
      </c>
      <c r="O68">
        <f>IFERROR(IF(Data2021[[#This Row],[Number of active members]]-Data2021[[#This Row],[Non-EEA Active ]]-Data2021[[#This Row],[EEA Active]]&lt;1,"N/A", Data2021[[#This Row],[Number of active members]]-Data2021[[#This Row],[Non-EEA Active ]]-Data2021[[#This Row],[EEA Active]]),"N/A")</f>
        <v>286</v>
      </c>
      <c r="P68">
        <f>IFERROR(Data2021[[#This Row],[Non-EEA Active ]]/Data2021[[#This Row],[Number of active members]],"N/A")</f>
        <v>2.3333333333333334E-2</v>
      </c>
      <c r="Q68">
        <f>IFERROR(Data2021[[#This Row],[EEA Active]]/Data2021[[#This Row],[EEA total]], "N/A")</f>
        <v>5.8333333333333334E-2</v>
      </c>
      <c r="R68">
        <f>IFERROR(Data2021[[#This Row],[Dutch Active]]/Data2021[[#This Row],[Dutch total]],"N/A")</f>
        <v>0.2803921568627451</v>
      </c>
      <c r="S68" t="str">
        <f>IFERROR(IF(Data2021[[#This Row],[Number of members]]=Data2021[[#This Row],[Non-EEA Total]]+Data2021[[#This Row],[EEA total]]+Data2021[[#This Row],[Dutch total]],"T","F"),"F")</f>
        <v>T</v>
      </c>
      <c r="T68" t="str">
        <f>IFERROR(IF(Data2021[[#This Row],[Number of active members]]=Data2021[[#This Row],[Non-EEA Active ]]+Data2021[[#This Row],[EEA Active]]+Data2021[[#This Row],[Dutch Active]],"T","F"),"F")</f>
        <v>T</v>
      </c>
      <c r="U68" t="str">
        <f>IFERROR(IF(Data2021[[#This Row],[Number of members]]-Data2021[[#This Row],[Non-EEA Active ]]-Data2021[[#This Row],[EEA Active]]-Data2021[[#This Row],[Dutch Active]]=Data2021[[#This Row],[Number of  inactive members]],"T","F"),"F")</f>
        <v>T</v>
      </c>
      <c r="V68" t="str">
        <f>IF(Data2021[[#This Row],[EEA Active]]&lt;=Data2021[[#This Row],[EEA total]],"T","F")</f>
        <v>T</v>
      </c>
      <c r="W68" t="str">
        <f>IF(Data2021[[#This Row],[Dutch Active]]&lt;=Data2021[[#This Row],[Dutch total]],"T","F")</f>
        <v>T</v>
      </c>
      <c r="X68" t="str">
        <f>IF(Data2021[[#This Row],[Non-EEA Active ]]&lt;=Data2021[[#This Row],[Non-EEA Total]],"T","F")</f>
        <v>T</v>
      </c>
      <c r="Y68"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8">
        <f>IFERROR(VLOOKUP(Data2021[[#This Row],[organisation_name]],'Division Study Year Committees'!$A$1:$L$108,2,FALSE),"N/A")</f>
        <v>37</v>
      </c>
      <c r="AA68">
        <f>IFERROR(VLOOKUP(Data2021[[#This Row],[organisation_name]],'Division Study Year Committees'!$A$1:$L$108,3,FALSE),"N/A")</f>
        <v>74</v>
      </c>
      <c r="AB68">
        <f>IFERROR(VLOOKUP(Data2021[[#This Row],[organisation_name]],'Division Study Year Committees'!$A$1:$L$108,4,FALSE),"N/A")</f>
        <v>113</v>
      </c>
      <c r="AC68">
        <f>IFERROR(VLOOKUP(Data2021[[#This Row],[organisation_name]],'Division Study Year Committees'!$A$1:$L$108,5,FALSE), "N/A")</f>
        <v>67</v>
      </c>
      <c r="AD68">
        <f>IFERROR(VLOOKUP(Data2021[[#This Row],[organisation_name]],'Division Study Year Committees'!$A$1:$L$108,6,FALSE), "N/A")</f>
        <v>20</v>
      </c>
      <c r="AE68">
        <f>SUM(Data2021[[#This Row],[Number of first year comittee members]:[Number of 4+ year comittee members]])</f>
        <v>311</v>
      </c>
      <c r="AF68">
        <f>COUNTIF('Comittee2021'!D:D,Data2021[[#This Row],[organisation_name]])</f>
        <v>40</v>
      </c>
      <c r="AG68">
        <f>COUNTIFS('Comittee2021'!$D:$D,Data2021[[#This Row],[organisation_name]],'Comittee2021'!$O:$O,"strong decrease")</f>
        <v>15</v>
      </c>
      <c r="AH68">
        <f>COUNTIFS('Comittee2021'!$D:$D,Data2021[[#This Row],[organisation_name]],'Comittee2021'!$O:$O,"slight decrease")</f>
        <v>3</v>
      </c>
      <c r="AI68">
        <f>COUNTIFS('Comittee2021'!$D:$D,Data2021[[#This Row],[organisation_name]],'Comittee2021'!$O:$O,"no influence")</f>
        <v>13</v>
      </c>
      <c r="AJ68">
        <f>COUNTIFS('Comittee2021'!$D:$D,Data2021[[#This Row],[organisation_name]],'Comittee2021'!$O:$O,"slight increase")</f>
        <v>8</v>
      </c>
      <c r="AK68">
        <f>COUNTIFS('Comittee2021'!$D:$D,Data2021[[#This Row],[organisation_name]],'Comittee2021'!$O:$O,"strong increase")</f>
        <v>1</v>
      </c>
      <c r="AL68">
        <v>2021</v>
      </c>
    </row>
    <row r="69" spans="1:38" x14ac:dyDescent="0.3">
      <c r="A69" t="str">
        <f>General2021[[#This Row],[organisation_name]]</f>
        <v>Isaac Newton</v>
      </c>
      <c r="B69" t="str">
        <f>IF(General2021[[#This Row],[sector]]= "",VLOOKUP(Data2021[[#This Row],[organisation_name]],'Response Rate sheet'!A:D,3,FALSE),General2021[[#This Row],[sector]])</f>
        <v>Study</v>
      </c>
      <c r="C69" t="str">
        <f>General2021[[#This Row],[organisation_type]]</f>
        <v>association</v>
      </c>
      <c r="D69">
        <f>IF(ISBLANK(General2021[[#This Row],[number_of_members]]),"N/A",VLOOKUP(A69,General2021[[organisation_name]:[number_of_international_committee_board_members_not_eea]],6,FALSE))</f>
        <v>1241</v>
      </c>
      <c r="E69">
        <f>IF(ISBLANK(General2021[[#This Row],[number_of_committee_board_members]]),"N/A",VLOOKUP(A69,General2021!B:M,10,FALSE))</f>
        <v>400</v>
      </c>
      <c r="F69">
        <f>IFERROR(Data2021[[#This Row],[Number of members]]-Data2021[[#This Row],[Number of active members]], "N/A")</f>
        <v>841</v>
      </c>
      <c r="G69">
        <f>IFERROR(Data2021[[#This Row],[Number of active members]]/Data2021[[#This Row],[Number of members]], "N/A")</f>
        <v>0.32232070910556004</v>
      </c>
      <c r="H69">
        <f>IFERROR(1-Data2021[[#This Row],[Percentage active members]],"N/A")</f>
        <v>0.67767929089444001</v>
      </c>
      <c r="I69" t="str">
        <f>IF(Data2021[[#This Row],[Number of members]]=0,"N/A",IF(Data2021[[#This Row],[Number of members]]&lt;50," A. 1 - 50 ",IF(Data2021[[#This Row],[Number of members]]&lt;100, "B. 50 - 100", IF(Data2021[[#This Row],[Number of members]]&lt;400, "C. 100 - 400", IF(Data2021[[#This Row],[Number of members]]&lt;1000,"D. 400 - 1000", "E. 1000 +")))))</f>
        <v>E. 1000 +</v>
      </c>
      <c r="J69">
        <f>IF(ISBLANK(General2021[[#This Row],[number_of_international_members_not_eea]]),"N/A",VLOOKUP(A69,General2021[[organisation_name]:[number_of_international_committee_board_members_not_eea]],9,FALSE))</f>
        <v>120</v>
      </c>
      <c r="K69">
        <f>IF(ISBLANK(General2021[[#This Row],[number_of_international_members_eea]]),"N/A",VLOOKUP(A69,General2021[[organisation_name]:[number_of_international_committee_board_members_not_eea]],8,FALSE))</f>
        <v>150</v>
      </c>
      <c r="L69">
        <f>IFERROR(IF(Data2021[[#This Row],[Number of members]]-Data2021[[#This Row],[Non-EEA Total]]-Data2021[[#This Row],[EEA total]]&lt;1,"N/A", Data2021[[#This Row],[Number of members]]-Data2021[[#This Row],[Non-EEA Total]]-Data2021[[#This Row],[EEA total]]),"N/A")</f>
        <v>971</v>
      </c>
      <c r="M69">
        <f>VLOOKUP(A69,General2021[[organisation_name]:[number_of_international_committee_board_members_not_eea]],12,FALSE)</f>
        <v>7</v>
      </c>
      <c r="N69">
        <f>VLOOKUP(A69,General2021[[organisation_name]:[number_of_international_committee_board_members_not_eea]],11,FALSE)</f>
        <v>7</v>
      </c>
      <c r="O69">
        <f>IFERROR(IF(Data2021[[#This Row],[Number of active members]]-Data2021[[#This Row],[Non-EEA Active ]]-Data2021[[#This Row],[EEA Active]]&lt;1,"N/A", Data2021[[#This Row],[Number of active members]]-Data2021[[#This Row],[Non-EEA Active ]]-Data2021[[#This Row],[EEA Active]]),"N/A")</f>
        <v>386</v>
      </c>
      <c r="P69">
        <f>IFERROR(Data2021[[#This Row],[Non-EEA Active ]]/Data2021[[#This Row],[Number of active members]],"N/A")</f>
        <v>1.7500000000000002E-2</v>
      </c>
      <c r="Q69">
        <f>IFERROR(Data2021[[#This Row],[EEA Active]]/Data2021[[#This Row],[EEA total]], "N/A")</f>
        <v>4.6666666666666669E-2</v>
      </c>
      <c r="R69">
        <f>IFERROR(Data2021[[#This Row],[Dutch Active]]/Data2021[[#This Row],[Dutch total]],"N/A")</f>
        <v>0.39752832131822863</v>
      </c>
      <c r="S69" t="str">
        <f>IFERROR(IF(Data2021[[#This Row],[Number of members]]=Data2021[[#This Row],[Non-EEA Total]]+Data2021[[#This Row],[EEA total]]+Data2021[[#This Row],[Dutch total]],"T","F"),"F")</f>
        <v>T</v>
      </c>
      <c r="T69" t="str">
        <f>IFERROR(IF(Data2021[[#This Row],[Number of active members]]=Data2021[[#This Row],[Non-EEA Active ]]+Data2021[[#This Row],[EEA Active]]+Data2021[[#This Row],[Dutch Active]],"T","F"),"F")</f>
        <v>T</v>
      </c>
      <c r="U69" t="str">
        <f>IFERROR(IF(Data2021[[#This Row],[Number of members]]-Data2021[[#This Row],[Non-EEA Active ]]-Data2021[[#This Row],[EEA Active]]-Data2021[[#This Row],[Dutch Active]]=Data2021[[#This Row],[Number of  inactive members]],"T","F"),"F")</f>
        <v>T</v>
      </c>
      <c r="V69" t="str">
        <f>IF(Data2021[[#This Row],[EEA Active]]&lt;=Data2021[[#This Row],[EEA total]],"T","F")</f>
        <v>T</v>
      </c>
      <c r="W69" t="str">
        <f>IF(Data2021[[#This Row],[Dutch Active]]&lt;=Data2021[[#This Row],[Dutch total]],"T","F")</f>
        <v>T</v>
      </c>
      <c r="X69" t="str">
        <f>IF(Data2021[[#This Row],[Non-EEA Active ]]&lt;=Data2021[[#This Row],[Non-EEA Total]],"T","F")</f>
        <v>T</v>
      </c>
      <c r="Y69"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69">
        <f>IFERROR(VLOOKUP(Data2021[[#This Row],[organisation_name]],'Division Study Year Committees'!$A$1:$L$108,2,FALSE),"N/A")</f>
        <v>13</v>
      </c>
      <c r="AA69">
        <f>IFERROR(VLOOKUP(Data2021[[#This Row],[organisation_name]],'Division Study Year Committees'!$A$1:$L$108,3,FALSE),"N/A")</f>
        <v>59</v>
      </c>
      <c r="AB69">
        <f>IFERROR(VLOOKUP(Data2021[[#This Row],[organisation_name]],'Division Study Year Committees'!$A$1:$L$108,4,FALSE),"N/A")</f>
        <v>47</v>
      </c>
      <c r="AC69">
        <f>IFERROR(VLOOKUP(Data2021[[#This Row],[organisation_name]],'Division Study Year Committees'!$A$1:$L$108,5,FALSE), "N/A")</f>
        <v>38</v>
      </c>
      <c r="AD69">
        <f>IFERROR(VLOOKUP(Data2021[[#This Row],[organisation_name]],'Division Study Year Committees'!$A$1:$L$108,6,FALSE), "N/A")</f>
        <v>33</v>
      </c>
      <c r="AE69">
        <f>SUM(Data2021[[#This Row],[Number of first year comittee members]:[Number of 4+ year comittee members]])</f>
        <v>190</v>
      </c>
      <c r="AF69">
        <f>COUNTIF('Comittee2021'!D:D,Data2021[[#This Row],[organisation_name]])</f>
        <v>28</v>
      </c>
      <c r="AG69">
        <f>COUNTIFS('Comittee2021'!$D:$D,Data2021[[#This Row],[organisation_name]],'Comittee2021'!$O:$O,"strong decrease")</f>
        <v>4</v>
      </c>
      <c r="AH69">
        <f>COUNTIFS('Comittee2021'!$D:$D,Data2021[[#This Row],[organisation_name]],'Comittee2021'!$O:$O,"slight decrease")</f>
        <v>11</v>
      </c>
      <c r="AI69">
        <f>COUNTIFS('Comittee2021'!$D:$D,Data2021[[#This Row],[organisation_name]],'Comittee2021'!$O:$O,"no influence")</f>
        <v>13</v>
      </c>
      <c r="AJ69">
        <f>COUNTIFS('Comittee2021'!$D:$D,Data2021[[#This Row],[organisation_name]],'Comittee2021'!$O:$O,"slight increase")</f>
        <v>0</v>
      </c>
      <c r="AK69">
        <f>COUNTIFS('Comittee2021'!$D:$D,Data2021[[#This Row],[organisation_name]],'Comittee2021'!$O:$O,"strong increase")</f>
        <v>0</v>
      </c>
      <c r="AL69">
        <v>2021</v>
      </c>
    </row>
    <row r="70" spans="1:38" x14ac:dyDescent="0.3">
      <c r="A70" t="str">
        <f>General2021[[#This Row],[organisation_name]]</f>
        <v>Komma</v>
      </c>
      <c r="B70" t="str">
        <f>IF(General2021[[#This Row],[sector]]= "",VLOOKUP(Data2021[[#This Row],[organisation_name]],'Response Rate sheet'!A:D,3,FALSE),General2021[[#This Row],[sector]])</f>
        <v>Study</v>
      </c>
      <c r="C70" t="str">
        <f>General2021[[#This Row],[organisation_type]]</f>
        <v>association</v>
      </c>
      <c r="D70">
        <f>IF(ISBLANK(General2021[[#This Row],[number_of_members]]),"N/A",VLOOKUP(A70,General2021[[organisation_name]:[number_of_international_committee_board_members_not_eea]],6,FALSE))</f>
        <v>185</v>
      </c>
      <c r="E70">
        <f>IF(ISBLANK(General2021[[#This Row],[number_of_committee_board_members]]),"N/A",VLOOKUP(A70,General2021!B:M,10,FALSE))</f>
        <v>40</v>
      </c>
      <c r="F70">
        <f>IFERROR(Data2021[[#This Row],[Number of members]]-Data2021[[#This Row],[Number of active members]], "N/A")</f>
        <v>145</v>
      </c>
      <c r="G70">
        <f>IFERROR(Data2021[[#This Row],[Number of active members]]/Data2021[[#This Row],[Number of members]], "N/A")</f>
        <v>0.21621621621621623</v>
      </c>
      <c r="H70">
        <f>IFERROR(1-Data2021[[#This Row],[Percentage active members]],"N/A")</f>
        <v>0.78378378378378377</v>
      </c>
      <c r="I70" t="str">
        <f>IF(Data2021[[#This Row],[Number of members]]=0,"N/A",IF(Data2021[[#This Row],[Number of members]]&lt;50," A. 1 - 50 ",IF(Data2021[[#This Row],[Number of members]]&lt;100, "B. 50 - 100", IF(Data2021[[#This Row],[Number of members]]&lt;400, "C. 100 - 400", IF(Data2021[[#This Row],[Number of members]]&lt;1000,"D. 400 - 1000", "E. 1000 +")))))</f>
        <v>C. 100 - 400</v>
      </c>
      <c r="J70">
        <f>IF(ISBLANK(General2021[[#This Row],[number_of_international_members_not_eea]]),"N/A",VLOOKUP(A70,General2021[[organisation_name]:[number_of_international_committee_board_members_not_eea]],9,FALSE))</f>
        <v>10</v>
      </c>
      <c r="K70">
        <f>IF(ISBLANK(General2021[[#This Row],[number_of_international_members_eea]]),"N/A",VLOOKUP(A70,General2021[[organisation_name]:[number_of_international_committee_board_members_not_eea]],8,FALSE))</f>
        <v>85</v>
      </c>
      <c r="L70">
        <f>IFERROR(IF(Data2021[[#This Row],[Number of members]]-Data2021[[#This Row],[Non-EEA Total]]-Data2021[[#This Row],[EEA total]]&lt;1,"N/A", Data2021[[#This Row],[Number of members]]-Data2021[[#This Row],[Non-EEA Total]]-Data2021[[#This Row],[EEA total]]),"N/A")</f>
        <v>90</v>
      </c>
      <c r="M70">
        <f>VLOOKUP(A70,General2021[[organisation_name]:[number_of_international_committee_board_members_not_eea]],12,FALSE)</f>
        <v>7</v>
      </c>
      <c r="N70">
        <f>VLOOKUP(A70,General2021[[organisation_name]:[number_of_international_committee_board_members_not_eea]],11,FALSE)</f>
        <v>3</v>
      </c>
      <c r="O70">
        <f>IFERROR(IF(Data2021[[#This Row],[Number of active members]]-Data2021[[#This Row],[Non-EEA Active ]]-Data2021[[#This Row],[EEA Active]]&lt;1,"N/A", Data2021[[#This Row],[Number of active members]]-Data2021[[#This Row],[Non-EEA Active ]]-Data2021[[#This Row],[EEA Active]]),"N/A")</f>
        <v>30</v>
      </c>
      <c r="P70">
        <f>IFERROR(Data2021[[#This Row],[Non-EEA Active ]]/Data2021[[#This Row],[Number of active members]],"N/A")</f>
        <v>0.17499999999999999</v>
      </c>
      <c r="Q70">
        <f>IFERROR(Data2021[[#This Row],[EEA Active]]/Data2021[[#This Row],[EEA total]], "N/A")</f>
        <v>3.5294117647058823E-2</v>
      </c>
      <c r="R70">
        <f>IFERROR(Data2021[[#This Row],[Dutch Active]]/Data2021[[#This Row],[Dutch total]],"N/A")</f>
        <v>0.33333333333333331</v>
      </c>
      <c r="S70" t="str">
        <f>IFERROR(IF(Data2021[[#This Row],[Number of members]]=Data2021[[#This Row],[Non-EEA Total]]+Data2021[[#This Row],[EEA total]]+Data2021[[#This Row],[Dutch total]],"T","F"),"F")</f>
        <v>T</v>
      </c>
      <c r="T70" t="str">
        <f>IFERROR(IF(Data2021[[#This Row],[Number of active members]]=Data2021[[#This Row],[Non-EEA Active ]]+Data2021[[#This Row],[EEA Active]]+Data2021[[#This Row],[Dutch Active]],"T","F"),"F")</f>
        <v>T</v>
      </c>
      <c r="U70" t="str">
        <f>IFERROR(IF(Data2021[[#This Row],[Number of members]]-Data2021[[#This Row],[Non-EEA Active ]]-Data2021[[#This Row],[EEA Active]]-Data2021[[#This Row],[Dutch Active]]=Data2021[[#This Row],[Number of  inactive members]],"T","F"),"F")</f>
        <v>T</v>
      </c>
      <c r="V70" t="str">
        <f>IF(Data2021[[#This Row],[EEA Active]]&lt;=Data2021[[#This Row],[EEA total]],"T","F")</f>
        <v>T</v>
      </c>
      <c r="W70" t="str">
        <f>IF(Data2021[[#This Row],[Dutch Active]]&lt;=Data2021[[#This Row],[Dutch total]],"T","F")</f>
        <v>T</v>
      </c>
      <c r="X70" t="str">
        <f>IF(Data2021[[#This Row],[Non-EEA Active ]]&lt;=Data2021[[#This Row],[Non-EEA Total]],"T","F")</f>
        <v>T</v>
      </c>
      <c r="Y70"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70">
        <f>IFERROR(VLOOKUP(Data2021[[#This Row],[organisation_name]],'Division Study Year Committees'!$A$1:$L$108,2,FALSE),"N/A")</f>
        <v>0</v>
      </c>
      <c r="AA70">
        <f>IFERROR(VLOOKUP(Data2021[[#This Row],[organisation_name]],'Division Study Year Committees'!$A$1:$L$108,3,FALSE),"N/A")</f>
        <v>0</v>
      </c>
      <c r="AB70">
        <f>IFERROR(VLOOKUP(Data2021[[#This Row],[organisation_name]],'Division Study Year Committees'!$A$1:$L$108,4,FALSE),"N/A")</f>
        <v>0</v>
      </c>
      <c r="AC70">
        <f>IFERROR(VLOOKUP(Data2021[[#This Row],[organisation_name]],'Division Study Year Committees'!$A$1:$L$108,5,FALSE), "N/A")</f>
        <v>4</v>
      </c>
      <c r="AD70">
        <f>IFERROR(VLOOKUP(Data2021[[#This Row],[organisation_name]],'Division Study Year Committees'!$A$1:$L$108,6,FALSE), "N/A")</f>
        <v>0</v>
      </c>
      <c r="AE70">
        <f>SUM(Data2021[[#This Row],[Number of first year comittee members]:[Number of 4+ year comittee members]])</f>
        <v>4</v>
      </c>
      <c r="AF70">
        <f>COUNTIF('Comittee2021'!D:D,Data2021[[#This Row],[organisation_name]])</f>
        <v>4</v>
      </c>
      <c r="AG70">
        <f>COUNTIFS('Comittee2021'!$D:$D,Data2021[[#This Row],[organisation_name]],'Comittee2021'!$O:$O,"strong decrease")</f>
        <v>1</v>
      </c>
      <c r="AH70">
        <f>COUNTIFS('Comittee2021'!$D:$D,Data2021[[#This Row],[organisation_name]],'Comittee2021'!$O:$O,"slight decrease")</f>
        <v>3</v>
      </c>
      <c r="AI70">
        <f>COUNTIFS('Comittee2021'!$D:$D,Data2021[[#This Row],[organisation_name]],'Comittee2021'!$O:$O,"no influence")</f>
        <v>0</v>
      </c>
      <c r="AJ70">
        <f>COUNTIFS('Comittee2021'!$D:$D,Data2021[[#This Row],[organisation_name]],'Comittee2021'!$O:$O,"slight increase")</f>
        <v>0</v>
      </c>
      <c r="AK70">
        <f>COUNTIFS('Comittee2021'!$D:$D,Data2021[[#This Row],[organisation_name]],'Comittee2021'!$O:$O,"strong increase")</f>
        <v>0</v>
      </c>
      <c r="AL70">
        <v>2021</v>
      </c>
    </row>
    <row r="71" spans="1:38" x14ac:dyDescent="0.3">
      <c r="A71" t="str">
        <f>General2021[[#This Row],[organisation_name]]</f>
        <v>Paradoks</v>
      </c>
      <c r="B71" t="str">
        <f>IF(General2021[[#This Row],[sector]]= "",VLOOKUP(Data2021[[#This Row],[organisation_name]],'Response Rate sheet'!A:D,3,FALSE),General2021[[#This Row],[sector]])</f>
        <v>Study</v>
      </c>
      <c r="C71" t="str">
        <f>General2021[[#This Row],[organisation_type]]</f>
        <v>association</v>
      </c>
      <c r="D71" t="str">
        <f>IF(ISBLANK(General2021[[#This Row],[number_of_members]]),"N/A",VLOOKUP(A71,General2021[[organisation_name]:[number_of_international_committee_board_members_not_eea]],6,FALSE))</f>
        <v>N/A</v>
      </c>
      <c r="E71" t="str">
        <f>IF(ISBLANK(General2021[[#This Row],[number_of_committee_board_members]]),"N/A",VLOOKUP(A71,General2021!B:M,10,FALSE))</f>
        <v>N/A</v>
      </c>
      <c r="F71" t="str">
        <f>IFERROR(Data2021[[#This Row],[Number of members]]-Data2021[[#This Row],[Number of active members]], "N/A")</f>
        <v>N/A</v>
      </c>
      <c r="G71" t="str">
        <f>IFERROR(Data2021[[#This Row],[Number of active members]]/Data2021[[#This Row],[Number of members]], "N/A")</f>
        <v>N/A</v>
      </c>
      <c r="H71" t="str">
        <f>IFERROR(1-Data2021[[#This Row],[Percentage active members]],"N/A")</f>
        <v>N/A</v>
      </c>
      <c r="I71" t="str">
        <f>IF(Data2021[[#This Row],[Number of members]]=0,"N/A",IF(Data2021[[#This Row],[Number of members]]&lt;50," A. 1 - 50 ",IF(Data2021[[#This Row],[Number of members]]&lt;100, "B. 50 - 100", IF(Data2021[[#This Row],[Number of members]]&lt;400, "C. 100 - 400", IF(Data2021[[#This Row],[Number of members]]&lt;1000,"D. 400 - 1000", "E. 1000 +")))))</f>
        <v>E. 1000 +</v>
      </c>
      <c r="J71" t="str">
        <f>IF(ISBLANK(General2021[[#This Row],[number_of_international_members_not_eea]]),"N/A",VLOOKUP(A71,General2021[[organisation_name]:[number_of_international_committee_board_members_not_eea]],9,FALSE))</f>
        <v>N/A</v>
      </c>
      <c r="K71" t="str">
        <f>IF(ISBLANK(General2021[[#This Row],[number_of_international_members_eea]]),"N/A",VLOOKUP(A71,General2021[[organisation_name]:[number_of_international_committee_board_members_not_eea]],8,FALSE))</f>
        <v>N/A</v>
      </c>
      <c r="L71" t="str">
        <f>IFERROR(IF(Data2021[[#This Row],[Number of members]]-Data2021[[#This Row],[Non-EEA Total]]-Data2021[[#This Row],[EEA total]]&lt;1,"N/A", Data2021[[#This Row],[Number of members]]-Data2021[[#This Row],[Non-EEA Total]]-Data2021[[#This Row],[EEA total]]),"N/A")</f>
        <v>N/A</v>
      </c>
      <c r="M71">
        <f>VLOOKUP(A71,General2021[[organisation_name]:[number_of_international_committee_board_members_not_eea]],12,FALSE)</f>
        <v>0</v>
      </c>
      <c r="N71">
        <f>VLOOKUP(A71,General2021[[organisation_name]:[number_of_international_committee_board_members_not_eea]],11,FALSE)</f>
        <v>0</v>
      </c>
      <c r="O71" t="str">
        <f>IFERROR(IF(Data2021[[#This Row],[Number of active members]]-Data2021[[#This Row],[Non-EEA Active ]]-Data2021[[#This Row],[EEA Active]]&lt;1,"N/A", Data2021[[#This Row],[Number of active members]]-Data2021[[#This Row],[Non-EEA Active ]]-Data2021[[#This Row],[EEA Active]]),"N/A")</f>
        <v>N/A</v>
      </c>
      <c r="P71" t="str">
        <f>IFERROR(Data2021[[#This Row],[Non-EEA Active ]]/Data2021[[#This Row],[Number of active members]],"N/A")</f>
        <v>N/A</v>
      </c>
      <c r="Q71" t="str">
        <f>IFERROR(Data2021[[#This Row],[EEA Active]]/Data2021[[#This Row],[EEA total]], "N/A")</f>
        <v>N/A</v>
      </c>
      <c r="R71" t="str">
        <f>IFERROR(Data2021[[#This Row],[Dutch Active]]/Data2021[[#This Row],[Dutch total]],"N/A")</f>
        <v>N/A</v>
      </c>
      <c r="S71" t="str">
        <f>IFERROR(IF(Data2021[[#This Row],[Number of members]]=Data2021[[#This Row],[Non-EEA Total]]+Data2021[[#This Row],[EEA total]]+Data2021[[#This Row],[Dutch total]],"T","F"),"F")</f>
        <v>F</v>
      </c>
      <c r="T71" t="str">
        <f>IFERROR(IF(Data2021[[#This Row],[Number of active members]]=Data2021[[#This Row],[Non-EEA Active ]]+Data2021[[#This Row],[EEA Active]]+Data2021[[#This Row],[Dutch Active]],"T","F"),"F")</f>
        <v>F</v>
      </c>
      <c r="U71" t="str">
        <f>IFERROR(IF(Data2021[[#This Row],[Number of members]]-Data2021[[#This Row],[Non-EEA Active ]]-Data2021[[#This Row],[EEA Active]]-Data2021[[#This Row],[Dutch Active]]=Data2021[[#This Row],[Number of  inactive members]],"T","F"),"F")</f>
        <v>F</v>
      </c>
      <c r="V71" t="str">
        <f>IF(Data2021[[#This Row],[EEA Active]]&lt;=Data2021[[#This Row],[EEA total]],"T","F")</f>
        <v>T</v>
      </c>
      <c r="W71" t="str">
        <f>IF(Data2021[[#This Row],[Dutch Active]]&lt;=Data2021[[#This Row],[Dutch total]],"T","F")</f>
        <v>T</v>
      </c>
      <c r="X71" t="str">
        <f>IF(Data2021[[#This Row],[Non-EEA Active ]]&lt;=Data2021[[#This Row],[Non-EEA Total]],"T","F")</f>
        <v>T</v>
      </c>
      <c r="Y7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1" t="str">
        <f>IFERROR(VLOOKUP(Data2021[[#This Row],[organisation_name]],'Division Study Year Committees'!$A$1:$L$108,2,FALSE),"N/A")</f>
        <v>N/A</v>
      </c>
      <c r="AA71" t="str">
        <f>IFERROR(VLOOKUP(Data2021[[#This Row],[organisation_name]],'Division Study Year Committees'!$A$1:$L$108,3,FALSE),"N/A")</f>
        <v>N/A</v>
      </c>
      <c r="AB71" t="str">
        <f>IFERROR(VLOOKUP(Data2021[[#This Row],[organisation_name]],'Division Study Year Committees'!$A$1:$L$108,4,FALSE),"N/A")</f>
        <v>N/A</v>
      </c>
      <c r="AC71" t="str">
        <f>IFERROR(VLOOKUP(Data2021[[#This Row],[organisation_name]],'Division Study Year Committees'!$A$1:$L$108,5,FALSE), "N/A")</f>
        <v>N/A</v>
      </c>
      <c r="AD71" t="str">
        <f>IFERROR(VLOOKUP(Data2021[[#This Row],[organisation_name]],'Division Study Year Committees'!$A$1:$L$108,6,FALSE), "N/A")</f>
        <v>N/A</v>
      </c>
      <c r="AE71">
        <f>SUM(Data2021[[#This Row],[Number of first year comittee members]:[Number of 4+ year comittee members]])</f>
        <v>0</v>
      </c>
      <c r="AF71">
        <f>COUNTIF('Comittee2021'!D:D,Data2021[[#This Row],[organisation_name]])</f>
        <v>0</v>
      </c>
      <c r="AG71">
        <f>COUNTIFS('Comittee2021'!$D:$D,Data2021[[#This Row],[organisation_name]],'Comittee2021'!$O:$O,"strong decrease")</f>
        <v>0</v>
      </c>
      <c r="AH71">
        <f>COUNTIFS('Comittee2021'!$D:$D,Data2021[[#This Row],[organisation_name]],'Comittee2021'!$O:$O,"slight decrease")</f>
        <v>0</v>
      </c>
      <c r="AI71">
        <f>COUNTIFS('Comittee2021'!$D:$D,Data2021[[#This Row],[organisation_name]],'Comittee2021'!$O:$O,"no influence")</f>
        <v>0</v>
      </c>
      <c r="AJ71">
        <f>COUNTIFS('Comittee2021'!$D:$D,Data2021[[#This Row],[organisation_name]],'Comittee2021'!$O:$O,"slight increase")</f>
        <v>0</v>
      </c>
      <c r="AK71">
        <f>COUNTIFS('Comittee2021'!$D:$D,Data2021[[#This Row],[organisation_name]],'Comittee2021'!$O:$O,"strong increase")</f>
        <v>0</v>
      </c>
      <c r="AL71">
        <v>2021</v>
      </c>
    </row>
    <row r="72" spans="1:38" x14ac:dyDescent="0.3">
      <c r="A72" t="str">
        <f>General2021[[#This Row],[organisation_name]]</f>
        <v>Proto</v>
      </c>
      <c r="B72" t="str">
        <f>IF(General2021[[#This Row],[sector]]= "",VLOOKUP(Data2021[[#This Row],[organisation_name]],'Response Rate sheet'!A:D,3,FALSE),General2021[[#This Row],[sector]])</f>
        <v>Study</v>
      </c>
      <c r="C72" t="str">
        <f>General2021[[#This Row],[organisation_type]]</f>
        <v>association</v>
      </c>
      <c r="D72">
        <f>IF(ISBLANK(General2021[[#This Row],[number_of_members]]),"N/A",VLOOKUP(A72,General2021[[organisation_name]:[number_of_international_committee_board_members_not_eea]],6,FALSE))</f>
        <v>450</v>
      </c>
      <c r="E72">
        <f>IF(ISBLANK(General2021[[#This Row],[number_of_committee_board_members]]),"N/A",VLOOKUP(A72,General2021!B:M,10,FALSE))</f>
        <v>100</v>
      </c>
      <c r="F72">
        <f>IFERROR(Data2021[[#This Row],[Number of members]]-Data2021[[#This Row],[Number of active members]], "N/A")</f>
        <v>350</v>
      </c>
      <c r="G72">
        <f>IFERROR(Data2021[[#This Row],[Number of active members]]/Data2021[[#This Row],[Number of members]], "N/A")</f>
        <v>0.22222222222222221</v>
      </c>
      <c r="H72">
        <f>IFERROR(1-Data2021[[#This Row],[Percentage active members]],"N/A")</f>
        <v>0.77777777777777779</v>
      </c>
      <c r="I72" t="str">
        <f>IF(Data2021[[#This Row],[Number of members]]=0,"N/A",IF(Data2021[[#This Row],[Number of members]]&lt;50," A. 1 - 50 ",IF(Data2021[[#This Row],[Number of members]]&lt;100, "B. 50 - 100", IF(Data2021[[#This Row],[Number of members]]&lt;400, "C. 100 - 400", IF(Data2021[[#This Row],[Number of members]]&lt;1000,"D. 400 - 1000", "E. 1000 +")))))</f>
        <v>D. 400 - 1000</v>
      </c>
      <c r="J72">
        <f>IF(ISBLANK(General2021[[#This Row],[number_of_international_members_not_eea]]),"N/A",VLOOKUP(A72,General2021[[organisation_name]:[number_of_international_committee_board_members_not_eea]],9,FALSE))</f>
        <v>116</v>
      </c>
      <c r="K72">
        <f>IF(ISBLANK(General2021[[#This Row],[number_of_international_members_eea]]),"N/A",VLOOKUP(A72,General2021[[organisation_name]:[number_of_international_committee_board_members_not_eea]],8,FALSE))</f>
        <v>60</v>
      </c>
      <c r="L72">
        <f>IFERROR(IF(Data2021[[#This Row],[Number of members]]-Data2021[[#This Row],[Non-EEA Total]]-Data2021[[#This Row],[EEA total]]&lt;1,"N/A", Data2021[[#This Row],[Number of members]]-Data2021[[#This Row],[Non-EEA Total]]-Data2021[[#This Row],[EEA total]]),"N/A")</f>
        <v>274</v>
      </c>
      <c r="M72">
        <f>VLOOKUP(A72,General2021[[organisation_name]:[number_of_international_committee_board_members_not_eea]],12,FALSE)</f>
        <v>5</v>
      </c>
      <c r="N72">
        <f>VLOOKUP(A72,General2021[[organisation_name]:[number_of_international_committee_board_members_not_eea]],11,FALSE)</f>
        <v>10</v>
      </c>
      <c r="O72">
        <f>IFERROR(IF(Data2021[[#This Row],[Number of active members]]-Data2021[[#This Row],[Non-EEA Active ]]-Data2021[[#This Row],[EEA Active]]&lt;1,"N/A", Data2021[[#This Row],[Number of active members]]-Data2021[[#This Row],[Non-EEA Active ]]-Data2021[[#This Row],[EEA Active]]),"N/A")</f>
        <v>85</v>
      </c>
      <c r="P72">
        <f>IFERROR(Data2021[[#This Row],[Non-EEA Active ]]/Data2021[[#This Row],[Number of active members]],"N/A")</f>
        <v>0.05</v>
      </c>
      <c r="Q72">
        <f>IFERROR(Data2021[[#This Row],[EEA Active]]/Data2021[[#This Row],[EEA total]], "N/A")</f>
        <v>0.16666666666666666</v>
      </c>
      <c r="R72">
        <f>IFERROR(Data2021[[#This Row],[Dutch Active]]/Data2021[[#This Row],[Dutch total]],"N/A")</f>
        <v>0.31021897810218979</v>
      </c>
      <c r="S72" t="str">
        <f>IFERROR(IF(Data2021[[#This Row],[Number of members]]=Data2021[[#This Row],[Non-EEA Total]]+Data2021[[#This Row],[EEA total]]+Data2021[[#This Row],[Dutch total]],"T","F"),"F")</f>
        <v>T</v>
      </c>
      <c r="T72" t="str">
        <f>IFERROR(IF(Data2021[[#This Row],[Number of active members]]=Data2021[[#This Row],[Non-EEA Active ]]+Data2021[[#This Row],[EEA Active]]+Data2021[[#This Row],[Dutch Active]],"T","F"),"F")</f>
        <v>T</v>
      </c>
      <c r="U72" t="str">
        <f>IFERROR(IF(Data2021[[#This Row],[Number of members]]-Data2021[[#This Row],[Non-EEA Active ]]-Data2021[[#This Row],[EEA Active]]-Data2021[[#This Row],[Dutch Active]]=Data2021[[#This Row],[Number of  inactive members]],"T","F"),"F")</f>
        <v>T</v>
      </c>
      <c r="V72" t="str">
        <f>IF(Data2021[[#This Row],[EEA Active]]&lt;=Data2021[[#This Row],[EEA total]],"T","F")</f>
        <v>T</v>
      </c>
      <c r="W72" t="str">
        <f>IF(Data2021[[#This Row],[Dutch Active]]&lt;=Data2021[[#This Row],[Dutch total]],"T","F")</f>
        <v>T</v>
      </c>
      <c r="X72" t="str">
        <f>IF(Data2021[[#This Row],[Non-EEA Active ]]&lt;=Data2021[[#This Row],[Non-EEA Total]],"T","F")</f>
        <v>T</v>
      </c>
      <c r="Y72"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72">
        <f>IFERROR(VLOOKUP(Data2021[[#This Row],[organisation_name]],'Division Study Year Committees'!$A$1:$L$108,2,FALSE),"N/A")</f>
        <v>16</v>
      </c>
      <c r="AA72">
        <f>IFERROR(VLOOKUP(Data2021[[#This Row],[organisation_name]],'Division Study Year Committees'!$A$1:$L$108,3,FALSE),"N/A")</f>
        <v>62</v>
      </c>
      <c r="AB72">
        <f>IFERROR(VLOOKUP(Data2021[[#This Row],[organisation_name]],'Division Study Year Committees'!$A$1:$L$108,4,FALSE),"N/A")</f>
        <v>67</v>
      </c>
      <c r="AC72">
        <f>IFERROR(VLOOKUP(Data2021[[#This Row],[organisation_name]],'Division Study Year Committees'!$A$1:$L$108,5,FALSE), "N/A")</f>
        <v>47</v>
      </c>
      <c r="AD72">
        <f>IFERROR(VLOOKUP(Data2021[[#This Row],[organisation_name]],'Division Study Year Committees'!$A$1:$L$108,6,FALSE), "N/A")</f>
        <v>45</v>
      </c>
      <c r="AE72">
        <f>SUM(Data2021[[#This Row],[Number of first year comittee members]:[Number of 4+ year comittee members]])</f>
        <v>237</v>
      </c>
      <c r="AF72">
        <f>COUNTIF('Comittee2021'!D:D,Data2021[[#This Row],[organisation_name]])</f>
        <v>36</v>
      </c>
      <c r="AG72">
        <f>COUNTIFS('Comittee2021'!$D:$D,Data2021[[#This Row],[organisation_name]],'Comittee2021'!$O:$O,"strong decrease")</f>
        <v>15</v>
      </c>
      <c r="AH72">
        <f>COUNTIFS('Comittee2021'!$D:$D,Data2021[[#This Row],[organisation_name]],'Comittee2021'!$O:$O,"slight decrease")</f>
        <v>9</v>
      </c>
      <c r="AI72">
        <f>COUNTIFS('Comittee2021'!$D:$D,Data2021[[#This Row],[organisation_name]],'Comittee2021'!$O:$O,"no influence")</f>
        <v>5</v>
      </c>
      <c r="AJ72">
        <f>COUNTIFS('Comittee2021'!$D:$D,Data2021[[#This Row],[organisation_name]],'Comittee2021'!$O:$O,"slight increase")</f>
        <v>6</v>
      </c>
      <c r="AK72">
        <f>COUNTIFS('Comittee2021'!$D:$D,Data2021[[#This Row],[organisation_name]],'Comittee2021'!$O:$O,"strong increase")</f>
        <v>1</v>
      </c>
      <c r="AL72">
        <v>2021</v>
      </c>
    </row>
    <row r="73" spans="1:38" x14ac:dyDescent="0.3">
      <c r="A73" t="str">
        <f>General2021[[#This Row],[organisation_name]]</f>
        <v>Scintilla</v>
      </c>
      <c r="B73" t="str">
        <f>IF(General2021[[#This Row],[sector]]= "",VLOOKUP(Data2021[[#This Row],[organisation_name]],'Response Rate sheet'!A:D,3,FALSE),General2021[[#This Row],[sector]])</f>
        <v>Study</v>
      </c>
      <c r="C73" t="str">
        <f>General2021[[#This Row],[organisation_type]]</f>
        <v>association</v>
      </c>
      <c r="D73">
        <f>IF(ISBLANK(General2021[[#This Row],[number_of_members]]),"N/A",VLOOKUP(A73,General2021[[organisation_name]:[number_of_international_committee_board_members_not_eea]],6,FALSE))</f>
        <v>665</v>
      </c>
      <c r="E73">
        <f>IF(ISBLANK(General2021[[#This Row],[number_of_committee_board_members]]),"N/A",VLOOKUP(A73,General2021!B:M,10,FALSE))</f>
        <v>50</v>
      </c>
      <c r="F73">
        <f>IFERROR(Data2021[[#This Row],[Number of members]]-Data2021[[#This Row],[Number of active members]], "N/A")</f>
        <v>615</v>
      </c>
      <c r="G73">
        <f>IFERROR(Data2021[[#This Row],[Number of active members]]/Data2021[[#This Row],[Number of members]], "N/A")</f>
        <v>7.5187969924812026E-2</v>
      </c>
      <c r="H73">
        <f>IFERROR(1-Data2021[[#This Row],[Percentage active members]],"N/A")</f>
        <v>0.92481203007518797</v>
      </c>
      <c r="I73" t="str">
        <f>IF(Data2021[[#This Row],[Number of members]]=0,"N/A",IF(Data2021[[#This Row],[Number of members]]&lt;50," A. 1 - 50 ",IF(Data2021[[#This Row],[Number of members]]&lt;100, "B. 50 - 100", IF(Data2021[[#This Row],[Number of members]]&lt;400, "C. 100 - 400", IF(Data2021[[#This Row],[Number of members]]&lt;1000,"D. 400 - 1000", "E. 1000 +")))))</f>
        <v>D. 400 - 1000</v>
      </c>
      <c r="J73">
        <f>IF(ISBLANK(General2021[[#This Row],[number_of_international_members_not_eea]]),"N/A",VLOOKUP(A73,General2021[[organisation_name]:[number_of_international_committee_board_members_not_eea]],9,FALSE))</f>
        <v>140</v>
      </c>
      <c r="K73">
        <f>IF(ISBLANK(General2021[[#This Row],[number_of_international_members_eea]]),"N/A",VLOOKUP(A73,General2021[[organisation_name]:[number_of_international_committee_board_members_not_eea]],8,FALSE))</f>
        <v>200</v>
      </c>
      <c r="L73">
        <f>IFERROR(IF(Data2021[[#This Row],[Number of members]]-Data2021[[#This Row],[Non-EEA Total]]-Data2021[[#This Row],[EEA total]]&lt;1,"N/A", Data2021[[#This Row],[Number of members]]-Data2021[[#This Row],[Non-EEA Total]]-Data2021[[#This Row],[EEA total]]),"N/A")</f>
        <v>325</v>
      </c>
      <c r="M73">
        <f>VLOOKUP(A73,General2021[[organisation_name]:[number_of_international_committee_board_members_not_eea]],12,FALSE)</f>
        <v>5</v>
      </c>
      <c r="N73">
        <f>VLOOKUP(A73,General2021[[organisation_name]:[number_of_international_committee_board_members_not_eea]],11,FALSE)</f>
        <v>5</v>
      </c>
      <c r="O73">
        <f>IFERROR(IF(Data2021[[#This Row],[Number of active members]]-Data2021[[#This Row],[Non-EEA Active ]]-Data2021[[#This Row],[EEA Active]]&lt;1,"N/A", Data2021[[#This Row],[Number of active members]]-Data2021[[#This Row],[Non-EEA Active ]]-Data2021[[#This Row],[EEA Active]]),"N/A")</f>
        <v>40</v>
      </c>
      <c r="P73">
        <f>IFERROR(Data2021[[#This Row],[Non-EEA Active ]]/Data2021[[#This Row],[Number of active members]],"N/A")</f>
        <v>0.1</v>
      </c>
      <c r="Q73">
        <f>IFERROR(Data2021[[#This Row],[EEA Active]]/Data2021[[#This Row],[EEA total]], "N/A")</f>
        <v>2.5000000000000001E-2</v>
      </c>
      <c r="R73">
        <f>IFERROR(Data2021[[#This Row],[Dutch Active]]/Data2021[[#This Row],[Dutch total]],"N/A")</f>
        <v>0.12307692307692308</v>
      </c>
      <c r="S73" t="str">
        <f>IFERROR(IF(Data2021[[#This Row],[Number of members]]=Data2021[[#This Row],[Non-EEA Total]]+Data2021[[#This Row],[EEA total]]+Data2021[[#This Row],[Dutch total]],"T","F"),"F")</f>
        <v>T</v>
      </c>
      <c r="T73" t="str">
        <f>IFERROR(IF(Data2021[[#This Row],[Number of active members]]=Data2021[[#This Row],[Non-EEA Active ]]+Data2021[[#This Row],[EEA Active]]+Data2021[[#This Row],[Dutch Active]],"T","F"),"F")</f>
        <v>T</v>
      </c>
      <c r="U73" t="str">
        <f>IFERROR(IF(Data2021[[#This Row],[Number of members]]-Data2021[[#This Row],[Non-EEA Active ]]-Data2021[[#This Row],[EEA Active]]-Data2021[[#This Row],[Dutch Active]]=Data2021[[#This Row],[Number of  inactive members]],"T","F"),"F")</f>
        <v>T</v>
      </c>
      <c r="V73" t="str">
        <f>IF(Data2021[[#This Row],[EEA Active]]&lt;=Data2021[[#This Row],[EEA total]],"T","F")</f>
        <v>T</v>
      </c>
      <c r="W73" t="str">
        <f>IF(Data2021[[#This Row],[Dutch Active]]&lt;=Data2021[[#This Row],[Dutch total]],"T","F")</f>
        <v>T</v>
      </c>
      <c r="X73" t="str">
        <f>IF(Data2021[[#This Row],[Non-EEA Active ]]&lt;=Data2021[[#This Row],[Non-EEA Total]],"T","F")</f>
        <v>T</v>
      </c>
      <c r="Y73"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73">
        <f>IFERROR(VLOOKUP(Data2021[[#This Row],[organisation_name]],'Division Study Year Committees'!$A$1:$L$108,2,FALSE),"N/A")</f>
        <v>14</v>
      </c>
      <c r="AA73">
        <f>IFERROR(VLOOKUP(Data2021[[#This Row],[organisation_name]],'Division Study Year Committees'!$A$1:$L$108,3,FALSE),"N/A")</f>
        <v>14</v>
      </c>
      <c r="AB73">
        <f>IFERROR(VLOOKUP(Data2021[[#This Row],[organisation_name]],'Division Study Year Committees'!$A$1:$L$108,4,FALSE),"N/A")</f>
        <v>63</v>
      </c>
      <c r="AC73">
        <f>IFERROR(VLOOKUP(Data2021[[#This Row],[organisation_name]],'Division Study Year Committees'!$A$1:$L$108,5,FALSE), "N/A")</f>
        <v>63</v>
      </c>
      <c r="AD73">
        <f>IFERROR(VLOOKUP(Data2021[[#This Row],[organisation_name]],'Division Study Year Committees'!$A$1:$L$108,6,FALSE), "N/A")</f>
        <v>60</v>
      </c>
      <c r="AE73">
        <f>SUM(Data2021[[#This Row],[Number of first year comittee members]:[Number of 4+ year comittee members]])</f>
        <v>214</v>
      </c>
      <c r="AF73">
        <f>COUNTIF('Comittee2021'!D:D,Data2021[[#This Row],[organisation_name]])</f>
        <v>27</v>
      </c>
      <c r="AG73">
        <f>COUNTIFS('Comittee2021'!$D:$D,Data2021[[#This Row],[organisation_name]],'Comittee2021'!$O:$O,"strong decrease")</f>
        <v>5</v>
      </c>
      <c r="AH73">
        <f>COUNTIFS('Comittee2021'!$D:$D,Data2021[[#This Row],[organisation_name]],'Comittee2021'!$O:$O,"slight decrease")</f>
        <v>7</v>
      </c>
      <c r="AI73">
        <f>COUNTIFS('Comittee2021'!$D:$D,Data2021[[#This Row],[organisation_name]],'Comittee2021'!$O:$O,"no influence")</f>
        <v>10</v>
      </c>
      <c r="AJ73">
        <f>COUNTIFS('Comittee2021'!$D:$D,Data2021[[#This Row],[organisation_name]],'Comittee2021'!$O:$O,"slight increase")</f>
        <v>5</v>
      </c>
      <c r="AK73">
        <f>COUNTIFS('Comittee2021'!$D:$D,Data2021[[#This Row],[organisation_name]],'Comittee2021'!$O:$O,"strong increase")</f>
        <v>0</v>
      </c>
      <c r="AL73">
        <v>2021</v>
      </c>
    </row>
    <row r="74" spans="1:38" x14ac:dyDescent="0.3">
      <c r="A74" t="str">
        <f>General2021[[#This Row],[organisation_name]]</f>
        <v>Sirius</v>
      </c>
      <c r="B74" t="str">
        <f>IF(General2021[[#This Row],[sector]]= "",VLOOKUP(Data2021[[#This Row],[organisation_name]],'Response Rate sheet'!A:D,3,FALSE),General2021[[#This Row],[sector]])</f>
        <v>Study</v>
      </c>
      <c r="C74" t="str">
        <f>General2021[[#This Row],[organisation_type]]</f>
        <v>association</v>
      </c>
      <c r="D74">
        <f>IF(ISBLANK(General2021[[#This Row],[number_of_members]]),"N/A",VLOOKUP(A74,General2021[[organisation_name]:[number_of_international_committee_board_members_not_eea]],6,FALSE))</f>
        <v>713</v>
      </c>
      <c r="E74">
        <f>IF(ISBLANK(General2021[[#This Row],[number_of_committee_board_members]]),"N/A",VLOOKUP(A74,General2021!B:M,10,FALSE))</f>
        <v>0</v>
      </c>
      <c r="F74">
        <f>IFERROR(Data2021[[#This Row],[Number of members]]-Data2021[[#This Row],[Number of active members]], "N/A")</f>
        <v>713</v>
      </c>
      <c r="G74">
        <f>IFERROR(Data2021[[#This Row],[Number of active members]]/Data2021[[#This Row],[Number of members]], "N/A")</f>
        <v>0</v>
      </c>
      <c r="H74">
        <f>IFERROR(1-Data2021[[#This Row],[Percentage active members]],"N/A")</f>
        <v>1</v>
      </c>
      <c r="I74" t="str">
        <f>IF(Data2021[[#This Row],[Number of members]]=0,"N/A",IF(Data2021[[#This Row],[Number of members]]&lt;50," A. 1 - 50 ",IF(Data2021[[#This Row],[Number of members]]&lt;100, "B. 50 - 100", IF(Data2021[[#This Row],[Number of members]]&lt;400, "C. 100 - 400", IF(Data2021[[#This Row],[Number of members]]&lt;1000,"D. 400 - 1000", "E. 1000 +")))))</f>
        <v>D. 400 - 1000</v>
      </c>
      <c r="J74">
        <f>IF(ISBLANK(General2021[[#This Row],[number_of_international_members_not_eea]]),"N/A",VLOOKUP(A74,General2021[[organisation_name]:[number_of_international_committee_board_members_not_eea]],9,FALSE))</f>
        <v>87</v>
      </c>
      <c r="K74">
        <f>IF(ISBLANK(General2021[[#This Row],[number_of_international_members_eea]]),"N/A",VLOOKUP(A74,General2021[[organisation_name]:[number_of_international_committee_board_members_not_eea]],8,FALSE))</f>
        <v>0</v>
      </c>
      <c r="L74">
        <f>IFERROR(IF(Data2021[[#This Row],[Number of members]]-Data2021[[#This Row],[Non-EEA Total]]-Data2021[[#This Row],[EEA total]]&lt;1,"N/A", Data2021[[#This Row],[Number of members]]-Data2021[[#This Row],[Non-EEA Total]]-Data2021[[#This Row],[EEA total]]),"N/A")</f>
        <v>626</v>
      </c>
      <c r="M74">
        <f>VLOOKUP(A74,General2021[[organisation_name]:[number_of_international_committee_board_members_not_eea]],12,FALSE)</f>
        <v>0</v>
      </c>
      <c r="N74">
        <f>VLOOKUP(A74,General2021[[organisation_name]:[number_of_international_committee_board_members_not_eea]],11,FALSE)</f>
        <v>5</v>
      </c>
      <c r="O74" t="str">
        <f>IFERROR(IF(Data2021[[#This Row],[Number of active members]]-Data2021[[#This Row],[Non-EEA Active ]]-Data2021[[#This Row],[EEA Active]]&lt;1,"N/A", Data2021[[#This Row],[Number of active members]]-Data2021[[#This Row],[Non-EEA Active ]]-Data2021[[#This Row],[EEA Active]]),"N/A")</f>
        <v>N/A</v>
      </c>
      <c r="P74" t="str">
        <f>IFERROR(Data2021[[#This Row],[Non-EEA Active ]]/Data2021[[#This Row],[Number of active members]],"N/A")</f>
        <v>N/A</v>
      </c>
      <c r="Q74" t="str">
        <f>IFERROR(Data2021[[#This Row],[EEA Active]]/Data2021[[#This Row],[EEA total]], "N/A")</f>
        <v>N/A</v>
      </c>
      <c r="R74" t="str">
        <f>IFERROR(Data2021[[#This Row],[Dutch Active]]/Data2021[[#This Row],[Dutch total]],"N/A")</f>
        <v>N/A</v>
      </c>
      <c r="S74" t="str">
        <f>IFERROR(IF(Data2021[[#This Row],[Number of members]]=Data2021[[#This Row],[Non-EEA Total]]+Data2021[[#This Row],[EEA total]]+Data2021[[#This Row],[Dutch total]],"T","F"),"F")</f>
        <v>T</v>
      </c>
      <c r="T74" t="str">
        <f>IFERROR(IF(Data2021[[#This Row],[Number of active members]]=Data2021[[#This Row],[Non-EEA Active ]]+Data2021[[#This Row],[EEA Active]]+Data2021[[#This Row],[Dutch Active]],"T","F"),"F")</f>
        <v>F</v>
      </c>
      <c r="U74" t="str">
        <f>IFERROR(IF(Data2021[[#This Row],[Number of members]]-Data2021[[#This Row],[Non-EEA Active ]]-Data2021[[#This Row],[EEA Active]]-Data2021[[#This Row],[Dutch Active]]=Data2021[[#This Row],[Number of  inactive members]],"T","F"),"F")</f>
        <v>F</v>
      </c>
      <c r="V74" t="str">
        <f>IF(Data2021[[#This Row],[EEA Active]]&lt;=Data2021[[#This Row],[EEA total]],"T","F")</f>
        <v>F</v>
      </c>
      <c r="W74" t="str">
        <f>IF(Data2021[[#This Row],[Dutch Active]]&lt;=Data2021[[#This Row],[Dutch total]],"T","F")</f>
        <v>F</v>
      </c>
      <c r="X74" t="str">
        <f>IF(Data2021[[#This Row],[Non-EEA Active ]]&lt;=Data2021[[#This Row],[Non-EEA Total]],"T","F")</f>
        <v>T</v>
      </c>
      <c r="Y7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4">
        <f>IFERROR(VLOOKUP(Data2021[[#This Row],[organisation_name]],'Division Study Year Committees'!$A$1:$L$108,2,FALSE),"N/A")</f>
        <v>29</v>
      </c>
      <c r="AA74">
        <f>IFERROR(VLOOKUP(Data2021[[#This Row],[organisation_name]],'Division Study Year Committees'!$A$1:$L$108,3,FALSE),"N/A")</f>
        <v>53</v>
      </c>
      <c r="AB74">
        <f>IFERROR(VLOOKUP(Data2021[[#This Row],[organisation_name]],'Division Study Year Committees'!$A$1:$L$108,4,FALSE),"N/A")</f>
        <v>12</v>
      </c>
      <c r="AC74">
        <f>IFERROR(VLOOKUP(Data2021[[#This Row],[organisation_name]],'Division Study Year Committees'!$A$1:$L$108,5,FALSE), "N/A")</f>
        <v>15</v>
      </c>
      <c r="AD74">
        <f>IFERROR(VLOOKUP(Data2021[[#This Row],[organisation_name]],'Division Study Year Committees'!$A$1:$L$108,6,FALSE), "N/A")</f>
        <v>0</v>
      </c>
      <c r="AE74">
        <f>SUM(Data2021[[#This Row],[Number of first year comittee members]:[Number of 4+ year comittee members]])</f>
        <v>109</v>
      </c>
      <c r="AF74">
        <f>COUNTIF('Comittee2021'!D:D,Data2021[[#This Row],[organisation_name]])</f>
        <v>22</v>
      </c>
      <c r="AG74">
        <f>COUNTIFS('Comittee2021'!$D:$D,Data2021[[#This Row],[organisation_name]],'Comittee2021'!$O:$O,"strong decrease")</f>
        <v>4</v>
      </c>
      <c r="AH74">
        <f>COUNTIFS('Comittee2021'!$D:$D,Data2021[[#This Row],[organisation_name]],'Comittee2021'!$O:$O,"slight decrease")</f>
        <v>3</v>
      </c>
      <c r="AI74">
        <f>COUNTIFS('Comittee2021'!$D:$D,Data2021[[#This Row],[organisation_name]],'Comittee2021'!$O:$O,"no influence")</f>
        <v>9</v>
      </c>
      <c r="AJ74">
        <f>COUNTIFS('Comittee2021'!$D:$D,Data2021[[#This Row],[organisation_name]],'Comittee2021'!$O:$O,"slight increase")</f>
        <v>6</v>
      </c>
      <c r="AK74">
        <f>COUNTIFS('Comittee2021'!$D:$D,Data2021[[#This Row],[organisation_name]],'Comittee2021'!$O:$O,"strong increase")</f>
        <v>0</v>
      </c>
      <c r="AL74">
        <v>2021</v>
      </c>
    </row>
    <row r="75" spans="1:38" x14ac:dyDescent="0.3">
      <c r="A75" t="str">
        <f>General2021[[#This Row],[organisation_name]]</f>
        <v>Stress</v>
      </c>
      <c r="B75" t="str">
        <f>IF(General2021[[#This Row],[sector]]= "",VLOOKUP(Data2021[[#This Row],[organisation_name]],'Response Rate sheet'!A:D,3,FALSE),General2021[[#This Row],[sector]])</f>
        <v>Study</v>
      </c>
      <c r="C75" t="str">
        <f>General2021[[#This Row],[organisation_type]]</f>
        <v>association</v>
      </c>
      <c r="D75">
        <f>IF(ISBLANK(General2021[[#This Row],[number_of_members]]),"N/A",VLOOKUP(A75,General2021[[organisation_name]:[number_of_international_committee_board_members_not_eea]],6,FALSE))</f>
        <v>1900</v>
      </c>
      <c r="E75">
        <f>IF(ISBLANK(General2021[[#This Row],[number_of_committee_board_members]]),"N/A",VLOOKUP(A75,General2021!B:M,10,FALSE))</f>
        <v>800</v>
      </c>
      <c r="F75">
        <f>IFERROR(Data2021[[#This Row],[Number of members]]-Data2021[[#This Row],[Number of active members]], "N/A")</f>
        <v>1100</v>
      </c>
      <c r="G75">
        <f>IFERROR(Data2021[[#This Row],[Number of active members]]/Data2021[[#This Row],[Number of members]], "N/A")</f>
        <v>0.42105263157894735</v>
      </c>
      <c r="H75">
        <f>IFERROR(1-Data2021[[#This Row],[Percentage active members]],"N/A")</f>
        <v>0.57894736842105265</v>
      </c>
      <c r="I75" t="str">
        <f>IF(Data2021[[#This Row],[Number of members]]=0,"N/A",IF(Data2021[[#This Row],[Number of members]]&lt;50," A. 1 - 50 ",IF(Data2021[[#This Row],[Number of members]]&lt;100, "B. 50 - 100", IF(Data2021[[#This Row],[Number of members]]&lt;400, "C. 100 - 400", IF(Data2021[[#This Row],[Number of members]]&lt;1000,"D. 400 - 1000", "E. 1000 +")))))</f>
        <v>E. 1000 +</v>
      </c>
      <c r="J75">
        <f>IF(ISBLANK(General2021[[#This Row],[number_of_international_members_not_eea]]),"N/A",VLOOKUP(A75,General2021[[organisation_name]:[number_of_international_committee_board_members_not_eea]],9,FALSE))</f>
        <v>130</v>
      </c>
      <c r="K75">
        <f>IF(ISBLANK(General2021[[#This Row],[number_of_international_members_eea]]),"N/A",VLOOKUP(A75,General2021[[organisation_name]:[number_of_international_committee_board_members_not_eea]],8,FALSE))</f>
        <v>500</v>
      </c>
      <c r="L75">
        <f>IFERROR(IF(Data2021[[#This Row],[Number of members]]-Data2021[[#This Row],[Non-EEA Total]]-Data2021[[#This Row],[EEA total]]&lt;1,"N/A", Data2021[[#This Row],[Number of members]]-Data2021[[#This Row],[Non-EEA Total]]-Data2021[[#This Row],[EEA total]]),"N/A")</f>
        <v>1270</v>
      </c>
      <c r="M75">
        <f>VLOOKUP(A75,General2021[[organisation_name]:[number_of_international_committee_board_members_not_eea]],12,FALSE)</f>
        <v>7</v>
      </c>
      <c r="N75">
        <f>VLOOKUP(A75,General2021[[organisation_name]:[number_of_international_committee_board_members_not_eea]],11,FALSE)</f>
        <v>30</v>
      </c>
      <c r="O75">
        <f>IFERROR(IF(Data2021[[#This Row],[Number of active members]]-Data2021[[#This Row],[Non-EEA Active ]]-Data2021[[#This Row],[EEA Active]]&lt;1,"N/A", Data2021[[#This Row],[Number of active members]]-Data2021[[#This Row],[Non-EEA Active ]]-Data2021[[#This Row],[EEA Active]]),"N/A")</f>
        <v>763</v>
      </c>
      <c r="P75">
        <f>IFERROR(Data2021[[#This Row],[Non-EEA Active ]]/Data2021[[#This Row],[Number of active members]],"N/A")</f>
        <v>8.7500000000000008E-3</v>
      </c>
      <c r="Q75">
        <f>IFERROR(Data2021[[#This Row],[EEA Active]]/Data2021[[#This Row],[EEA total]], "N/A")</f>
        <v>0.06</v>
      </c>
      <c r="R75">
        <f>IFERROR(Data2021[[#This Row],[Dutch Active]]/Data2021[[#This Row],[Dutch total]],"N/A")</f>
        <v>0.60078740157480315</v>
      </c>
      <c r="S75" t="str">
        <f>IFERROR(IF(Data2021[[#This Row],[Number of members]]=Data2021[[#This Row],[Non-EEA Total]]+Data2021[[#This Row],[EEA total]]+Data2021[[#This Row],[Dutch total]],"T","F"),"F")</f>
        <v>T</v>
      </c>
      <c r="T75" t="str">
        <f>IFERROR(IF(Data2021[[#This Row],[Number of active members]]=Data2021[[#This Row],[Non-EEA Active ]]+Data2021[[#This Row],[EEA Active]]+Data2021[[#This Row],[Dutch Active]],"T","F"),"F")</f>
        <v>T</v>
      </c>
      <c r="U75" t="str">
        <f>IFERROR(IF(Data2021[[#This Row],[Number of members]]-Data2021[[#This Row],[Non-EEA Active ]]-Data2021[[#This Row],[EEA Active]]-Data2021[[#This Row],[Dutch Active]]=Data2021[[#This Row],[Number of  inactive members]],"T","F"),"F")</f>
        <v>T</v>
      </c>
      <c r="V75" t="str">
        <f>IF(Data2021[[#This Row],[EEA Active]]&lt;=Data2021[[#This Row],[EEA total]],"T","F")</f>
        <v>T</v>
      </c>
      <c r="W75" t="str">
        <f>IF(Data2021[[#This Row],[Dutch Active]]&lt;=Data2021[[#This Row],[Dutch total]],"T","F")</f>
        <v>T</v>
      </c>
      <c r="X75" t="str">
        <f>IF(Data2021[[#This Row],[Non-EEA Active ]]&lt;=Data2021[[#This Row],[Non-EEA Total]],"T","F")</f>
        <v>T</v>
      </c>
      <c r="Y7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75" t="str">
        <f>IFERROR(VLOOKUP(Data2021[[#This Row],[organisation_name]],'Division Study Year Committees'!$A$1:$L$108,2,FALSE),"N/A")</f>
        <v>N/A</v>
      </c>
      <c r="AA75" t="str">
        <f>IFERROR(VLOOKUP(Data2021[[#This Row],[organisation_name]],'Division Study Year Committees'!$A$1:$L$108,3,FALSE),"N/A")</f>
        <v>N/A</v>
      </c>
      <c r="AB75" t="str">
        <f>IFERROR(VLOOKUP(Data2021[[#This Row],[organisation_name]],'Division Study Year Committees'!$A$1:$L$108,4,FALSE),"N/A")</f>
        <v>N/A</v>
      </c>
      <c r="AC75" t="str">
        <f>IFERROR(VLOOKUP(Data2021[[#This Row],[organisation_name]],'Division Study Year Committees'!$A$1:$L$108,5,FALSE), "N/A")</f>
        <v>N/A</v>
      </c>
      <c r="AD75" t="str">
        <f>IFERROR(VLOOKUP(Data2021[[#This Row],[organisation_name]],'Division Study Year Committees'!$A$1:$L$108,6,FALSE), "N/A")</f>
        <v>N/A</v>
      </c>
      <c r="AE75">
        <f>SUM(Data2021[[#This Row],[Number of first year comittee members]:[Number of 4+ year comittee members]])</f>
        <v>0</v>
      </c>
      <c r="AF75">
        <f>COUNTIF('Comittee2021'!D:D,Data2021[[#This Row],[organisation_name]])</f>
        <v>0</v>
      </c>
      <c r="AG75">
        <f>COUNTIFS('Comittee2021'!$D:$D,Data2021[[#This Row],[organisation_name]],'Comittee2021'!$O:$O,"strong decrease")</f>
        <v>0</v>
      </c>
      <c r="AH75">
        <f>COUNTIFS('Comittee2021'!$D:$D,Data2021[[#This Row],[organisation_name]],'Comittee2021'!$O:$O,"slight decrease")</f>
        <v>0</v>
      </c>
      <c r="AI75">
        <f>COUNTIFS('Comittee2021'!$D:$D,Data2021[[#This Row],[organisation_name]],'Comittee2021'!$O:$O,"no influence")</f>
        <v>0</v>
      </c>
      <c r="AJ75">
        <f>COUNTIFS('Comittee2021'!$D:$D,Data2021[[#This Row],[organisation_name]],'Comittee2021'!$O:$O,"slight increase")</f>
        <v>0</v>
      </c>
      <c r="AK75">
        <f>COUNTIFS('Comittee2021'!$D:$D,Data2021[[#This Row],[organisation_name]],'Comittee2021'!$O:$O,"strong increase")</f>
        <v>0</v>
      </c>
      <c r="AL75">
        <v>2021</v>
      </c>
    </row>
    <row r="76" spans="1:38" x14ac:dyDescent="0.3">
      <c r="A76" t="str">
        <f>General2021[[#This Row],[organisation_name]]</f>
        <v>SV Onwijs</v>
      </c>
      <c r="B76" t="str">
        <f>IF(General2021[[#This Row],[sector]]= "",VLOOKUP(Data2021[[#This Row],[organisation_name]],'Response Rate sheet'!A:D,3,FALSE),General2021[[#This Row],[sector]])</f>
        <v>Study</v>
      </c>
      <c r="C76" t="str">
        <f>General2021[[#This Row],[organisation_type]]</f>
        <v>association</v>
      </c>
      <c r="D76">
        <f>IF(ISBLANK(General2021[[#This Row],[number_of_members]]),"N/A",VLOOKUP(A76,General2021[[organisation_name]:[number_of_international_committee_board_members_not_eea]],6,FALSE))</f>
        <v>200</v>
      </c>
      <c r="E76">
        <f>IF(ISBLANK(General2021[[#This Row],[number_of_committee_board_members]]),"N/A",VLOOKUP(A76,General2021!B:M,10,FALSE))</f>
        <v>72</v>
      </c>
      <c r="F76">
        <f>IFERROR(Data2021[[#This Row],[Number of members]]-Data2021[[#This Row],[Number of active members]], "N/A")</f>
        <v>128</v>
      </c>
      <c r="G76">
        <f>IFERROR(Data2021[[#This Row],[Number of active members]]/Data2021[[#This Row],[Number of members]], "N/A")</f>
        <v>0.36</v>
      </c>
      <c r="H76">
        <f>IFERROR(1-Data2021[[#This Row],[Percentage active members]],"N/A")</f>
        <v>0.64</v>
      </c>
      <c r="I76" t="str">
        <f>IF(Data2021[[#This Row],[Number of members]]=0,"N/A",IF(Data2021[[#This Row],[Number of members]]&lt;50," A. 1 - 50 ",IF(Data2021[[#This Row],[Number of members]]&lt;100, "B. 50 - 100", IF(Data2021[[#This Row],[Number of members]]&lt;400, "C. 100 - 400", IF(Data2021[[#This Row],[Number of members]]&lt;1000,"D. 400 - 1000", "E. 1000 +")))))</f>
        <v>C. 100 - 400</v>
      </c>
      <c r="J76">
        <f>IF(ISBLANK(General2021[[#This Row],[number_of_international_members_not_eea]]),"N/A",VLOOKUP(A76,General2021[[organisation_name]:[number_of_international_committee_board_members_not_eea]],9,FALSE))</f>
        <v>20</v>
      </c>
      <c r="K76">
        <f>IF(ISBLANK(General2021[[#This Row],[number_of_international_members_eea]]),"N/A",VLOOKUP(A76,General2021[[organisation_name]:[number_of_international_committee_board_members_not_eea]],8,FALSE))</f>
        <v>0</v>
      </c>
      <c r="L76">
        <f>IFERROR(IF(Data2021[[#This Row],[Number of members]]-Data2021[[#This Row],[Non-EEA Total]]-Data2021[[#This Row],[EEA total]]&lt;1,"N/A", Data2021[[#This Row],[Number of members]]-Data2021[[#This Row],[Non-EEA Total]]-Data2021[[#This Row],[EEA total]]),"N/A")</f>
        <v>180</v>
      </c>
      <c r="M76">
        <f>VLOOKUP(A76,General2021[[organisation_name]:[number_of_international_committee_board_members_not_eea]],12,FALSE)</f>
        <v>0</v>
      </c>
      <c r="N76">
        <f>VLOOKUP(A76,General2021[[organisation_name]:[number_of_international_committee_board_members_not_eea]],11,FALSE)</f>
        <v>0</v>
      </c>
      <c r="O76">
        <f>IFERROR(IF(Data2021[[#This Row],[Number of active members]]-Data2021[[#This Row],[Non-EEA Active ]]-Data2021[[#This Row],[EEA Active]]&lt;1,"N/A", Data2021[[#This Row],[Number of active members]]-Data2021[[#This Row],[Non-EEA Active ]]-Data2021[[#This Row],[EEA Active]]),"N/A")</f>
        <v>72</v>
      </c>
      <c r="P76">
        <f>IFERROR(Data2021[[#This Row],[Non-EEA Active ]]/Data2021[[#This Row],[Number of active members]],"N/A")</f>
        <v>0</v>
      </c>
      <c r="Q76" t="str">
        <f>IFERROR(Data2021[[#This Row],[EEA Active]]/Data2021[[#This Row],[EEA total]], "N/A")</f>
        <v>N/A</v>
      </c>
      <c r="R76">
        <f>IFERROR(Data2021[[#This Row],[Dutch Active]]/Data2021[[#This Row],[Dutch total]],"N/A")</f>
        <v>0.4</v>
      </c>
      <c r="S76" t="str">
        <f>IFERROR(IF(Data2021[[#This Row],[Number of members]]=Data2021[[#This Row],[Non-EEA Total]]+Data2021[[#This Row],[EEA total]]+Data2021[[#This Row],[Dutch total]],"T","F"),"F")</f>
        <v>T</v>
      </c>
      <c r="T76" t="str">
        <f>IFERROR(IF(Data2021[[#This Row],[Number of active members]]=Data2021[[#This Row],[Non-EEA Active ]]+Data2021[[#This Row],[EEA Active]]+Data2021[[#This Row],[Dutch Active]],"T","F"),"F")</f>
        <v>T</v>
      </c>
      <c r="U76" t="str">
        <f>IFERROR(IF(Data2021[[#This Row],[Number of members]]-Data2021[[#This Row],[Non-EEA Active ]]-Data2021[[#This Row],[EEA Active]]-Data2021[[#This Row],[Dutch Active]]=Data2021[[#This Row],[Number of  inactive members]],"T","F"),"F")</f>
        <v>T</v>
      </c>
      <c r="V76" t="str">
        <f>IF(Data2021[[#This Row],[EEA Active]]&lt;=Data2021[[#This Row],[EEA total]],"T","F")</f>
        <v>T</v>
      </c>
      <c r="W76" t="str">
        <f>IF(Data2021[[#This Row],[Dutch Active]]&lt;=Data2021[[#This Row],[Dutch total]],"T","F")</f>
        <v>T</v>
      </c>
      <c r="X76" t="str">
        <f>IF(Data2021[[#This Row],[Non-EEA Active ]]&lt;=Data2021[[#This Row],[Non-EEA Total]],"T","F")</f>
        <v>T</v>
      </c>
      <c r="Y76"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76">
        <f>IFERROR(VLOOKUP(Data2021[[#This Row],[organisation_name]],'Division Study Year Committees'!$A$1:$L$108,2,FALSE),"N/A")</f>
        <v>0</v>
      </c>
      <c r="AA76">
        <f>IFERROR(VLOOKUP(Data2021[[#This Row],[organisation_name]],'Division Study Year Committees'!$A$1:$L$108,3,FALSE),"N/A")</f>
        <v>0</v>
      </c>
      <c r="AB76">
        <f>IFERROR(VLOOKUP(Data2021[[#This Row],[organisation_name]],'Division Study Year Committees'!$A$1:$L$108,4,FALSE),"N/A")</f>
        <v>0</v>
      </c>
      <c r="AC76">
        <f>IFERROR(VLOOKUP(Data2021[[#This Row],[organisation_name]],'Division Study Year Committees'!$A$1:$L$108,5,FALSE), "N/A")</f>
        <v>3</v>
      </c>
      <c r="AD76">
        <f>IFERROR(VLOOKUP(Data2021[[#This Row],[organisation_name]],'Division Study Year Committees'!$A$1:$L$108,6,FALSE), "N/A")</f>
        <v>3</v>
      </c>
      <c r="AE76">
        <f>SUM(Data2021[[#This Row],[Number of first year comittee members]:[Number of 4+ year comittee members]])</f>
        <v>6</v>
      </c>
      <c r="AF76">
        <f>COUNTIF('Comittee2021'!D:D,Data2021[[#This Row],[organisation_name]])</f>
        <v>2</v>
      </c>
      <c r="AG76">
        <f>COUNTIFS('Comittee2021'!$D:$D,Data2021[[#This Row],[organisation_name]],'Comittee2021'!$O:$O,"strong decrease")</f>
        <v>1</v>
      </c>
      <c r="AH76">
        <f>COUNTIFS('Comittee2021'!$D:$D,Data2021[[#This Row],[organisation_name]],'Comittee2021'!$O:$O,"slight decrease")</f>
        <v>0</v>
      </c>
      <c r="AI76">
        <f>COUNTIFS('Comittee2021'!$D:$D,Data2021[[#This Row],[organisation_name]],'Comittee2021'!$O:$O,"no influence")</f>
        <v>1</v>
      </c>
      <c r="AJ76">
        <f>COUNTIFS('Comittee2021'!$D:$D,Data2021[[#This Row],[organisation_name]],'Comittee2021'!$O:$O,"slight increase")</f>
        <v>0</v>
      </c>
      <c r="AK76">
        <f>COUNTIFS('Comittee2021'!$D:$D,Data2021[[#This Row],[organisation_name]],'Comittee2021'!$O:$O,"strong increase")</f>
        <v>0</v>
      </c>
      <c r="AL76">
        <v>2021</v>
      </c>
    </row>
    <row r="77" spans="1:38" x14ac:dyDescent="0.3">
      <c r="A77" t="str">
        <f>General2021[[#This Row],[organisation_name]]</f>
        <v>ITC-SAB</v>
      </c>
      <c r="B77" t="str">
        <f>IF(General2021[[#This Row],[sector]]= "",VLOOKUP(Data2021[[#This Row],[organisation_name]],'Response Rate sheet'!A:D,3,FALSE),General2021[[#This Row],[sector]])</f>
        <v>Study</v>
      </c>
      <c r="C77" t="str">
        <f>General2021[[#This Row],[organisation_type]]</f>
        <v>association</v>
      </c>
      <c r="D77" t="str">
        <f>IF(ISBLANK(General2021[[#This Row],[number_of_members]]),"N/A",VLOOKUP(A77,General2021[[organisation_name]:[number_of_international_committee_board_members_not_eea]],6,FALSE))</f>
        <v>N/A</v>
      </c>
      <c r="E77" t="str">
        <f>IF(ISBLANK(General2021[[#This Row],[number_of_committee_board_members]]),"N/A",VLOOKUP(A77,General2021!B:M,10,FALSE))</f>
        <v>N/A</v>
      </c>
      <c r="F77" t="str">
        <f>IFERROR(Data2021[[#This Row],[Number of members]]-Data2021[[#This Row],[Number of active members]], "N/A")</f>
        <v>N/A</v>
      </c>
      <c r="G77" t="str">
        <f>IFERROR(Data2021[[#This Row],[Number of active members]]/Data2021[[#This Row],[Number of members]], "N/A")</f>
        <v>N/A</v>
      </c>
      <c r="H77" t="str">
        <f>IFERROR(1-Data2021[[#This Row],[Percentage active members]],"N/A")</f>
        <v>N/A</v>
      </c>
      <c r="I77" t="str">
        <f>IF(Data2021[[#This Row],[Number of members]]=0,"N/A",IF(Data2021[[#This Row],[Number of members]]&lt;50," A. 1 - 50 ",IF(Data2021[[#This Row],[Number of members]]&lt;100, "B. 50 - 100", IF(Data2021[[#This Row],[Number of members]]&lt;400, "C. 100 - 400", IF(Data2021[[#This Row],[Number of members]]&lt;1000,"D. 400 - 1000", "E. 1000 +")))))</f>
        <v>E. 1000 +</v>
      </c>
      <c r="J77" t="str">
        <f>IF(ISBLANK(General2021[[#This Row],[number_of_international_members_not_eea]]),"N/A",VLOOKUP(A77,General2021[[organisation_name]:[number_of_international_committee_board_members_not_eea]],9,FALSE))</f>
        <v>N/A</v>
      </c>
      <c r="K77" t="str">
        <f>IF(ISBLANK(General2021[[#This Row],[number_of_international_members_eea]]),"N/A",VLOOKUP(A77,General2021[[organisation_name]:[number_of_international_committee_board_members_not_eea]],8,FALSE))</f>
        <v>N/A</v>
      </c>
      <c r="L77" t="str">
        <f>IFERROR(IF(Data2021[[#This Row],[Number of members]]-Data2021[[#This Row],[Non-EEA Total]]-Data2021[[#This Row],[EEA total]]&lt;1,"N/A", Data2021[[#This Row],[Number of members]]-Data2021[[#This Row],[Non-EEA Total]]-Data2021[[#This Row],[EEA total]]),"N/A")</f>
        <v>N/A</v>
      </c>
      <c r="M77">
        <f>VLOOKUP(A77,General2021[[organisation_name]:[number_of_international_committee_board_members_not_eea]],12,FALSE)</f>
        <v>0</v>
      </c>
      <c r="N77">
        <f>VLOOKUP(A77,General2021[[organisation_name]:[number_of_international_committee_board_members_not_eea]],11,FALSE)</f>
        <v>0</v>
      </c>
      <c r="O77" t="str">
        <f>IFERROR(IF(Data2021[[#This Row],[Number of active members]]-Data2021[[#This Row],[Non-EEA Active ]]-Data2021[[#This Row],[EEA Active]]&lt;1,"N/A", Data2021[[#This Row],[Number of active members]]-Data2021[[#This Row],[Non-EEA Active ]]-Data2021[[#This Row],[EEA Active]]),"N/A")</f>
        <v>N/A</v>
      </c>
      <c r="P77" t="str">
        <f>IFERROR(Data2021[[#This Row],[Non-EEA Active ]]/Data2021[[#This Row],[Number of active members]],"N/A")</f>
        <v>N/A</v>
      </c>
      <c r="Q77" t="str">
        <f>IFERROR(Data2021[[#This Row],[EEA Active]]/Data2021[[#This Row],[EEA total]], "N/A")</f>
        <v>N/A</v>
      </c>
      <c r="R77" t="str">
        <f>IFERROR(Data2021[[#This Row],[Dutch Active]]/Data2021[[#This Row],[Dutch total]],"N/A")</f>
        <v>N/A</v>
      </c>
      <c r="S77" t="str">
        <f>IFERROR(IF(Data2021[[#This Row],[Number of members]]=Data2021[[#This Row],[Non-EEA Total]]+Data2021[[#This Row],[EEA total]]+Data2021[[#This Row],[Dutch total]],"T","F"),"F")</f>
        <v>F</v>
      </c>
      <c r="T77" t="str">
        <f>IFERROR(IF(Data2021[[#This Row],[Number of active members]]=Data2021[[#This Row],[Non-EEA Active ]]+Data2021[[#This Row],[EEA Active]]+Data2021[[#This Row],[Dutch Active]],"T","F"),"F")</f>
        <v>F</v>
      </c>
      <c r="U77" t="str">
        <f>IFERROR(IF(Data2021[[#This Row],[Number of members]]-Data2021[[#This Row],[Non-EEA Active ]]-Data2021[[#This Row],[EEA Active]]-Data2021[[#This Row],[Dutch Active]]=Data2021[[#This Row],[Number of  inactive members]],"T","F"),"F")</f>
        <v>F</v>
      </c>
      <c r="V77" t="str">
        <f>IF(Data2021[[#This Row],[EEA Active]]&lt;=Data2021[[#This Row],[EEA total]],"T","F")</f>
        <v>T</v>
      </c>
      <c r="W77" t="str">
        <f>IF(Data2021[[#This Row],[Dutch Active]]&lt;=Data2021[[#This Row],[Dutch total]],"T","F")</f>
        <v>T</v>
      </c>
      <c r="X77" t="str">
        <f>IF(Data2021[[#This Row],[Non-EEA Active ]]&lt;=Data2021[[#This Row],[Non-EEA Total]],"T","F")</f>
        <v>T</v>
      </c>
      <c r="Y7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7" t="str">
        <f>IFERROR(VLOOKUP(Data2021[[#This Row],[organisation_name]],'Division Study Year Committees'!$A$1:$L$108,2,FALSE),"N/A")</f>
        <v>N/A</v>
      </c>
      <c r="AA77" t="str">
        <f>IFERROR(VLOOKUP(Data2021[[#This Row],[organisation_name]],'Division Study Year Committees'!$A$1:$L$108,3,FALSE),"N/A")</f>
        <v>N/A</v>
      </c>
      <c r="AB77" t="str">
        <f>IFERROR(VLOOKUP(Data2021[[#This Row],[organisation_name]],'Division Study Year Committees'!$A$1:$L$108,4,FALSE),"N/A")</f>
        <v>N/A</v>
      </c>
      <c r="AC77" t="str">
        <f>IFERROR(VLOOKUP(Data2021[[#This Row],[organisation_name]],'Division Study Year Committees'!$A$1:$L$108,5,FALSE), "N/A")</f>
        <v>N/A</v>
      </c>
      <c r="AD77" t="str">
        <f>IFERROR(VLOOKUP(Data2021[[#This Row],[organisation_name]],'Division Study Year Committees'!$A$1:$L$108,6,FALSE), "N/A")</f>
        <v>N/A</v>
      </c>
      <c r="AE77">
        <f>SUM(Data2021[[#This Row],[Number of first year comittee members]:[Number of 4+ year comittee members]])</f>
        <v>0</v>
      </c>
      <c r="AF77">
        <f>COUNTIF('Comittee2021'!D:D,Data2021[[#This Row],[organisation_name]])</f>
        <v>0</v>
      </c>
      <c r="AG77">
        <f>COUNTIFS('Comittee2021'!$D:$D,Data2021[[#This Row],[organisation_name]],'Comittee2021'!$O:$O,"strong decrease")</f>
        <v>0</v>
      </c>
      <c r="AH77">
        <f>COUNTIFS('Comittee2021'!$D:$D,Data2021[[#This Row],[organisation_name]],'Comittee2021'!$O:$O,"slight decrease")</f>
        <v>0</v>
      </c>
      <c r="AI77">
        <f>COUNTIFS('Comittee2021'!$D:$D,Data2021[[#This Row],[organisation_name]],'Comittee2021'!$O:$O,"no influence")</f>
        <v>0</v>
      </c>
      <c r="AJ77">
        <f>COUNTIFS('Comittee2021'!$D:$D,Data2021[[#This Row],[organisation_name]],'Comittee2021'!$O:$O,"slight increase")</f>
        <v>0</v>
      </c>
      <c r="AK77">
        <f>COUNTIFS('Comittee2021'!$D:$D,Data2021[[#This Row],[organisation_name]],'Comittee2021'!$O:$O,"strong increase")</f>
        <v>0</v>
      </c>
      <c r="AL77">
        <v>2021</v>
      </c>
    </row>
    <row r="78" spans="1:38" x14ac:dyDescent="0.3">
      <c r="A78" t="str">
        <f>General2021[[#This Row],[organisation_name]]</f>
        <v>Honoursvereniging Ockham</v>
      </c>
      <c r="B78" t="str">
        <f>IF(General2021[[#This Row],[sector]]= "",VLOOKUP(Data2021[[#This Row],[organisation_name]],'Response Rate sheet'!A:D,3,FALSE),General2021[[#This Row],[sector]])</f>
        <v>Study</v>
      </c>
      <c r="C78" t="str">
        <f>General2021[[#This Row],[organisation_type]]</f>
        <v>association</v>
      </c>
      <c r="D78" t="str">
        <f>IF(ISBLANK(General2021[[#This Row],[number_of_members]]),"N/A",VLOOKUP(A78,General2021[[organisation_name]:[number_of_international_committee_board_members_not_eea]],6,FALSE))</f>
        <v>N/A</v>
      </c>
      <c r="E78" t="str">
        <f>IF(ISBLANK(General2021[[#This Row],[number_of_committee_board_members]]),"N/A",VLOOKUP(A78,General2021!B:M,10,FALSE))</f>
        <v>N/A</v>
      </c>
      <c r="F78" t="str">
        <f>IFERROR(Data2021[[#This Row],[Number of members]]-Data2021[[#This Row],[Number of active members]], "N/A")</f>
        <v>N/A</v>
      </c>
      <c r="G78" t="str">
        <f>IFERROR(Data2021[[#This Row],[Number of active members]]/Data2021[[#This Row],[Number of members]], "N/A")</f>
        <v>N/A</v>
      </c>
      <c r="H78" t="str">
        <f>IFERROR(1-Data2021[[#This Row],[Percentage active members]],"N/A")</f>
        <v>N/A</v>
      </c>
      <c r="I78" t="str">
        <f>IF(Data2021[[#This Row],[Number of members]]=0,"N/A",IF(Data2021[[#This Row],[Number of members]]&lt;50," A. 1 - 50 ",IF(Data2021[[#This Row],[Number of members]]&lt;100, "B. 50 - 100", IF(Data2021[[#This Row],[Number of members]]&lt;400, "C. 100 - 400", IF(Data2021[[#This Row],[Number of members]]&lt;1000,"D. 400 - 1000", "E. 1000 +")))))</f>
        <v>E. 1000 +</v>
      </c>
      <c r="J78" t="str">
        <f>IF(ISBLANK(General2021[[#This Row],[number_of_international_members_not_eea]]),"N/A",VLOOKUP(A78,General2021[[organisation_name]:[number_of_international_committee_board_members_not_eea]],9,FALSE))</f>
        <v>N/A</v>
      </c>
      <c r="K78" t="str">
        <f>IF(ISBLANK(General2021[[#This Row],[number_of_international_members_eea]]),"N/A",VLOOKUP(A78,General2021[[organisation_name]:[number_of_international_committee_board_members_not_eea]],8,FALSE))</f>
        <v>N/A</v>
      </c>
      <c r="L78" t="str">
        <f>IFERROR(IF(Data2021[[#This Row],[Number of members]]-Data2021[[#This Row],[Non-EEA Total]]-Data2021[[#This Row],[EEA total]]&lt;1,"N/A", Data2021[[#This Row],[Number of members]]-Data2021[[#This Row],[Non-EEA Total]]-Data2021[[#This Row],[EEA total]]),"N/A")</f>
        <v>N/A</v>
      </c>
      <c r="M78">
        <f>VLOOKUP(A78,General2021[[organisation_name]:[number_of_international_committee_board_members_not_eea]],12,FALSE)</f>
        <v>0</v>
      </c>
      <c r="N78">
        <f>VLOOKUP(A78,General2021[[organisation_name]:[number_of_international_committee_board_members_not_eea]],11,FALSE)</f>
        <v>0</v>
      </c>
      <c r="O78" t="str">
        <f>IFERROR(IF(Data2021[[#This Row],[Number of active members]]-Data2021[[#This Row],[Non-EEA Active ]]-Data2021[[#This Row],[EEA Active]]&lt;1,"N/A", Data2021[[#This Row],[Number of active members]]-Data2021[[#This Row],[Non-EEA Active ]]-Data2021[[#This Row],[EEA Active]]),"N/A")</f>
        <v>N/A</v>
      </c>
      <c r="P78" t="str">
        <f>IFERROR(Data2021[[#This Row],[Non-EEA Active ]]/Data2021[[#This Row],[Number of active members]],"N/A")</f>
        <v>N/A</v>
      </c>
      <c r="Q78" t="str">
        <f>IFERROR(Data2021[[#This Row],[EEA Active]]/Data2021[[#This Row],[EEA total]], "N/A")</f>
        <v>N/A</v>
      </c>
      <c r="R78" t="str">
        <f>IFERROR(Data2021[[#This Row],[Dutch Active]]/Data2021[[#This Row],[Dutch total]],"N/A")</f>
        <v>N/A</v>
      </c>
      <c r="S78" t="str">
        <f>IFERROR(IF(Data2021[[#This Row],[Number of members]]=Data2021[[#This Row],[Non-EEA Total]]+Data2021[[#This Row],[EEA total]]+Data2021[[#This Row],[Dutch total]],"T","F"),"F")</f>
        <v>F</v>
      </c>
      <c r="T78" t="str">
        <f>IFERROR(IF(Data2021[[#This Row],[Number of active members]]=Data2021[[#This Row],[Non-EEA Active ]]+Data2021[[#This Row],[EEA Active]]+Data2021[[#This Row],[Dutch Active]],"T","F"),"F")</f>
        <v>F</v>
      </c>
      <c r="U78" t="str">
        <f>IFERROR(IF(Data2021[[#This Row],[Number of members]]-Data2021[[#This Row],[Non-EEA Active ]]-Data2021[[#This Row],[EEA Active]]-Data2021[[#This Row],[Dutch Active]]=Data2021[[#This Row],[Number of  inactive members]],"T","F"),"F")</f>
        <v>F</v>
      </c>
      <c r="V78" t="str">
        <f>IF(Data2021[[#This Row],[EEA Active]]&lt;=Data2021[[#This Row],[EEA total]],"T","F")</f>
        <v>T</v>
      </c>
      <c r="W78" t="str">
        <f>IF(Data2021[[#This Row],[Dutch Active]]&lt;=Data2021[[#This Row],[Dutch total]],"T","F")</f>
        <v>T</v>
      </c>
      <c r="X78" t="str">
        <f>IF(Data2021[[#This Row],[Non-EEA Active ]]&lt;=Data2021[[#This Row],[Non-EEA Total]],"T","F")</f>
        <v>T</v>
      </c>
      <c r="Y7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8" t="str">
        <f>IFERROR(VLOOKUP(Data2021[[#This Row],[organisation_name]],'Division Study Year Committees'!$A$1:$L$108,2,FALSE),"N/A")</f>
        <v>N/A</v>
      </c>
      <c r="AA78" t="str">
        <f>IFERROR(VLOOKUP(Data2021[[#This Row],[organisation_name]],'Division Study Year Committees'!$A$1:$L$108,3,FALSE),"N/A")</f>
        <v>N/A</v>
      </c>
      <c r="AB78" t="str">
        <f>IFERROR(VLOOKUP(Data2021[[#This Row],[organisation_name]],'Division Study Year Committees'!$A$1:$L$108,4,FALSE),"N/A")</f>
        <v>N/A</v>
      </c>
      <c r="AC78" t="str">
        <f>IFERROR(VLOOKUP(Data2021[[#This Row],[organisation_name]],'Division Study Year Committees'!$A$1:$L$108,5,FALSE), "N/A")</f>
        <v>N/A</v>
      </c>
      <c r="AD78" t="str">
        <f>IFERROR(VLOOKUP(Data2021[[#This Row],[organisation_name]],'Division Study Year Committees'!$A$1:$L$108,6,FALSE), "N/A")</f>
        <v>N/A</v>
      </c>
      <c r="AE78">
        <f>SUM(Data2021[[#This Row],[Number of first year comittee members]:[Number of 4+ year comittee members]])</f>
        <v>0</v>
      </c>
      <c r="AF78">
        <f>COUNTIF('Comittee2021'!D:D,Data2021[[#This Row],[organisation_name]])</f>
        <v>0</v>
      </c>
      <c r="AG78">
        <f>COUNTIFS('Comittee2021'!$D:$D,Data2021[[#This Row],[organisation_name]],'Comittee2021'!$O:$O,"strong decrease")</f>
        <v>0</v>
      </c>
      <c r="AH78">
        <f>COUNTIFS('Comittee2021'!$D:$D,Data2021[[#This Row],[organisation_name]],'Comittee2021'!$O:$O,"slight decrease")</f>
        <v>0</v>
      </c>
      <c r="AI78">
        <f>COUNTIFS('Comittee2021'!$D:$D,Data2021[[#This Row],[organisation_name]],'Comittee2021'!$O:$O,"no influence")</f>
        <v>0</v>
      </c>
      <c r="AJ78">
        <f>COUNTIFS('Comittee2021'!$D:$D,Data2021[[#This Row],[organisation_name]],'Comittee2021'!$O:$O,"slight increase")</f>
        <v>0</v>
      </c>
      <c r="AK78">
        <f>COUNTIFS('Comittee2021'!$D:$D,Data2021[[#This Row],[organisation_name]],'Comittee2021'!$O:$O,"strong increase")</f>
        <v>0</v>
      </c>
      <c r="AL78">
        <v>2021</v>
      </c>
    </row>
    <row r="79" spans="1:38" x14ac:dyDescent="0.3">
      <c r="A79" t="str">
        <f>General2021[[#This Row],[organisation_name]]</f>
        <v>AEGEE Enschede</v>
      </c>
      <c r="B79" t="str">
        <f>IF(General2021[[#This Row],[sector]]= "",VLOOKUP(Data2021[[#This Row],[organisation_name]],'Response Rate sheet'!A:D,3,FALSE),General2021[[#This Row],[sector]])</f>
        <v>Social</v>
      </c>
      <c r="C79" t="str">
        <f>General2021[[#This Row],[organisation_type]]</f>
        <v>association</v>
      </c>
      <c r="D79">
        <f>IF(ISBLANK(General2021[[#This Row],[number_of_members]]),"N/A",VLOOKUP(A79,General2021[[organisation_name]:[number_of_international_committee_board_members_not_eea]],6,FALSE))</f>
        <v>280</v>
      </c>
      <c r="E79">
        <f>IF(ISBLANK(General2021[[#This Row],[number_of_committee_board_members]]),"N/A",VLOOKUP(A79,General2021!B:M,10,FALSE))</f>
        <v>60</v>
      </c>
      <c r="F79">
        <f>IFERROR(Data2021[[#This Row],[Number of members]]-Data2021[[#This Row],[Number of active members]], "N/A")</f>
        <v>220</v>
      </c>
      <c r="G79">
        <f>IFERROR(Data2021[[#This Row],[Number of active members]]/Data2021[[#This Row],[Number of members]], "N/A")</f>
        <v>0.21428571428571427</v>
      </c>
      <c r="H79">
        <f>IFERROR(1-Data2021[[#This Row],[Percentage active members]],"N/A")</f>
        <v>0.7857142857142857</v>
      </c>
      <c r="I79" t="str">
        <f>IF(Data2021[[#This Row],[Number of members]]=0,"N/A",IF(Data2021[[#This Row],[Number of members]]&lt;50," A. 1 - 50 ",IF(Data2021[[#This Row],[Number of members]]&lt;100, "B. 50 - 100", IF(Data2021[[#This Row],[Number of members]]&lt;400, "C. 100 - 400", IF(Data2021[[#This Row],[Number of members]]&lt;1000,"D. 400 - 1000", "E. 1000 +")))))</f>
        <v>C. 100 - 400</v>
      </c>
      <c r="J79">
        <f>IF(ISBLANK(General2021[[#This Row],[number_of_international_members_not_eea]]),"N/A",VLOOKUP(A79,General2021[[organisation_name]:[number_of_international_committee_board_members_not_eea]],9,FALSE))</f>
        <v>95</v>
      </c>
      <c r="K79">
        <f>IF(ISBLANK(General2021[[#This Row],[number_of_international_members_eea]]),"N/A",VLOOKUP(A79,General2021[[organisation_name]:[number_of_international_committee_board_members_not_eea]],8,FALSE))</f>
        <v>2</v>
      </c>
      <c r="L79">
        <f>IFERROR(IF(Data2021[[#This Row],[Number of members]]-Data2021[[#This Row],[Non-EEA Total]]-Data2021[[#This Row],[EEA total]]&lt;1,"N/A", Data2021[[#This Row],[Number of members]]-Data2021[[#This Row],[Non-EEA Total]]-Data2021[[#This Row],[EEA total]]),"N/A")</f>
        <v>183</v>
      </c>
      <c r="M79">
        <f>VLOOKUP(A79,General2021[[organisation_name]:[number_of_international_committee_board_members_not_eea]],12,FALSE)</f>
        <v>0</v>
      </c>
      <c r="N79">
        <f>VLOOKUP(A79,General2021[[organisation_name]:[number_of_international_committee_board_members_not_eea]],11,FALSE)</f>
        <v>3</v>
      </c>
      <c r="O79">
        <f>IFERROR(IF(Data2021[[#This Row],[Number of active members]]-Data2021[[#This Row],[Non-EEA Active ]]-Data2021[[#This Row],[EEA Active]]&lt;1,"N/A", Data2021[[#This Row],[Number of active members]]-Data2021[[#This Row],[Non-EEA Active ]]-Data2021[[#This Row],[EEA Active]]),"N/A")</f>
        <v>57</v>
      </c>
      <c r="P79">
        <f>IFERROR(Data2021[[#This Row],[Non-EEA Active ]]/Data2021[[#This Row],[Number of active members]],"N/A")</f>
        <v>0</v>
      </c>
      <c r="Q79">
        <f>IFERROR(Data2021[[#This Row],[EEA Active]]/Data2021[[#This Row],[EEA total]], "N/A")</f>
        <v>1.5</v>
      </c>
      <c r="R79">
        <f>IFERROR(Data2021[[#This Row],[Dutch Active]]/Data2021[[#This Row],[Dutch total]],"N/A")</f>
        <v>0.31147540983606559</v>
      </c>
      <c r="S79" t="str">
        <f>IFERROR(IF(Data2021[[#This Row],[Number of members]]=Data2021[[#This Row],[Non-EEA Total]]+Data2021[[#This Row],[EEA total]]+Data2021[[#This Row],[Dutch total]],"T","F"),"F")</f>
        <v>T</v>
      </c>
      <c r="T79" t="str">
        <f>IFERROR(IF(Data2021[[#This Row],[Number of active members]]=Data2021[[#This Row],[Non-EEA Active ]]+Data2021[[#This Row],[EEA Active]]+Data2021[[#This Row],[Dutch Active]],"T","F"),"F")</f>
        <v>T</v>
      </c>
      <c r="U79" t="str">
        <f>IFERROR(IF(Data2021[[#This Row],[Number of members]]-Data2021[[#This Row],[Non-EEA Active ]]-Data2021[[#This Row],[EEA Active]]-Data2021[[#This Row],[Dutch Active]]=Data2021[[#This Row],[Number of  inactive members]],"T","F"),"F")</f>
        <v>T</v>
      </c>
      <c r="V79" t="str">
        <f>IF(Data2021[[#This Row],[EEA Active]]&lt;=Data2021[[#This Row],[EEA total]],"T","F")</f>
        <v>F</v>
      </c>
      <c r="W79" t="str">
        <f>IF(Data2021[[#This Row],[Dutch Active]]&lt;=Data2021[[#This Row],[Dutch total]],"T","F")</f>
        <v>T</v>
      </c>
      <c r="X79" t="str">
        <f>IF(Data2021[[#This Row],[Non-EEA Active ]]&lt;=Data2021[[#This Row],[Non-EEA Total]],"T","F")</f>
        <v>T</v>
      </c>
      <c r="Y7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79">
        <f>IFERROR(VLOOKUP(Data2021[[#This Row],[organisation_name]],'Division Study Year Committees'!$A$1:$L$108,2,FALSE),"N/A")</f>
        <v>24</v>
      </c>
      <c r="AA79">
        <f>IFERROR(VLOOKUP(Data2021[[#This Row],[organisation_name]],'Division Study Year Committees'!$A$1:$L$108,3,FALSE),"N/A")</f>
        <v>21</v>
      </c>
      <c r="AB79">
        <f>IFERROR(VLOOKUP(Data2021[[#This Row],[organisation_name]],'Division Study Year Committees'!$A$1:$L$108,4,FALSE),"N/A")</f>
        <v>50</v>
      </c>
      <c r="AC79">
        <f>IFERROR(VLOOKUP(Data2021[[#This Row],[organisation_name]],'Division Study Year Committees'!$A$1:$L$108,5,FALSE), "N/A")</f>
        <v>65</v>
      </c>
      <c r="AD79">
        <f>IFERROR(VLOOKUP(Data2021[[#This Row],[organisation_name]],'Division Study Year Committees'!$A$1:$L$108,6,FALSE), "N/A")</f>
        <v>24</v>
      </c>
      <c r="AE79">
        <f>SUM(Data2021[[#This Row],[Number of first year comittee members]:[Number of 4+ year comittee members]])</f>
        <v>184</v>
      </c>
      <c r="AF79">
        <f>COUNTIF('Comittee2021'!D:D,Data2021[[#This Row],[organisation_name]])</f>
        <v>26</v>
      </c>
      <c r="AG79">
        <f>COUNTIFS('Comittee2021'!$D:$D,Data2021[[#This Row],[organisation_name]],'Comittee2021'!$O:$O,"strong decrease")</f>
        <v>2</v>
      </c>
      <c r="AH79">
        <f>COUNTIFS('Comittee2021'!$D:$D,Data2021[[#This Row],[organisation_name]],'Comittee2021'!$O:$O,"slight decrease")</f>
        <v>6</v>
      </c>
      <c r="AI79">
        <f>COUNTIFS('Comittee2021'!$D:$D,Data2021[[#This Row],[organisation_name]],'Comittee2021'!$O:$O,"no influence")</f>
        <v>9</v>
      </c>
      <c r="AJ79">
        <f>COUNTIFS('Comittee2021'!$D:$D,Data2021[[#This Row],[organisation_name]],'Comittee2021'!$O:$O,"slight increase")</f>
        <v>7</v>
      </c>
      <c r="AK79">
        <f>COUNTIFS('Comittee2021'!$D:$D,Data2021[[#This Row],[organisation_name]],'Comittee2021'!$O:$O,"strong increase")</f>
        <v>2</v>
      </c>
      <c r="AL79">
        <v>2021</v>
      </c>
    </row>
    <row r="80" spans="1:38" x14ac:dyDescent="0.3">
      <c r="A80" t="str">
        <f>General2021[[#This Row],[organisation_name]]</f>
        <v>ASV Taste</v>
      </c>
      <c r="B80" t="str">
        <f>IF(General2021[[#This Row],[sector]]= "",VLOOKUP(Data2021[[#This Row],[organisation_name]],'Response Rate sheet'!A:D,3,FALSE),General2021[[#This Row],[sector]])</f>
        <v>Social</v>
      </c>
      <c r="C80" t="str">
        <f>General2021[[#This Row],[organisation_type]]</f>
        <v>association</v>
      </c>
      <c r="D80">
        <f>IF(ISBLANK(General2021[[#This Row],[number_of_members]]),"N/A",VLOOKUP(A80,General2021[[organisation_name]:[number_of_international_committee_board_members_not_eea]],6,FALSE))</f>
        <v>562</v>
      </c>
      <c r="E80">
        <f>IF(ISBLANK(General2021[[#This Row],[number_of_committee_board_members]]),"N/A",VLOOKUP(A80,General2021!B:M,10,FALSE))</f>
        <v>163</v>
      </c>
      <c r="F80">
        <f>IFERROR(Data2021[[#This Row],[Number of members]]-Data2021[[#This Row],[Number of active members]], "N/A")</f>
        <v>399</v>
      </c>
      <c r="G80">
        <f>IFERROR(Data2021[[#This Row],[Number of active members]]/Data2021[[#This Row],[Number of members]], "N/A")</f>
        <v>0.29003558718861211</v>
      </c>
      <c r="H80">
        <f>IFERROR(1-Data2021[[#This Row],[Percentage active members]],"N/A")</f>
        <v>0.70996441281138789</v>
      </c>
      <c r="I80" t="str">
        <f>IF(Data2021[[#This Row],[Number of members]]=0,"N/A",IF(Data2021[[#This Row],[Number of members]]&lt;50," A. 1 - 50 ",IF(Data2021[[#This Row],[Number of members]]&lt;100, "B. 50 - 100", IF(Data2021[[#This Row],[Number of members]]&lt;400, "C. 100 - 400", IF(Data2021[[#This Row],[Number of members]]&lt;1000,"D. 400 - 1000", "E. 1000 +")))))</f>
        <v>D. 400 - 1000</v>
      </c>
      <c r="J80">
        <f>IF(ISBLANK(General2021[[#This Row],[number_of_international_members_not_eea]]),"N/A",VLOOKUP(A80,General2021[[organisation_name]:[number_of_international_committee_board_members_not_eea]],9,FALSE))</f>
        <v>4</v>
      </c>
      <c r="K80">
        <f>IF(ISBLANK(General2021[[#This Row],[number_of_international_members_eea]]),"N/A",VLOOKUP(A80,General2021[[organisation_name]:[number_of_international_committee_board_members_not_eea]],8,FALSE))</f>
        <v>4</v>
      </c>
      <c r="L80">
        <f>IFERROR(IF(Data2021[[#This Row],[Number of members]]-Data2021[[#This Row],[Non-EEA Total]]-Data2021[[#This Row],[EEA total]]&lt;1,"N/A", Data2021[[#This Row],[Number of members]]-Data2021[[#This Row],[Non-EEA Total]]-Data2021[[#This Row],[EEA total]]),"N/A")</f>
        <v>554</v>
      </c>
      <c r="M80">
        <f>VLOOKUP(A80,General2021[[organisation_name]:[number_of_international_committee_board_members_not_eea]],12,FALSE)</f>
        <v>4</v>
      </c>
      <c r="N80">
        <f>VLOOKUP(A80,General2021[[organisation_name]:[number_of_international_committee_board_members_not_eea]],11,FALSE)</f>
        <v>4</v>
      </c>
      <c r="O80">
        <f>IFERROR(IF(Data2021[[#This Row],[Number of active members]]-Data2021[[#This Row],[Non-EEA Active ]]-Data2021[[#This Row],[EEA Active]]&lt;1,"N/A", Data2021[[#This Row],[Number of active members]]-Data2021[[#This Row],[Non-EEA Active ]]-Data2021[[#This Row],[EEA Active]]),"N/A")</f>
        <v>155</v>
      </c>
      <c r="P80">
        <f>IFERROR(Data2021[[#This Row],[Non-EEA Active ]]/Data2021[[#This Row],[Number of active members]],"N/A")</f>
        <v>2.4539877300613498E-2</v>
      </c>
      <c r="Q80">
        <f>IFERROR(Data2021[[#This Row],[EEA Active]]/Data2021[[#This Row],[EEA total]], "N/A")</f>
        <v>1</v>
      </c>
      <c r="R80">
        <f>IFERROR(Data2021[[#This Row],[Dutch Active]]/Data2021[[#This Row],[Dutch total]],"N/A")</f>
        <v>0.27978339350180503</v>
      </c>
      <c r="S80" t="str">
        <f>IFERROR(IF(Data2021[[#This Row],[Number of members]]=Data2021[[#This Row],[Non-EEA Total]]+Data2021[[#This Row],[EEA total]]+Data2021[[#This Row],[Dutch total]],"T","F"),"F")</f>
        <v>T</v>
      </c>
      <c r="T80" t="str">
        <f>IFERROR(IF(Data2021[[#This Row],[Number of active members]]=Data2021[[#This Row],[Non-EEA Active ]]+Data2021[[#This Row],[EEA Active]]+Data2021[[#This Row],[Dutch Active]],"T","F"),"F")</f>
        <v>T</v>
      </c>
      <c r="U80" t="str">
        <f>IFERROR(IF(Data2021[[#This Row],[Number of members]]-Data2021[[#This Row],[Non-EEA Active ]]-Data2021[[#This Row],[EEA Active]]-Data2021[[#This Row],[Dutch Active]]=Data2021[[#This Row],[Number of  inactive members]],"T","F"),"F")</f>
        <v>T</v>
      </c>
      <c r="V80" t="str">
        <f>IF(Data2021[[#This Row],[EEA Active]]&lt;=Data2021[[#This Row],[EEA total]],"T","F")</f>
        <v>T</v>
      </c>
      <c r="W80" t="str">
        <f>IF(Data2021[[#This Row],[Dutch Active]]&lt;=Data2021[[#This Row],[Dutch total]],"T","F")</f>
        <v>T</v>
      </c>
      <c r="X80" t="str">
        <f>IF(Data2021[[#This Row],[Non-EEA Active ]]&lt;=Data2021[[#This Row],[Non-EEA Total]],"T","F")</f>
        <v>T</v>
      </c>
      <c r="Y80"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80">
        <f>IFERROR(VLOOKUP(Data2021[[#This Row],[organisation_name]],'Division Study Year Committees'!$A$1:$L$108,2,FALSE),"N/A")</f>
        <v>42</v>
      </c>
      <c r="AA80">
        <f>IFERROR(VLOOKUP(Data2021[[#This Row],[organisation_name]],'Division Study Year Committees'!$A$1:$L$108,3,FALSE),"N/A")</f>
        <v>85</v>
      </c>
      <c r="AB80">
        <f>IFERROR(VLOOKUP(Data2021[[#This Row],[organisation_name]],'Division Study Year Committees'!$A$1:$L$108,4,FALSE),"N/A")</f>
        <v>69</v>
      </c>
      <c r="AC80">
        <f>IFERROR(VLOOKUP(Data2021[[#This Row],[organisation_name]],'Division Study Year Committees'!$A$1:$L$108,5,FALSE), "N/A")</f>
        <v>31</v>
      </c>
      <c r="AD80">
        <f>IFERROR(VLOOKUP(Data2021[[#This Row],[organisation_name]],'Division Study Year Committees'!$A$1:$L$108,6,FALSE), "N/A")</f>
        <v>9</v>
      </c>
      <c r="AE80">
        <f>SUM(Data2021[[#This Row],[Number of first year comittee members]:[Number of 4+ year comittee members]])</f>
        <v>236</v>
      </c>
      <c r="AF80">
        <f>COUNTIF('Comittee2021'!D:D,Data2021[[#This Row],[organisation_name]])</f>
        <v>29</v>
      </c>
      <c r="AG80">
        <f>COUNTIFS('Comittee2021'!$D:$D,Data2021[[#This Row],[organisation_name]],'Comittee2021'!$O:$O,"strong decrease")</f>
        <v>4</v>
      </c>
      <c r="AH80">
        <f>COUNTIFS('Comittee2021'!$D:$D,Data2021[[#This Row],[organisation_name]],'Comittee2021'!$O:$O,"slight decrease")</f>
        <v>2</v>
      </c>
      <c r="AI80">
        <f>COUNTIFS('Comittee2021'!$D:$D,Data2021[[#This Row],[organisation_name]],'Comittee2021'!$O:$O,"no influence")</f>
        <v>18</v>
      </c>
      <c r="AJ80">
        <f>COUNTIFS('Comittee2021'!$D:$D,Data2021[[#This Row],[organisation_name]],'Comittee2021'!$O:$O,"slight increase")</f>
        <v>2</v>
      </c>
      <c r="AK80">
        <f>COUNTIFS('Comittee2021'!$D:$D,Data2021[[#This Row],[organisation_name]],'Comittee2021'!$O:$O,"strong increase")</f>
        <v>3</v>
      </c>
      <c r="AL80">
        <v>2021</v>
      </c>
    </row>
    <row r="81" spans="1:38" x14ac:dyDescent="0.3">
      <c r="A81" t="str">
        <f>General2021[[#This Row],[organisation_name]]</f>
        <v>Audentis et Virtutis</v>
      </c>
      <c r="B81" t="str">
        <f>IF(General2021[[#This Row],[sector]]= "",VLOOKUP(Data2021[[#This Row],[organisation_name]],'Response Rate sheet'!A:D,3,FALSE),General2021[[#This Row],[sector]])</f>
        <v>Social</v>
      </c>
      <c r="C81" t="str">
        <f>General2021[[#This Row],[organisation_type]]</f>
        <v>association</v>
      </c>
      <c r="D81" t="str">
        <f>IF(ISBLANK(General2021[[#This Row],[number_of_members]]),"N/A",VLOOKUP(A81,General2021[[organisation_name]:[number_of_international_committee_board_members_not_eea]],6,FALSE))</f>
        <v>N/A</v>
      </c>
      <c r="E81" t="str">
        <f>IF(ISBLANK(General2021[[#This Row],[number_of_committee_board_members]]),"N/A",VLOOKUP(A81,General2021!B:M,10,FALSE))</f>
        <v>N/A</v>
      </c>
      <c r="F81" t="str">
        <f>IFERROR(Data2021[[#This Row],[Number of members]]-Data2021[[#This Row],[Number of active members]], "N/A")</f>
        <v>N/A</v>
      </c>
      <c r="G81" t="str">
        <f>IFERROR(Data2021[[#This Row],[Number of active members]]/Data2021[[#This Row],[Number of members]], "N/A")</f>
        <v>N/A</v>
      </c>
      <c r="H81" t="str">
        <f>IFERROR(1-Data2021[[#This Row],[Percentage active members]],"N/A")</f>
        <v>N/A</v>
      </c>
      <c r="I81" t="str">
        <f>IF(Data2021[[#This Row],[Number of members]]=0,"N/A",IF(Data2021[[#This Row],[Number of members]]&lt;50," A. 1 - 50 ",IF(Data2021[[#This Row],[Number of members]]&lt;100, "B. 50 - 100", IF(Data2021[[#This Row],[Number of members]]&lt;400, "C. 100 - 400", IF(Data2021[[#This Row],[Number of members]]&lt;1000,"D. 400 - 1000", "E. 1000 +")))))</f>
        <v>E. 1000 +</v>
      </c>
      <c r="J81" t="str">
        <f>IF(ISBLANK(General2021[[#This Row],[number_of_international_members_not_eea]]),"N/A",VLOOKUP(A81,General2021[[organisation_name]:[number_of_international_committee_board_members_not_eea]],9,FALSE))</f>
        <v>N/A</v>
      </c>
      <c r="K81" t="str">
        <f>IF(ISBLANK(General2021[[#This Row],[number_of_international_members_eea]]),"N/A",VLOOKUP(A81,General2021[[organisation_name]:[number_of_international_committee_board_members_not_eea]],8,FALSE))</f>
        <v>N/A</v>
      </c>
      <c r="L81" t="str">
        <f>IFERROR(IF(Data2021[[#This Row],[Number of members]]-Data2021[[#This Row],[Non-EEA Total]]-Data2021[[#This Row],[EEA total]]&lt;1,"N/A", Data2021[[#This Row],[Number of members]]-Data2021[[#This Row],[Non-EEA Total]]-Data2021[[#This Row],[EEA total]]),"N/A")</f>
        <v>N/A</v>
      </c>
      <c r="M81">
        <f>VLOOKUP(A81,General2021[[organisation_name]:[number_of_international_committee_board_members_not_eea]],12,FALSE)</f>
        <v>0</v>
      </c>
      <c r="N81">
        <f>VLOOKUP(A81,General2021[[organisation_name]:[number_of_international_committee_board_members_not_eea]],11,FALSE)</f>
        <v>0</v>
      </c>
      <c r="O81" t="str">
        <f>IFERROR(IF(Data2021[[#This Row],[Number of active members]]-Data2021[[#This Row],[Non-EEA Active ]]-Data2021[[#This Row],[EEA Active]]&lt;1,"N/A", Data2021[[#This Row],[Number of active members]]-Data2021[[#This Row],[Non-EEA Active ]]-Data2021[[#This Row],[EEA Active]]),"N/A")</f>
        <v>N/A</v>
      </c>
      <c r="P81" t="str">
        <f>IFERROR(Data2021[[#This Row],[Non-EEA Active ]]/Data2021[[#This Row],[Number of active members]],"N/A")</f>
        <v>N/A</v>
      </c>
      <c r="Q81" t="str">
        <f>IFERROR(Data2021[[#This Row],[EEA Active]]/Data2021[[#This Row],[EEA total]], "N/A")</f>
        <v>N/A</v>
      </c>
      <c r="R81" t="str">
        <f>IFERROR(Data2021[[#This Row],[Dutch Active]]/Data2021[[#This Row],[Dutch total]],"N/A")</f>
        <v>N/A</v>
      </c>
      <c r="S81" t="str">
        <f>IFERROR(IF(Data2021[[#This Row],[Number of members]]=Data2021[[#This Row],[Non-EEA Total]]+Data2021[[#This Row],[EEA total]]+Data2021[[#This Row],[Dutch total]],"T","F"),"F")</f>
        <v>F</v>
      </c>
      <c r="T81" t="str">
        <f>IFERROR(IF(Data2021[[#This Row],[Number of active members]]=Data2021[[#This Row],[Non-EEA Active ]]+Data2021[[#This Row],[EEA Active]]+Data2021[[#This Row],[Dutch Active]],"T","F"),"F")</f>
        <v>F</v>
      </c>
      <c r="U81" t="str">
        <f>IFERROR(IF(Data2021[[#This Row],[Number of members]]-Data2021[[#This Row],[Non-EEA Active ]]-Data2021[[#This Row],[EEA Active]]-Data2021[[#This Row],[Dutch Active]]=Data2021[[#This Row],[Number of  inactive members]],"T","F"),"F")</f>
        <v>F</v>
      </c>
      <c r="V81" t="str">
        <f>IF(Data2021[[#This Row],[EEA Active]]&lt;=Data2021[[#This Row],[EEA total]],"T","F")</f>
        <v>T</v>
      </c>
      <c r="W81" t="str">
        <f>IF(Data2021[[#This Row],[Dutch Active]]&lt;=Data2021[[#This Row],[Dutch total]],"T","F")</f>
        <v>T</v>
      </c>
      <c r="X81" t="str">
        <f>IF(Data2021[[#This Row],[Non-EEA Active ]]&lt;=Data2021[[#This Row],[Non-EEA Total]],"T","F")</f>
        <v>T</v>
      </c>
      <c r="Y8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1" t="str">
        <f>IFERROR(VLOOKUP(Data2021[[#This Row],[organisation_name]],'Division Study Year Committees'!$A$1:$L$108,2,FALSE),"N/A")</f>
        <v>N/A</v>
      </c>
      <c r="AA81" t="str">
        <f>IFERROR(VLOOKUP(Data2021[[#This Row],[organisation_name]],'Division Study Year Committees'!$A$1:$L$108,3,FALSE),"N/A")</f>
        <v>N/A</v>
      </c>
      <c r="AB81" t="str">
        <f>IFERROR(VLOOKUP(Data2021[[#This Row],[organisation_name]],'Division Study Year Committees'!$A$1:$L$108,4,FALSE),"N/A")</f>
        <v>N/A</v>
      </c>
      <c r="AC81" t="str">
        <f>IFERROR(VLOOKUP(Data2021[[#This Row],[organisation_name]],'Division Study Year Committees'!$A$1:$L$108,5,FALSE), "N/A")</f>
        <v>N/A</v>
      </c>
      <c r="AD81" t="str">
        <f>IFERROR(VLOOKUP(Data2021[[#This Row],[organisation_name]],'Division Study Year Committees'!$A$1:$L$108,6,FALSE), "N/A")</f>
        <v>N/A</v>
      </c>
      <c r="AE81">
        <f>SUM(Data2021[[#This Row],[Number of first year comittee members]:[Number of 4+ year comittee members]])</f>
        <v>0</v>
      </c>
      <c r="AF81">
        <f>COUNTIF('Comittee2021'!D:D,Data2021[[#This Row],[organisation_name]])</f>
        <v>0</v>
      </c>
      <c r="AG81">
        <f>COUNTIFS('Comittee2021'!$D:$D,Data2021[[#This Row],[organisation_name]],'Comittee2021'!$O:$O,"strong decrease")</f>
        <v>0</v>
      </c>
      <c r="AH81">
        <f>COUNTIFS('Comittee2021'!$D:$D,Data2021[[#This Row],[organisation_name]],'Comittee2021'!$O:$O,"slight decrease")</f>
        <v>0</v>
      </c>
      <c r="AI81">
        <f>COUNTIFS('Comittee2021'!$D:$D,Data2021[[#This Row],[organisation_name]],'Comittee2021'!$O:$O,"no influence")</f>
        <v>0</v>
      </c>
      <c r="AJ81">
        <f>COUNTIFS('Comittee2021'!$D:$D,Data2021[[#This Row],[organisation_name]],'Comittee2021'!$O:$O,"slight increase")</f>
        <v>0</v>
      </c>
      <c r="AK81">
        <f>COUNTIFS('Comittee2021'!$D:$D,Data2021[[#This Row],[organisation_name]],'Comittee2021'!$O:$O,"strong increase")</f>
        <v>0</v>
      </c>
      <c r="AL81">
        <v>2021</v>
      </c>
    </row>
    <row r="82" spans="1:38" x14ac:dyDescent="0.3">
      <c r="A82" t="str">
        <f>General2021[[#This Row],[organisation_name]]</f>
        <v>CSV Alpha</v>
      </c>
      <c r="B82" t="str">
        <f>IF(General2021[[#This Row],[sector]]= "",VLOOKUP(Data2021[[#This Row],[organisation_name]],'Response Rate sheet'!A:D,3,FALSE),General2021[[#This Row],[sector]])</f>
        <v>Social</v>
      </c>
      <c r="C82" t="str">
        <f>General2021[[#This Row],[organisation_type]]</f>
        <v>association</v>
      </c>
      <c r="D82">
        <f>IF(ISBLANK(General2021[[#This Row],[number_of_members]]),"N/A",VLOOKUP(A82,General2021[[organisation_name]:[number_of_international_committee_board_members_not_eea]],6,FALSE))</f>
        <v>104</v>
      </c>
      <c r="E82">
        <f>IF(ISBLANK(General2021[[#This Row],[number_of_committee_board_members]]),"N/A",VLOOKUP(A82,General2021!B:M,10,FALSE))</f>
        <v>4</v>
      </c>
      <c r="F82">
        <f>IFERROR(Data2021[[#This Row],[Number of members]]-Data2021[[#This Row],[Number of active members]], "N/A")</f>
        <v>100</v>
      </c>
      <c r="G82">
        <f>IFERROR(Data2021[[#This Row],[Number of active members]]/Data2021[[#This Row],[Number of members]], "N/A")</f>
        <v>3.8461538461538464E-2</v>
      </c>
      <c r="H82">
        <f>IFERROR(1-Data2021[[#This Row],[Percentage active members]],"N/A")</f>
        <v>0.96153846153846156</v>
      </c>
      <c r="I82" t="str">
        <f>IF(Data2021[[#This Row],[Number of members]]=0,"N/A",IF(Data2021[[#This Row],[Number of members]]&lt;50," A. 1 - 50 ",IF(Data2021[[#This Row],[Number of members]]&lt;100, "B. 50 - 100", IF(Data2021[[#This Row],[Number of members]]&lt;400, "C. 100 - 400", IF(Data2021[[#This Row],[Number of members]]&lt;1000,"D. 400 - 1000", "E. 1000 +")))))</f>
        <v>C. 100 - 400</v>
      </c>
      <c r="J82">
        <f>IF(ISBLANK(General2021[[#This Row],[number_of_international_members_not_eea]]),"N/A",VLOOKUP(A82,General2021[[organisation_name]:[number_of_international_committee_board_members_not_eea]],9,FALSE))</f>
        <v>87</v>
      </c>
      <c r="K82">
        <f>IF(ISBLANK(General2021[[#This Row],[number_of_international_members_eea]]),"N/A",VLOOKUP(A82,General2021[[organisation_name]:[number_of_international_committee_board_members_not_eea]],8,FALSE))</f>
        <v>0</v>
      </c>
      <c r="L82">
        <f>IFERROR(IF(Data2021[[#This Row],[Number of members]]-Data2021[[#This Row],[Non-EEA Total]]-Data2021[[#This Row],[EEA total]]&lt;1,"N/A", Data2021[[#This Row],[Number of members]]-Data2021[[#This Row],[Non-EEA Total]]-Data2021[[#This Row],[EEA total]]),"N/A")</f>
        <v>17</v>
      </c>
      <c r="M82">
        <f>VLOOKUP(A82,General2021[[organisation_name]:[number_of_international_committee_board_members_not_eea]],12,FALSE)</f>
        <v>0</v>
      </c>
      <c r="N82">
        <f>VLOOKUP(A82,General2021[[organisation_name]:[number_of_international_committee_board_members_not_eea]],11,FALSE)</f>
        <v>0</v>
      </c>
      <c r="O82">
        <f>IFERROR(IF(Data2021[[#This Row],[Number of active members]]-Data2021[[#This Row],[Non-EEA Active ]]-Data2021[[#This Row],[EEA Active]]&lt;1,"N/A", Data2021[[#This Row],[Number of active members]]-Data2021[[#This Row],[Non-EEA Active ]]-Data2021[[#This Row],[EEA Active]]),"N/A")</f>
        <v>4</v>
      </c>
      <c r="P82">
        <f>IFERROR(Data2021[[#This Row],[Non-EEA Active ]]/Data2021[[#This Row],[Number of active members]],"N/A")</f>
        <v>0</v>
      </c>
      <c r="Q82" t="str">
        <f>IFERROR(Data2021[[#This Row],[EEA Active]]/Data2021[[#This Row],[EEA total]], "N/A")</f>
        <v>N/A</v>
      </c>
      <c r="R82">
        <f>IFERROR(Data2021[[#This Row],[Dutch Active]]/Data2021[[#This Row],[Dutch total]],"N/A")</f>
        <v>0.23529411764705882</v>
      </c>
      <c r="S82" t="str">
        <f>IFERROR(IF(Data2021[[#This Row],[Number of members]]=Data2021[[#This Row],[Non-EEA Total]]+Data2021[[#This Row],[EEA total]]+Data2021[[#This Row],[Dutch total]],"T","F"),"F")</f>
        <v>T</v>
      </c>
      <c r="T82" t="str">
        <f>IFERROR(IF(Data2021[[#This Row],[Number of active members]]=Data2021[[#This Row],[Non-EEA Active ]]+Data2021[[#This Row],[EEA Active]]+Data2021[[#This Row],[Dutch Active]],"T","F"),"F")</f>
        <v>T</v>
      </c>
      <c r="U82" t="str">
        <f>IFERROR(IF(Data2021[[#This Row],[Number of members]]-Data2021[[#This Row],[Non-EEA Active ]]-Data2021[[#This Row],[EEA Active]]-Data2021[[#This Row],[Dutch Active]]=Data2021[[#This Row],[Number of  inactive members]],"T","F"),"F")</f>
        <v>T</v>
      </c>
      <c r="V82" t="str">
        <f>IF(Data2021[[#This Row],[EEA Active]]&lt;=Data2021[[#This Row],[EEA total]],"T","F")</f>
        <v>T</v>
      </c>
      <c r="W82" t="str">
        <f>IF(Data2021[[#This Row],[Dutch Active]]&lt;=Data2021[[#This Row],[Dutch total]],"T","F")</f>
        <v>T</v>
      </c>
      <c r="X82" t="str">
        <f>IF(Data2021[[#This Row],[Non-EEA Active ]]&lt;=Data2021[[#This Row],[Non-EEA Total]],"T","F")</f>
        <v>T</v>
      </c>
      <c r="Y82"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82">
        <f>IFERROR(VLOOKUP(Data2021[[#This Row],[organisation_name]],'Division Study Year Committees'!$A$1:$L$108,2,FALSE),"N/A")</f>
        <v>30</v>
      </c>
      <c r="AA82">
        <f>IFERROR(VLOOKUP(Data2021[[#This Row],[organisation_name]],'Division Study Year Committees'!$A$1:$L$108,3,FALSE),"N/A")</f>
        <v>25</v>
      </c>
      <c r="AB82">
        <f>IFERROR(VLOOKUP(Data2021[[#This Row],[organisation_name]],'Division Study Year Committees'!$A$1:$L$108,4,FALSE),"N/A")</f>
        <v>35</v>
      </c>
      <c r="AC82">
        <f>IFERROR(VLOOKUP(Data2021[[#This Row],[organisation_name]],'Division Study Year Committees'!$A$1:$L$108,5,FALSE), "N/A")</f>
        <v>22</v>
      </c>
      <c r="AD82">
        <f>IFERROR(VLOOKUP(Data2021[[#This Row],[organisation_name]],'Division Study Year Committees'!$A$1:$L$108,6,FALSE), "N/A")</f>
        <v>19</v>
      </c>
      <c r="AE82">
        <f>SUM(Data2021[[#This Row],[Number of first year comittee members]:[Number of 4+ year comittee members]])</f>
        <v>131</v>
      </c>
      <c r="AF82">
        <f>COUNTIF('Comittee2021'!D:D,Data2021[[#This Row],[organisation_name]])</f>
        <v>32</v>
      </c>
      <c r="AG82">
        <f>COUNTIFS('Comittee2021'!$D:$D,Data2021[[#This Row],[organisation_name]],'Comittee2021'!$O:$O,"strong decrease")</f>
        <v>4</v>
      </c>
      <c r="AH82">
        <f>COUNTIFS('Comittee2021'!$D:$D,Data2021[[#This Row],[organisation_name]],'Comittee2021'!$O:$O,"slight decrease")</f>
        <v>4</v>
      </c>
      <c r="AI82">
        <f>COUNTIFS('Comittee2021'!$D:$D,Data2021[[#This Row],[organisation_name]],'Comittee2021'!$O:$O,"no influence")</f>
        <v>23</v>
      </c>
      <c r="AJ82">
        <f>COUNTIFS('Comittee2021'!$D:$D,Data2021[[#This Row],[organisation_name]],'Comittee2021'!$O:$O,"slight increase")</f>
        <v>1</v>
      </c>
      <c r="AK82">
        <f>COUNTIFS('Comittee2021'!$D:$D,Data2021[[#This Row],[organisation_name]],'Comittee2021'!$O:$O,"strong increase")</f>
        <v>0</v>
      </c>
      <c r="AL82">
        <v>2021</v>
      </c>
    </row>
    <row r="83" spans="1:38" x14ac:dyDescent="0.3">
      <c r="A83" t="str">
        <f>General2021[[#This Row],[organisation_name]]</f>
        <v>Reformatorische Studenten Kring</v>
      </c>
      <c r="B83" t="str">
        <f>IF(General2021[[#This Row],[sector]]= "",VLOOKUP(Data2021[[#This Row],[organisation_name]],'Response Rate sheet'!A:D,3,FALSE),General2021[[#This Row],[sector]])</f>
        <v>Social</v>
      </c>
      <c r="C83" t="str">
        <f>General2021[[#This Row],[organisation_type]]</f>
        <v>association</v>
      </c>
      <c r="D83" t="str">
        <f>IF(ISBLANK(General2021[[#This Row],[number_of_members]]),"N/A",VLOOKUP(A83,General2021[[organisation_name]:[number_of_international_committee_board_members_not_eea]],6,FALSE))</f>
        <v>N/A</v>
      </c>
      <c r="E83" t="str">
        <f>IF(ISBLANK(General2021[[#This Row],[number_of_committee_board_members]]),"N/A",VLOOKUP(A83,General2021!B:M,10,FALSE))</f>
        <v>N/A</v>
      </c>
      <c r="F83" t="str">
        <f>IFERROR(Data2021[[#This Row],[Number of members]]-Data2021[[#This Row],[Number of active members]], "N/A")</f>
        <v>N/A</v>
      </c>
      <c r="G83" t="str">
        <f>IFERROR(Data2021[[#This Row],[Number of active members]]/Data2021[[#This Row],[Number of members]], "N/A")</f>
        <v>N/A</v>
      </c>
      <c r="H83" t="str">
        <f>IFERROR(1-Data2021[[#This Row],[Percentage active members]],"N/A")</f>
        <v>N/A</v>
      </c>
      <c r="I83" t="str">
        <f>IF(Data2021[[#This Row],[Number of members]]=0,"N/A",IF(Data2021[[#This Row],[Number of members]]&lt;50," A. 1 - 50 ",IF(Data2021[[#This Row],[Number of members]]&lt;100, "B. 50 - 100", IF(Data2021[[#This Row],[Number of members]]&lt;400, "C. 100 - 400", IF(Data2021[[#This Row],[Number of members]]&lt;1000,"D. 400 - 1000", "E. 1000 +")))))</f>
        <v>E. 1000 +</v>
      </c>
      <c r="J83" t="str">
        <f>IF(ISBLANK(General2021[[#This Row],[number_of_international_members_not_eea]]),"N/A",VLOOKUP(A83,General2021[[organisation_name]:[number_of_international_committee_board_members_not_eea]],9,FALSE))</f>
        <v>N/A</v>
      </c>
      <c r="K83" t="str">
        <f>IF(ISBLANK(General2021[[#This Row],[number_of_international_members_eea]]),"N/A",VLOOKUP(A83,General2021[[organisation_name]:[number_of_international_committee_board_members_not_eea]],8,FALSE))</f>
        <v>N/A</v>
      </c>
      <c r="L83" t="str">
        <f>IFERROR(IF(Data2021[[#This Row],[Number of members]]-Data2021[[#This Row],[Non-EEA Total]]-Data2021[[#This Row],[EEA total]]&lt;1,"N/A", Data2021[[#This Row],[Number of members]]-Data2021[[#This Row],[Non-EEA Total]]-Data2021[[#This Row],[EEA total]]),"N/A")</f>
        <v>N/A</v>
      </c>
      <c r="M83">
        <f>VLOOKUP(A83,General2021[[organisation_name]:[number_of_international_committee_board_members_not_eea]],12,FALSE)</f>
        <v>0</v>
      </c>
      <c r="N83">
        <f>VLOOKUP(A83,General2021[[organisation_name]:[number_of_international_committee_board_members_not_eea]],11,FALSE)</f>
        <v>0</v>
      </c>
      <c r="O83" t="str">
        <f>IFERROR(IF(Data2021[[#This Row],[Number of active members]]-Data2021[[#This Row],[Non-EEA Active ]]-Data2021[[#This Row],[EEA Active]]&lt;1,"N/A", Data2021[[#This Row],[Number of active members]]-Data2021[[#This Row],[Non-EEA Active ]]-Data2021[[#This Row],[EEA Active]]),"N/A")</f>
        <v>N/A</v>
      </c>
      <c r="P83" t="str">
        <f>IFERROR(Data2021[[#This Row],[Non-EEA Active ]]/Data2021[[#This Row],[Number of active members]],"N/A")</f>
        <v>N/A</v>
      </c>
      <c r="Q83" t="str">
        <f>IFERROR(Data2021[[#This Row],[EEA Active]]/Data2021[[#This Row],[EEA total]], "N/A")</f>
        <v>N/A</v>
      </c>
      <c r="R83" t="str">
        <f>IFERROR(Data2021[[#This Row],[Dutch Active]]/Data2021[[#This Row],[Dutch total]],"N/A")</f>
        <v>N/A</v>
      </c>
      <c r="S83" t="str">
        <f>IFERROR(IF(Data2021[[#This Row],[Number of members]]=Data2021[[#This Row],[Non-EEA Total]]+Data2021[[#This Row],[EEA total]]+Data2021[[#This Row],[Dutch total]],"T","F"),"F")</f>
        <v>F</v>
      </c>
      <c r="T83" t="str">
        <f>IFERROR(IF(Data2021[[#This Row],[Number of active members]]=Data2021[[#This Row],[Non-EEA Active ]]+Data2021[[#This Row],[EEA Active]]+Data2021[[#This Row],[Dutch Active]],"T","F"),"F")</f>
        <v>F</v>
      </c>
      <c r="U83" t="str">
        <f>IFERROR(IF(Data2021[[#This Row],[Number of members]]-Data2021[[#This Row],[Non-EEA Active ]]-Data2021[[#This Row],[EEA Active]]-Data2021[[#This Row],[Dutch Active]]=Data2021[[#This Row],[Number of  inactive members]],"T","F"),"F")</f>
        <v>F</v>
      </c>
      <c r="V83" t="str">
        <f>IF(Data2021[[#This Row],[EEA Active]]&lt;=Data2021[[#This Row],[EEA total]],"T","F")</f>
        <v>T</v>
      </c>
      <c r="W83" t="str">
        <f>IF(Data2021[[#This Row],[Dutch Active]]&lt;=Data2021[[#This Row],[Dutch total]],"T","F")</f>
        <v>T</v>
      </c>
      <c r="X83" t="str">
        <f>IF(Data2021[[#This Row],[Non-EEA Active ]]&lt;=Data2021[[#This Row],[Non-EEA Total]],"T","F")</f>
        <v>T</v>
      </c>
      <c r="Y8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3" t="str">
        <f>IFERROR(VLOOKUP(Data2021[[#This Row],[organisation_name]],'Division Study Year Committees'!$A$1:$L$108,2,FALSE),"N/A")</f>
        <v>N/A</v>
      </c>
      <c r="AA83" t="str">
        <f>IFERROR(VLOOKUP(Data2021[[#This Row],[organisation_name]],'Division Study Year Committees'!$A$1:$L$108,3,FALSE),"N/A")</f>
        <v>N/A</v>
      </c>
      <c r="AB83" t="str">
        <f>IFERROR(VLOOKUP(Data2021[[#This Row],[organisation_name]],'Division Study Year Committees'!$A$1:$L$108,4,FALSE),"N/A")</f>
        <v>N/A</v>
      </c>
      <c r="AC83" t="str">
        <f>IFERROR(VLOOKUP(Data2021[[#This Row],[organisation_name]],'Division Study Year Committees'!$A$1:$L$108,5,FALSE), "N/A")</f>
        <v>N/A</v>
      </c>
      <c r="AD83" t="str">
        <f>IFERROR(VLOOKUP(Data2021[[#This Row],[organisation_name]],'Division Study Year Committees'!$A$1:$L$108,6,FALSE), "N/A")</f>
        <v>N/A</v>
      </c>
      <c r="AE83">
        <f>SUM(Data2021[[#This Row],[Number of first year comittee members]:[Number of 4+ year comittee members]])</f>
        <v>0</v>
      </c>
      <c r="AF83">
        <f>COUNTIF('Comittee2021'!D:D,Data2021[[#This Row],[organisation_name]])</f>
        <v>0</v>
      </c>
      <c r="AG83">
        <f>COUNTIFS('Comittee2021'!$D:$D,Data2021[[#This Row],[organisation_name]],'Comittee2021'!$O:$O,"strong decrease")</f>
        <v>0</v>
      </c>
      <c r="AH83">
        <f>COUNTIFS('Comittee2021'!$D:$D,Data2021[[#This Row],[organisation_name]],'Comittee2021'!$O:$O,"slight decrease")</f>
        <v>0</v>
      </c>
      <c r="AI83">
        <f>COUNTIFS('Comittee2021'!$D:$D,Data2021[[#This Row],[organisation_name]],'Comittee2021'!$O:$O,"no influence")</f>
        <v>0</v>
      </c>
      <c r="AJ83">
        <f>COUNTIFS('Comittee2021'!$D:$D,Data2021[[#This Row],[organisation_name]],'Comittee2021'!$O:$O,"slight increase")</f>
        <v>0</v>
      </c>
      <c r="AK83">
        <f>COUNTIFS('Comittee2021'!$D:$D,Data2021[[#This Row],[organisation_name]],'Comittee2021'!$O:$O,"strong increase")</f>
        <v>0</v>
      </c>
      <c r="AL83">
        <v>2021</v>
      </c>
    </row>
    <row r="84" spans="1:38" x14ac:dyDescent="0.3">
      <c r="A84" t="str">
        <f>General2021[[#This Row],[organisation_name]]</f>
        <v>SV De Gevreesde Koe VB</v>
      </c>
      <c r="B84" t="str">
        <f>IF(General2021[[#This Row],[sector]]= "",VLOOKUP(Data2021[[#This Row],[organisation_name]],'Response Rate sheet'!A:D,3,FALSE),General2021[[#This Row],[sector]])</f>
        <v>Social</v>
      </c>
      <c r="C84" t="str">
        <f>General2021[[#This Row],[organisation_type]]</f>
        <v>association</v>
      </c>
      <c r="D84" t="str">
        <f>IF(ISBLANK(General2021[[#This Row],[number_of_members]]),"N/A",VLOOKUP(A84,General2021[[organisation_name]:[number_of_international_committee_board_members_not_eea]],6,FALSE))</f>
        <v>N/A</v>
      </c>
      <c r="E84" t="str">
        <f>IF(ISBLANK(General2021[[#This Row],[number_of_committee_board_members]]),"N/A",VLOOKUP(A84,General2021!B:M,10,FALSE))</f>
        <v>N/A</v>
      </c>
      <c r="F84" t="str">
        <f>IFERROR(Data2021[[#This Row],[Number of members]]-Data2021[[#This Row],[Number of active members]], "N/A")</f>
        <v>N/A</v>
      </c>
      <c r="G84" t="str">
        <f>IFERROR(Data2021[[#This Row],[Number of active members]]/Data2021[[#This Row],[Number of members]], "N/A")</f>
        <v>N/A</v>
      </c>
      <c r="H84" t="str">
        <f>IFERROR(1-Data2021[[#This Row],[Percentage active members]],"N/A")</f>
        <v>N/A</v>
      </c>
      <c r="I84" t="str">
        <f>IF(Data2021[[#This Row],[Number of members]]=0,"N/A",IF(Data2021[[#This Row],[Number of members]]&lt;50," A. 1 - 50 ",IF(Data2021[[#This Row],[Number of members]]&lt;100, "B. 50 - 100", IF(Data2021[[#This Row],[Number of members]]&lt;400, "C. 100 - 400", IF(Data2021[[#This Row],[Number of members]]&lt;1000,"D. 400 - 1000", "E. 1000 +")))))</f>
        <v>E. 1000 +</v>
      </c>
      <c r="J84" t="str">
        <f>IF(ISBLANK(General2021[[#This Row],[number_of_international_members_not_eea]]),"N/A",VLOOKUP(A84,General2021[[organisation_name]:[number_of_international_committee_board_members_not_eea]],9,FALSE))</f>
        <v>N/A</v>
      </c>
      <c r="K84" t="str">
        <f>IF(ISBLANK(General2021[[#This Row],[number_of_international_members_eea]]),"N/A",VLOOKUP(A84,General2021[[organisation_name]:[number_of_international_committee_board_members_not_eea]],8,FALSE))</f>
        <v>N/A</v>
      </c>
      <c r="L84" t="str">
        <f>IFERROR(IF(Data2021[[#This Row],[Number of members]]-Data2021[[#This Row],[Non-EEA Total]]-Data2021[[#This Row],[EEA total]]&lt;1,"N/A", Data2021[[#This Row],[Number of members]]-Data2021[[#This Row],[Non-EEA Total]]-Data2021[[#This Row],[EEA total]]),"N/A")</f>
        <v>N/A</v>
      </c>
      <c r="M84">
        <f>VLOOKUP(A84,General2021[[organisation_name]:[number_of_international_committee_board_members_not_eea]],12,FALSE)</f>
        <v>0</v>
      </c>
      <c r="N84">
        <f>VLOOKUP(A84,General2021[[organisation_name]:[number_of_international_committee_board_members_not_eea]],11,FALSE)</f>
        <v>0</v>
      </c>
      <c r="O84" t="str">
        <f>IFERROR(IF(Data2021[[#This Row],[Number of active members]]-Data2021[[#This Row],[Non-EEA Active ]]-Data2021[[#This Row],[EEA Active]]&lt;1,"N/A", Data2021[[#This Row],[Number of active members]]-Data2021[[#This Row],[Non-EEA Active ]]-Data2021[[#This Row],[EEA Active]]),"N/A")</f>
        <v>N/A</v>
      </c>
      <c r="P84" t="str">
        <f>IFERROR(Data2021[[#This Row],[Non-EEA Active ]]/Data2021[[#This Row],[Number of active members]],"N/A")</f>
        <v>N/A</v>
      </c>
      <c r="Q84" t="str">
        <f>IFERROR(Data2021[[#This Row],[EEA Active]]/Data2021[[#This Row],[EEA total]], "N/A")</f>
        <v>N/A</v>
      </c>
      <c r="R84" t="str">
        <f>IFERROR(Data2021[[#This Row],[Dutch Active]]/Data2021[[#This Row],[Dutch total]],"N/A")</f>
        <v>N/A</v>
      </c>
      <c r="S84" t="str">
        <f>IFERROR(IF(Data2021[[#This Row],[Number of members]]=Data2021[[#This Row],[Non-EEA Total]]+Data2021[[#This Row],[EEA total]]+Data2021[[#This Row],[Dutch total]],"T","F"),"F")</f>
        <v>F</v>
      </c>
      <c r="T84" t="str">
        <f>IFERROR(IF(Data2021[[#This Row],[Number of active members]]=Data2021[[#This Row],[Non-EEA Active ]]+Data2021[[#This Row],[EEA Active]]+Data2021[[#This Row],[Dutch Active]],"T","F"),"F")</f>
        <v>F</v>
      </c>
      <c r="U84" t="str">
        <f>IFERROR(IF(Data2021[[#This Row],[Number of members]]-Data2021[[#This Row],[Non-EEA Active ]]-Data2021[[#This Row],[EEA Active]]-Data2021[[#This Row],[Dutch Active]]=Data2021[[#This Row],[Number of  inactive members]],"T","F"),"F")</f>
        <v>F</v>
      </c>
      <c r="V84" t="str">
        <f>IF(Data2021[[#This Row],[EEA Active]]&lt;=Data2021[[#This Row],[EEA total]],"T","F")</f>
        <v>T</v>
      </c>
      <c r="W84" t="str">
        <f>IF(Data2021[[#This Row],[Dutch Active]]&lt;=Data2021[[#This Row],[Dutch total]],"T","F")</f>
        <v>T</v>
      </c>
      <c r="X84" t="str">
        <f>IF(Data2021[[#This Row],[Non-EEA Active ]]&lt;=Data2021[[#This Row],[Non-EEA Total]],"T","F")</f>
        <v>T</v>
      </c>
      <c r="Y8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4" t="str">
        <f>IFERROR(VLOOKUP(Data2021[[#This Row],[organisation_name]],'Division Study Year Committees'!$A$1:$L$108,2,FALSE),"N/A")</f>
        <v>N/A</v>
      </c>
      <c r="AA84" t="str">
        <f>IFERROR(VLOOKUP(Data2021[[#This Row],[organisation_name]],'Division Study Year Committees'!$A$1:$L$108,3,FALSE),"N/A")</f>
        <v>N/A</v>
      </c>
      <c r="AB84" t="str">
        <f>IFERROR(VLOOKUP(Data2021[[#This Row],[organisation_name]],'Division Study Year Committees'!$A$1:$L$108,4,FALSE),"N/A")</f>
        <v>N/A</v>
      </c>
      <c r="AC84" t="str">
        <f>IFERROR(VLOOKUP(Data2021[[#This Row],[organisation_name]],'Division Study Year Committees'!$A$1:$L$108,5,FALSE), "N/A")</f>
        <v>N/A</v>
      </c>
      <c r="AD84" t="str">
        <f>IFERROR(VLOOKUP(Data2021[[#This Row],[organisation_name]],'Division Study Year Committees'!$A$1:$L$108,6,FALSE), "N/A")</f>
        <v>N/A</v>
      </c>
      <c r="AE84">
        <f>SUM(Data2021[[#This Row],[Number of first year comittee members]:[Number of 4+ year comittee members]])</f>
        <v>0</v>
      </c>
      <c r="AF84">
        <f>COUNTIF('Comittee2021'!D:D,Data2021[[#This Row],[organisation_name]])</f>
        <v>0</v>
      </c>
      <c r="AG84">
        <f>COUNTIFS('Comittee2021'!$D:$D,Data2021[[#This Row],[organisation_name]],'Comittee2021'!$O:$O,"strong decrease")</f>
        <v>0</v>
      </c>
      <c r="AH84">
        <f>COUNTIFS('Comittee2021'!$D:$D,Data2021[[#This Row],[organisation_name]],'Comittee2021'!$O:$O,"slight decrease")</f>
        <v>0</v>
      </c>
      <c r="AI84">
        <f>COUNTIFS('Comittee2021'!$D:$D,Data2021[[#This Row],[organisation_name]],'Comittee2021'!$O:$O,"no influence")</f>
        <v>0</v>
      </c>
      <c r="AJ84">
        <f>COUNTIFS('Comittee2021'!$D:$D,Data2021[[#This Row],[organisation_name]],'Comittee2021'!$O:$O,"slight increase")</f>
        <v>0</v>
      </c>
      <c r="AK84">
        <f>COUNTIFS('Comittee2021'!$D:$D,Data2021[[#This Row],[organisation_name]],'Comittee2021'!$O:$O,"strong increase")</f>
        <v>0</v>
      </c>
      <c r="AL84">
        <v>2021</v>
      </c>
    </row>
    <row r="85" spans="1:38" x14ac:dyDescent="0.3">
      <c r="A85" t="str">
        <f>General2021[[#This Row],[organisation_name]]</f>
        <v>Navigators studentenvereniging Enschede</v>
      </c>
      <c r="B85" t="str">
        <f>IF(General2021[[#This Row],[sector]]= "",VLOOKUP(Data2021[[#This Row],[organisation_name]],'Response Rate sheet'!A:D,3,FALSE),General2021[[#This Row],[sector]])</f>
        <v>Social</v>
      </c>
      <c r="C85" t="str">
        <f>General2021[[#This Row],[organisation_type]]</f>
        <v>association</v>
      </c>
      <c r="D85">
        <f>IF(ISBLANK(General2021[[#This Row],[number_of_members]]),"N/A",VLOOKUP(A85,General2021[[organisation_name]:[number_of_international_committee_board_members_not_eea]],6,FALSE))</f>
        <v>109</v>
      </c>
      <c r="E85">
        <f>IF(ISBLANK(General2021[[#This Row],[number_of_committee_board_members]]),"N/A",VLOOKUP(A85,General2021!B:M,10,FALSE))</f>
        <v>7</v>
      </c>
      <c r="F85">
        <f>IFERROR(Data2021[[#This Row],[Number of members]]-Data2021[[#This Row],[Number of active members]], "N/A")</f>
        <v>102</v>
      </c>
      <c r="G85">
        <f>IFERROR(Data2021[[#This Row],[Number of active members]]/Data2021[[#This Row],[Number of members]], "N/A")</f>
        <v>6.4220183486238536E-2</v>
      </c>
      <c r="H85">
        <f>IFERROR(1-Data2021[[#This Row],[Percentage active members]],"N/A")</f>
        <v>0.93577981651376141</v>
      </c>
      <c r="I85" t="str">
        <f>IF(Data2021[[#This Row],[Number of members]]=0,"N/A",IF(Data2021[[#This Row],[Number of members]]&lt;50," A. 1 - 50 ",IF(Data2021[[#This Row],[Number of members]]&lt;100, "B. 50 - 100", IF(Data2021[[#This Row],[Number of members]]&lt;400, "C. 100 - 400", IF(Data2021[[#This Row],[Number of members]]&lt;1000,"D. 400 - 1000", "E. 1000 +")))))</f>
        <v>C. 100 - 400</v>
      </c>
      <c r="J85">
        <f>IF(ISBLANK(General2021[[#This Row],[number_of_international_members_not_eea]]),"N/A",VLOOKUP(A85,General2021[[organisation_name]:[number_of_international_committee_board_members_not_eea]],9,FALSE))</f>
        <v>85</v>
      </c>
      <c r="K85">
        <f>IF(ISBLANK(General2021[[#This Row],[number_of_international_members_eea]]),"N/A",VLOOKUP(A85,General2021[[organisation_name]:[number_of_international_committee_board_members_not_eea]],8,FALSE))</f>
        <v>0</v>
      </c>
      <c r="L85">
        <f>IFERROR(IF(Data2021[[#This Row],[Number of members]]-Data2021[[#This Row],[Non-EEA Total]]-Data2021[[#This Row],[EEA total]]&lt;1,"N/A", Data2021[[#This Row],[Number of members]]-Data2021[[#This Row],[Non-EEA Total]]-Data2021[[#This Row],[EEA total]]),"N/A")</f>
        <v>24</v>
      </c>
      <c r="M85">
        <f>VLOOKUP(A85,General2021[[organisation_name]:[number_of_international_committee_board_members_not_eea]],12,FALSE)</f>
        <v>0</v>
      </c>
      <c r="N85">
        <f>VLOOKUP(A85,General2021[[organisation_name]:[number_of_international_committee_board_members_not_eea]],11,FALSE)</f>
        <v>0</v>
      </c>
      <c r="O85">
        <f>IFERROR(IF(Data2021[[#This Row],[Number of active members]]-Data2021[[#This Row],[Non-EEA Active ]]-Data2021[[#This Row],[EEA Active]]&lt;1,"N/A", Data2021[[#This Row],[Number of active members]]-Data2021[[#This Row],[Non-EEA Active ]]-Data2021[[#This Row],[EEA Active]]),"N/A")</f>
        <v>7</v>
      </c>
      <c r="P85">
        <f>IFERROR(Data2021[[#This Row],[Non-EEA Active ]]/Data2021[[#This Row],[Number of active members]],"N/A")</f>
        <v>0</v>
      </c>
      <c r="Q85" t="str">
        <f>IFERROR(Data2021[[#This Row],[EEA Active]]/Data2021[[#This Row],[EEA total]], "N/A")</f>
        <v>N/A</v>
      </c>
      <c r="R85">
        <f>IFERROR(Data2021[[#This Row],[Dutch Active]]/Data2021[[#This Row],[Dutch total]],"N/A")</f>
        <v>0.29166666666666669</v>
      </c>
      <c r="S85" t="str">
        <f>IFERROR(IF(Data2021[[#This Row],[Number of members]]=Data2021[[#This Row],[Non-EEA Total]]+Data2021[[#This Row],[EEA total]]+Data2021[[#This Row],[Dutch total]],"T","F"),"F")</f>
        <v>T</v>
      </c>
      <c r="T85" t="str">
        <f>IFERROR(IF(Data2021[[#This Row],[Number of active members]]=Data2021[[#This Row],[Non-EEA Active ]]+Data2021[[#This Row],[EEA Active]]+Data2021[[#This Row],[Dutch Active]],"T","F"),"F")</f>
        <v>T</v>
      </c>
      <c r="U85" t="str">
        <f>IFERROR(IF(Data2021[[#This Row],[Number of members]]-Data2021[[#This Row],[Non-EEA Active ]]-Data2021[[#This Row],[EEA Active]]-Data2021[[#This Row],[Dutch Active]]=Data2021[[#This Row],[Number of  inactive members]],"T","F"),"F")</f>
        <v>T</v>
      </c>
      <c r="V85" t="str">
        <f>IF(Data2021[[#This Row],[EEA Active]]&lt;=Data2021[[#This Row],[EEA total]],"T","F")</f>
        <v>T</v>
      </c>
      <c r="W85" t="str">
        <f>IF(Data2021[[#This Row],[Dutch Active]]&lt;=Data2021[[#This Row],[Dutch total]],"T","F")</f>
        <v>T</v>
      </c>
      <c r="X85" t="str">
        <f>IF(Data2021[[#This Row],[Non-EEA Active ]]&lt;=Data2021[[#This Row],[Non-EEA Total]],"T","F")</f>
        <v>T</v>
      </c>
      <c r="Y85"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85">
        <f>IFERROR(VLOOKUP(Data2021[[#This Row],[organisation_name]],'Division Study Year Committees'!$A$1:$L$108,2,FALSE),"N/A")</f>
        <v>0</v>
      </c>
      <c r="AA85">
        <f>IFERROR(VLOOKUP(Data2021[[#This Row],[organisation_name]],'Division Study Year Committees'!$A$1:$L$108,3,FALSE),"N/A")</f>
        <v>0</v>
      </c>
      <c r="AB85">
        <f>IFERROR(VLOOKUP(Data2021[[#This Row],[organisation_name]],'Division Study Year Committees'!$A$1:$L$108,4,FALSE),"N/A")</f>
        <v>0</v>
      </c>
      <c r="AC85">
        <f>IFERROR(VLOOKUP(Data2021[[#This Row],[organisation_name]],'Division Study Year Committees'!$A$1:$L$108,5,FALSE), "N/A")</f>
        <v>0</v>
      </c>
      <c r="AD85">
        <f>IFERROR(VLOOKUP(Data2021[[#This Row],[organisation_name]],'Division Study Year Committees'!$A$1:$L$108,6,FALSE), "N/A")</f>
        <v>0</v>
      </c>
      <c r="AE85">
        <f>SUM(Data2021[[#This Row],[Number of first year comittee members]:[Number of 4+ year comittee members]])</f>
        <v>0</v>
      </c>
      <c r="AF85">
        <f>COUNTIF('Comittee2021'!D:D,Data2021[[#This Row],[organisation_name]])</f>
        <v>4</v>
      </c>
      <c r="AG85">
        <f>COUNTIFS('Comittee2021'!$D:$D,Data2021[[#This Row],[organisation_name]],'Comittee2021'!$O:$O,"strong decrease")</f>
        <v>0</v>
      </c>
      <c r="AH85">
        <f>COUNTIFS('Comittee2021'!$D:$D,Data2021[[#This Row],[organisation_name]],'Comittee2021'!$O:$O,"slight decrease")</f>
        <v>0</v>
      </c>
      <c r="AI85">
        <f>COUNTIFS('Comittee2021'!$D:$D,Data2021[[#This Row],[organisation_name]],'Comittee2021'!$O:$O,"no influence")</f>
        <v>0</v>
      </c>
      <c r="AJ85">
        <f>COUNTIFS('Comittee2021'!$D:$D,Data2021[[#This Row],[organisation_name]],'Comittee2021'!$O:$O,"slight increase")</f>
        <v>0</v>
      </c>
      <c r="AK85">
        <f>COUNTIFS('Comittee2021'!$D:$D,Data2021[[#This Row],[organisation_name]],'Comittee2021'!$O:$O,"strong increase")</f>
        <v>0</v>
      </c>
      <c r="AL85">
        <v>2021</v>
      </c>
    </row>
    <row r="86" spans="1:38" x14ac:dyDescent="0.3">
      <c r="A86" t="str">
        <f>General2021[[#This Row],[organisation_name]]</f>
        <v>Jongeren - en Studentenvereniging Exaltio</v>
      </c>
      <c r="B86" t="str">
        <f>IF(General2021[[#This Row],[sector]]= "",VLOOKUP(Data2021[[#This Row],[organisation_name]],'Response Rate sheet'!A:D,3,FALSE),General2021[[#This Row],[sector]])</f>
        <v>Social</v>
      </c>
      <c r="C86" t="str">
        <f>General2021[[#This Row],[organisation_type]]</f>
        <v>association</v>
      </c>
      <c r="D86" t="str">
        <f>IF(ISBLANK(General2021[[#This Row],[number_of_members]]),"N/A",VLOOKUP(A86,General2021[[organisation_name]:[number_of_international_committee_board_members_not_eea]],6,FALSE))</f>
        <v>N/A</v>
      </c>
      <c r="E86" t="str">
        <f>IF(ISBLANK(General2021[[#This Row],[number_of_committee_board_members]]),"N/A",VLOOKUP(A86,General2021!B:M,10,FALSE))</f>
        <v>N/A</v>
      </c>
      <c r="F86" t="str">
        <f>IFERROR(Data2021[[#This Row],[Number of members]]-Data2021[[#This Row],[Number of active members]], "N/A")</f>
        <v>N/A</v>
      </c>
      <c r="G86" t="str">
        <f>IFERROR(Data2021[[#This Row],[Number of active members]]/Data2021[[#This Row],[Number of members]], "N/A")</f>
        <v>N/A</v>
      </c>
      <c r="H86" t="str">
        <f>IFERROR(1-Data2021[[#This Row],[Percentage active members]],"N/A")</f>
        <v>N/A</v>
      </c>
      <c r="I86" t="str">
        <f>IF(Data2021[[#This Row],[Number of members]]=0,"N/A",IF(Data2021[[#This Row],[Number of members]]&lt;50," A. 1 - 50 ",IF(Data2021[[#This Row],[Number of members]]&lt;100, "B. 50 - 100", IF(Data2021[[#This Row],[Number of members]]&lt;400, "C. 100 - 400", IF(Data2021[[#This Row],[Number of members]]&lt;1000,"D. 400 - 1000", "E. 1000 +")))))</f>
        <v>E. 1000 +</v>
      </c>
      <c r="J86" t="str">
        <f>IF(ISBLANK(General2021[[#This Row],[number_of_international_members_not_eea]]),"N/A",VLOOKUP(A86,General2021[[organisation_name]:[number_of_international_committee_board_members_not_eea]],9,FALSE))</f>
        <v>N/A</v>
      </c>
      <c r="K86" t="str">
        <f>IF(ISBLANK(General2021[[#This Row],[number_of_international_members_eea]]),"N/A",VLOOKUP(A86,General2021[[organisation_name]:[number_of_international_committee_board_members_not_eea]],8,FALSE))</f>
        <v>N/A</v>
      </c>
      <c r="L86" t="str">
        <f>IFERROR(IF(Data2021[[#This Row],[Number of members]]-Data2021[[#This Row],[Non-EEA Total]]-Data2021[[#This Row],[EEA total]]&lt;1,"N/A", Data2021[[#This Row],[Number of members]]-Data2021[[#This Row],[Non-EEA Total]]-Data2021[[#This Row],[EEA total]]),"N/A")</f>
        <v>N/A</v>
      </c>
      <c r="M86">
        <f>VLOOKUP(A86,General2021[[organisation_name]:[number_of_international_committee_board_members_not_eea]],12,FALSE)</f>
        <v>0</v>
      </c>
      <c r="N86">
        <f>VLOOKUP(A86,General2021[[organisation_name]:[number_of_international_committee_board_members_not_eea]],11,FALSE)</f>
        <v>0</v>
      </c>
      <c r="O86" t="str">
        <f>IFERROR(IF(Data2021[[#This Row],[Number of active members]]-Data2021[[#This Row],[Non-EEA Active ]]-Data2021[[#This Row],[EEA Active]]&lt;1,"N/A", Data2021[[#This Row],[Number of active members]]-Data2021[[#This Row],[Non-EEA Active ]]-Data2021[[#This Row],[EEA Active]]),"N/A")</f>
        <v>N/A</v>
      </c>
      <c r="P86" t="str">
        <f>IFERROR(Data2021[[#This Row],[Non-EEA Active ]]/Data2021[[#This Row],[Number of active members]],"N/A")</f>
        <v>N/A</v>
      </c>
      <c r="Q86" t="str">
        <f>IFERROR(Data2021[[#This Row],[EEA Active]]/Data2021[[#This Row],[EEA total]], "N/A")</f>
        <v>N/A</v>
      </c>
      <c r="R86" t="str">
        <f>IFERROR(Data2021[[#This Row],[Dutch Active]]/Data2021[[#This Row],[Dutch total]],"N/A")</f>
        <v>N/A</v>
      </c>
      <c r="S86" t="str">
        <f>IFERROR(IF(Data2021[[#This Row],[Number of members]]=Data2021[[#This Row],[Non-EEA Total]]+Data2021[[#This Row],[EEA total]]+Data2021[[#This Row],[Dutch total]],"T","F"),"F")</f>
        <v>F</v>
      </c>
      <c r="T86" t="str">
        <f>IFERROR(IF(Data2021[[#This Row],[Number of active members]]=Data2021[[#This Row],[Non-EEA Active ]]+Data2021[[#This Row],[EEA Active]]+Data2021[[#This Row],[Dutch Active]],"T","F"),"F")</f>
        <v>F</v>
      </c>
      <c r="U86" t="str">
        <f>IFERROR(IF(Data2021[[#This Row],[Number of members]]-Data2021[[#This Row],[Non-EEA Active ]]-Data2021[[#This Row],[EEA Active]]-Data2021[[#This Row],[Dutch Active]]=Data2021[[#This Row],[Number of  inactive members]],"T","F"),"F")</f>
        <v>F</v>
      </c>
      <c r="V86" t="str">
        <f>IF(Data2021[[#This Row],[EEA Active]]&lt;=Data2021[[#This Row],[EEA total]],"T","F")</f>
        <v>T</v>
      </c>
      <c r="W86" t="str">
        <f>IF(Data2021[[#This Row],[Dutch Active]]&lt;=Data2021[[#This Row],[Dutch total]],"T","F")</f>
        <v>T</v>
      </c>
      <c r="X86" t="str">
        <f>IF(Data2021[[#This Row],[Non-EEA Active ]]&lt;=Data2021[[#This Row],[Non-EEA Total]],"T","F")</f>
        <v>T</v>
      </c>
      <c r="Y8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6" t="str">
        <f>IFERROR(VLOOKUP(Data2021[[#This Row],[organisation_name]],'Division Study Year Committees'!$A$1:$L$108,2,FALSE),"N/A")</f>
        <v>N/A</v>
      </c>
      <c r="AA86" t="str">
        <f>IFERROR(VLOOKUP(Data2021[[#This Row],[organisation_name]],'Division Study Year Committees'!$A$1:$L$108,3,FALSE),"N/A")</f>
        <v>N/A</v>
      </c>
      <c r="AB86" t="str">
        <f>IFERROR(VLOOKUP(Data2021[[#This Row],[organisation_name]],'Division Study Year Committees'!$A$1:$L$108,4,FALSE),"N/A")</f>
        <v>N/A</v>
      </c>
      <c r="AC86" t="str">
        <f>IFERROR(VLOOKUP(Data2021[[#This Row],[organisation_name]],'Division Study Year Committees'!$A$1:$L$108,5,FALSE), "N/A")</f>
        <v>N/A</v>
      </c>
      <c r="AD86" t="str">
        <f>IFERROR(VLOOKUP(Data2021[[#This Row],[organisation_name]],'Division Study Year Committees'!$A$1:$L$108,6,FALSE), "N/A")</f>
        <v>N/A</v>
      </c>
      <c r="AE86">
        <f>SUM(Data2021[[#This Row],[Number of first year comittee members]:[Number of 4+ year comittee members]])</f>
        <v>0</v>
      </c>
      <c r="AF86">
        <f>COUNTIF('Comittee2021'!D:D,Data2021[[#This Row],[organisation_name]])</f>
        <v>0</v>
      </c>
      <c r="AG86">
        <f>COUNTIFS('Comittee2021'!$D:$D,Data2021[[#This Row],[organisation_name]],'Comittee2021'!$O:$O,"strong decrease")</f>
        <v>0</v>
      </c>
      <c r="AH86">
        <f>COUNTIFS('Comittee2021'!$D:$D,Data2021[[#This Row],[organisation_name]],'Comittee2021'!$O:$O,"slight decrease")</f>
        <v>0</v>
      </c>
      <c r="AI86">
        <f>COUNTIFS('Comittee2021'!$D:$D,Data2021[[#This Row],[organisation_name]],'Comittee2021'!$O:$O,"no influence")</f>
        <v>0</v>
      </c>
      <c r="AJ86">
        <f>COUNTIFS('Comittee2021'!$D:$D,Data2021[[#This Row],[organisation_name]],'Comittee2021'!$O:$O,"slight increase")</f>
        <v>0</v>
      </c>
      <c r="AK86">
        <f>COUNTIFS('Comittee2021'!$D:$D,Data2021[[#This Row],[organisation_name]],'Comittee2021'!$O:$O,"strong increase")</f>
        <v>0</v>
      </c>
      <c r="AL86">
        <v>2021</v>
      </c>
    </row>
    <row r="87" spans="1:38" x14ac:dyDescent="0.3">
      <c r="A87" t="str">
        <f>General2021[[#This Row],[organisation_name]]</f>
        <v>ISA AT UT</v>
      </c>
      <c r="B87" t="str">
        <f>IF(General2021[[#This Row],[sector]]= "",VLOOKUP(Data2021[[#This Row],[organisation_name]],'Response Rate sheet'!A:D,3,FALSE),General2021[[#This Row],[sector]])</f>
        <v>World</v>
      </c>
      <c r="C87" t="str">
        <f>General2021[[#This Row],[organisation_type]]</f>
        <v>association</v>
      </c>
      <c r="D87" t="str">
        <f>IF(ISBLANK(General2021[[#This Row],[number_of_members]]),"N/A",VLOOKUP(A87,General2021[[organisation_name]:[number_of_international_committee_board_members_not_eea]],6,FALSE))</f>
        <v>N/A</v>
      </c>
      <c r="E87" t="str">
        <f>IF(ISBLANK(General2021[[#This Row],[number_of_committee_board_members]]),"N/A",VLOOKUP(A87,General2021!B:M,10,FALSE))</f>
        <v>N/A</v>
      </c>
      <c r="F87" t="str">
        <f>IFERROR(Data2021[[#This Row],[Number of members]]-Data2021[[#This Row],[Number of active members]], "N/A")</f>
        <v>N/A</v>
      </c>
      <c r="G87" t="str">
        <f>IFERROR(Data2021[[#This Row],[Number of active members]]/Data2021[[#This Row],[Number of members]], "N/A")</f>
        <v>N/A</v>
      </c>
      <c r="H87" t="str">
        <f>IFERROR(1-Data2021[[#This Row],[Percentage active members]],"N/A")</f>
        <v>N/A</v>
      </c>
      <c r="I87" t="str">
        <f>IF(Data2021[[#This Row],[Number of members]]=0,"N/A",IF(Data2021[[#This Row],[Number of members]]&lt;50," A. 1 - 50 ",IF(Data2021[[#This Row],[Number of members]]&lt;100, "B. 50 - 100", IF(Data2021[[#This Row],[Number of members]]&lt;400, "C. 100 - 400", IF(Data2021[[#This Row],[Number of members]]&lt;1000,"D. 400 - 1000", "E. 1000 +")))))</f>
        <v>E. 1000 +</v>
      </c>
      <c r="J87" t="str">
        <f>IF(ISBLANK(General2021[[#This Row],[number_of_international_members_not_eea]]),"N/A",VLOOKUP(A87,General2021[[organisation_name]:[number_of_international_committee_board_members_not_eea]],9,FALSE))</f>
        <v>N/A</v>
      </c>
      <c r="K87" t="str">
        <f>IF(ISBLANK(General2021[[#This Row],[number_of_international_members_eea]]),"N/A",VLOOKUP(A87,General2021[[organisation_name]:[number_of_international_committee_board_members_not_eea]],8,FALSE))</f>
        <v>N/A</v>
      </c>
      <c r="L87" t="str">
        <f>IFERROR(IF(Data2021[[#This Row],[Number of members]]-Data2021[[#This Row],[Non-EEA Total]]-Data2021[[#This Row],[EEA total]]&lt;1,"N/A", Data2021[[#This Row],[Number of members]]-Data2021[[#This Row],[Non-EEA Total]]-Data2021[[#This Row],[EEA total]]),"N/A")</f>
        <v>N/A</v>
      </c>
      <c r="M87">
        <f>VLOOKUP(A87,General2021[[organisation_name]:[number_of_international_committee_board_members_not_eea]],12,FALSE)</f>
        <v>0</v>
      </c>
      <c r="N87">
        <f>VLOOKUP(A87,General2021[[organisation_name]:[number_of_international_committee_board_members_not_eea]],11,FALSE)</f>
        <v>0</v>
      </c>
      <c r="O87" t="str">
        <f>IFERROR(IF(Data2021[[#This Row],[Number of active members]]-Data2021[[#This Row],[Non-EEA Active ]]-Data2021[[#This Row],[EEA Active]]&lt;1,"N/A", Data2021[[#This Row],[Number of active members]]-Data2021[[#This Row],[Non-EEA Active ]]-Data2021[[#This Row],[EEA Active]]),"N/A")</f>
        <v>N/A</v>
      </c>
      <c r="P87" t="str">
        <f>IFERROR(Data2021[[#This Row],[Non-EEA Active ]]/Data2021[[#This Row],[Number of active members]],"N/A")</f>
        <v>N/A</v>
      </c>
      <c r="Q87" t="str">
        <f>IFERROR(Data2021[[#This Row],[EEA Active]]/Data2021[[#This Row],[EEA total]], "N/A")</f>
        <v>N/A</v>
      </c>
      <c r="R87" t="str">
        <f>IFERROR(Data2021[[#This Row],[Dutch Active]]/Data2021[[#This Row],[Dutch total]],"N/A")</f>
        <v>N/A</v>
      </c>
      <c r="S87" t="str">
        <f>IFERROR(IF(Data2021[[#This Row],[Number of members]]=Data2021[[#This Row],[Non-EEA Total]]+Data2021[[#This Row],[EEA total]]+Data2021[[#This Row],[Dutch total]],"T","F"),"F")</f>
        <v>F</v>
      </c>
      <c r="T87" t="str">
        <f>IFERROR(IF(Data2021[[#This Row],[Number of active members]]=Data2021[[#This Row],[Non-EEA Active ]]+Data2021[[#This Row],[EEA Active]]+Data2021[[#This Row],[Dutch Active]],"T","F"),"F")</f>
        <v>F</v>
      </c>
      <c r="U87" t="str">
        <f>IFERROR(IF(Data2021[[#This Row],[Number of members]]-Data2021[[#This Row],[Non-EEA Active ]]-Data2021[[#This Row],[EEA Active]]-Data2021[[#This Row],[Dutch Active]]=Data2021[[#This Row],[Number of  inactive members]],"T","F"),"F")</f>
        <v>F</v>
      </c>
      <c r="V87" t="str">
        <f>IF(Data2021[[#This Row],[EEA Active]]&lt;=Data2021[[#This Row],[EEA total]],"T","F")</f>
        <v>T</v>
      </c>
      <c r="W87" t="str">
        <f>IF(Data2021[[#This Row],[Dutch Active]]&lt;=Data2021[[#This Row],[Dutch total]],"T","F")</f>
        <v>T</v>
      </c>
      <c r="X87" t="str">
        <f>IF(Data2021[[#This Row],[Non-EEA Active ]]&lt;=Data2021[[#This Row],[Non-EEA Total]],"T","F")</f>
        <v>T</v>
      </c>
      <c r="Y8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7" t="str">
        <f>IFERROR(VLOOKUP(Data2021[[#This Row],[organisation_name]],'Division Study Year Committees'!$A$1:$L$108,2,FALSE),"N/A")</f>
        <v>N/A</v>
      </c>
      <c r="AA87" t="str">
        <f>IFERROR(VLOOKUP(Data2021[[#This Row],[organisation_name]],'Division Study Year Committees'!$A$1:$L$108,3,FALSE),"N/A")</f>
        <v>N/A</v>
      </c>
      <c r="AB87" t="str">
        <f>IFERROR(VLOOKUP(Data2021[[#This Row],[organisation_name]],'Division Study Year Committees'!$A$1:$L$108,4,FALSE),"N/A")</f>
        <v>N/A</v>
      </c>
      <c r="AC87" t="str">
        <f>IFERROR(VLOOKUP(Data2021[[#This Row],[organisation_name]],'Division Study Year Committees'!$A$1:$L$108,5,FALSE), "N/A")</f>
        <v>N/A</v>
      </c>
      <c r="AD87" t="str">
        <f>IFERROR(VLOOKUP(Data2021[[#This Row],[organisation_name]],'Division Study Year Committees'!$A$1:$L$108,6,FALSE), "N/A")</f>
        <v>N/A</v>
      </c>
      <c r="AE87">
        <f>SUM(Data2021[[#This Row],[Number of first year comittee members]:[Number of 4+ year comittee members]])</f>
        <v>0</v>
      </c>
      <c r="AF87">
        <f>COUNTIF('Comittee2021'!D:D,Data2021[[#This Row],[organisation_name]])</f>
        <v>0</v>
      </c>
      <c r="AG87">
        <f>COUNTIFS('Comittee2021'!$D:$D,Data2021[[#This Row],[organisation_name]],'Comittee2021'!$O:$O,"strong decrease")</f>
        <v>0</v>
      </c>
      <c r="AH87">
        <f>COUNTIFS('Comittee2021'!$D:$D,Data2021[[#This Row],[organisation_name]],'Comittee2021'!$O:$O,"slight decrease")</f>
        <v>0</v>
      </c>
      <c r="AI87">
        <f>COUNTIFS('Comittee2021'!$D:$D,Data2021[[#This Row],[organisation_name]],'Comittee2021'!$O:$O,"no influence")</f>
        <v>0</v>
      </c>
      <c r="AJ87">
        <f>COUNTIFS('Comittee2021'!$D:$D,Data2021[[#This Row],[organisation_name]],'Comittee2021'!$O:$O,"slight increase")</f>
        <v>0</v>
      </c>
      <c r="AK87">
        <f>COUNTIFS('Comittee2021'!$D:$D,Data2021[[#This Row],[organisation_name]],'Comittee2021'!$O:$O,"strong increase")</f>
        <v>0</v>
      </c>
      <c r="AL87">
        <v>2021</v>
      </c>
    </row>
    <row r="88" spans="1:38" x14ac:dyDescent="0.3">
      <c r="A88" t="str">
        <f>General2021[[#This Row],[organisation_name]]</f>
        <v>Student Union</v>
      </c>
      <c r="B88" t="str">
        <f>IF(General2021[[#This Row],[sector]]= "",VLOOKUP(Data2021[[#This Row],[organisation_name]],'Response Rate sheet'!A:D,3,FALSE),General2021[[#This Row],[sector]])</f>
        <v>Other</v>
      </c>
      <c r="C88" t="str">
        <f>General2021[[#This Row],[organisation_type]]</f>
        <v>foundation</v>
      </c>
      <c r="D88">
        <f>IF(ISBLANK(General2021[[#This Row],[number_of_members]]),"N/A",VLOOKUP(A88,General2021[[organisation_name]:[number_of_international_committee_board_members_not_eea]],6,FALSE))</f>
        <v>32</v>
      </c>
      <c r="E88">
        <f>IF(ISBLANK(General2021[[#This Row],[number_of_committee_board_members]]),"N/A",VLOOKUP(A88,General2021!B:M,10,FALSE))</f>
        <v>0</v>
      </c>
      <c r="F88">
        <f>IFERROR(Data2021[[#This Row],[Number of members]]-Data2021[[#This Row],[Number of active members]], "N/A")</f>
        <v>32</v>
      </c>
      <c r="G88">
        <f>IFERROR(Data2021[[#This Row],[Number of active members]]/Data2021[[#This Row],[Number of members]], "N/A")</f>
        <v>0</v>
      </c>
      <c r="H88">
        <f>IFERROR(1-Data2021[[#This Row],[Percentage active members]],"N/A")</f>
        <v>1</v>
      </c>
      <c r="I88"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88">
        <f>IF(ISBLANK(General2021[[#This Row],[number_of_international_members_not_eea]]),"N/A",VLOOKUP(A88,General2021[[organisation_name]:[number_of_international_committee_board_members_not_eea]],9,FALSE))</f>
        <v>0</v>
      </c>
      <c r="K88">
        <f>IF(ISBLANK(General2021[[#This Row],[number_of_international_members_eea]]),"N/A",VLOOKUP(A88,General2021[[organisation_name]:[number_of_international_committee_board_members_not_eea]],8,FALSE))</f>
        <v>6</v>
      </c>
      <c r="L88">
        <f>IFERROR(IF(Data2021[[#This Row],[Number of members]]-Data2021[[#This Row],[Non-EEA Total]]-Data2021[[#This Row],[EEA total]]&lt;1,"N/A", Data2021[[#This Row],[Number of members]]-Data2021[[#This Row],[Non-EEA Total]]-Data2021[[#This Row],[EEA total]]),"N/A")</f>
        <v>26</v>
      </c>
      <c r="M88">
        <f>VLOOKUP(A88,General2021[[organisation_name]:[number_of_international_committee_board_members_not_eea]],12,FALSE)</f>
        <v>0</v>
      </c>
      <c r="N88">
        <f>VLOOKUP(A88,General2021[[organisation_name]:[number_of_international_committee_board_members_not_eea]],11,FALSE)</f>
        <v>0</v>
      </c>
      <c r="O88" t="str">
        <f>IFERROR(IF(Data2021[[#This Row],[Number of active members]]-Data2021[[#This Row],[Non-EEA Active ]]-Data2021[[#This Row],[EEA Active]]&lt;1,"N/A", Data2021[[#This Row],[Number of active members]]-Data2021[[#This Row],[Non-EEA Active ]]-Data2021[[#This Row],[EEA Active]]),"N/A")</f>
        <v>N/A</v>
      </c>
      <c r="P88" t="str">
        <f>IFERROR(Data2021[[#This Row],[Non-EEA Active ]]/Data2021[[#This Row],[Number of active members]],"N/A")</f>
        <v>N/A</v>
      </c>
      <c r="Q88">
        <f>IFERROR(Data2021[[#This Row],[EEA Active]]/Data2021[[#This Row],[EEA total]], "N/A")</f>
        <v>0</v>
      </c>
      <c r="R88" t="str">
        <f>IFERROR(Data2021[[#This Row],[Dutch Active]]/Data2021[[#This Row],[Dutch total]],"N/A")</f>
        <v>N/A</v>
      </c>
      <c r="S88" t="str">
        <f>IFERROR(IF(Data2021[[#This Row],[Number of members]]=Data2021[[#This Row],[Non-EEA Total]]+Data2021[[#This Row],[EEA total]]+Data2021[[#This Row],[Dutch total]],"T","F"),"F")</f>
        <v>T</v>
      </c>
      <c r="T88" t="str">
        <f>IFERROR(IF(Data2021[[#This Row],[Number of active members]]=Data2021[[#This Row],[Non-EEA Active ]]+Data2021[[#This Row],[EEA Active]]+Data2021[[#This Row],[Dutch Active]],"T","F"),"F")</f>
        <v>F</v>
      </c>
      <c r="U88" t="str">
        <f>IFERROR(IF(Data2021[[#This Row],[Number of members]]-Data2021[[#This Row],[Non-EEA Active ]]-Data2021[[#This Row],[EEA Active]]-Data2021[[#This Row],[Dutch Active]]=Data2021[[#This Row],[Number of  inactive members]],"T","F"),"F")</f>
        <v>F</v>
      </c>
      <c r="V88" t="str">
        <f>IF(Data2021[[#This Row],[EEA Active]]&lt;=Data2021[[#This Row],[EEA total]],"T","F")</f>
        <v>T</v>
      </c>
      <c r="W88" t="str">
        <f>IF(Data2021[[#This Row],[Dutch Active]]&lt;=Data2021[[#This Row],[Dutch total]],"T","F")</f>
        <v>F</v>
      </c>
      <c r="X88" t="str">
        <f>IF(Data2021[[#This Row],[Non-EEA Active ]]&lt;=Data2021[[#This Row],[Non-EEA Total]],"T","F")</f>
        <v>T</v>
      </c>
      <c r="Y8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8">
        <f>IFERROR(VLOOKUP(Data2021[[#This Row],[organisation_name]],'Division Study Year Committees'!$A$1:$L$108,2,FALSE),"N/A")</f>
        <v>0</v>
      </c>
      <c r="AA88">
        <f>IFERROR(VLOOKUP(Data2021[[#This Row],[organisation_name]],'Division Study Year Committees'!$A$1:$L$108,3,FALSE),"N/A")</f>
        <v>5</v>
      </c>
      <c r="AB88">
        <f>IFERROR(VLOOKUP(Data2021[[#This Row],[organisation_name]],'Division Study Year Committees'!$A$1:$L$108,4,FALSE),"N/A")</f>
        <v>12</v>
      </c>
      <c r="AC88">
        <f>IFERROR(VLOOKUP(Data2021[[#This Row],[organisation_name]],'Division Study Year Committees'!$A$1:$L$108,5,FALSE), "N/A")</f>
        <v>8</v>
      </c>
      <c r="AD88">
        <f>IFERROR(VLOOKUP(Data2021[[#This Row],[organisation_name]],'Division Study Year Committees'!$A$1:$L$108,6,FALSE), "N/A")</f>
        <v>1</v>
      </c>
      <c r="AE88">
        <f>SUM(Data2021[[#This Row],[Number of first year comittee members]:[Number of 4+ year comittee members]])</f>
        <v>26</v>
      </c>
      <c r="AF88">
        <f>COUNTIF('Comittee2021'!D:D,Data2021[[#This Row],[organisation_name]])</f>
        <v>5</v>
      </c>
      <c r="AG88">
        <f>COUNTIFS('Comittee2021'!$D:$D,Data2021[[#This Row],[organisation_name]],'Comittee2021'!$O:$O,"strong decrease")</f>
        <v>0</v>
      </c>
      <c r="AH88">
        <f>COUNTIFS('Comittee2021'!$D:$D,Data2021[[#This Row],[organisation_name]],'Comittee2021'!$O:$O,"slight decrease")</f>
        <v>0</v>
      </c>
      <c r="AI88">
        <f>COUNTIFS('Comittee2021'!$D:$D,Data2021[[#This Row],[organisation_name]],'Comittee2021'!$O:$O,"no influence")</f>
        <v>2</v>
      </c>
      <c r="AJ88">
        <f>COUNTIFS('Comittee2021'!$D:$D,Data2021[[#This Row],[organisation_name]],'Comittee2021'!$O:$O,"slight increase")</f>
        <v>3</v>
      </c>
      <c r="AK88">
        <f>COUNTIFS('Comittee2021'!$D:$D,Data2021[[#This Row],[organisation_name]],'Comittee2021'!$O:$O,"strong increase")</f>
        <v>0</v>
      </c>
      <c r="AL88">
        <v>2021</v>
      </c>
    </row>
    <row r="89" spans="1:38" x14ac:dyDescent="0.3">
      <c r="A89" t="str">
        <f>General2021[[#This Row],[organisation_name]]</f>
        <v>LA Voz</v>
      </c>
      <c r="B89" t="str">
        <f>IF(General2021[[#This Row],[sector]]= "",VLOOKUP(Data2021[[#This Row],[organisation_name]],'Response Rate sheet'!A:D,3,FALSE),General2021[[#This Row],[sector]])</f>
        <v>world</v>
      </c>
      <c r="C89" t="str">
        <f>General2021[[#This Row],[organisation_type]]</f>
        <v>association</v>
      </c>
      <c r="D89" t="str">
        <f>IF(ISBLANK(General2021[[#This Row],[number_of_members]]),"N/A",VLOOKUP(A89,General2021[[organisation_name]:[number_of_international_committee_board_members_not_eea]],6,FALSE))</f>
        <v>N/A</v>
      </c>
      <c r="E89" t="str">
        <f>IF(ISBLANK(General2021[[#This Row],[number_of_committee_board_members]]),"N/A",VLOOKUP(A89,General2021!B:M,10,FALSE))</f>
        <v>N/A</v>
      </c>
      <c r="F89" t="str">
        <f>IFERROR(Data2021[[#This Row],[Number of members]]-Data2021[[#This Row],[Number of active members]], "N/A")</f>
        <v>N/A</v>
      </c>
      <c r="G89" t="str">
        <f>IFERROR(Data2021[[#This Row],[Number of active members]]/Data2021[[#This Row],[Number of members]], "N/A")</f>
        <v>N/A</v>
      </c>
      <c r="H89" t="str">
        <f>IFERROR(1-Data2021[[#This Row],[Percentage active members]],"N/A")</f>
        <v>N/A</v>
      </c>
      <c r="I89" t="str">
        <f>IF(Data2021[[#This Row],[Number of members]]=0,"N/A",IF(Data2021[[#This Row],[Number of members]]&lt;50," A. 1 - 50 ",IF(Data2021[[#This Row],[Number of members]]&lt;100, "B. 50 - 100", IF(Data2021[[#This Row],[Number of members]]&lt;400, "C. 100 - 400", IF(Data2021[[#This Row],[Number of members]]&lt;1000,"D. 400 - 1000", "E. 1000 +")))))</f>
        <v>E. 1000 +</v>
      </c>
      <c r="J89" t="str">
        <f>IF(ISBLANK(General2021[[#This Row],[number_of_international_members_not_eea]]),"N/A",VLOOKUP(A89,General2021[[organisation_name]:[number_of_international_committee_board_members_not_eea]],9,FALSE))</f>
        <v>N/A</v>
      </c>
      <c r="K89" t="str">
        <f>IF(ISBLANK(General2021[[#This Row],[number_of_international_members_eea]]),"N/A",VLOOKUP(A89,General2021[[organisation_name]:[number_of_international_committee_board_members_not_eea]],8,FALSE))</f>
        <v>N/A</v>
      </c>
      <c r="L89" t="str">
        <f>IFERROR(IF(Data2021[[#This Row],[Number of members]]-Data2021[[#This Row],[Non-EEA Total]]-Data2021[[#This Row],[EEA total]]&lt;1,"N/A", Data2021[[#This Row],[Number of members]]-Data2021[[#This Row],[Non-EEA Total]]-Data2021[[#This Row],[EEA total]]),"N/A")</f>
        <v>N/A</v>
      </c>
      <c r="M89">
        <f>VLOOKUP(A89,General2021[[organisation_name]:[number_of_international_committee_board_members_not_eea]],12,FALSE)</f>
        <v>0</v>
      </c>
      <c r="N89">
        <f>VLOOKUP(A89,General2021[[organisation_name]:[number_of_international_committee_board_members_not_eea]],11,FALSE)</f>
        <v>0</v>
      </c>
      <c r="O89" t="str">
        <f>IFERROR(IF(Data2021[[#This Row],[Number of active members]]-Data2021[[#This Row],[Non-EEA Active ]]-Data2021[[#This Row],[EEA Active]]&lt;1,"N/A", Data2021[[#This Row],[Number of active members]]-Data2021[[#This Row],[Non-EEA Active ]]-Data2021[[#This Row],[EEA Active]]),"N/A")</f>
        <v>N/A</v>
      </c>
      <c r="P89" t="str">
        <f>IFERROR(Data2021[[#This Row],[Non-EEA Active ]]/Data2021[[#This Row],[Number of active members]],"N/A")</f>
        <v>N/A</v>
      </c>
      <c r="Q89" t="str">
        <f>IFERROR(Data2021[[#This Row],[EEA Active]]/Data2021[[#This Row],[EEA total]], "N/A")</f>
        <v>N/A</v>
      </c>
      <c r="R89" t="str">
        <f>IFERROR(Data2021[[#This Row],[Dutch Active]]/Data2021[[#This Row],[Dutch total]],"N/A")</f>
        <v>N/A</v>
      </c>
      <c r="S89" t="str">
        <f>IFERROR(IF(Data2021[[#This Row],[Number of members]]=Data2021[[#This Row],[Non-EEA Total]]+Data2021[[#This Row],[EEA total]]+Data2021[[#This Row],[Dutch total]],"T","F"),"F")</f>
        <v>F</v>
      </c>
      <c r="T89" t="str">
        <f>IFERROR(IF(Data2021[[#This Row],[Number of active members]]=Data2021[[#This Row],[Non-EEA Active ]]+Data2021[[#This Row],[EEA Active]]+Data2021[[#This Row],[Dutch Active]],"T","F"),"F")</f>
        <v>F</v>
      </c>
      <c r="U89" t="str">
        <f>IFERROR(IF(Data2021[[#This Row],[Number of members]]-Data2021[[#This Row],[Non-EEA Active ]]-Data2021[[#This Row],[EEA Active]]-Data2021[[#This Row],[Dutch Active]]=Data2021[[#This Row],[Number of  inactive members]],"T","F"),"F")</f>
        <v>F</v>
      </c>
      <c r="V89" t="str">
        <f>IF(Data2021[[#This Row],[EEA Active]]&lt;=Data2021[[#This Row],[EEA total]],"T","F")</f>
        <v>T</v>
      </c>
      <c r="W89" t="str">
        <f>IF(Data2021[[#This Row],[Dutch Active]]&lt;=Data2021[[#This Row],[Dutch total]],"T","F")</f>
        <v>T</v>
      </c>
      <c r="X89" t="str">
        <f>IF(Data2021[[#This Row],[Non-EEA Active ]]&lt;=Data2021[[#This Row],[Non-EEA Total]],"T","F")</f>
        <v>T</v>
      </c>
      <c r="Y8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89" t="str">
        <f>IFERROR(VLOOKUP(Data2021[[#This Row],[organisation_name]],'Division Study Year Committees'!$A$1:$L$108,2,FALSE),"N/A")</f>
        <v>N/A</v>
      </c>
      <c r="AA89" t="str">
        <f>IFERROR(VLOOKUP(Data2021[[#This Row],[organisation_name]],'Division Study Year Committees'!$A$1:$L$108,3,FALSE),"N/A")</f>
        <v>N/A</v>
      </c>
      <c r="AB89" t="str">
        <f>IFERROR(VLOOKUP(Data2021[[#This Row],[organisation_name]],'Division Study Year Committees'!$A$1:$L$108,4,FALSE),"N/A")</f>
        <v>N/A</v>
      </c>
      <c r="AC89" t="str">
        <f>IFERROR(VLOOKUP(Data2021[[#This Row],[organisation_name]],'Division Study Year Committees'!$A$1:$L$108,5,FALSE), "N/A")</f>
        <v>N/A</v>
      </c>
      <c r="AD89" t="str">
        <f>IFERROR(VLOOKUP(Data2021[[#This Row],[organisation_name]],'Division Study Year Committees'!$A$1:$L$108,6,FALSE), "N/A")</f>
        <v>N/A</v>
      </c>
      <c r="AE89">
        <f>SUM(Data2021[[#This Row],[Number of first year comittee members]:[Number of 4+ year comittee members]])</f>
        <v>0</v>
      </c>
      <c r="AF89">
        <f>COUNTIF('Comittee2021'!D:D,Data2021[[#This Row],[organisation_name]])</f>
        <v>0</v>
      </c>
      <c r="AG89">
        <f>COUNTIFS('Comittee2021'!$D:$D,Data2021[[#This Row],[organisation_name]],'Comittee2021'!$O:$O,"strong decrease")</f>
        <v>0</v>
      </c>
      <c r="AH89">
        <f>COUNTIFS('Comittee2021'!$D:$D,Data2021[[#This Row],[organisation_name]],'Comittee2021'!$O:$O,"slight decrease")</f>
        <v>0</v>
      </c>
      <c r="AI89">
        <f>COUNTIFS('Comittee2021'!$D:$D,Data2021[[#This Row],[organisation_name]],'Comittee2021'!$O:$O,"no influence")</f>
        <v>0</v>
      </c>
      <c r="AJ89">
        <f>COUNTIFS('Comittee2021'!$D:$D,Data2021[[#This Row],[organisation_name]],'Comittee2021'!$O:$O,"slight increase")</f>
        <v>0</v>
      </c>
      <c r="AK89">
        <f>COUNTIFS('Comittee2021'!$D:$D,Data2021[[#This Row],[organisation_name]],'Comittee2021'!$O:$O,"strong increase")</f>
        <v>0</v>
      </c>
      <c r="AL89">
        <v>2021</v>
      </c>
    </row>
    <row r="90" spans="1:38" x14ac:dyDescent="0.3">
      <c r="A90" t="str">
        <f>General2021[[#This Row],[organisation_name]]</f>
        <v>ESN Twente</v>
      </c>
      <c r="B90" t="str">
        <f>IF(General2021[[#This Row],[sector]]= "",VLOOKUP(Data2021[[#This Row],[organisation_name]],'Response Rate sheet'!A:D,3,FALSE),General2021[[#This Row],[sector]])</f>
        <v>World</v>
      </c>
      <c r="C90" t="str">
        <f>General2021[[#This Row],[organisation_type]]</f>
        <v>foundation</v>
      </c>
      <c r="D90">
        <f>IF(ISBLANK(General2021[[#This Row],[number_of_members]]),"N/A",VLOOKUP(A90,General2021[[organisation_name]:[number_of_international_committee_board_members_not_eea]],6,FALSE))</f>
        <v>30</v>
      </c>
      <c r="E90">
        <f>IF(ISBLANK(General2021[[#This Row],[number_of_committee_board_members]]),"N/A",VLOOKUP(A90,General2021!B:M,10,FALSE))</f>
        <v>0</v>
      </c>
      <c r="F90">
        <f>IFERROR(Data2021[[#This Row],[Number of members]]-Data2021[[#This Row],[Number of active members]], "N/A")</f>
        <v>30</v>
      </c>
      <c r="G90">
        <f>IFERROR(Data2021[[#This Row],[Number of active members]]/Data2021[[#This Row],[Number of members]], "N/A")</f>
        <v>0</v>
      </c>
      <c r="H90">
        <f>IFERROR(1-Data2021[[#This Row],[Percentage active members]],"N/A")</f>
        <v>1</v>
      </c>
      <c r="I90"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90">
        <f>IF(ISBLANK(General2021[[#This Row],[number_of_international_members_not_eea]]),"N/A",VLOOKUP(A90,General2021[[organisation_name]:[number_of_international_committee_board_members_not_eea]],9,FALSE))</f>
        <v>0</v>
      </c>
      <c r="K90">
        <f>IF(ISBLANK(General2021[[#This Row],[number_of_international_members_eea]]),"N/A",VLOOKUP(A90,General2021[[organisation_name]:[number_of_international_committee_board_members_not_eea]],8,FALSE))</f>
        <v>10</v>
      </c>
      <c r="L90">
        <f>IFERROR(IF(Data2021[[#This Row],[Number of members]]-Data2021[[#This Row],[Non-EEA Total]]-Data2021[[#This Row],[EEA total]]&lt;1,"N/A", Data2021[[#This Row],[Number of members]]-Data2021[[#This Row],[Non-EEA Total]]-Data2021[[#This Row],[EEA total]]),"N/A")</f>
        <v>20</v>
      </c>
      <c r="M90">
        <f>VLOOKUP(A90,General2021[[organisation_name]:[number_of_international_committee_board_members_not_eea]],12,FALSE)</f>
        <v>0</v>
      </c>
      <c r="N90">
        <f>VLOOKUP(A90,General2021[[organisation_name]:[number_of_international_committee_board_members_not_eea]],11,FALSE)</f>
        <v>0</v>
      </c>
      <c r="O90" t="str">
        <f>IFERROR(IF(Data2021[[#This Row],[Number of active members]]-Data2021[[#This Row],[Non-EEA Active ]]-Data2021[[#This Row],[EEA Active]]&lt;1,"N/A", Data2021[[#This Row],[Number of active members]]-Data2021[[#This Row],[Non-EEA Active ]]-Data2021[[#This Row],[EEA Active]]),"N/A")</f>
        <v>N/A</v>
      </c>
      <c r="P90" t="str">
        <f>IFERROR(Data2021[[#This Row],[Non-EEA Active ]]/Data2021[[#This Row],[Number of active members]],"N/A")</f>
        <v>N/A</v>
      </c>
      <c r="Q90">
        <f>IFERROR(Data2021[[#This Row],[EEA Active]]/Data2021[[#This Row],[EEA total]], "N/A")</f>
        <v>0</v>
      </c>
      <c r="R90" t="str">
        <f>IFERROR(Data2021[[#This Row],[Dutch Active]]/Data2021[[#This Row],[Dutch total]],"N/A")</f>
        <v>N/A</v>
      </c>
      <c r="S90" t="str">
        <f>IFERROR(IF(Data2021[[#This Row],[Number of members]]=Data2021[[#This Row],[Non-EEA Total]]+Data2021[[#This Row],[EEA total]]+Data2021[[#This Row],[Dutch total]],"T","F"),"F")</f>
        <v>T</v>
      </c>
      <c r="T90" t="str">
        <f>IFERROR(IF(Data2021[[#This Row],[Number of active members]]=Data2021[[#This Row],[Non-EEA Active ]]+Data2021[[#This Row],[EEA Active]]+Data2021[[#This Row],[Dutch Active]],"T","F"),"F")</f>
        <v>F</v>
      </c>
      <c r="U90" t="str">
        <f>IFERROR(IF(Data2021[[#This Row],[Number of members]]-Data2021[[#This Row],[Non-EEA Active ]]-Data2021[[#This Row],[EEA Active]]-Data2021[[#This Row],[Dutch Active]]=Data2021[[#This Row],[Number of  inactive members]],"T","F"),"F")</f>
        <v>F</v>
      </c>
      <c r="V90" t="str">
        <f>IF(Data2021[[#This Row],[EEA Active]]&lt;=Data2021[[#This Row],[EEA total]],"T","F")</f>
        <v>T</v>
      </c>
      <c r="W90" t="str">
        <f>IF(Data2021[[#This Row],[Dutch Active]]&lt;=Data2021[[#This Row],[Dutch total]],"T","F")</f>
        <v>F</v>
      </c>
      <c r="X90" t="str">
        <f>IF(Data2021[[#This Row],[Non-EEA Active ]]&lt;=Data2021[[#This Row],[Non-EEA Total]],"T","F")</f>
        <v>T</v>
      </c>
      <c r="Y9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0">
        <f>IFERROR(VLOOKUP(Data2021[[#This Row],[organisation_name]],'Division Study Year Committees'!$A$1:$L$108,2,FALSE),"N/A")</f>
        <v>0</v>
      </c>
      <c r="AA90">
        <f>IFERROR(VLOOKUP(Data2021[[#This Row],[organisation_name]],'Division Study Year Committees'!$A$1:$L$108,3,FALSE),"N/A")</f>
        <v>0</v>
      </c>
      <c r="AB90">
        <f>IFERROR(VLOOKUP(Data2021[[#This Row],[organisation_name]],'Division Study Year Committees'!$A$1:$L$108,4,FALSE),"N/A")</f>
        <v>2</v>
      </c>
      <c r="AC90">
        <f>IFERROR(VLOOKUP(Data2021[[#This Row],[organisation_name]],'Division Study Year Committees'!$A$1:$L$108,5,FALSE), "N/A")</f>
        <v>0</v>
      </c>
      <c r="AD90">
        <f>IFERROR(VLOOKUP(Data2021[[#This Row],[organisation_name]],'Division Study Year Committees'!$A$1:$L$108,6,FALSE), "N/A")</f>
        <v>0</v>
      </c>
      <c r="AE90">
        <f>SUM(Data2021[[#This Row],[Number of first year comittee members]:[Number of 4+ year comittee members]])</f>
        <v>2</v>
      </c>
      <c r="AF90">
        <f>COUNTIF('Comittee2021'!D:D,Data2021[[#This Row],[organisation_name]])</f>
        <v>1</v>
      </c>
      <c r="AG90">
        <f>COUNTIFS('Comittee2021'!$D:$D,Data2021[[#This Row],[organisation_name]],'Comittee2021'!$O:$O,"strong decrease")</f>
        <v>1</v>
      </c>
      <c r="AH90">
        <f>COUNTIFS('Comittee2021'!$D:$D,Data2021[[#This Row],[organisation_name]],'Comittee2021'!$O:$O,"slight decrease")</f>
        <v>0</v>
      </c>
      <c r="AI90">
        <f>COUNTIFS('Comittee2021'!$D:$D,Data2021[[#This Row],[organisation_name]],'Comittee2021'!$O:$O,"no influence")</f>
        <v>0</v>
      </c>
      <c r="AJ90">
        <f>COUNTIFS('Comittee2021'!$D:$D,Data2021[[#This Row],[organisation_name]],'Comittee2021'!$O:$O,"slight increase")</f>
        <v>0</v>
      </c>
      <c r="AK90">
        <f>COUNTIFS('Comittee2021'!$D:$D,Data2021[[#This Row],[organisation_name]],'Comittee2021'!$O:$O,"strong increase")</f>
        <v>0</v>
      </c>
      <c r="AL90">
        <v>2021</v>
      </c>
    </row>
    <row r="91" spans="1:38" x14ac:dyDescent="0.3">
      <c r="A91" t="str">
        <f>General2021[[#This Row],[organisation_name]]</f>
        <v>ICF-E</v>
      </c>
      <c r="B91" t="str">
        <f>IF(General2021[[#This Row],[sector]]= "",VLOOKUP(Data2021[[#This Row],[organisation_name]],'Response Rate sheet'!A:D,3,FALSE),General2021[[#This Row],[sector]])</f>
        <v>World</v>
      </c>
      <c r="C91" t="str">
        <f>General2021[[#This Row],[organisation_type]]</f>
        <v>foundation</v>
      </c>
      <c r="D91">
        <f>IF(ISBLANK(General2021[[#This Row],[number_of_members]]),"N/A",VLOOKUP(A91,General2021[[organisation_name]:[number_of_international_committee_board_members_not_eea]],6,FALSE))</f>
        <v>100</v>
      </c>
      <c r="E91">
        <f>IF(ISBLANK(General2021[[#This Row],[number_of_committee_board_members]]),"N/A",VLOOKUP(A91,General2021!B:M,10,FALSE))</f>
        <v>0</v>
      </c>
      <c r="F91">
        <f>IFERROR(Data2021[[#This Row],[Number of members]]-Data2021[[#This Row],[Number of active members]], "N/A")</f>
        <v>100</v>
      </c>
      <c r="G91">
        <f>IFERROR(Data2021[[#This Row],[Number of active members]]/Data2021[[#This Row],[Number of members]], "N/A")</f>
        <v>0</v>
      </c>
      <c r="H91">
        <f>IFERROR(1-Data2021[[#This Row],[Percentage active members]],"N/A")</f>
        <v>1</v>
      </c>
      <c r="I91" t="str">
        <f>IF(Data2021[[#This Row],[Number of members]]=0,"N/A",IF(Data2021[[#This Row],[Number of members]]&lt;50," A. 1 - 50 ",IF(Data2021[[#This Row],[Number of members]]&lt;100, "B. 50 - 100", IF(Data2021[[#This Row],[Number of members]]&lt;400, "C. 100 - 400", IF(Data2021[[#This Row],[Number of members]]&lt;1000,"D. 400 - 1000", "E. 1000 +")))))</f>
        <v>C. 100 - 400</v>
      </c>
      <c r="J91">
        <f>IF(ISBLANK(General2021[[#This Row],[number_of_international_members_not_eea]]),"N/A",VLOOKUP(A91,General2021[[organisation_name]:[number_of_international_committee_board_members_not_eea]],9,FALSE))</f>
        <v>0</v>
      </c>
      <c r="K91">
        <f>IF(ISBLANK(General2021[[#This Row],[number_of_international_members_eea]]),"N/A",VLOOKUP(A91,General2021[[organisation_name]:[number_of_international_committee_board_members_not_eea]],8,FALSE))</f>
        <v>30</v>
      </c>
      <c r="L91">
        <f>IFERROR(IF(Data2021[[#This Row],[Number of members]]-Data2021[[#This Row],[Non-EEA Total]]-Data2021[[#This Row],[EEA total]]&lt;1,"N/A", Data2021[[#This Row],[Number of members]]-Data2021[[#This Row],[Non-EEA Total]]-Data2021[[#This Row],[EEA total]]),"N/A")</f>
        <v>70</v>
      </c>
      <c r="M91">
        <f>VLOOKUP(A91,General2021[[organisation_name]:[number_of_international_committee_board_members_not_eea]],12,FALSE)</f>
        <v>0</v>
      </c>
      <c r="N91">
        <f>VLOOKUP(A91,General2021[[organisation_name]:[number_of_international_committee_board_members_not_eea]],11,FALSE)</f>
        <v>0</v>
      </c>
      <c r="O91" t="str">
        <f>IFERROR(IF(Data2021[[#This Row],[Number of active members]]-Data2021[[#This Row],[Non-EEA Active ]]-Data2021[[#This Row],[EEA Active]]&lt;1,"N/A", Data2021[[#This Row],[Number of active members]]-Data2021[[#This Row],[Non-EEA Active ]]-Data2021[[#This Row],[EEA Active]]),"N/A")</f>
        <v>N/A</v>
      </c>
      <c r="P91" t="str">
        <f>IFERROR(Data2021[[#This Row],[Non-EEA Active ]]/Data2021[[#This Row],[Number of active members]],"N/A")</f>
        <v>N/A</v>
      </c>
      <c r="Q91">
        <f>IFERROR(Data2021[[#This Row],[EEA Active]]/Data2021[[#This Row],[EEA total]], "N/A")</f>
        <v>0</v>
      </c>
      <c r="R91" t="str">
        <f>IFERROR(Data2021[[#This Row],[Dutch Active]]/Data2021[[#This Row],[Dutch total]],"N/A")</f>
        <v>N/A</v>
      </c>
      <c r="S91" t="str">
        <f>IFERROR(IF(Data2021[[#This Row],[Number of members]]=Data2021[[#This Row],[Non-EEA Total]]+Data2021[[#This Row],[EEA total]]+Data2021[[#This Row],[Dutch total]],"T","F"),"F")</f>
        <v>T</v>
      </c>
      <c r="T91" t="str">
        <f>IFERROR(IF(Data2021[[#This Row],[Number of active members]]=Data2021[[#This Row],[Non-EEA Active ]]+Data2021[[#This Row],[EEA Active]]+Data2021[[#This Row],[Dutch Active]],"T","F"),"F")</f>
        <v>F</v>
      </c>
      <c r="U91" t="str">
        <f>IFERROR(IF(Data2021[[#This Row],[Number of members]]-Data2021[[#This Row],[Non-EEA Active ]]-Data2021[[#This Row],[EEA Active]]-Data2021[[#This Row],[Dutch Active]]=Data2021[[#This Row],[Number of  inactive members]],"T","F"),"F")</f>
        <v>F</v>
      </c>
      <c r="V91" t="str">
        <f>IF(Data2021[[#This Row],[EEA Active]]&lt;=Data2021[[#This Row],[EEA total]],"T","F")</f>
        <v>T</v>
      </c>
      <c r="W91" t="str">
        <f>IF(Data2021[[#This Row],[Dutch Active]]&lt;=Data2021[[#This Row],[Dutch total]],"T","F")</f>
        <v>F</v>
      </c>
      <c r="X91" t="str">
        <f>IF(Data2021[[#This Row],[Non-EEA Active ]]&lt;=Data2021[[#This Row],[Non-EEA Total]],"T","F")</f>
        <v>T</v>
      </c>
      <c r="Y9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1">
        <f>IFERROR(VLOOKUP(Data2021[[#This Row],[organisation_name]],'Division Study Year Committees'!$A$1:$L$108,2,FALSE),"N/A")</f>
        <v>5</v>
      </c>
      <c r="AA91">
        <f>IFERROR(VLOOKUP(Data2021[[#This Row],[organisation_name]],'Division Study Year Committees'!$A$1:$L$108,3,FALSE),"N/A")</f>
        <v>2</v>
      </c>
      <c r="AB91">
        <f>IFERROR(VLOOKUP(Data2021[[#This Row],[organisation_name]],'Division Study Year Committees'!$A$1:$L$108,4,FALSE),"N/A")</f>
        <v>1</v>
      </c>
      <c r="AC91">
        <f>IFERROR(VLOOKUP(Data2021[[#This Row],[organisation_name]],'Division Study Year Committees'!$A$1:$L$108,5,FALSE), "N/A")</f>
        <v>0</v>
      </c>
      <c r="AD91">
        <f>IFERROR(VLOOKUP(Data2021[[#This Row],[organisation_name]],'Division Study Year Committees'!$A$1:$L$108,6,FALSE), "N/A")</f>
        <v>10</v>
      </c>
      <c r="AE91">
        <f>SUM(Data2021[[#This Row],[Number of first year comittee members]:[Number of 4+ year comittee members]])</f>
        <v>18</v>
      </c>
      <c r="AF91">
        <f>COUNTIF('Comittee2021'!D:D,Data2021[[#This Row],[organisation_name]])</f>
        <v>11</v>
      </c>
      <c r="AG91">
        <f>COUNTIFS('Comittee2021'!$D:$D,Data2021[[#This Row],[organisation_name]],'Comittee2021'!$O:$O,"strong decrease")</f>
        <v>2</v>
      </c>
      <c r="AH91">
        <f>COUNTIFS('Comittee2021'!$D:$D,Data2021[[#This Row],[organisation_name]],'Comittee2021'!$O:$O,"slight decrease")</f>
        <v>3</v>
      </c>
      <c r="AI91">
        <f>COUNTIFS('Comittee2021'!$D:$D,Data2021[[#This Row],[organisation_name]],'Comittee2021'!$O:$O,"no influence")</f>
        <v>2</v>
      </c>
      <c r="AJ91">
        <f>COUNTIFS('Comittee2021'!$D:$D,Data2021[[#This Row],[organisation_name]],'Comittee2021'!$O:$O,"slight increase")</f>
        <v>3</v>
      </c>
      <c r="AK91">
        <f>COUNTIFS('Comittee2021'!$D:$D,Data2021[[#This Row],[organisation_name]],'Comittee2021'!$O:$O,"strong increase")</f>
        <v>1</v>
      </c>
      <c r="AL91">
        <v>2021</v>
      </c>
    </row>
    <row r="92" spans="1:38" x14ac:dyDescent="0.3">
      <c r="A92" t="str">
        <f>General2021[[#This Row],[organisation_name]]</f>
        <v>PSA</v>
      </c>
      <c r="B92" t="str">
        <f>IF(General2021[[#This Row],[sector]]= "",VLOOKUP(Data2021[[#This Row],[organisation_name]],'Response Rate sheet'!A:D,3,FALSE),General2021[[#This Row],[sector]])</f>
        <v>world</v>
      </c>
      <c r="C92" t="str">
        <f>General2021[[#This Row],[organisation_type]]</f>
        <v>association</v>
      </c>
      <c r="D92" t="str">
        <f>IF(ISBLANK(General2021[[#This Row],[number_of_members]]),"N/A",VLOOKUP(A92,General2021[[organisation_name]:[number_of_international_committee_board_members_not_eea]],6,FALSE))</f>
        <v>N/A</v>
      </c>
      <c r="E92" t="str">
        <f>IF(ISBLANK(General2021[[#This Row],[number_of_committee_board_members]]),"N/A",VLOOKUP(A92,General2021!B:M,10,FALSE))</f>
        <v>N/A</v>
      </c>
      <c r="F92" t="str">
        <f>IFERROR(Data2021[[#This Row],[Number of members]]-Data2021[[#This Row],[Number of active members]], "N/A")</f>
        <v>N/A</v>
      </c>
      <c r="G92" t="str">
        <f>IFERROR(Data2021[[#This Row],[Number of active members]]/Data2021[[#This Row],[Number of members]], "N/A")</f>
        <v>N/A</v>
      </c>
      <c r="H92" t="str">
        <f>IFERROR(1-Data2021[[#This Row],[Percentage active members]],"N/A")</f>
        <v>N/A</v>
      </c>
      <c r="I92" t="str">
        <f>IF(Data2021[[#This Row],[Number of members]]=0,"N/A",IF(Data2021[[#This Row],[Number of members]]&lt;50," A. 1 - 50 ",IF(Data2021[[#This Row],[Number of members]]&lt;100, "B. 50 - 100", IF(Data2021[[#This Row],[Number of members]]&lt;400, "C. 100 - 400", IF(Data2021[[#This Row],[Number of members]]&lt;1000,"D. 400 - 1000", "E. 1000 +")))))</f>
        <v>E. 1000 +</v>
      </c>
      <c r="J92" t="str">
        <f>IF(ISBLANK(General2021[[#This Row],[number_of_international_members_not_eea]]),"N/A",VLOOKUP(A92,General2021[[organisation_name]:[number_of_international_committee_board_members_not_eea]],9,FALSE))</f>
        <v>N/A</v>
      </c>
      <c r="K92" t="str">
        <f>IF(ISBLANK(General2021[[#This Row],[number_of_international_members_eea]]),"N/A",VLOOKUP(A92,General2021[[organisation_name]:[number_of_international_committee_board_members_not_eea]],8,FALSE))</f>
        <v>N/A</v>
      </c>
      <c r="L92" t="str">
        <f>IFERROR(IF(Data2021[[#This Row],[Number of members]]-Data2021[[#This Row],[Non-EEA Total]]-Data2021[[#This Row],[EEA total]]&lt;1,"N/A", Data2021[[#This Row],[Number of members]]-Data2021[[#This Row],[Non-EEA Total]]-Data2021[[#This Row],[EEA total]]),"N/A")</f>
        <v>N/A</v>
      </c>
      <c r="M92">
        <f>VLOOKUP(A92,General2021[[organisation_name]:[number_of_international_committee_board_members_not_eea]],12,FALSE)</f>
        <v>0</v>
      </c>
      <c r="N92">
        <f>VLOOKUP(A92,General2021[[organisation_name]:[number_of_international_committee_board_members_not_eea]],11,FALSE)</f>
        <v>0</v>
      </c>
      <c r="O92" t="str">
        <f>IFERROR(IF(Data2021[[#This Row],[Number of active members]]-Data2021[[#This Row],[Non-EEA Active ]]-Data2021[[#This Row],[EEA Active]]&lt;1,"N/A", Data2021[[#This Row],[Number of active members]]-Data2021[[#This Row],[Non-EEA Active ]]-Data2021[[#This Row],[EEA Active]]),"N/A")</f>
        <v>N/A</v>
      </c>
      <c r="P92" t="str">
        <f>IFERROR(Data2021[[#This Row],[Non-EEA Active ]]/Data2021[[#This Row],[Number of active members]],"N/A")</f>
        <v>N/A</v>
      </c>
      <c r="Q92" t="str">
        <f>IFERROR(Data2021[[#This Row],[EEA Active]]/Data2021[[#This Row],[EEA total]], "N/A")</f>
        <v>N/A</v>
      </c>
      <c r="R92" t="str">
        <f>IFERROR(Data2021[[#This Row],[Dutch Active]]/Data2021[[#This Row],[Dutch total]],"N/A")</f>
        <v>N/A</v>
      </c>
      <c r="S92" t="str">
        <f>IFERROR(IF(Data2021[[#This Row],[Number of members]]=Data2021[[#This Row],[Non-EEA Total]]+Data2021[[#This Row],[EEA total]]+Data2021[[#This Row],[Dutch total]],"T","F"),"F")</f>
        <v>F</v>
      </c>
      <c r="T92" t="str">
        <f>IFERROR(IF(Data2021[[#This Row],[Number of active members]]=Data2021[[#This Row],[Non-EEA Active ]]+Data2021[[#This Row],[EEA Active]]+Data2021[[#This Row],[Dutch Active]],"T","F"),"F")</f>
        <v>F</v>
      </c>
      <c r="U92" t="str">
        <f>IFERROR(IF(Data2021[[#This Row],[Number of members]]-Data2021[[#This Row],[Non-EEA Active ]]-Data2021[[#This Row],[EEA Active]]-Data2021[[#This Row],[Dutch Active]]=Data2021[[#This Row],[Number of  inactive members]],"T","F"),"F")</f>
        <v>F</v>
      </c>
      <c r="V92" t="str">
        <f>IF(Data2021[[#This Row],[EEA Active]]&lt;=Data2021[[#This Row],[EEA total]],"T","F")</f>
        <v>T</v>
      </c>
      <c r="W92" t="str">
        <f>IF(Data2021[[#This Row],[Dutch Active]]&lt;=Data2021[[#This Row],[Dutch total]],"T","F")</f>
        <v>T</v>
      </c>
      <c r="X92" t="str">
        <f>IF(Data2021[[#This Row],[Non-EEA Active ]]&lt;=Data2021[[#This Row],[Non-EEA Total]],"T","F")</f>
        <v>T</v>
      </c>
      <c r="Y9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2" t="str">
        <f>IFERROR(VLOOKUP(Data2021[[#This Row],[organisation_name]],'Division Study Year Committees'!$A$1:$L$108,2,FALSE),"N/A")</f>
        <v>N/A</v>
      </c>
      <c r="AA92" t="str">
        <f>IFERROR(VLOOKUP(Data2021[[#This Row],[organisation_name]],'Division Study Year Committees'!$A$1:$L$108,3,FALSE),"N/A")</f>
        <v>N/A</v>
      </c>
      <c r="AB92" t="str">
        <f>IFERROR(VLOOKUP(Data2021[[#This Row],[organisation_name]],'Division Study Year Committees'!$A$1:$L$108,4,FALSE),"N/A")</f>
        <v>N/A</v>
      </c>
      <c r="AC92" t="str">
        <f>IFERROR(VLOOKUP(Data2021[[#This Row],[organisation_name]],'Division Study Year Committees'!$A$1:$L$108,5,FALSE), "N/A")</f>
        <v>N/A</v>
      </c>
      <c r="AD92" t="str">
        <f>IFERROR(VLOOKUP(Data2021[[#This Row],[organisation_name]],'Division Study Year Committees'!$A$1:$L$108,6,FALSE), "N/A")</f>
        <v>N/A</v>
      </c>
      <c r="AE92">
        <f>SUM(Data2021[[#This Row],[Number of first year comittee members]:[Number of 4+ year comittee members]])</f>
        <v>0</v>
      </c>
      <c r="AF92">
        <f>COUNTIF('Comittee2021'!D:D,Data2021[[#This Row],[organisation_name]])</f>
        <v>0</v>
      </c>
      <c r="AG92">
        <f>COUNTIFS('Comittee2021'!$D:$D,Data2021[[#This Row],[organisation_name]],'Comittee2021'!$O:$O,"strong decrease")</f>
        <v>0</v>
      </c>
      <c r="AH92">
        <f>COUNTIFS('Comittee2021'!$D:$D,Data2021[[#This Row],[organisation_name]],'Comittee2021'!$O:$O,"slight decrease")</f>
        <v>0</v>
      </c>
      <c r="AI92">
        <f>COUNTIFS('Comittee2021'!$D:$D,Data2021[[#This Row],[organisation_name]],'Comittee2021'!$O:$O,"no influence")</f>
        <v>0</v>
      </c>
      <c r="AJ92">
        <f>COUNTIFS('Comittee2021'!$D:$D,Data2021[[#This Row],[organisation_name]],'Comittee2021'!$O:$O,"slight increase")</f>
        <v>0</v>
      </c>
      <c r="AK92">
        <f>COUNTIFS('Comittee2021'!$D:$D,Data2021[[#This Row],[organisation_name]],'Comittee2021'!$O:$O,"strong increase")</f>
        <v>0</v>
      </c>
      <c r="AL92">
        <v>2021</v>
      </c>
    </row>
    <row r="93" spans="1:38" x14ac:dyDescent="0.3">
      <c r="A93" t="str">
        <f>General2021[[#This Row],[organisation_name]]</f>
        <v>SUUT</v>
      </c>
      <c r="B93" t="str">
        <f>IF(General2021[[#This Row],[sector]]= "",VLOOKUP(Data2021[[#This Row],[organisation_name]],'Response Rate sheet'!A:D,3,FALSE),General2021[[#This Row],[sector]])</f>
        <v>world</v>
      </c>
      <c r="C93" t="str">
        <f>General2021[[#This Row],[organisation_type]]</f>
        <v>association</v>
      </c>
      <c r="D93" t="str">
        <f>IF(ISBLANK(General2021[[#This Row],[number_of_members]]),"N/A",VLOOKUP(A93,General2021[[organisation_name]:[number_of_international_committee_board_members_not_eea]],6,FALSE))</f>
        <v>N/A</v>
      </c>
      <c r="E93" t="str">
        <f>IF(ISBLANK(General2021[[#This Row],[number_of_committee_board_members]]),"N/A",VLOOKUP(A93,General2021!B:M,10,FALSE))</f>
        <v>N/A</v>
      </c>
      <c r="F93" t="str">
        <f>IFERROR(Data2021[[#This Row],[Number of members]]-Data2021[[#This Row],[Number of active members]], "N/A")</f>
        <v>N/A</v>
      </c>
      <c r="G93" t="str">
        <f>IFERROR(Data2021[[#This Row],[Number of active members]]/Data2021[[#This Row],[Number of members]], "N/A")</f>
        <v>N/A</v>
      </c>
      <c r="H93" t="str">
        <f>IFERROR(1-Data2021[[#This Row],[Percentage active members]],"N/A")</f>
        <v>N/A</v>
      </c>
      <c r="I93" t="str">
        <f>IF(Data2021[[#This Row],[Number of members]]=0,"N/A",IF(Data2021[[#This Row],[Number of members]]&lt;50," A. 1 - 50 ",IF(Data2021[[#This Row],[Number of members]]&lt;100, "B. 50 - 100", IF(Data2021[[#This Row],[Number of members]]&lt;400, "C. 100 - 400", IF(Data2021[[#This Row],[Number of members]]&lt;1000,"D. 400 - 1000", "E. 1000 +")))))</f>
        <v>E. 1000 +</v>
      </c>
      <c r="J93" t="str">
        <f>IF(ISBLANK(General2021[[#This Row],[number_of_international_members_not_eea]]),"N/A",VLOOKUP(A93,General2021[[organisation_name]:[number_of_international_committee_board_members_not_eea]],9,FALSE))</f>
        <v>N/A</v>
      </c>
      <c r="K93" t="str">
        <f>IF(ISBLANK(General2021[[#This Row],[number_of_international_members_eea]]),"N/A",VLOOKUP(A93,General2021[[organisation_name]:[number_of_international_committee_board_members_not_eea]],8,FALSE))</f>
        <v>N/A</v>
      </c>
      <c r="L93" t="str">
        <f>IFERROR(IF(Data2021[[#This Row],[Number of members]]-Data2021[[#This Row],[Non-EEA Total]]-Data2021[[#This Row],[EEA total]]&lt;1,"N/A", Data2021[[#This Row],[Number of members]]-Data2021[[#This Row],[Non-EEA Total]]-Data2021[[#This Row],[EEA total]]),"N/A")</f>
        <v>N/A</v>
      </c>
      <c r="M93">
        <f>VLOOKUP(A93,General2021[[organisation_name]:[number_of_international_committee_board_members_not_eea]],12,FALSE)</f>
        <v>0</v>
      </c>
      <c r="N93">
        <f>VLOOKUP(A93,General2021[[organisation_name]:[number_of_international_committee_board_members_not_eea]],11,FALSE)</f>
        <v>0</v>
      </c>
      <c r="O93" t="str">
        <f>IFERROR(IF(Data2021[[#This Row],[Number of active members]]-Data2021[[#This Row],[Non-EEA Active ]]-Data2021[[#This Row],[EEA Active]]&lt;1,"N/A", Data2021[[#This Row],[Number of active members]]-Data2021[[#This Row],[Non-EEA Active ]]-Data2021[[#This Row],[EEA Active]]),"N/A")</f>
        <v>N/A</v>
      </c>
      <c r="P93" t="str">
        <f>IFERROR(Data2021[[#This Row],[Non-EEA Active ]]/Data2021[[#This Row],[Number of active members]],"N/A")</f>
        <v>N/A</v>
      </c>
      <c r="Q93" t="str">
        <f>IFERROR(Data2021[[#This Row],[EEA Active]]/Data2021[[#This Row],[EEA total]], "N/A")</f>
        <v>N/A</v>
      </c>
      <c r="R93" t="str">
        <f>IFERROR(Data2021[[#This Row],[Dutch Active]]/Data2021[[#This Row],[Dutch total]],"N/A")</f>
        <v>N/A</v>
      </c>
      <c r="S93" t="str">
        <f>IFERROR(IF(Data2021[[#This Row],[Number of members]]=Data2021[[#This Row],[Non-EEA Total]]+Data2021[[#This Row],[EEA total]]+Data2021[[#This Row],[Dutch total]],"T","F"),"F")</f>
        <v>F</v>
      </c>
      <c r="T93" t="str">
        <f>IFERROR(IF(Data2021[[#This Row],[Number of active members]]=Data2021[[#This Row],[Non-EEA Active ]]+Data2021[[#This Row],[EEA Active]]+Data2021[[#This Row],[Dutch Active]],"T","F"),"F")</f>
        <v>F</v>
      </c>
      <c r="U93" t="str">
        <f>IFERROR(IF(Data2021[[#This Row],[Number of members]]-Data2021[[#This Row],[Non-EEA Active ]]-Data2021[[#This Row],[EEA Active]]-Data2021[[#This Row],[Dutch Active]]=Data2021[[#This Row],[Number of  inactive members]],"T","F"),"F")</f>
        <v>F</v>
      </c>
      <c r="V93" t="str">
        <f>IF(Data2021[[#This Row],[EEA Active]]&lt;=Data2021[[#This Row],[EEA total]],"T","F")</f>
        <v>T</v>
      </c>
      <c r="W93" t="str">
        <f>IF(Data2021[[#This Row],[Dutch Active]]&lt;=Data2021[[#This Row],[Dutch total]],"T","F")</f>
        <v>T</v>
      </c>
      <c r="X93" t="str">
        <f>IF(Data2021[[#This Row],[Non-EEA Active ]]&lt;=Data2021[[#This Row],[Non-EEA Total]],"T","F")</f>
        <v>T</v>
      </c>
      <c r="Y9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3" t="str">
        <f>IFERROR(VLOOKUP(Data2021[[#This Row],[organisation_name]],'Division Study Year Committees'!$A$1:$L$108,2,FALSE),"N/A")</f>
        <v>N/A</v>
      </c>
      <c r="AA93" t="str">
        <f>IFERROR(VLOOKUP(Data2021[[#This Row],[organisation_name]],'Division Study Year Committees'!$A$1:$L$108,3,FALSE),"N/A")</f>
        <v>N/A</v>
      </c>
      <c r="AB93" t="str">
        <f>IFERROR(VLOOKUP(Data2021[[#This Row],[organisation_name]],'Division Study Year Committees'!$A$1:$L$108,4,FALSE),"N/A")</f>
        <v>N/A</v>
      </c>
      <c r="AC93" t="str">
        <f>IFERROR(VLOOKUP(Data2021[[#This Row],[organisation_name]],'Division Study Year Committees'!$A$1:$L$108,5,FALSE), "N/A")</f>
        <v>N/A</v>
      </c>
      <c r="AD93" t="str">
        <f>IFERROR(VLOOKUP(Data2021[[#This Row],[organisation_name]],'Division Study Year Committees'!$A$1:$L$108,6,FALSE), "N/A")</f>
        <v>N/A</v>
      </c>
      <c r="AE93">
        <f>SUM(Data2021[[#This Row],[Number of first year comittee members]:[Number of 4+ year comittee members]])</f>
        <v>0</v>
      </c>
      <c r="AF93">
        <f>COUNTIF('Comittee2021'!D:D,Data2021[[#This Row],[organisation_name]])</f>
        <v>0</v>
      </c>
      <c r="AG93">
        <f>COUNTIFS('Comittee2021'!$D:$D,Data2021[[#This Row],[organisation_name]],'Comittee2021'!$O:$O,"strong decrease")</f>
        <v>0</v>
      </c>
      <c r="AH93">
        <f>COUNTIFS('Comittee2021'!$D:$D,Data2021[[#This Row],[organisation_name]],'Comittee2021'!$O:$O,"slight decrease")</f>
        <v>0</v>
      </c>
      <c r="AI93">
        <f>COUNTIFS('Comittee2021'!$D:$D,Data2021[[#This Row],[organisation_name]],'Comittee2021'!$O:$O,"no influence")</f>
        <v>0</v>
      </c>
      <c r="AJ93">
        <f>COUNTIFS('Comittee2021'!$D:$D,Data2021[[#This Row],[organisation_name]],'Comittee2021'!$O:$O,"slight increase")</f>
        <v>0</v>
      </c>
      <c r="AK93">
        <f>COUNTIFS('Comittee2021'!$D:$D,Data2021[[#This Row],[organisation_name]],'Comittee2021'!$O:$O,"strong increase")</f>
        <v>0</v>
      </c>
      <c r="AL93">
        <v>2021</v>
      </c>
    </row>
    <row r="94" spans="1:38" x14ac:dyDescent="0.3">
      <c r="A94" t="str">
        <f>General2021[[#This Row],[organisation_name]]</f>
        <v>RSA</v>
      </c>
      <c r="B94" t="str">
        <f>IF(General2021[[#This Row],[sector]]= "",VLOOKUP(Data2021[[#This Row],[organisation_name]],'Response Rate sheet'!A:D,3,FALSE),General2021[[#This Row],[sector]])</f>
        <v>world</v>
      </c>
      <c r="C94" t="str">
        <f>General2021[[#This Row],[organisation_type]]</f>
        <v>association</v>
      </c>
      <c r="D94" t="str">
        <f>IF(ISBLANK(General2021[[#This Row],[number_of_members]]),"N/A",VLOOKUP(A94,General2021[[organisation_name]:[number_of_international_committee_board_members_not_eea]],6,FALSE))</f>
        <v>N/A</v>
      </c>
      <c r="E94" t="str">
        <f>IF(ISBLANK(General2021[[#This Row],[number_of_committee_board_members]]),"N/A",VLOOKUP(A94,General2021!B:M,10,FALSE))</f>
        <v>N/A</v>
      </c>
      <c r="F94" t="str">
        <f>IFERROR(Data2021[[#This Row],[Number of members]]-Data2021[[#This Row],[Number of active members]], "N/A")</f>
        <v>N/A</v>
      </c>
      <c r="G94" t="str">
        <f>IFERROR(Data2021[[#This Row],[Number of active members]]/Data2021[[#This Row],[Number of members]], "N/A")</f>
        <v>N/A</v>
      </c>
      <c r="H94" t="str">
        <f>IFERROR(1-Data2021[[#This Row],[Percentage active members]],"N/A")</f>
        <v>N/A</v>
      </c>
      <c r="I94" t="str">
        <f>IF(Data2021[[#This Row],[Number of members]]=0,"N/A",IF(Data2021[[#This Row],[Number of members]]&lt;50," A. 1 - 50 ",IF(Data2021[[#This Row],[Number of members]]&lt;100, "B. 50 - 100", IF(Data2021[[#This Row],[Number of members]]&lt;400, "C. 100 - 400", IF(Data2021[[#This Row],[Number of members]]&lt;1000,"D. 400 - 1000", "E. 1000 +")))))</f>
        <v>E. 1000 +</v>
      </c>
      <c r="J94" t="str">
        <f>IF(ISBLANK(General2021[[#This Row],[number_of_international_members_not_eea]]),"N/A",VLOOKUP(A94,General2021[[organisation_name]:[number_of_international_committee_board_members_not_eea]],9,FALSE))</f>
        <v>N/A</v>
      </c>
      <c r="K94" t="str">
        <f>IF(ISBLANK(General2021[[#This Row],[number_of_international_members_eea]]),"N/A",VLOOKUP(A94,General2021[[organisation_name]:[number_of_international_committee_board_members_not_eea]],8,FALSE))</f>
        <v>N/A</v>
      </c>
      <c r="L94" t="str">
        <f>IFERROR(IF(Data2021[[#This Row],[Number of members]]-Data2021[[#This Row],[Non-EEA Total]]-Data2021[[#This Row],[EEA total]]&lt;1,"N/A", Data2021[[#This Row],[Number of members]]-Data2021[[#This Row],[Non-EEA Total]]-Data2021[[#This Row],[EEA total]]),"N/A")</f>
        <v>N/A</v>
      </c>
      <c r="M94">
        <f>VLOOKUP(A94,General2021[[organisation_name]:[number_of_international_committee_board_members_not_eea]],12,FALSE)</f>
        <v>0</v>
      </c>
      <c r="N94">
        <f>VLOOKUP(A94,General2021[[organisation_name]:[number_of_international_committee_board_members_not_eea]],11,FALSE)</f>
        <v>0</v>
      </c>
      <c r="O94" t="str">
        <f>IFERROR(IF(Data2021[[#This Row],[Number of active members]]-Data2021[[#This Row],[Non-EEA Active ]]-Data2021[[#This Row],[EEA Active]]&lt;1,"N/A", Data2021[[#This Row],[Number of active members]]-Data2021[[#This Row],[Non-EEA Active ]]-Data2021[[#This Row],[EEA Active]]),"N/A")</f>
        <v>N/A</v>
      </c>
      <c r="P94" t="str">
        <f>IFERROR(Data2021[[#This Row],[Non-EEA Active ]]/Data2021[[#This Row],[Number of active members]],"N/A")</f>
        <v>N/A</v>
      </c>
      <c r="Q94" t="str">
        <f>IFERROR(Data2021[[#This Row],[EEA Active]]/Data2021[[#This Row],[EEA total]], "N/A")</f>
        <v>N/A</v>
      </c>
      <c r="R94" t="str">
        <f>IFERROR(Data2021[[#This Row],[Dutch Active]]/Data2021[[#This Row],[Dutch total]],"N/A")</f>
        <v>N/A</v>
      </c>
      <c r="S94" t="str">
        <f>IFERROR(IF(Data2021[[#This Row],[Number of members]]=Data2021[[#This Row],[Non-EEA Total]]+Data2021[[#This Row],[EEA total]]+Data2021[[#This Row],[Dutch total]],"T","F"),"F")</f>
        <v>F</v>
      </c>
      <c r="T94" t="str">
        <f>IFERROR(IF(Data2021[[#This Row],[Number of active members]]=Data2021[[#This Row],[Non-EEA Active ]]+Data2021[[#This Row],[EEA Active]]+Data2021[[#This Row],[Dutch Active]],"T","F"),"F")</f>
        <v>F</v>
      </c>
      <c r="U94" t="str">
        <f>IFERROR(IF(Data2021[[#This Row],[Number of members]]-Data2021[[#This Row],[Non-EEA Active ]]-Data2021[[#This Row],[EEA Active]]-Data2021[[#This Row],[Dutch Active]]=Data2021[[#This Row],[Number of  inactive members]],"T","F"),"F")</f>
        <v>F</v>
      </c>
      <c r="V94" t="str">
        <f>IF(Data2021[[#This Row],[EEA Active]]&lt;=Data2021[[#This Row],[EEA total]],"T","F")</f>
        <v>T</v>
      </c>
      <c r="W94" t="str">
        <f>IF(Data2021[[#This Row],[Dutch Active]]&lt;=Data2021[[#This Row],[Dutch total]],"T","F")</f>
        <v>T</v>
      </c>
      <c r="X94" t="str">
        <f>IF(Data2021[[#This Row],[Non-EEA Active ]]&lt;=Data2021[[#This Row],[Non-EEA Total]],"T","F")</f>
        <v>T</v>
      </c>
      <c r="Y9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4" t="str">
        <f>IFERROR(VLOOKUP(Data2021[[#This Row],[organisation_name]],'Division Study Year Committees'!$A$1:$L$108,2,FALSE),"N/A")</f>
        <v>N/A</v>
      </c>
      <c r="AA94" t="str">
        <f>IFERROR(VLOOKUP(Data2021[[#This Row],[organisation_name]],'Division Study Year Committees'!$A$1:$L$108,3,FALSE),"N/A")</f>
        <v>N/A</v>
      </c>
      <c r="AB94" t="str">
        <f>IFERROR(VLOOKUP(Data2021[[#This Row],[organisation_name]],'Division Study Year Committees'!$A$1:$L$108,4,FALSE),"N/A")</f>
        <v>N/A</v>
      </c>
      <c r="AC94" t="str">
        <f>IFERROR(VLOOKUP(Data2021[[#This Row],[organisation_name]],'Division Study Year Committees'!$A$1:$L$108,5,FALSE), "N/A")</f>
        <v>N/A</v>
      </c>
      <c r="AD94" t="str">
        <f>IFERROR(VLOOKUP(Data2021[[#This Row],[organisation_name]],'Division Study Year Committees'!$A$1:$L$108,6,FALSE), "N/A")</f>
        <v>N/A</v>
      </c>
      <c r="AE94">
        <f>SUM(Data2021[[#This Row],[Number of first year comittee members]:[Number of 4+ year comittee members]])</f>
        <v>0</v>
      </c>
      <c r="AF94">
        <f>COUNTIF('Comittee2021'!D:D,Data2021[[#This Row],[organisation_name]])</f>
        <v>0</v>
      </c>
      <c r="AG94">
        <f>COUNTIFS('Comittee2021'!$D:$D,Data2021[[#This Row],[organisation_name]],'Comittee2021'!$O:$O,"strong decrease")</f>
        <v>0</v>
      </c>
      <c r="AH94">
        <f>COUNTIFS('Comittee2021'!$D:$D,Data2021[[#This Row],[organisation_name]],'Comittee2021'!$O:$O,"slight decrease")</f>
        <v>0</v>
      </c>
      <c r="AI94">
        <f>COUNTIFS('Comittee2021'!$D:$D,Data2021[[#This Row],[organisation_name]],'Comittee2021'!$O:$O,"no influence")</f>
        <v>0</v>
      </c>
      <c r="AJ94">
        <f>COUNTIFS('Comittee2021'!$D:$D,Data2021[[#This Row],[organisation_name]],'Comittee2021'!$O:$O,"slight increase")</f>
        <v>0</v>
      </c>
      <c r="AK94">
        <f>COUNTIFS('Comittee2021'!$D:$D,Data2021[[#This Row],[organisation_name]],'Comittee2021'!$O:$O,"strong increase")</f>
        <v>0</v>
      </c>
      <c r="AL94">
        <v>2021</v>
      </c>
    </row>
    <row r="95" spans="1:38" x14ac:dyDescent="0.3">
      <c r="A95" t="str">
        <f>General2021[[#This Row],[organisation_name]]</f>
        <v>UT Muslims</v>
      </c>
      <c r="B95" t="str">
        <f>IF(General2021[[#This Row],[sector]]= "",VLOOKUP(Data2021[[#This Row],[organisation_name]],'Response Rate sheet'!A:D,3,FALSE),General2021[[#This Row],[sector]])</f>
        <v>World</v>
      </c>
      <c r="C95" t="str">
        <f>General2021[[#This Row],[organisation_type]]</f>
        <v>association</v>
      </c>
      <c r="D95">
        <f>IF(ISBLANK(General2021[[#This Row],[number_of_members]]),"N/A",VLOOKUP(A95,General2021[[organisation_name]:[number_of_international_committee_board_members_not_eea]],6,FALSE))</f>
        <v>57</v>
      </c>
      <c r="E95">
        <f>IF(ISBLANK(General2021[[#This Row],[number_of_committee_board_members]]),"N/A",VLOOKUP(A95,General2021!B:M,10,FALSE))</f>
        <v>5</v>
      </c>
      <c r="F95">
        <f>IFERROR(Data2021[[#This Row],[Number of members]]-Data2021[[#This Row],[Number of active members]], "N/A")</f>
        <v>52</v>
      </c>
      <c r="G95">
        <f>IFERROR(Data2021[[#This Row],[Number of active members]]/Data2021[[#This Row],[Number of members]], "N/A")</f>
        <v>8.771929824561403E-2</v>
      </c>
      <c r="H95">
        <f>IFERROR(1-Data2021[[#This Row],[Percentage active members]],"N/A")</f>
        <v>0.91228070175438591</v>
      </c>
      <c r="I95" t="str">
        <f>IF(Data2021[[#This Row],[Number of members]]=0,"N/A",IF(Data2021[[#This Row],[Number of members]]&lt;50," A. 1 - 50 ",IF(Data2021[[#This Row],[Number of members]]&lt;100, "B. 50 - 100", IF(Data2021[[#This Row],[Number of members]]&lt;400, "C. 100 - 400", IF(Data2021[[#This Row],[Number of members]]&lt;1000,"D. 400 - 1000", "E. 1000 +")))))</f>
        <v>B. 50 - 100</v>
      </c>
      <c r="J95">
        <f>IF(ISBLANK(General2021[[#This Row],[number_of_international_members_not_eea]]),"N/A",VLOOKUP(A95,General2021[[organisation_name]:[number_of_international_committee_board_members_not_eea]],9,FALSE))</f>
        <v>15</v>
      </c>
      <c r="K95">
        <f>IF(ISBLANK(General2021[[#This Row],[number_of_international_members_eea]]),"N/A",VLOOKUP(A95,General2021[[organisation_name]:[number_of_international_committee_board_members_not_eea]],8,FALSE))</f>
        <v>36</v>
      </c>
      <c r="L95">
        <f>IFERROR(IF(Data2021[[#This Row],[Number of members]]-Data2021[[#This Row],[Non-EEA Total]]-Data2021[[#This Row],[EEA total]]&lt;1,"N/A", Data2021[[#This Row],[Number of members]]-Data2021[[#This Row],[Non-EEA Total]]-Data2021[[#This Row],[EEA total]]),"N/A")</f>
        <v>6</v>
      </c>
      <c r="M95">
        <f>VLOOKUP(A95,General2021[[organisation_name]:[number_of_international_committee_board_members_not_eea]],12,FALSE)</f>
        <v>6</v>
      </c>
      <c r="N95">
        <f>VLOOKUP(A95,General2021[[organisation_name]:[number_of_international_committee_board_members_not_eea]],11,FALSE)</f>
        <v>1</v>
      </c>
      <c r="O95" t="str">
        <f>IFERROR(IF(Data2021[[#This Row],[Number of active members]]-Data2021[[#This Row],[Non-EEA Active ]]-Data2021[[#This Row],[EEA Active]]&lt;1,"N/A", Data2021[[#This Row],[Number of active members]]-Data2021[[#This Row],[Non-EEA Active ]]-Data2021[[#This Row],[EEA Active]]),"N/A")</f>
        <v>N/A</v>
      </c>
      <c r="P95">
        <f>IFERROR(Data2021[[#This Row],[Non-EEA Active ]]/Data2021[[#This Row],[Number of active members]],"N/A")</f>
        <v>1.2</v>
      </c>
      <c r="Q95">
        <f>IFERROR(Data2021[[#This Row],[EEA Active]]/Data2021[[#This Row],[EEA total]], "N/A")</f>
        <v>2.7777777777777776E-2</v>
      </c>
      <c r="R95" t="str">
        <f>IFERROR(Data2021[[#This Row],[Dutch Active]]/Data2021[[#This Row],[Dutch total]],"N/A")</f>
        <v>N/A</v>
      </c>
      <c r="S95" t="str">
        <f>IFERROR(IF(Data2021[[#This Row],[Number of members]]=Data2021[[#This Row],[Non-EEA Total]]+Data2021[[#This Row],[EEA total]]+Data2021[[#This Row],[Dutch total]],"T","F"),"F")</f>
        <v>T</v>
      </c>
      <c r="T95" t="str">
        <f>IFERROR(IF(Data2021[[#This Row],[Number of active members]]=Data2021[[#This Row],[Non-EEA Active ]]+Data2021[[#This Row],[EEA Active]]+Data2021[[#This Row],[Dutch Active]],"T","F"),"F")</f>
        <v>F</v>
      </c>
      <c r="U95" t="str">
        <f>IFERROR(IF(Data2021[[#This Row],[Number of members]]-Data2021[[#This Row],[Non-EEA Active ]]-Data2021[[#This Row],[EEA Active]]-Data2021[[#This Row],[Dutch Active]]=Data2021[[#This Row],[Number of  inactive members]],"T","F"),"F")</f>
        <v>F</v>
      </c>
      <c r="V95" t="str">
        <f>IF(Data2021[[#This Row],[EEA Active]]&lt;=Data2021[[#This Row],[EEA total]],"T","F")</f>
        <v>T</v>
      </c>
      <c r="W95" t="str">
        <f>IF(Data2021[[#This Row],[Dutch Active]]&lt;=Data2021[[#This Row],[Dutch total]],"T","F")</f>
        <v>F</v>
      </c>
      <c r="X95" t="str">
        <f>IF(Data2021[[#This Row],[Non-EEA Active ]]&lt;=Data2021[[#This Row],[Non-EEA Total]],"T","F")</f>
        <v>T</v>
      </c>
      <c r="Y9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5">
        <f>IFERROR(VLOOKUP(Data2021[[#This Row],[organisation_name]],'Division Study Year Committees'!$A$1:$L$108,2,FALSE),"N/A")</f>
        <v>8</v>
      </c>
      <c r="AA95">
        <f>IFERROR(VLOOKUP(Data2021[[#This Row],[organisation_name]],'Division Study Year Committees'!$A$1:$L$108,3,FALSE),"N/A")</f>
        <v>2</v>
      </c>
      <c r="AB95">
        <f>IFERROR(VLOOKUP(Data2021[[#This Row],[organisation_name]],'Division Study Year Committees'!$A$1:$L$108,4,FALSE),"N/A")</f>
        <v>0</v>
      </c>
      <c r="AC95">
        <f>IFERROR(VLOOKUP(Data2021[[#This Row],[organisation_name]],'Division Study Year Committees'!$A$1:$L$108,5,FALSE), "N/A")</f>
        <v>0</v>
      </c>
      <c r="AD95">
        <f>IFERROR(VLOOKUP(Data2021[[#This Row],[organisation_name]],'Division Study Year Committees'!$A$1:$L$108,6,FALSE), "N/A")</f>
        <v>3</v>
      </c>
      <c r="AE95">
        <f>SUM(Data2021[[#This Row],[Number of first year comittee members]:[Number of 4+ year comittee members]])</f>
        <v>13</v>
      </c>
      <c r="AF95">
        <f>COUNTIF('Comittee2021'!D:D,Data2021[[#This Row],[organisation_name]])</f>
        <v>4</v>
      </c>
      <c r="AG95">
        <f>COUNTIFS('Comittee2021'!$D:$D,Data2021[[#This Row],[organisation_name]],'Comittee2021'!$O:$O,"strong decrease")</f>
        <v>1</v>
      </c>
      <c r="AH95">
        <f>COUNTIFS('Comittee2021'!$D:$D,Data2021[[#This Row],[organisation_name]],'Comittee2021'!$O:$O,"slight decrease")</f>
        <v>1</v>
      </c>
      <c r="AI95">
        <f>COUNTIFS('Comittee2021'!$D:$D,Data2021[[#This Row],[organisation_name]],'Comittee2021'!$O:$O,"no influence")</f>
        <v>0</v>
      </c>
      <c r="AJ95">
        <f>COUNTIFS('Comittee2021'!$D:$D,Data2021[[#This Row],[organisation_name]],'Comittee2021'!$O:$O,"slight increase")</f>
        <v>1</v>
      </c>
      <c r="AK95">
        <f>COUNTIFS('Comittee2021'!$D:$D,Data2021[[#This Row],[organisation_name]],'Comittee2021'!$O:$O,"strong increase")</f>
        <v>1</v>
      </c>
      <c r="AL95">
        <v>2021</v>
      </c>
    </row>
    <row r="96" spans="1:38" x14ac:dyDescent="0.3">
      <c r="A96" t="str">
        <f>General2021[[#This Row],[organisation_name]]</f>
        <v>SUT</v>
      </c>
      <c r="B96" t="str">
        <f>IF(General2021[[#This Row],[sector]]= "",VLOOKUP(Data2021[[#This Row],[organisation_name]],'Response Rate sheet'!A:D,3,FALSE),General2021[[#This Row],[sector]])</f>
        <v>Sports</v>
      </c>
      <c r="C96" t="str">
        <f>General2021[[#This Row],[organisation_type]]</f>
        <v>foundation</v>
      </c>
      <c r="D96">
        <f>IF(ISBLANK(General2021[[#This Row],[number_of_members]]),"N/A",VLOOKUP(A96,General2021[[organisation_name]:[number_of_international_committee_board_members_not_eea]],6,FALSE))</f>
        <v>3</v>
      </c>
      <c r="E96">
        <f>IF(ISBLANK(General2021[[#This Row],[number_of_committee_board_members]]),"N/A",VLOOKUP(A96,General2021!B:M,10,FALSE))</f>
        <v>0</v>
      </c>
      <c r="F96">
        <f>IFERROR(Data2021[[#This Row],[Number of members]]-Data2021[[#This Row],[Number of active members]], "N/A")</f>
        <v>3</v>
      </c>
      <c r="G96">
        <f>IFERROR(Data2021[[#This Row],[Number of active members]]/Data2021[[#This Row],[Number of members]], "N/A")</f>
        <v>0</v>
      </c>
      <c r="H96">
        <f>IFERROR(1-Data2021[[#This Row],[Percentage active members]],"N/A")</f>
        <v>1</v>
      </c>
      <c r="I96"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96">
        <f>IF(ISBLANK(General2021[[#This Row],[number_of_international_members_not_eea]]),"N/A",VLOOKUP(A96,General2021[[organisation_name]:[number_of_international_committee_board_members_not_eea]],9,FALSE))</f>
        <v>0</v>
      </c>
      <c r="K96" t="str">
        <f>IF(ISBLANK(General2021[[#This Row],[number_of_international_members_eea]]),"N/A",VLOOKUP(A96,General2021[[organisation_name]:[number_of_international_committee_board_members_not_eea]],8,FALSE))</f>
        <v>N/A</v>
      </c>
      <c r="L96" t="str">
        <f>IFERROR(IF(Data2021[[#This Row],[Number of members]]-Data2021[[#This Row],[Non-EEA Total]]-Data2021[[#This Row],[EEA total]]&lt;1,"N/A", Data2021[[#This Row],[Number of members]]-Data2021[[#This Row],[Non-EEA Total]]-Data2021[[#This Row],[EEA total]]),"N/A")</f>
        <v>N/A</v>
      </c>
      <c r="M96">
        <f>VLOOKUP(A96,General2021[[organisation_name]:[number_of_international_committee_board_members_not_eea]],12,FALSE)</f>
        <v>0</v>
      </c>
      <c r="N96">
        <f>VLOOKUP(A96,General2021[[organisation_name]:[number_of_international_committee_board_members_not_eea]],11,FALSE)</f>
        <v>0</v>
      </c>
      <c r="O96" t="str">
        <f>IFERROR(IF(Data2021[[#This Row],[Number of active members]]-Data2021[[#This Row],[Non-EEA Active ]]-Data2021[[#This Row],[EEA Active]]&lt;1,"N/A", Data2021[[#This Row],[Number of active members]]-Data2021[[#This Row],[Non-EEA Active ]]-Data2021[[#This Row],[EEA Active]]),"N/A")</f>
        <v>N/A</v>
      </c>
      <c r="P96" t="str">
        <f>IFERROR(Data2021[[#This Row],[Non-EEA Active ]]/Data2021[[#This Row],[Number of active members]],"N/A")</f>
        <v>N/A</v>
      </c>
      <c r="Q96" t="str">
        <f>IFERROR(Data2021[[#This Row],[EEA Active]]/Data2021[[#This Row],[EEA total]], "N/A")</f>
        <v>N/A</v>
      </c>
      <c r="R96" t="str">
        <f>IFERROR(Data2021[[#This Row],[Dutch Active]]/Data2021[[#This Row],[Dutch total]],"N/A")</f>
        <v>N/A</v>
      </c>
      <c r="S96" t="str">
        <f>IFERROR(IF(Data2021[[#This Row],[Number of members]]=Data2021[[#This Row],[Non-EEA Total]]+Data2021[[#This Row],[EEA total]]+Data2021[[#This Row],[Dutch total]],"T","F"),"F")</f>
        <v>F</v>
      </c>
      <c r="T96" t="str">
        <f>IFERROR(IF(Data2021[[#This Row],[Number of active members]]=Data2021[[#This Row],[Non-EEA Active ]]+Data2021[[#This Row],[EEA Active]]+Data2021[[#This Row],[Dutch Active]],"T","F"),"F")</f>
        <v>F</v>
      </c>
      <c r="U96" t="str">
        <f>IFERROR(IF(Data2021[[#This Row],[Number of members]]-Data2021[[#This Row],[Non-EEA Active ]]-Data2021[[#This Row],[EEA Active]]-Data2021[[#This Row],[Dutch Active]]=Data2021[[#This Row],[Number of  inactive members]],"T","F"),"F")</f>
        <v>F</v>
      </c>
      <c r="V96" t="str">
        <f>IF(Data2021[[#This Row],[EEA Active]]&lt;=Data2021[[#This Row],[EEA total]],"T","F")</f>
        <v>T</v>
      </c>
      <c r="W96" t="str">
        <f>IF(Data2021[[#This Row],[Dutch Active]]&lt;=Data2021[[#This Row],[Dutch total]],"T","F")</f>
        <v>T</v>
      </c>
      <c r="X96" t="str">
        <f>IF(Data2021[[#This Row],[Non-EEA Active ]]&lt;=Data2021[[#This Row],[Non-EEA Total]],"T","F")</f>
        <v>T</v>
      </c>
      <c r="Y9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6">
        <f>IFERROR(VLOOKUP(Data2021[[#This Row],[organisation_name]],'Division Study Year Committees'!$A$1:$L$108,2,FALSE),"N/A")</f>
        <v>0</v>
      </c>
      <c r="AA96">
        <f>IFERROR(VLOOKUP(Data2021[[#This Row],[organisation_name]],'Division Study Year Committees'!$A$1:$L$108,3,FALSE),"N/A")</f>
        <v>1</v>
      </c>
      <c r="AB96">
        <f>IFERROR(VLOOKUP(Data2021[[#This Row],[organisation_name]],'Division Study Year Committees'!$A$1:$L$108,4,FALSE),"N/A")</f>
        <v>3</v>
      </c>
      <c r="AC96">
        <f>IFERROR(VLOOKUP(Data2021[[#This Row],[organisation_name]],'Division Study Year Committees'!$A$1:$L$108,5,FALSE), "N/A")</f>
        <v>8</v>
      </c>
      <c r="AD96">
        <f>IFERROR(VLOOKUP(Data2021[[#This Row],[organisation_name]],'Division Study Year Committees'!$A$1:$L$108,6,FALSE), "N/A")</f>
        <v>2</v>
      </c>
      <c r="AE96">
        <f>SUM(Data2021[[#This Row],[Number of first year comittee members]:[Number of 4+ year comittee members]])</f>
        <v>14</v>
      </c>
      <c r="AF96">
        <f>COUNTIF('Comittee2021'!D:D,Data2021[[#This Row],[organisation_name]])</f>
        <v>3</v>
      </c>
      <c r="AG96">
        <f>COUNTIFS('Comittee2021'!$D:$D,Data2021[[#This Row],[organisation_name]],'Comittee2021'!$O:$O,"strong decrease")</f>
        <v>0</v>
      </c>
      <c r="AH96">
        <f>COUNTIFS('Comittee2021'!$D:$D,Data2021[[#This Row],[organisation_name]],'Comittee2021'!$O:$O,"slight decrease")</f>
        <v>1</v>
      </c>
      <c r="AI96">
        <f>COUNTIFS('Comittee2021'!$D:$D,Data2021[[#This Row],[organisation_name]],'Comittee2021'!$O:$O,"no influence")</f>
        <v>2</v>
      </c>
      <c r="AJ96">
        <f>COUNTIFS('Comittee2021'!$D:$D,Data2021[[#This Row],[organisation_name]],'Comittee2021'!$O:$O,"slight increase")</f>
        <v>0</v>
      </c>
      <c r="AK96">
        <f>COUNTIFS('Comittee2021'!$D:$D,Data2021[[#This Row],[organisation_name]],'Comittee2021'!$O:$O,"strong increase")</f>
        <v>0</v>
      </c>
      <c r="AL96">
        <v>2021</v>
      </c>
    </row>
    <row r="97" spans="1:38" x14ac:dyDescent="0.3">
      <c r="A97" t="str">
        <f>General2021[[#This Row],[organisation_name]]</f>
        <v>Cultuurkoepel Apollo</v>
      </c>
      <c r="B97" t="str">
        <f>IF(General2021[[#This Row],[sector]]= "",VLOOKUP(Data2021[[#This Row],[organisation_name]],'Response Rate sheet'!A:D,3,FALSE),General2021[[#This Row],[sector]])</f>
        <v>Culture</v>
      </c>
      <c r="C97" t="str">
        <f>General2021[[#This Row],[organisation_type]]</f>
        <v>foundation</v>
      </c>
      <c r="D97">
        <f>IF(ISBLANK(General2021[[#This Row],[number_of_members]]),"N/A",VLOOKUP(A97,General2021[[organisation_name]:[number_of_international_committee_board_members_not_eea]],6,FALSE))</f>
        <v>4</v>
      </c>
      <c r="E97">
        <f>IF(ISBLANK(General2021[[#This Row],[number_of_committee_board_members]]),"N/A",VLOOKUP(A97,General2021!B:M,10,FALSE))</f>
        <v>0</v>
      </c>
      <c r="F97">
        <f>IFERROR(Data2021[[#This Row],[Number of members]]-Data2021[[#This Row],[Number of active members]], "N/A")</f>
        <v>4</v>
      </c>
      <c r="G97">
        <f>IFERROR(Data2021[[#This Row],[Number of active members]]/Data2021[[#This Row],[Number of members]], "N/A")</f>
        <v>0</v>
      </c>
      <c r="H97">
        <f>IFERROR(1-Data2021[[#This Row],[Percentage active members]],"N/A")</f>
        <v>1</v>
      </c>
      <c r="I97"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97">
        <f>IF(ISBLANK(General2021[[#This Row],[number_of_international_members_not_eea]]),"N/A",VLOOKUP(A97,General2021[[organisation_name]:[number_of_international_committee_board_members_not_eea]],9,FALSE))</f>
        <v>0</v>
      </c>
      <c r="K97" t="str">
        <f>IF(ISBLANK(General2021[[#This Row],[number_of_international_members_eea]]),"N/A",VLOOKUP(A97,General2021[[organisation_name]:[number_of_international_committee_board_members_not_eea]],8,FALSE))</f>
        <v>N/A</v>
      </c>
      <c r="L97" t="str">
        <f>IFERROR(IF(Data2021[[#This Row],[Number of members]]-Data2021[[#This Row],[Non-EEA Total]]-Data2021[[#This Row],[EEA total]]&lt;1,"N/A", Data2021[[#This Row],[Number of members]]-Data2021[[#This Row],[Non-EEA Total]]-Data2021[[#This Row],[EEA total]]),"N/A")</f>
        <v>N/A</v>
      </c>
      <c r="M97">
        <f>VLOOKUP(A97,General2021[[organisation_name]:[number_of_international_committee_board_members_not_eea]],12,FALSE)</f>
        <v>0</v>
      </c>
      <c r="N97">
        <f>VLOOKUP(A97,General2021[[organisation_name]:[number_of_international_committee_board_members_not_eea]],11,FALSE)</f>
        <v>0</v>
      </c>
      <c r="O97" t="str">
        <f>IFERROR(IF(Data2021[[#This Row],[Number of active members]]-Data2021[[#This Row],[Non-EEA Active ]]-Data2021[[#This Row],[EEA Active]]&lt;1,"N/A", Data2021[[#This Row],[Number of active members]]-Data2021[[#This Row],[Non-EEA Active ]]-Data2021[[#This Row],[EEA Active]]),"N/A")</f>
        <v>N/A</v>
      </c>
      <c r="P97" t="str">
        <f>IFERROR(Data2021[[#This Row],[Non-EEA Active ]]/Data2021[[#This Row],[Number of active members]],"N/A")</f>
        <v>N/A</v>
      </c>
      <c r="Q97" t="str">
        <f>IFERROR(Data2021[[#This Row],[EEA Active]]/Data2021[[#This Row],[EEA total]], "N/A")</f>
        <v>N/A</v>
      </c>
      <c r="R97" t="str">
        <f>IFERROR(Data2021[[#This Row],[Dutch Active]]/Data2021[[#This Row],[Dutch total]],"N/A")</f>
        <v>N/A</v>
      </c>
      <c r="S97" t="str">
        <f>IFERROR(IF(Data2021[[#This Row],[Number of members]]=Data2021[[#This Row],[Non-EEA Total]]+Data2021[[#This Row],[EEA total]]+Data2021[[#This Row],[Dutch total]],"T","F"),"F")</f>
        <v>F</v>
      </c>
      <c r="T97" t="str">
        <f>IFERROR(IF(Data2021[[#This Row],[Number of active members]]=Data2021[[#This Row],[Non-EEA Active ]]+Data2021[[#This Row],[EEA Active]]+Data2021[[#This Row],[Dutch Active]],"T","F"),"F")</f>
        <v>F</v>
      </c>
      <c r="U97" t="str">
        <f>IFERROR(IF(Data2021[[#This Row],[Number of members]]-Data2021[[#This Row],[Non-EEA Active ]]-Data2021[[#This Row],[EEA Active]]-Data2021[[#This Row],[Dutch Active]]=Data2021[[#This Row],[Number of  inactive members]],"T","F"),"F")</f>
        <v>F</v>
      </c>
      <c r="V97" t="str">
        <f>IF(Data2021[[#This Row],[EEA Active]]&lt;=Data2021[[#This Row],[EEA total]],"T","F")</f>
        <v>T</v>
      </c>
      <c r="W97" t="str">
        <f>IF(Data2021[[#This Row],[Dutch Active]]&lt;=Data2021[[#This Row],[Dutch total]],"T","F")</f>
        <v>T</v>
      </c>
      <c r="X97" t="str">
        <f>IF(Data2021[[#This Row],[Non-EEA Active ]]&lt;=Data2021[[#This Row],[Non-EEA Total]],"T","F")</f>
        <v>T</v>
      </c>
      <c r="Y9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7">
        <f>IFERROR(VLOOKUP(Data2021[[#This Row],[organisation_name]],'Division Study Year Committees'!$A$1:$L$108,2,FALSE),"N/A")</f>
        <v>1</v>
      </c>
      <c r="AA97">
        <f>IFERROR(VLOOKUP(Data2021[[#This Row],[organisation_name]],'Division Study Year Committees'!$A$1:$L$108,3,FALSE),"N/A")</f>
        <v>5</v>
      </c>
      <c r="AB97">
        <f>IFERROR(VLOOKUP(Data2021[[#This Row],[organisation_name]],'Division Study Year Committees'!$A$1:$L$108,4,FALSE),"N/A")</f>
        <v>11</v>
      </c>
      <c r="AC97">
        <f>IFERROR(VLOOKUP(Data2021[[#This Row],[organisation_name]],'Division Study Year Committees'!$A$1:$L$108,5,FALSE), "N/A")</f>
        <v>11</v>
      </c>
      <c r="AD97">
        <f>IFERROR(VLOOKUP(Data2021[[#This Row],[organisation_name]],'Division Study Year Committees'!$A$1:$L$108,6,FALSE), "N/A")</f>
        <v>6</v>
      </c>
      <c r="AE97">
        <f>SUM(Data2021[[#This Row],[Number of first year comittee members]:[Number of 4+ year comittee members]])</f>
        <v>34</v>
      </c>
      <c r="AF97">
        <f>COUNTIF('Comittee2021'!D:D,Data2021[[#This Row],[organisation_name]])</f>
        <v>13</v>
      </c>
      <c r="AG97">
        <f>COUNTIFS('Comittee2021'!$D:$D,Data2021[[#This Row],[organisation_name]],'Comittee2021'!$O:$O,"strong decrease")</f>
        <v>1</v>
      </c>
      <c r="AH97">
        <f>COUNTIFS('Comittee2021'!$D:$D,Data2021[[#This Row],[organisation_name]],'Comittee2021'!$O:$O,"slight decrease")</f>
        <v>0</v>
      </c>
      <c r="AI97">
        <f>COUNTIFS('Comittee2021'!$D:$D,Data2021[[#This Row],[organisation_name]],'Comittee2021'!$O:$O,"no influence")</f>
        <v>11</v>
      </c>
      <c r="AJ97">
        <f>COUNTIFS('Comittee2021'!$D:$D,Data2021[[#This Row],[organisation_name]],'Comittee2021'!$O:$O,"slight increase")</f>
        <v>0</v>
      </c>
      <c r="AK97">
        <f>COUNTIFS('Comittee2021'!$D:$D,Data2021[[#This Row],[organisation_name]],'Comittee2021'!$O:$O,"strong increase")</f>
        <v>1</v>
      </c>
      <c r="AL97">
        <v>2021</v>
      </c>
    </row>
    <row r="98" spans="1:38" x14ac:dyDescent="0.3">
      <c r="A98" t="str">
        <f>General2021[[#This Row],[organisation_name]]</f>
        <v>PKVV Fact</v>
      </c>
      <c r="B98" t="str">
        <f>IF(General2021[[#This Row],[sector]]= "",VLOOKUP(Data2021[[#This Row],[organisation_name]],'Response Rate sheet'!A:D,3,FALSE),General2021[[#This Row],[sector]])</f>
        <v>Social</v>
      </c>
      <c r="C98" t="str">
        <f>General2021[[#This Row],[organisation_type]]</f>
        <v>foundation</v>
      </c>
      <c r="D98">
        <f>IF(ISBLANK(General2021[[#This Row],[number_of_members]]),"N/A",VLOOKUP(A98,General2021[[organisation_name]:[number_of_international_committee_board_members_not_eea]],6,FALSE))</f>
        <v>4</v>
      </c>
      <c r="E98">
        <f>IF(ISBLANK(General2021[[#This Row],[number_of_committee_board_members]]),"N/A",VLOOKUP(A98,General2021!B:M,10,FALSE))</f>
        <v>0</v>
      </c>
      <c r="F98">
        <f>IFERROR(Data2021[[#This Row],[Number of members]]-Data2021[[#This Row],[Number of active members]], "N/A")</f>
        <v>4</v>
      </c>
      <c r="G98">
        <f>IFERROR(Data2021[[#This Row],[Number of active members]]/Data2021[[#This Row],[Number of members]], "N/A")</f>
        <v>0</v>
      </c>
      <c r="H98">
        <f>IFERROR(1-Data2021[[#This Row],[Percentage active members]],"N/A")</f>
        <v>1</v>
      </c>
      <c r="I98"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98">
        <f>IF(ISBLANK(General2021[[#This Row],[number_of_international_members_not_eea]]),"N/A",VLOOKUP(A98,General2021[[organisation_name]:[number_of_international_committee_board_members_not_eea]],9,FALSE))</f>
        <v>0</v>
      </c>
      <c r="K98">
        <f>IF(ISBLANK(General2021[[#This Row],[number_of_international_members_eea]]),"N/A",VLOOKUP(A98,General2021[[organisation_name]:[number_of_international_committee_board_members_not_eea]],8,FALSE))</f>
        <v>0</v>
      </c>
      <c r="L98">
        <f>IFERROR(IF(Data2021[[#This Row],[Number of members]]-Data2021[[#This Row],[Non-EEA Total]]-Data2021[[#This Row],[EEA total]]&lt;1,"N/A", Data2021[[#This Row],[Number of members]]-Data2021[[#This Row],[Non-EEA Total]]-Data2021[[#This Row],[EEA total]]),"N/A")</f>
        <v>4</v>
      </c>
      <c r="M98">
        <f>VLOOKUP(A98,General2021[[organisation_name]:[number_of_international_committee_board_members_not_eea]],12,FALSE)</f>
        <v>0</v>
      </c>
      <c r="N98">
        <f>VLOOKUP(A98,General2021[[organisation_name]:[number_of_international_committee_board_members_not_eea]],11,FALSE)</f>
        <v>0</v>
      </c>
      <c r="O98" t="str">
        <f>IFERROR(IF(Data2021[[#This Row],[Number of active members]]-Data2021[[#This Row],[Non-EEA Active ]]-Data2021[[#This Row],[EEA Active]]&lt;1,"N/A", Data2021[[#This Row],[Number of active members]]-Data2021[[#This Row],[Non-EEA Active ]]-Data2021[[#This Row],[EEA Active]]),"N/A")</f>
        <v>N/A</v>
      </c>
      <c r="P98" t="str">
        <f>IFERROR(Data2021[[#This Row],[Non-EEA Active ]]/Data2021[[#This Row],[Number of active members]],"N/A")</f>
        <v>N/A</v>
      </c>
      <c r="Q98" t="str">
        <f>IFERROR(Data2021[[#This Row],[EEA Active]]/Data2021[[#This Row],[EEA total]], "N/A")</f>
        <v>N/A</v>
      </c>
      <c r="R98" t="str">
        <f>IFERROR(Data2021[[#This Row],[Dutch Active]]/Data2021[[#This Row],[Dutch total]],"N/A")</f>
        <v>N/A</v>
      </c>
      <c r="S98" t="str">
        <f>IFERROR(IF(Data2021[[#This Row],[Number of members]]=Data2021[[#This Row],[Non-EEA Total]]+Data2021[[#This Row],[EEA total]]+Data2021[[#This Row],[Dutch total]],"T","F"),"F")</f>
        <v>T</v>
      </c>
      <c r="T98" t="str">
        <f>IFERROR(IF(Data2021[[#This Row],[Number of active members]]=Data2021[[#This Row],[Non-EEA Active ]]+Data2021[[#This Row],[EEA Active]]+Data2021[[#This Row],[Dutch Active]],"T","F"),"F")</f>
        <v>F</v>
      </c>
      <c r="U98" t="str">
        <f>IFERROR(IF(Data2021[[#This Row],[Number of members]]-Data2021[[#This Row],[Non-EEA Active ]]-Data2021[[#This Row],[EEA Active]]-Data2021[[#This Row],[Dutch Active]]=Data2021[[#This Row],[Number of  inactive members]],"T","F"),"F")</f>
        <v>F</v>
      </c>
      <c r="V98" t="str">
        <f>IF(Data2021[[#This Row],[EEA Active]]&lt;=Data2021[[#This Row],[EEA total]],"T","F")</f>
        <v>T</v>
      </c>
      <c r="W98" t="str">
        <f>IF(Data2021[[#This Row],[Dutch Active]]&lt;=Data2021[[#This Row],[Dutch total]],"T","F")</f>
        <v>F</v>
      </c>
      <c r="X98" t="str">
        <f>IF(Data2021[[#This Row],[Non-EEA Active ]]&lt;=Data2021[[#This Row],[Non-EEA Total]],"T","F")</f>
        <v>T</v>
      </c>
      <c r="Y9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8">
        <f>IFERROR(VLOOKUP(Data2021[[#This Row],[organisation_name]],'Division Study Year Committees'!$A$1:$L$108,2,FALSE),"N/A")</f>
        <v>1</v>
      </c>
      <c r="AA98">
        <f>IFERROR(VLOOKUP(Data2021[[#This Row],[organisation_name]],'Division Study Year Committees'!$A$1:$L$108,3,FALSE),"N/A")</f>
        <v>4</v>
      </c>
      <c r="AB98">
        <f>IFERROR(VLOOKUP(Data2021[[#This Row],[organisation_name]],'Division Study Year Committees'!$A$1:$L$108,4,FALSE),"N/A")</f>
        <v>4</v>
      </c>
      <c r="AC98">
        <f>IFERROR(VLOOKUP(Data2021[[#This Row],[organisation_name]],'Division Study Year Committees'!$A$1:$L$108,5,FALSE), "N/A")</f>
        <v>3</v>
      </c>
      <c r="AD98">
        <f>IFERROR(VLOOKUP(Data2021[[#This Row],[organisation_name]],'Division Study Year Committees'!$A$1:$L$108,6,FALSE), "N/A")</f>
        <v>6</v>
      </c>
      <c r="AE98">
        <f>SUM(Data2021[[#This Row],[Number of first year comittee members]:[Number of 4+ year comittee members]])</f>
        <v>18</v>
      </c>
      <c r="AF98">
        <f>COUNTIF('Comittee2021'!D:D,Data2021[[#This Row],[organisation_name]])</f>
        <v>3</v>
      </c>
      <c r="AG98">
        <f>COUNTIFS('Comittee2021'!$D:$D,Data2021[[#This Row],[organisation_name]],'Comittee2021'!$O:$O,"strong decrease")</f>
        <v>1</v>
      </c>
      <c r="AH98">
        <f>COUNTIFS('Comittee2021'!$D:$D,Data2021[[#This Row],[organisation_name]],'Comittee2021'!$O:$O,"slight decrease")</f>
        <v>0</v>
      </c>
      <c r="AI98">
        <f>COUNTIFS('Comittee2021'!$D:$D,Data2021[[#This Row],[organisation_name]],'Comittee2021'!$O:$O,"no influence")</f>
        <v>1</v>
      </c>
      <c r="AJ98">
        <f>COUNTIFS('Comittee2021'!$D:$D,Data2021[[#This Row],[organisation_name]],'Comittee2021'!$O:$O,"slight increase")</f>
        <v>1</v>
      </c>
      <c r="AK98">
        <f>COUNTIFS('Comittee2021'!$D:$D,Data2021[[#This Row],[organisation_name]],'Comittee2021'!$O:$O,"strong increase")</f>
        <v>0</v>
      </c>
      <c r="AL98">
        <v>2021</v>
      </c>
    </row>
    <row r="99" spans="1:38" x14ac:dyDescent="0.3">
      <c r="A99" t="str">
        <f>General2021[[#This Row],[organisation_name]]</f>
        <v>UniTe</v>
      </c>
      <c r="B99" t="str">
        <f>IF(General2021[[#This Row],[sector]]= "",VLOOKUP(Data2021[[#This Row],[organisation_name]],'Response Rate sheet'!A:D,3,FALSE),General2021[[#This Row],[sector]])</f>
        <v>World</v>
      </c>
      <c r="C99" t="str">
        <f>General2021[[#This Row],[organisation_type]]</f>
        <v>foundation</v>
      </c>
      <c r="D99">
        <f>IF(ISBLANK(General2021[[#This Row],[number_of_members]]),"N/A",VLOOKUP(A99,General2021[[organisation_name]:[number_of_international_committee_board_members_not_eea]],6,FALSE))</f>
        <v>7</v>
      </c>
      <c r="E99">
        <f>IF(ISBLANK(General2021[[#This Row],[number_of_committee_board_members]]),"N/A",VLOOKUP(A99,General2021!B:M,10,FALSE))</f>
        <v>0</v>
      </c>
      <c r="F99">
        <f>IFERROR(Data2021[[#This Row],[Number of members]]-Data2021[[#This Row],[Number of active members]], "N/A")</f>
        <v>7</v>
      </c>
      <c r="G99">
        <f>IFERROR(Data2021[[#This Row],[Number of active members]]/Data2021[[#This Row],[Number of members]], "N/A")</f>
        <v>0</v>
      </c>
      <c r="H99">
        <f>IFERROR(1-Data2021[[#This Row],[Percentage active members]],"N/A")</f>
        <v>1</v>
      </c>
      <c r="I99"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99">
        <f>IF(ISBLANK(General2021[[#This Row],[number_of_international_members_not_eea]]),"N/A",VLOOKUP(A99,General2021[[organisation_name]:[number_of_international_committee_board_members_not_eea]],9,FALSE))</f>
        <v>0</v>
      </c>
      <c r="K99">
        <f>IF(ISBLANK(General2021[[#This Row],[number_of_international_members_eea]]),"N/A",VLOOKUP(A99,General2021[[organisation_name]:[number_of_international_committee_board_members_not_eea]],8,FALSE))</f>
        <v>6</v>
      </c>
      <c r="L99">
        <f>IFERROR(IF(Data2021[[#This Row],[Number of members]]-Data2021[[#This Row],[Non-EEA Total]]-Data2021[[#This Row],[EEA total]]&lt;1,"N/A", Data2021[[#This Row],[Number of members]]-Data2021[[#This Row],[Non-EEA Total]]-Data2021[[#This Row],[EEA total]]),"N/A")</f>
        <v>1</v>
      </c>
      <c r="M99">
        <f>VLOOKUP(A99,General2021[[organisation_name]:[number_of_international_committee_board_members_not_eea]],12,FALSE)</f>
        <v>0</v>
      </c>
      <c r="N99">
        <f>VLOOKUP(A99,General2021[[organisation_name]:[number_of_international_committee_board_members_not_eea]],11,FALSE)</f>
        <v>0</v>
      </c>
      <c r="O99" t="str">
        <f>IFERROR(IF(Data2021[[#This Row],[Number of active members]]-Data2021[[#This Row],[Non-EEA Active ]]-Data2021[[#This Row],[EEA Active]]&lt;1,"N/A", Data2021[[#This Row],[Number of active members]]-Data2021[[#This Row],[Non-EEA Active ]]-Data2021[[#This Row],[EEA Active]]),"N/A")</f>
        <v>N/A</v>
      </c>
      <c r="P99" t="str">
        <f>IFERROR(Data2021[[#This Row],[Non-EEA Active ]]/Data2021[[#This Row],[Number of active members]],"N/A")</f>
        <v>N/A</v>
      </c>
      <c r="Q99">
        <f>IFERROR(Data2021[[#This Row],[EEA Active]]/Data2021[[#This Row],[EEA total]], "N/A")</f>
        <v>0</v>
      </c>
      <c r="R99" t="str">
        <f>IFERROR(Data2021[[#This Row],[Dutch Active]]/Data2021[[#This Row],[Dutch total]],"N/A")</f>
        <v>N/A</v>
      </c>
      <c r="S99" t="str">
        <f>IFERROR(IF(Data2021[[#This Row],[Number of members]]=Data2021[[#This Row],[Non-EEA Total]]+Data2021[[#This Row],[EEA total]]+Data2021[[#This Row],[Dutch total]],"T","F"),"F")</f>
        <v>T</v>
      </c>
      <c r="T99" t="str">
        <f>IFERROR(IF(Data2021[[#This Row],[Number of active members]]=Data2021[[#This Row],[Non-EEA Active ]]+Data2021[[#This Row],[EEA Active]]+Data2021[[#This Row],[Dutch Active]],"T","F"),"F")</f>
        <v>F</v>
      </c>
      <c r="U99" t="str">
        <f>IFERROR(IF(Data2021[[#This Row],[Number of members]]-Data2021[[#This Row],[Non-EEA Active ]]-Data2021[[#This Row],[EEA Active]]-Data2021[[#This Row],[Dutch Active]]=Data2021[[#This Row],[Number of  inactive members]],"T","F"),"F")</f>
        <v>F</v>
      </c>
      <c r="V99" t="str">
        <f>IF(Data2021[[#This Row],[EEA Active]]&lt;=Data2021[[#This Row],[EEA total]],"T","F")</f>
        <v>T</v>
      </c>
      <c r="W99" t="str">
        <f>IF(Data2021[[#This Row],[Dutch Active]]&lt;=Data2021[[#This Row],[Dutch total]],"T","F")</f>
        <v>F</v>
      </c>
      <c r="X99" t="str">
        <f>IF(Data2021[[#This Row],[Non-EEA Active ]]&lt;=Data2021[[#This Row],[Non-EEA Total]],"T","F")</f>
        <v>T</v>
      </c>
      <c r="Y9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99">
        <f>IFERROR(VLOOKUP(Data2021[[#This Row],[organisation_name]],'Division Study Year Committees'!$A$1:$L$108,2,FALSE),"N/A")</f>
        <v>0</v>
      </c>
      <c r="AA99">
        <f>IFERROR(VLOOKUP(Data2021[[#This Row],[organisation_name]],'Division Study Year Committees'!$A$1:$L$108,3,FALSE),"N/A")</f>
        <v>1</v>
      </c>
      <c r="AB99">
        <f>IFERROR(VLOOKUP(Data2021[[#This Row],[organisation_name]],'Division Study Year Committees'!$A$1:$L$108,4,FALSE),"N/A")</f>
        <v>0</v>
      </c>
      <c r="AC99">
        <f>IFERROR(VLOOKUP(Data2021[[#This Row],[organisation_name]],'Division Study Year Committees'!$A$1:$L$108,5,FALSE), "N/A")</f>
        <v>3</v>
      </c>
      <c r="AD99">
        <f>IFERROR(VLOOKUP(Data2021[[#This Row],[organisation_name]],'Division Study Year Committees'!$A$1:$L$108,6,FALSE), "N/A")</f>
        <v>3</v>
      </c>
      <c r="AE99">
        <f>SUM(Data2021[[#This Row],[Number of first year comittee members]:[Number of 4+ year comittee members]])</f>
        <v>7</v>
      </c>
      <c r="AF99">
        <f>COUNTIF('Comittee2021'!D:D,Data2021[[#This Row],[organisation_name]])</f>
        <v>1</v>
      </c>
      <c r="AG99">
        <f>COUNTIFS('Comittee2021'!$D:$D,Data2021[[#This Row],[organisation_name]],'Comittee2021'!$O:$O,"strong decrease")</f>
        <v>0</v>
      </c>
      <c r="AH99">
        <f>COUNTIFS('Comittee2021'!$D:$D,Data2021[[#This Row],[organisation_name]],'Comittee2021'!$O:$O,"slight decrease")</f>
        <v>0</v>
      </c>
      <c r="AI99">
        <f>COUNTIFS('Comittee2021'!$D:$D,Data2021[[#This Row],[organisation_name]],'Comittee2021'!$O:$O,"no influence")</f>
        <v>1</v>
      </c>
      <c r="AJ99">
        <f>COUNTIFS('Comittee2021'!$D:$D,Data2021[[#This Row],[organisation_name]],'Comittee2021'!$O:$O,"slight increase")</f>
        <v>0</v>
      </c>
      <c r="AK99">
        <f>COUNTIFS('Comittee2021'!$D:$D,Data2021[[#This Row],[organisation_name]],'Comittee2021'!$O:$O,"strong increase")</f>
        <v>0</v>
      </c>
      <c r="AL99">
        <v>2021</v>
      </c>
    </row>
    <row r="100" spans="1:38" x14ac:dyDescent="0.3">
      <c r="A100" t="str">
        <f>General2021[[#This Row],[organisation_name]]</f>
        <v>AIESEC Twente</v>
      </c>
      <c r="B100" t="str">
        <f>IF(General2021[[#This Row],[sector]]= "",VLOOKUP(Data2021[[#This Row],[organisation_name]],'Response Rate sheet'!A:D,3,FALSE),General2021[[#This Row],[sector]])</f>
        <v>Other</v>
      </c>
      <c r="C100" t="str">
        <f>General2021[[#This Row],[organisation_type]]</f>
        <v>foundation</v>
      </c>
      <c r="D100">
        <f>IF(ISBLANK(General2021[[#This Row],[number_of_members]]),"N/A",VLOOKUP(A100,General2021[[organisation_name]:[number_of_international_committee_board_members_not_eea]],6,FALSE))</f>
        <v>9</v>
      </c>
      <c r="E100">
        <f>IF(ISBLANK(General2021[[#This Row],[number_of_committee_board_members]]),"N/A",VLOOKUP(A100,General2021!B:M,10,FALSE))</f>
        <v>0</v>
      </c>
      <c r="F100">
        <f>IFERROR(Data2021[[#This Row],[Number of members]]-Data2021[[#This Row],[Number of active members]], "N/A")</f>
        <v>9</v>
      </c>
      <c r="G100">
        <f>IFERROR(Data2021[[#This Row],[Number of active members]]/Data2021[[#This Row],[Number of members]], "N/A")</f>
        <v>0</v>
      </c>
      <c r="H100">
        <f>IFERROR(1-Data2021[[#This Row],[Percentage active members]],"N/A")</f>
        <v>1</v>
      </c>
      <c r="I100"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00">
        <f>IF(ISBLANK(General2021[[#This Row],[number_of_international_members_not_eea]]),"N/A",VLOOKUP(A100,General2021[[organisation_name]:[number_of_international_committee_board_members_not_eea]],9,FALSE))</f>
        <v>0</v>
      </c>
      <c r="K100">
        <f>IF(ISBLANK(General2021[[#This Row],[number_of_international_members_eea]]),"N/A",VLOOKUP(A100,General2021[[organisation_name]:[number_of_international_committee_board_members_not_eea]],8,FALSE))</f>
        <v>1</v>
      </c>
      <c r="L100">
        <f>IFERROR(IF(Data2021[[#This Row],[Number of members]]-Data2021[[#This Row],[Non-EEA Total]]-Data2021[[#This Row],[EEA total]]&lt;1,"N/A", Data2021[[#This Row],[Number of members]]-Data2021[[#This Row],[Non-EEA Total]]-Data2021[[#This Row],[EEA total]]),"N/A")</f>
        <v>8</v>
      </c>
      <c r="M100">
        <f>VLOOKUP(A100,General2021[[organisation_name]:[number_of_international_committee_board_members_not_eea]],12,FALSE)</f>
        <v>0</v>
      </c>
      <c r="N100">
        <f>VLOOKUP(A100,General2021[[organisation_name]:[number_of_international_committee_board_members_not_eea]],11,FALSE)</f>
        <v>0</v>
      </c>
      <c r="O100" t="str">
        <f>IFERROR(IF(Data2021[[#This Row],[Number of active members]]-Data2021[[#This Row],[Non-EEA Active ]]-Data2021[[#This Row],[EEA Active]]&lt;1,"N/A", Data2021[[#This Row],[Number of active members]]-Data2021[[#This Row],[Non-EEA Active ]]-Data2021[[#This Row],[EEA Active]]),"N/A")</f>
        <v>N/A</v>
      </c>
      <c r="P100" t="str">
        <f>IFERROR(Data2021[[#This Row],[Non-EEA Active ]]/Data2021[[#This Row],[Number of active members]],"N/A")</f>
        <v>N/A</v>
      </c>
      <c r="Q100">
        <f>IFERROR(Data2021[[#This Row],[EEA Active]]/Data2021[[#This Row],[EEA total]], "N/A")</f>
        <v>0</v>
      </c>
      <c r="R100" t="str">
        <f>IFERROR(Data2021[[#This Row],[Dutch Active]]/Data2021[[#This Row],[Dutch total]],"N/A")</f>
        <v>N/A</v>
      </c>
      <c r="S100" t="str">
        <f>IFERROR(IF(Data2021[[#This Row],[Number of members]]=Data2021[[#This Row],[Non-EEA Total]]+Data2021[[#This Row],[EEA total]]+Data2021[[#This Row],[Dutch total]],"T","F"),"F")</f>
        <v>T</v>
      </c>
      <c r="T100" t="str">
        <f>IFERROR(IF(Data2021[[#This Row],[Number of active members]]=Data2021[[#This Row],[Non-EEA Active ]]+Data2021[[#This Row],[EEA Active]]+Data2021[[#This Row],[Dutch Active]],"T","F"),"F")</f>
        <v>F</v>
      </c>
      <c r="U100" t="str">
        <f>IFERROR(IF(Data2021[[#This Row],[Number of members]]-Data2021[[#This Row],[Non-EEA Active ]]-Data2021[[#This Row],[EEA Active]]-Data2021[[#This Row],[Dutch Active]]=Data2021[[#This Row],[Number of  inactive members]],"T","F"),"F")</f>
        <v>F</v>
      </c>
      <c r="V100" t="str">
        <f>IF(Data2021[[#This Row],[EEA Active]]&lt;=Data2021[[#This Row],[EEA total]],"T","F")</f>
        <v>T</v>
      </c>
      <c r="W100" t="str">
        <f>IF(Data2021[[#This Row],[Dutch Active]]&lt;=Data2021[[#This Row],[Dutch total]],"T","F")</f>
        <v>F</v>
      </c>
      <c r="X100" t="str">
        <f>IF(Data2021[[#This Row],[Non-EEA Active ]]&lt;=Data2021[[#This Row],[Non-EEA Total]],"T","F")</f>
        <v>T</v>
      </c>
      <c r="Y10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0">
        <f>IFERROR(VLOOKUP(Data2021[[#This Row],[organisation_name]],'Division Study Year Committees'!$A$1:$L$108,2,FALSE),"N/A")</f>
        <v>0</v>
      </c>
      <c r="AA100">
        <f>IFERROR(VLOOKUP(Data2021[[#This Row],[organisation_name]],'Division Study Year Committees'!$A$1:$L$108,3,FALSE),"N/A")</f>
        <v>1</v>
      </c>
      <c r="AB100">
        <f>IFERROR(VLOOKUP(Data2021[[#This Row],[organisation_name]],'Division Study Year Committees'!$A$1:$L$108,4,FALSE),"N/A")</f>
        <v>3</v>
      </c>
      <c r="AC100">
        <f>IFERROR(VLOOKUP(Data2021[[#This Row],[organisation_name]],'Division Study Year Committees'!$A$1:$L$108,5,FALSE), "N/A")</f>
        <v>5</v>
      </c>
      <c r="AD100">
        <f>IFERROR(VLOOKUP(Data2021[[#This Row],[organisation_name]],'Division Study Year Committees'!$A$1:$L$108,6,FALSE), "N/A")</f>
        <v>0</v>
      </c>
      <c r="AE100">
        <f>SUM(Data2021[[#This Row],[Number of first year comittee members]:[Number of 4+ year comittee members]])</f>
        <v>9</v>
      </c>
      <c r="AF100">
        <f>COUNTIF('Comittee2021'!D:D,Data2021[[#This Row],[organisation_name]])</f>
        <v>3</v>
      </c>
      <c r="AG100">
        <f>COUNTIFS('Comittee2021'!$D:$D,Data2021[[#This Row],[organisation_name]],'Comittee2021'!$O:$O,"strong decrease")</f>
        <v>0</v>
      </c>
      <c r="AH100">
        <f>COUNTIFS('Comittee2021'!$D:$D,Data2021[[#This Row],[organisation_name]],'Comittee2021'!$O:$O,"slight decrease")</f>
        <v>1</v>
      </c>
      <c r="AI100">
        <f>COUNTIFS('Comittee2021'!$D:$D,Data2021[[#This Row],[organisation_name]],'Comittee2021'!$O:$O,"no influence")</f>
        <v>2</v>
      </c>
      <c r="AJ100">
        <f>COUNTIFS('Comittee2021'!$D:$D,Data2021[[#This Row],[organisation_name]],'Comittee2021'!$O:$O,"slight increase")</f>
        <v>0</v>
      </c>
      <c r="AK100">
        <f>COUNTIFS('Comittee2021'!$D:$D,Data2021[[#This Row],[organisation_name]],'Comittee2021'!$O:$O,"strong increase")</f>
        <v>0</v>
      </c>
      <c r="AL100">
        <v>2021</v>
      </c>
    </row>
    <row r="101" spans="1:38" x14ac:dyDescent="0.3">
      <c r="A101" t="str">
        <f>General2021[[#This Row],[organisation_name]]</f>
        <v>Bedrijvendagen</v>
      </c>
      <c r="B101" t="str">
        <f>IF(General2021[[#This Row],[sector]]= "",VLOOKUP(Data2021[[#This Row],[organisation_name]],'Response Rate sheet'!A:D,3,FALSE),General2021[[#This Row],[sector]])</f>
        <v>Other</v>
      </c>
      <c r="C101" t="str">
        <f>General2021[[#This Row],[organisation_type]]</f>
        <v>foundation</v>
      </c>
      <c r="D101" t="str">
        <f>IF(ISBLANK(General2021[[#This Row],[number_of_members]]),"N/A",VLOOKUP(A101,General2021[[organisation_name]:[number_of_international_committee_board_members_not_eea]],6,FALSE))</f>
        <v>N/A</v>
      </c>
      <c r="E101" t="str">
        <f>IF(ISBLANK(General2021[[#This Row],[number_of_committee_board_members]]),"N/A",VLOOKUP(A101,General2021!B:M,10,FALSE))</f>
        <v>N/A</v>
      </c>
      <c r="F101" t="str">
        <f>IFERROR(Data2021[[#This Row],[Number of members]]-Data2021[[#This Row],[Number of active members]], "N/A")</f>
        <v>N/A</v>
      </c>
      <c r="G101" t="str">
        <f>IFERROR(Data2021[[#This Row],[Number of active members]]/Data2021[[#This Row],[Number of members]], "N/A")</f>
        <v>N/A</v>
      </c>
      <c r="H101" t="str">
        <f>IFERROR(1-Data2021[[#This Row],[Percentage active members]],"N/A")</f>
        <v>N/A</v>
      </c>
      <c r="I101" t="str">
        <f>IF(Data2021[[#This Row],[Number of members]]=0,"N/A",IF(Data2021[[#This Row],[Number of members]]&lt;50," A. 1 - 50 ",IF(Data2021[[#This Row],[Number of members]]&lt;100, "B. 50 - 100", IF(Data2021[[#This Row],[Number of members]]&lt;400, "C. 100 - 400", IF(Data2021[[#This Row],[Number of members]]&lt;1000,"D. 400 - 1000", "E. 1000 +")))))</f>
        <v>E. 1000 +</v>
      </c>
      <c r="J101" t="str">
        <f>IF(ISBLANK(General2021[[#This Row],[number_of_international_members_not_eea]]),"N/A",VLOOKUP(A101,General2021[[organisation_name]:[number_of_international_committee_board_members_not_eea]],9,FALSE))</f>
        <v>N/A</v>
      </c>
      <c r="K101" t="str">
        <f>IF(ISBLANK(General2021[[#This Row],[number_of_international_members_eea]]),"N/A",VLOOKUP(A101,General2021[[organisation_name]:[number_of_international_committee_board_members_not_eea]],8,FALSE))</f>
        <v>N/A</v>
      </c>
      <c r="L101" t="str">
        <f>IFERROR(IF(Data2021[[#This Row],[Number of members]]-Data2021[[#This Row],[Non-EEA Total]]-Data2021[[#This Row],[EEA total]]&lt;1,"N/A", Data2021[[#This Row],[Number of members]]-Data2021[[#This Row],[Non-EEA Total]]-Data2021[[#This Row],[EEA total]]),"N/A")</f>
        <v>N/A</v>
      </c>
      <c r="M101">
        <f>VLOOKUP(A101,General2021[[organisation_name]:[number_of_international_committee_board_members_not_eea]],12,FALSE)</f>
        <v>0</v>
      </c>
      <c r="N101">
        <f>VLOOKUP(A101,General2021[[organisation_name]:[number_of_international_committee_board_members_not_eea]],11,FALSE)</f>
        <v>0</v>
      </c>
      <c r="O101" t="str">
        <f>IFERROR(IF(Data2021[[#This Row],[Number of active members]]-Data2021[[#This Row],[Non-EEA Active ]]-Data2021[[#This Row],[EEA Active]]&lt;1,"N/A", Data2021[[#This Row],[Number of active members]]-Data2021[[#This Row],[Non-EEA Active ]]-Data2021[[#This Row],[EEA Active]]),"N/A")</f>
        <v>N/A</v>
      </c>
      <c r="P101" t="str">
        <f>IFERROR(Data2021[[#This Row],[Non-EEA Active ]]/Data2021[[#This Row],[Number of active members]],"N/A")</f>
        <v>N/A</v>
      </c>
      <c r="Q101" t="str">
        <f>IFERROR(Data2021[[#This Row],[EEA Active]]/Data2021[[#This Row],[EEA total]], "N/A")</f>
        <v>N/A</v>
      </c>
      <c r="R101" t="str">
        <f>IFERROR(Data2021[[#This Row],[Dutch Active]]/Data2021[[#This Row],[Dutch total]],"N/A")</f>
        <v>N/A</v>
      </c>
      <c r="S101" t="str">
        <f>IFERROR(IF(Data2021[[#This Row],[Number of members]]=Data2021[[#This Row],[Non-EEA Total]]+Data2021[[#This Row],[EEA total]]+Data2021[[#This Row],[Dutch total]],"T","F"),"F")</f>
        <v>F</v>
      </c>
      <c r="T101" t="str">
        <f>IFERROR(IF(Data2021[[#This Row],[Number of active members]]=Data2021[[#This Row],[Non-EEA Active ]]+Data2021[[#This Row],[EEA Active]]+Data2021[[#This Row],[Dutch Active]],"T","F"),"F")</f>
        <v>F</v>
      </c>
      <c r="U101" t="str">
        <f>IFERROR(IF(Data2021[[#This Row],[Number of members]]-Data2021[[#This Row],[Non-EEA Active ]]-Data2021[[#This Row],[EEA Active]]-Data2021[[#This Row],[Dutch Active]]=Data2021[[#This Row],[Number of  inactive members]],"T","F"),"F")</f>
        <v>F</v>
      </c>
      <c r="V101" t="str">
        <f>IF(Data2021[[#This Row],[EEA Active]]&lt;=Data2021[[#This Row],[EEA total]],"T","F")</f>
        <v>T</v>
      </c>
      <c r="W101" t="str">
        <f>IF(Data2021[[#This Row],[Dutch Active]]&lt;=Data2021[[#This Row],[Dutch total]],"T","F")</f>
        <v>T</v>
      </c>
      <c r="X101" t="str">
        <f>IF(Data2021[[#This Row],[Non-EEA Active ]]&lt;=Data2021[[#This Row],[Non-EEA Total]],"T","F")</f>
        <v>T</v>
      </c>
      <c r="Y10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1" t="str">
        <f>IFERROR(VLOOKUP(Data2021[[#This Row],[organisation_name]],'Division Study Year Committees'!$A$1:$L$108,2,FALSE),"N/A")</f>
        <v>N/A</v>
      </c>
      <c r="AA101" t="str">
        <f>IFERROR(VLOOKUP(Data2021[[#This Row],[organisation_name]],'Division Study Year Committees'!$A$1:$L$108,3,FALSE),"N/A")</f>
        <v>N/A</v>
      </c>
      <c r="AB101" t="str">
        <f>IFERROR(VLOOKUP(Data2021[[#This Row],[organisation_name]],'Division Study Year Committees'!$A$1:$L$108,4,FALSE),"N/A")</f>
        <v>N/A</v>
      </c>
      <c r="AC101" t="str">
        <f>IFERROR(VLOOKUP(Data2021[[#This Row],[organisation_name]],'Division Study Year Committees'!$A$1:$L$108,5,FALSE), "N/A")</f>
        <v>N/A</v>
      </c>
      <c r="AD101" t="str">
        <f>IFERROR(VLOOKUP(Data2021[[#This Row],[organisation_name]],'Division Study Year Committees'!$A$1:$L$108,6,FALSE), "N/A")</f>
        <v>N/A</v>
      </c>
      <c r="AE101">
        <f>SUM(Data2021[[#This Row],[Number of first year comittee members]:[Number of 4+ year comittee members]])</f>
        <v>0</v>
      </c>
      <c r="AF101">
        <f>COUNTIF('Comittee2021'!D:D,Data2021[[#This Row],[organisation_name]])</f>
        <v>0</v>
      </c>
      <c r="AG101">
        <f>COUNTIFS('Comittee2021'!$D:$D,Data2021[[#This Row],[organisation_name]],'Comittee2021'!$O:$O,"strong decrease")</f>
        <v>0</v>
      </c>
      <c r="AH101">
        <f>COUNTIFS('Comittee2021'!$D:$D,Data2021[[#This Row],[organisation_name]],'Comittee2021'!$O:$O,"slight decrease")</f>
        <v>0</v>
      </c>
      <c r="AI101">
        <f>COUNTIFS('Comittee2021'!$D:$D,Data2021[[#This Row],[organisation_name]],'Comittee2021'!$O:$O,"no influence")</f>
        <v>0</v>
      </c>
      <c r="AJ101">
        <f>COUNTIFS('Comittee2021'!$D:$D,Data2021[[#This Row],[organisation_name]],'Comittee2021'!$O:$O,"slight increase")</f>
        <v>0</v>
      </c>
      <c r="AK101">
        <f>COUNTIFS('Comittee2021'!$D:$D,Data2021[[#This Row],[organisation_name]],'Comittee2021'!$O:$O,"strong increase")</f>
        <v>0</v>
      </c>
      <c r="AL101">
        <v>2021</v>
      </c>
    </row>
    <row r="102" spans="1:38" x14ac:dyDescent="0.3">
      <c r="A102" t="str">
        <f>General2021[[#This Row],[organisation_name]]</f>
        <v>Duitenberg</v>
      </c>
      <c r="B102" t="str">
        <f>IF(General2021[[#This Row],[sector]]= "",VLOOKUP(Data2021[[#This Row],[organisation_name]],'Response Rate sheet'!A:D,3,FALSE),General2021[[#This Row],[sector]])</f>
        <v>Other</v>
      </c>
      <c r="C102" t="str">
        <f>General2021[[#This Row],[organisation_type]]</f>
        <v>association</v>
      </c>
      <c r="D102" t="str">
        <f>IF(ISBLANK(General2021[[#This Row],[number_of_members]]),"N/A",VLOOKUP(A102,General2021[[organisation_name]:[number_of_international_committee_board_members_not_eea]],6,FALSE))</f>
        <v>N/A</v>
      </c>
      <c r="E102" t="str">
        <f>IF(ISBLANK(General2021[[#This Row],[number_of_committee_board_members]]),"N/A",VLOOKUP(A102,General2021!B:M,10,FALSE))</f>
        <v>N/A</v>
      </c>
      <c r="F102" t="str">
        <f>IFERROR(Data2021[[#This Row],[Number of members]]-Data2021[[#This Row],[Number of active members]], "N/A")</f>
        <v>N/A</v>
      </c>
      <c r="G102" t="str">
        <f>IFERROR(Data2021[[#This Row],[Number of active members]]/Data2021[[#This Row],[Number of members]], "N/A")</f>
        <v>N/A</v>
      </c>
      <c r="H102" t="str">
        <f>IFERROR(1-Data2021[[#This Row],[Percentage active members]],"N/A")</f>
        <v>N/A</v>
      </c>
      <c r="I102" t="str">
        <f>IF(Data2021[[#This Row],[Number of members]]=0,"N/A",IF(Data2021[[#This Row],[Number of members]]&lt;50," A. 1 - 50 ",IF(Data2021[[#This Row],[Number of members]]&lt;100, "B. 50 - 100", IF(Data2021[[#This Row],[Number of members]]&lt;400, "C. 100 - 400", IF(Data2021[[#This Row],[Number of members]]&lt;1000,"D. 400 - 1000", "E. 1000 +")))))</f>
        <v>E. 1000 +</v>
      </c>
      <c r="J102" t="str">
        <f>IF(ISBLANK(General2021[[#This Row],[number_of_international_members_not_eea]]),"N/A",VLOOKUP(A102,General2021[[organisation_name]:[number_of_international_committee_board_members_not_eea]],9,FALSE))</f>
        <v>N/A</v>
      </c>
      <c r="K102" t="str">
        <f>IF(ISBLANK(General2021[[#This Row],[number_of_international_members_eea]]),"N/A",VLOOKUP(A102,General2021[[organisation_name]:[number_of_international_committee_board_members_not_eea]],8,FALSE))</f>
        <v>N/A</v>
      </c>
      <c r="L102" t="str">
        <f>IFERROR(IF(Data2021[[#This Row],[Number of members]]-Data2021[[#This Row],[Non-EEA Total]]-Data2021[[#This Row],[EEA total]]&lt;1,"N/A", Data2021[[#This Row],[Number of members]]-Data2021[[#This Row],[Non-EEA Total]]-Data2021[[#This Row],[EEA total]]),"N/A")</f>
        <v>N/A</v>
      </c>
      <c r="M102">
        <f>VLOOKUP(A102,General2021[[organisation_name]:[number_of_international_committee_board_members_not_eea]],12,FALSE)</f>
        <v>0</v>
      </c>
      <c r="N102">
        <f>VLOOKUP(A102,General2021[[organisation_name]:[number_of_international_committee_board_members_not_eea]],11,FALSE)</f>
        <v>0</v>
      </c>
      <c r="O102" t="str">
        <f>IFERROR(IF(Data2021[[#This Row],[Number of active members]]-Data2021[[#This Row],[Non-EEA Active ]]-Data2021[[#This Row],[EEA Active]]&lt;1,"N/A", Data2021[[#This Row],[Number of active members]]-Data2021[[#This Row],[Non-EEA Active ]]-Data2021[[#This Row],[EEA Active]]),"N/A")</f>
        <v>N/A</v>
      </c>
      <c r="P102" t="str">
        <f>IFERROR(Data2021[[#This Row],[Non-EEA Active ]]/Data2021[[#This Row],[Number of active members]],"N/A")</f>
        <v>N/A</v>
      </c>
      <c r="Q102" t="str">
        <f>IFERROR(Data2021[[#This Row],[EEA Active]]/Data2021[[#This Row],[EEA total]], "N/A")</f>
        <v>N/A</v>
      </c>
      <c r="R102" t="str">
        <f>IFERROR(Data2021[[#This Row],[Dutch Active]]/Data2021[[#This Row],[Dutch total]],"N/A")</f>
        <v>N/A</v>
      </c>
      <c r="S102" t="str">
        <f>IFERROR(IF(Data2021[[#This Row],[Number of members]]=Data2021[[#This Row],[Non-EEA Total]]+Data2021[[#This Row],[EEA total]]+Data2021[[#This Row],[Dutch total]],"T","F"),"F")</f>
        <v>F</v>
      </c>
      <c r="T102" t="str">
        <f>IFERROR(IF(Data2021[[#This Row],[Number of active members]]=Data2021[[#This Row],[Non-EEA Active ]]+Data2021[[#This Row],[EEA Active]]+Data2021[[#This Row],[Dutch Active]],"T","F"),"F")</f>
        <v>F</v>
      </c>
      <c r="U102" t="str">
        <f>IFERROR(IF(Data2021[[#This Row],[Number of members]]-Data2021[[#This Row],[Non-EEA Active ]]-Data2021[[#This Row],[EEA Active]]-Data2021[[#This Row],[Dutch Active]]=Data2021[[#This Row],[Number of  inactive members]],"T","F"),"F")</f>
        <v>F</v>
      </c>
      <c r="V102" t="str">
        <f>IF(Data2021[[#This Row],[EEA Active]]&lt;=Data2021[[#This Row],[EEA total]],"T","F")</f>
        <v>T</v>
      </c>
      <c r="W102" t="str">
        <f>IF(Data2021[[#This Row],[Dutch Active]]&lt;=Data2021[[#This Row],[Dutch total]],"T","F")</f>
        <v>T</v>
      </c>
      <c r="X102" t="str">
        <f>IF(Data2021[[#This Row],[Non-EEA Active ]]&lt;=Data2021[[#This Row],[Non-EEA Total]],"T","F")</f>
        <v>T</v>
      </c>
      <c r="Y10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2" t="str">
        <f>IFERROR(VLOOKUP(Data2021[[#This Row],[organisation_name]],'Division Study Year Committees'!$A$1:$L$108,2,FALSE),"N/A")</f>
        <v>N/A</v>
      </c>
      <c r="AA102" t="str">
        <f>IFERROR(VLOOKUP(Data2021[[#This Row],[organisation_name]],'Division Study Year Committees'!$A$1:$L$108,3,FALSE),"N/A")</f>
        <v>N/A</v>
      </c>
      <c r="AB102" t="str">
        <f>IFERROR(VLOOKUP(Data2021[[#This Row],[organisation_name]],'Division Study Year Committees'!$A$1:$L$108,4,FALSE),"N/A")</f>
        <v>N/A</v>
      </c>
      <c r="AC102" t="str">
        <f>IFERROR(VLOOKUP(Data2021[[#This Row],[organisation_name]],'Division Study Year Committees'!$A$1:$L$108,5,FALSE), "N/A")</f>
        <v>N/A</v>
      </c>
      <c r="AD102" t="str">
        <f>IFERROR(VLOOKUP(Data2021[[#This Row],[organisation_name]],'Division Study Year Committees'!$A$1:$L$108,6,FALSE), "N/A")</f>
        <v>N/A</v>
      </c>
      <c r="AE102">
        <f>SUM(Data2021[[#This Row],[Number of first year comittee members]:[Number of 4+ year comittee members]])</f>
        <v>0</v>
      </c>
      <c r="AF102">
        <f>COUNTIF('Comittee2021'!D:D,Data2021[[#This Row],[organisation_name]])</f>
        <v>0</v>
      </c>
      <c r="AG102">
        <f>COUNTIFS('Comittee2021'!$D:$D,Data2021[[#This Row],[organisation_name]],'Comittee2021'!$O:$O,"strong decrease")</f>
        <v>0</v>
      </c>
      <c r="AH102">
        <f>COUNTIFS('Comittee2021'!$D:$D,Data2021[[#This Row],[organisation_name]],'Comittee2021'!$O:$O,"slight decrease")</f>
        <v>0</v>
      </c>
      <c r="AI102">
        <f>COUNTIFS('Comittee2021'!$D:$D,Data2021[[#This Row],[organisation_name]],'Comittee2021'!$O:$O,"no influence")</f>
        <v>0</v>
      </c>
      <c r="AJ102">
        <f>COUNTIFS('Comittee2021'!$D:$D,Data2021[[#This Row],[organisation_name]],'Comittee2021'!$O:$O,"slight increase")</f>
        <v>0</v>
      </c>
      <c r="AK102">
        <f>COUNTIFS('Comittee2021'!$D:$D,Data2021[[#This Row],[organisation_name]],'Comittee2021'!$O:$O,"strong increase")</f>
        <v>0</v>
      </c>
      <c r="AL102">
        <v>2021</v>
      </c>
    </row>
    <row r="103" spans="1:38" x14ac:dyDescent="0.3">
      <c r="A103" t="str">
        <f>General2021[[#This Row],[organisation_name]]</f>
        <v>IAESTE Twente</v>
      </c>
      <c r="B103" t="str">
        <f>IF(General2021[[#This Row],[sector]]= "",VLOOKUP(Data2021[[#This Row],[organisation_name]],'Response Rate sheet'!A:D,3,FALSE),General2021[[#This Row],[sector]])</f>
        <v>Sports</v>
      </c>
      <c r="C103" t="str">
        <f>General2021[[#This Row],[organisation_type]]</f>
        <v>foundation</v>
      </c>
      <c r="D103" t="str">
        <f>IF(ISBLANK(General2021[[#This Row],[number_of_members]]),"N/A",VLOOKUP(A103,General2021[[organisation_name]:[number_of_international_committee_board_members_not_eea]],6,FALSE))</f>
        <v>N/A</v>
      </c>
      <c r="E103" t="str">
        <f>IF(ISBLANK(General2021[[#This Row],[number_of_committee_board_members]]),"N/A",VLOOKUP(A103,General2021!B:M,10,FALSE))</f>
        <v>N/A</v>
      </c>
      <c r="F103" t="str">
        <f>IFERROR(Data2021[[#This Row],[Number of members]]-Data2021[[#This Row],[Number of active members]], "N/A")</f>
        <v>N/A</v>
      </c>
      <c r="G103" t="str">
        <f>IFERROR(Data2021[[#This Row],[Number of active members]]/Data2021[[#This Row],[Number of members]], "N/A")</f>
        <v>N/A</v>
      </c>
      <c r="H103" t="str">
        <f>IFERROR(1-Data2021[[#This Row],[Percentage active members]],"N/A")</f>
        <v>N/A</v>
      </c>
      <c r="I103" t="str">
        <f>IF(Data2021[[#This Row],[Number of members]]=0,"N/A",IF(Data2021[[#This Row],[Number of members]]&lt;50," A. 1 - 50 ",IF(Data2021[[#This Row],[Number of members]]&lt;100, "B. 50 - 100", IF(Data2021[[#This Row],[Number of members]]&lt;400, "C. 100 - 400", IF(Data2021[[#This Row],[Number of members]]&lt;1000,"D. 400 - 1000", "E. 1000 +")))))</f>
        <v>E. 1000 +</v>
      </c>
      <c r="J103" t="str">
        <f>IF(ISBLANK(General2021[[#This Row],[number_of_international_members_not_eea]]),"N/A",VLOOKUP(A103,General2021[[organisation_name]:[number_of_international_committee_board_members_not_eea]],9,FALSE))</f>
        <v>N/A</v>
      </c>
      <c r="K103" t="str">
        <f>IF(ISBLANK(General2021[[#This Row],[number_of_international_members_eea]]),"N/A",VLOOKUP(A103,General2021[[organisation_name]:[number_of_international_committee_board_members_not_eea]],8,FALSE))</f>
        <v>N/A</v>
      </c>
      <c r="L103" t="str">
        <f>IFERROR(IF(Data2021[[#This Row],[Number of members]]-Data2021[[#This Row],[Non-EEA Total]]-Data2021[[#This Row],[EEA total]]&lt;1,"N/A", Data2021[[#This Row],[Number of members]]-Data2021[[#This Row],[Non-EEA Total]]-Data2021[[#This Row],[EEA total]]),"N/A")</f>
        <v>N/A</v>
      </c>
      <c r="M103">
        <f>VLOOKUP(A103,General2021[[organisation_name]:[number_of_international_committee_board_members_not_eea]],12,FALSE)</f>
        <v>0</v>
      </c>
      <c r="N103">
        <f>VLOOKUP(A103,General2021[[organisation_name]:[number_of_international_committee_board_members_not_eea]],11,FALSE)</f>
        <v>0</v>
      </c>
      <c r="O103" t="str">
        <f>IFERROR(IF(Data2021[[#This Row],[Number of active members]]-Data2021[[#This Row],[Non-EEA Active ]]-Data2021[[#This Row],[EEA Active]]&lt;1,"N/A", Data2021[[#This Row],[Number of active members]]-Data2021[[#This Row],[Non-EEA Active ]]-Data2021[[#This Row],[EEA Active]]),"N/A")</f>
        <v>N/A</v>
      </c>
      <c r="P103" t="str">
        <f>IFERROR(Data2021[[#This Row],[Non-EEA Active ]]/Data2021[[#This Row],[Number of active members]],"N/A")</f>
        <v>N/A</v>
      </c>
      <c r="Q103" t="str">
        <f>IFERROR(Data2021[[#This Row],[EEA Active]]/Data2021[[#This Row],[EEA total]], "N/A")</f>
        <v>N/A</v>
      </c>
      <c r="R103" t="str">
        <f>IFERROR(Data2021[[#This Row],[Dutch Active]]/Data2021[[#This Row],[Dutch total]],"N/A")</f>
        <v>N/A</v>
      </c>
      <c r="S103" t="str">
        <f>IFERROR(IF(Data2021[[#This Row],[Number of members]]=Data2021[[#This Row],[Non-EEA Total]]+Data2021[[#This Row],[EEA total]]+Data2021[[#This Row],[Dutch total]],"T","F"),"F")</f>
        <v>F</v>
      </c>
      <c r="T103" t="str">
        <f>IFERROR(IF(Data2021[[#This Row],[Number of active members]]=Data2021[[#This Row],[Non-EEA Active ]]+Data2021[[#This Row],[EEA Active]]+Data2021[[#This Row],[Dutch Active]],"T","F"),"F")</f>
        <v>F</v>
      </c>
      <c r="U103" t="str">
        <f>IFERROR(IF(Data2021[[#This Row],[Number of members]]-Data2021[[#This Row],[Non-EEA Active ]]-Data2021[[#This Row],[EEA Active]]-Data2021[[#This Row],[Dutch Active]]=Data2021[[#This Row],[Number of  inactive members]],"T","F"),"F")</f>
        <v>F</v>
      </c>
      <c r="V103" t="str">
        <f>IF(Data2021[[#This Row],[EEA Active]]&lt;=Data2021[[#This Row],[EEA total]],"T","F")</f>
        <v>T</v>
      </c>
      <c r="W103" t="str">
        <f>IF(Data2021[[#This Row],[Dutch Active]]&lt;=Data2021[[#This Row],[Dutch total]],"T","F")</f>
        <v>T</v>
      </c>
      <c r="X103" t="str">
        <f>IF(Data2021[[#This Row],[Non-EEA Active ]]&lt;=Data2021[[#This Row],[Non-EEA Total]],"T","F")</f>
        <v>T</v>
      </c>
      <c r="Y10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3" t="str">
        <f>IFERROR(VLOOKUP(Data2021[[#This Row],[organisation_name]],'Division Study Year Committees'!$A$1:$L$108,2,FALSE),"N/A")</f>
        <v>N/A</v>
      </c>
      <c r="AA103" t="str">
        <f>IFERROR(VLOOKUP(Data2021[[#This Row],[organisation_name]],'Division Study Year Committees'!$A$1:$L$108,3,FALSE),"N/A")</f>
        <v>N/A</v>
      </c>
      <c r="AB103" t="str">
        <f>IFERROR(VLOOKUP(Data2021[[#This Row],[organisation_name]],'Division Study Year Committees'!$A$1:$L$108,4,FALSE),"N/A")</f>
        <v>N/A</v>
      </c>
      <c r="AC103" t="str">
        <f>IFERROR(VLOOKUP(Data2021[[#This Row],[organisation_name]],'Division Study Year Committees'!$A$1:$L$108,5,FALSE), "N/A")</f>
        <v>N/A</v>
      </c>
      <c r="AD103" t="str">
        <f>IFERROR(VLOOKUP(Data2021[[#This Row],[organisation_name]],'Division Study Year Committees'!$A$1:$L$108,6,FALSE), "N/A")</f>
        <v>N/A</v>
      </c>
      <c r="AE103">
        <f>SUM(Data2021[[#This Row],[Number of first year comittee members]:[Number of 4+ year comittee members]])</f>
        <v>0</v>
      </c>
      <c r="AF103">
        <f>COUNTIF('Comittee2021'!D:D,Data2021[[#This Row],[organisation_name]])</f>
        <v>0</v>
      </c>
      <c r="AG103">
        <f>COUNTIFS('Comittee2021'!$D:$D,Data2021[[#This Row],[organisation_name]],'Comittee2021'!$O:$O,"strong decrease")</f>
        <v>0</v>
      </c>
      <c r="AH103">
        <f>COUNTIFS('Comittee2021'!$D:$D,Data2021[[#This Row],[organisation_name]],'Comittee2021'!$O:$O,"slight decrease")</f>
        <v>0</v>
      </c>
      <c r="AI103">
        <f>COUNTIFS('Comittee2021'!$D:$D,Data2021[[#This Row],[organisation_name]],'Comittee2021'!$O:$O,"no influence")</f>
        <v>0</v>
      </c>
      <c r="AJ103">
        <f>COUNTIFS('Comittee2021'!$D:$D,Data2021[[#This Row],[organisation_name]],'Comittee2021'!$O:$O,"slight increase")</f>
        <v>0</v>
      </c>
      <c r="AK103">
        <f>COUNTIFS('Comittee2021'!$D:$D,Data2021[[#This Row],[organisation_name]],'Comittee2021'!$O:$O,"strong increase")</f>
        <v>0</v>
      </c>
      <c r="AL103">
        <v>2021</v>
      </c>
    </row>
    <row r="104" spans="1:38" x14ac:dyDescent="0.3">
      <c r="A104" t="str">
        <f>General2021[[#This Row],[organisation_name]]</f>
        <v>Integrand Twente</v>
      </c>
      <c r="B104" t="str">
        <f>IF(General2021[[#This Row],[sector]]= "",VLOOKUP(Data2021[[#This Row],[organisation_name]],'Response Rate sheet'!A:D,3,FALSE),General2021[[#This Row],[sector]])</f>
        <v>Other</v>
      </c>
      <c r="C104" t="str">
        <f>General2021[[#This Row],[organisation_type]]</f>
        <v>foundation</v>
      </c>
      <c r="D104">
        <f>IF(ISBLANK(General2021[[#This Row],[number_of_members]]),"N/A",VLOOKUP(A104,General2021[[organisation_name]:[number_of_international_committee_board_members_not_eea]],6,FALSE))</f>
        <v>8</v>
      </c>
      <c r="E104">
        <f>IF(ISBLANK(General2021[[#This Row],[number_of_committee_board_members]]),"N/A",VLOOKUP(A104,General2021!B:M,10,FALSE))</f>
        <v>0</v>
      </c>
      <c r="F104">
        <f>IFERROR(Data2021[[#This Row],[Number of members]]-Data2021[[#This Row],[Number of active members]], "N/A")</f>
        <v>8</v>
      </c>
      <c r="G104">
        <f>IFERROR(Data2021[[#This Row],[Number of active members]]/Data2021[[#This Row],[Number of members]], "N/A")</f>
        <v>0</v>
      </c>
      <c r="H104">
        <f>IFERROR(1-Data2021[[#This Row],[Percentage active members]],"N/A")</f>
        <v>1</v>
      </c>
      <c r="I104"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04">
        <f>IF(ISBLANK(General2021[[#This Row],[number_of_international_members_not_eea]]),"N/A",VLOOKUP(A104,General2021[[organisation_name]:[number_of_international_committee_board_members_not_eea]],9,FALSE))</f>
        <v>0</v>
      </c>
      <c r="K104" t="str">
        <f>IF(ISBLANK(General2021[[#This Row],[number_of_international_members_eea]]),"N/A",VLOOKUP(A104,General2021[[organisation_name]:[number_of_international_committee_board_members_not_eea]],8,FALSE))</f>
        <v>N/A</v>
      </c>
      <c r="L104" t="str">
        <f>IFERROR(IF(Data2021[[#This Row],[Number of members]]-Data2021[[#This Row],[Non-EEA Total]]-Data2021[[#This Row],[EEA total]]&lt;1,"N/A", Data2021[[#This Row],[Number of members]]-Data2021[[#This Row],[Non-EEA Total]]-Data2021[[#This Row],[EEA total]]),"N/A")</f>
        <v>N/A</v>
      </c>
      <c r="M104">
        <f>VLOOKUP(A104,General2021[[organisation_name]:[number_of_international_committee_board_members_not_eea]],12,FALSE)</f>
        <v>0</v>
      </c>
      <c r="N104">
        <f>VLOOKUP(A104,General2021[[organisation_name]:[number_of_international_committee_board_members_not_eea]],11,FALSE)</f>
        <v>0</v>
      </c>
      <c r="O104" t="str">
        <f>IFERROR(IF(Data2021[[#This Row],[Number of active members]]-Data2021[[#This Row],[Non-EEA Active ]]-Data2021[[#This Row],[EEA Active]]&lt;1,"N/A", Data2021[[#This Row],[Number of active members]]-Data2021[[#This Row],[Non-EEA Active ]]-Data2021[[#This Row],[EEA Active]]),"N/A")</f>
        <v>N/A</v>
      </c>
      <c r="P104" t="str">
        <f>IFERROR(Data2021[[#This Row],[Non-EEA Active ]]/Data2021[[#This Row],[Number of active members]],"N/A")</f>
        <v>N/A</v>
      </c>
      <c r="Q104" t="str">
        <f>IFERROR(Data2021[[#This Row],[EEA Active]]/Data2021[[#This Row],[EEA total]], "N/A")</f>
        <v>N/A</v>
      </c>
      <c r="R104" t="str">
        <f>IFERROR(Data2021[[#This Row],[Dutch Active]]/Data2021[[#This Row],[Dutch total]],"N/A")</f>
        <v>N/A</v>
      </c>
      <c r="S104" t="str">
        <f>IFERROR(IF(Data2021[[#This Row],[Number of members]]=Data2021[[#This Row],[Non-EEA Total]]+Data2021[[#This Row],[EEA total]]+Data2021[[#This Row],[Dutch total]],"T","F"),"F")</f>
        <v>F</v>
      </c>
      <c r="T104" t="str">
        <f>IFERROR(IF(Data2021[[#This Row],[Number of active members]]=Data2021[[#This Row],[Non-EEA Active ]]+Data2021[[#This Row],[EEA Active]]+Data2021[[#This Row],[Dutch Active]],"T","F"),"F")</f>
        <v>F</v>
      </c>
      <c r="U104" t="str">
        <f>IFERROR(IF(Data2021[[#This Row],[Number of members]]-Data2021[[#This Row],[Non-EEA Active ]]-Data2021[[#This Row],[EEA Active]]-Data2021[[#This Row],[Dutch Active]]=Data2021[[#This Row],[Number of  inactive members]],"T","F"),"F")</f>
        <v>F</v>
      </c>
      <c r="V104" t="str">
        <f>IF(Data2021[[#This Row],[EEA Active]]&lt;=Data2021[[#This Row],[EEA total]],"T","F")</f>
        <v>T</v>
      </c>
      <c r="W104" t="str">
        <f>IF(Data2021[[#This Row],[Dutch Active]]&lt;=Data2021[[#This Row],[Dutch total]],"T","F")</f>
        <v>T</v>
      </c>
      <c r="X104" t="str">
        <f>IF(Data2021[[#This Row],[Non-EEA Active ]]&lt;=Data2021[[#This Row],[Non-EEA Total]],"T","F")</f>
        <v>T</v>
      </c>
      <c r="Y10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4">
        <f>IFERROR(VLOOKUP(Data2021[[#This Row],[organisation_name]],'Division Study Year Committees'!$A$1:$L$108,2,FALSE),"N/A")</f>
        <v>0</v>
      </c>
      <c r="AA104">
        <f>IFERROR(VLOOKUP(Data2021[[#This Row],[organisation_name]],'Division Study Year Committees'!$A$1:$L$108,3,FALSE),"N/A")</f>
        <v>0</v>
      </c>
      <c r="AB104">
        <f>IFERROR(VLOOKUP(Data2021[[#This Row],[organisation_name]],'Division Study Year Committees'!$A$1:$L$108,4,FALSE),"N/A")</f>
        <v>6</v>
      </c>
      <c r="AC104">
        <f>IFERROR(VLOOKUP(Data2021[[#This Row],[organisation_name]],'Division Study Year Committees'!$A$1:$L$108,5,FALSE), "N/A")</f>
        <v>2</v>
      </c>
      <c r="AD104">
        <f>IFERROR(VLOOKUP(Data2021[[#This Row],[organisation_name]],'Division Study Year Committees'!$A$1:$L$108,6,FALSE), "N/A")</f>
        <v>0</v>
      </c>
      <c r="AE104">
        <f>SUM(Data2021[[#This Row],[Number of first year comittee members]:[Number of 4+ year comittee members]])</f>
        <v>8</v>
      </c>
      <c r="AF104">
        <f>COUNTIF('Comittee2021'!D:D,Data2021[[#This Row],[organisation_name]])</f>
        <v>1</v>
      </c>
      <c r="AG104">
        <f>COUNTIFS('Comittee2021'!$D:$D,Data2021[[#This Row],[organisation_name]],'Comittee2021'!$O:$O,"strong decrease")</f>
        <v>1</v>
      </c>
      <c r="AH104">
        <f>COUNTIFS('Comittee2021'!$D:$D,Data2021[[#This Row],[organisation_name]],'Comittee2021'!$O:$O,"slight decrease")</f>
        <v>0</v>
      </c>
      <c r="AI104">
        <f>COUNTIFS('Comittee2021'!$D:$D,Data2021[[#This Row],[organisation_name]],'Comittee2021'!$O:$O,"no influence")</f>
        <v>0</v>
      </c>
      <c r="AJ104">
        <f>COUNTIFS('Comittee2021'!$D:$D,Data2021[[#This Row],[organisation_name]],'Comittee2021'!$O:$O,"slight increase")</f>
        <v>0</v>
      </c>
      <c r="AK104">
        <f>COUNTIFS('Comittee2021'!$D:$D,Data2021[[#This Row],[organisation_name]],'Comittee2021'!$O:$O,"strong increase")</f>
        <v>0</v>
      </c>
      <c r="AL104">
        <v>2021</v>
      </c>
    </row>
    <row r="105" spans="1:38" x14ac:dyDescent="0.3">
      <c r="A105" t="str">
        <f>General2021[[#This Row],[organisation_name]]</f>
        <v>KIVI Students Twente</v>
      </c>
      <c r="B105" t="str">
        <f>IF(General2021[[#This Row],[sector]]= "",VLOOKUP(Data2021[[#This Row],[organisation_name]],'Response Rate sheet'!A:D,3,FALSE),General2021[[#This Row],[sector]])</f>
        <v>Other</v>
      </c>
      <c r="C105" t="str">
        <f>General2021[[#This Row],[organisation_type]]</f>
        <v>foundation</v>
      </c>
      <c r="D105">
        <f>IF(ISBLANK(General2021[[#This Row],[number_of_members]]),"N/A",VLOOKUP(A105,General2021[[organisation_name]:[number_of_international_committee_board_members_not_eea]],6,FALSE))</f>
        <v>17500</v>
      </c>
      <c r="E105">
        <f>IF(ISBLANK(General2021[[#This Row],[number_of_committee_board_members]]),"N/A",VLOOKUP(A105,General2021!B:M,10,FALSE))</f>
        <v>0</v>
      </c>
      <c r="F105">
        <f>IFERROR(Data2021[[#This Row],[Number of members]]-Data2021[[#This Row],[Number of active members]], "N/A")</f>
        <v>17500</v>
      </c>
      <c r="G105">
        <f>IFERROR(Data2021[[#This Row],[Number of active members]]/Data2021[[#This Row],[Number of members]], "N/A")</f>
        <v>0</v>
      </c>
      <c r="H105">
        <f>IFERROR(1-Data2021[[#This Row],[Percentage active members]],"N/A")</f>
        <v>1</v>
      </c>
      <c r="I105" t="str">
        <f>IF(Data2021[[#This Row],[Number of members]]=0,"N/A",IF(Data2021[[#This Row],[Number of members]]&lt;50," A. 1 - 50 ",IF(Data2021[[#This Row],[Number of members]]&lt;100, "B. 50 - 100", IF(Data2021[[#This Row],[Number of members]]&lt;400, "C. 100 - 400", IF(Data2021[[#This Row],[Number of members]]&lt;1000,"D. 400 - 1000", "E. 1000 +")))))</f>
        <v>E. 1000 +</v>
      </c>
      <c r="J105">
        <f>IF(ISBLANK(General2021[[#This Row],[number_of_international_members_not_eea]]),"N/A",VLOOKUP(A105,General2021[[organisation_name]:[number_of_international_committee_board_members_not_eea]],9,FALSE))</f>
        <v>0</v>
      </c>
      <c r="K105">
        <f>IF(ISBLANK(General2021[[#This Row],[number_of_international_members_eea]]),"N/A",VLOOKUP(A105,General2021[[organisation_name]:[number_of_international_committee_board_members_not_eea]],8,FALSE))</f>
        <v>0</v>
      </c>
      <c r="L105">
        <f>IFERROR(IF(Data2021[[#This Row],[Number of members]]-Data2021[[#This Row],[Non-EEA Total]]-Data2021[[#This Row],[EEA total]]&lt;1,"N/A", Data2021[[#This Row],[Number of members]]-Data2021[[#This Row],[Non-EEA Total]]-Data2021[[#This Row],[EEA total]]),"N/A")</f>
        <v>17500</v>
      </c>
      <c r="M105">
        <f>VLOOKUP(A105,General2021[[organisation_name]:[number_of_international_committee_board_members_not_eea]],12,FALSE)</f>
        <v>0</v>
      </c>
      <c r="N105">
        <f>VLOOKUP(A105,General2021[[organisation_name]:[number_of_international_committee_board_members_not_eea]],11,FALSE)</f>
        <v>0</v>
      </c>
      <c r="O105" t="str">
        <f>IFERROR(IF(Data2021[[#This Row],[Number of active members]]-Data2021[[#This Row],[Non-EEA Active ]]-Data2021[[#This Row],[EEA Active]]&lt;1,"N/A", Data2021[[#This Row],[Number of active members]]-Data2021[[#This Row],[Non-EEA Active ]]-Data2021[[#This Row],[EEA Active]]),"N/A")</f>
        <v>N/A</v>
      </c>
      <c r="P105" t="str">
        <f>IFERROR(Data2021[[#This Row],[Non-EEA Active ]]/Data2021[[#This Row],[Number of active members]],"N/A")</f>
        <v>N/A</v>
      </c>
      <c r="Q105" t="str">
        <f>IFERROR(Data2021[[#This Row],[EEA Active]]/Data2021[[#This Row],[EEA total]], "N/A")</f>
        <v>N/A</v>
      </c>
      <c r="R105" t="str">
        <f>IFERROR(Data2021[[#This Row],[Dutch Active]]/Data2021[[#This Row],[Dutch total]],"N/A")</f>
        <v>N/A</v>
      </c>
      <c r="S105" t="str">
        <f>IFERROR(IF(Data2021[[#This Row],[Number of members]]=Data2021[[#This Row],[Non-EEA Total]]+Data2021[[#This Row],[EEA total]]+Data2021[[#This Row],[Dutch total]],"T","F"),"F")</f>
        <v>T</v>
      </c>
      <c r="T105" t="str">
        <f>IFERROR(IF(Data2021[[#This Row],[Number of active members]]=Data2021[[#This Row],[Non-EEA Active ]]+Data2021[[#This Row],[EEA Active]]+Data2021[[#This Row],[Dutch Active]],"T","F"),"F")</f>
        <v>F</v>
      </c>
      <c r="U105" t="str">
        <f>IFERROR(IF(Data2021[[#This Row],[Number of members]]-Data2021[[#This Row],[Non-EEA Active ]]-Data2021[[#This Row],[EEA Active]]-Data2021[[#This Row],[Dutch Active]]=Data2021[[#This Row],[Number of  inactive members]],"T","F"),"F")</f>
        <v>F</v>
      </c>
      <c r="V105" t="str">
        <f>IF(Data2021[[#This Row],[EEA Active]]&lt;=Data2021[[#This Row],[EEA total]],"T","F")</f>
        <v>T</v>
      </c>
      <c r="W105" t="str">
        <f>IF(Data2021[[#This Row],[Dutch Active]]&lt;=Data2021[[#This Row],[Dutch total]],"T","F")</f>
        <v>F</v>
      </c>
      <c r="X105" t="str">
        <f>IF(Data2021[[#This Row],[Non-EEA Active ]]&lt;=Data2021[[#This Row],[Non-EEA Total]],"T","F")</f>
        <v>T</v>
      </c>
      <c r="Y10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5">
        <f>IFERROR(VLOOKUP(Data2021[[#This Row],[organisation_name]],'Division Study Year Committees'!$A$1:$L$108,2,FALSE),"N/A")</f>
        <v>0</v>
      </c>
      <c r="AA105">
        <f>IFERROR(VLOOKUP(Data2021[[#This Row],[organisation_name]],'Division Study Year Committees'!$A$1:$L$108,3,FALSE),"N/A")</f>
        <v>0</v>
      </c>
      <c r="AB105">
        <f>IFERROR(VLOOKUP(Data2021[[#This Row],[organisation_name]],'Division Study Year Committees'!$A$1:$L$108,4,FALSE),"N/A")</f>
        <v>0</v>
      </c>
      <c r="AC105">
        <f>IFERROR(VLOOKUP(Data2021[[#This Row],[organisation_name]],'Division Study Year Committees'!$A$1:$L$108,5,FALSE), "N/A")</f>
        <v>0</v>
      </c>
      <c r="AD105">
        <f>IFERROR(VLOOKUP(Data2021[[#This Row],[organisation_name]],'Division Study Year Committees'!$A$1:$L$108,6,FALSE), "N/A")</f>
        <v>0</v>
      </c>
      <c r="AE105">
        <f>SUM(Data2021[[#This Row],[Number of first year comittee members]:[Number of 4+ year comittee members]])</f>
        <v>0</v>
      </c>
      <c r="AF105">
        <f>COUNTIF('Comittee2021'!D:D,Data2021[[#This Row],[organisation_name]])</f>
        <v>1</v>
      </c>
      <c r="AG105">
        <f>COUNTIFS('Comittee2021'!$D:$D,Data2021[[#This Row],[organisation_name]],'Comittee2021'!$O:$O,"strong decrease")</f>
        <v>0</v>
      </c>
      <c r="AH105">
        <f>COUNTIFS('Comittee2021'!$D:$D,Data2021[[#This Row],[organisation_name]],'Comittee2021'!$O:$O,"slight decrease")</f>
        <v>0</v>
      </c>
      <c r="AI105">
        <f>COUNTIFS('Comittee2021'!$D:$D,Data2021[[#This Row],[organisation_name]],'Comittee2021'!$O:$O,"no influence")</f>
        <v>1</v>
      </c>
      <c r="AJ105">
        <f>COUNTIFS('Comittee2021'!$D:$D,Data2021[[#This Row],[organisation_name]],'Comittee2021'!$O:$O,"slight increase")</f>
        <v>0</v>
      </c>
      <c r="AK105">
        <f>COUNTIFS('Comittee2021'!$D:$D,Data2021[[#This Row],[organisation_name]],'Comittee2021'!$O:$O,"strong increase")</f>
        <v>0</v>
      </c>
      <c r="AL105">
        <v>2021</v>
      </c>
    </row>
    <row r="106" spans="1:38" x14ac:dyDescent="0.3">
      <c r="A106" t="str">
        <f>General2021[[#This Row],[organisation_name]]</f>
        <v>Unipartners</v>
      </c>
      <c r="B106" t="str">
        <f>IF(General2021[[#This Row],[sector]]= "",VLOOKUP(Data2021[[#This Row],[organisation_name]],'Response Rate sheet'!A:D,3,FALSE),General2021[[#This Row],[sector]])</f>
        <v>Other</v>
      </c>
      <c r="C106" t="str">
        <f>General2021[[#This Row],[organisation_type]]</f>
        <v>foundation</v>
      </c>
      <c r="D106" t="str">
        <f>IF(ISBLANK(General2021[[#This Row],[number_of_members]]),"N/A",VLOOKUP(A106,General2021[[organisation_name]:[number_of_international_committee_board_members_not_eea]],6,FALSE))</f>
        <v>N/A</v>
      </c>
      <c r="E106" t="str">
        <f>IF(ISBLANK(General2021[[#This Row],[number_of_committee_board_members]]),"N/A",VLOOKUP(A106,General2021!B:M,10,FALSE))</f>
        <v>N/A</v>
      </c>
      <c r="F106" t="str">
        <f>IFERROR(Data2021[[#This Row],[Number of members]]-Data2021[[#This Row],[Number of active members]], "N/A")</f>
        <v>N/A</v>
      </c>
      <c r="G106" t="str">
        <f>IFERROR(Data2021[[#This Row],[Number of active members]]/Data2021[[#This Row],[Number of members]], "N/A")</f>
        <v>N/A</v>
      </c>
      <c r="H106" t="str">
        <f>IFERROR(1-Data2021[[#This Row],[Percentage active members]],"N/A")</f>
        <v>N/A</v>
      </c>
      <c r="I106" t="str">
        <f>IF(Data2021[[#This Row],[Number of members]]=0,"N/A",IF(Data2021[[#This Row],[Number of members]]&lt;50," A. 1 - 50 ",IF(Data2021[[#This Row],[Number of members]]&lt;100, "B. 50 - 100", IF(Data2021[[#This Row],[Number of members]]&lt;400, "C. 100 - 400", IF(Data2021[[#This Row],[Number of members]]&lt;1000,"D. 400 - 1000", "E. 1000 +")))))</f>
        <v>E. 1000 +</v>
      </c>
      <c r="J106" t="str">
        <f>IF(ISBLANK(General2021[[#This Row],[number_of_international_members_not_eea]]),"N/A",VLOOKUP(A106,General2021[[organisation_name]:[number_of_international_committee_board_members_not_eea]],9,FALSE))</f>
        <v>N/A</v>
      </c>
      <c r="K106" t="str">
        <f>IF(ISBLANK(General2021[[#This Row],[number_of_international_members_eea]]),"N/A",VLOOKUP(A106,General2021[[organisation_name]:[number_of_international_committee_board_members_not_eea]],8,FALSE))</f>
        <v>N/A</v>
      </c>
      <c r="L106" t="str">
        <f>IFERROR(IF(Data2021[[#This Row],[Number of members]]-Data2021[[#This Row],[Non-EEA Total]]-Data2021[[#This Row],[EEA total]]&lt;1,"N/A", Data2021[[#This Row],[Number of members]]-Data2021[[#This Row],[Non-EEA Total]]-Data2021[[#This Row],[EEA total]]),"N/A")</f>
        <v>N/A</v>
      </c>
      <c r="M106">
        <f>VLOOKUP(A106,General2021[[organisation_name]:[number_of_international_committee_board_members_not_eea]],12,FALSE)</f>
        <v>0</v>
      </c>
      <c r="N106">
        <f>VLOOKUP(A106,General2021[[organisation_name]:[number_of_international_committee_board_members_not_eea]],11,FALSE)</f>
        <v>0</v>
      </c>
      <c r="O106" t="str">
        <f>IFERROR(IF(Data2021[[#This Row],[Number of active members]]-Data2021[[#This Row],[Non-EEA Active ]]-Data2021[[#This Row],[EEA Active]]&lt;1,"N/A", Data2021[[#This Row],[Number of active members]]-Data2021[[#This Row],[Non-EEA Active ]]-Data2021[[#This Row],[EEA Active]]),"N/A")</f>
        <v>N/A</v>
      </c>
      <c r="P106" t="str">
        <f>IFERROR(Data2021[[#This Row],[Non-EEA Active ]]/Data2021[[#This Row],[Number of active members]],"N/A")</f>
        <v>N/A</v>
      </c>
      <c r="Q106" t="str">
        <f>IFERROR(Data2021[[#This Row],[EEA Active]]/Data2021[[#This Row],[EEA total]], "N/A")</f>
        <v>N/A</v>
      </c>
      <c r="R106" t="str">
        <f>IFERROR(Data2021[[#This Row],[Dutch Active]]/Data2021[[#This Row],[Dutch total]],"N/A")</f>
        <v>N/A</v>
      </c>
      <c r="S106" t="str">
        <f>IFERROR(IF(Data2021[[#This Row],[Number of members]]=Data2021[[#This Row],[Non-EEA Total]]+Data2021[[#This Row],[EEA total]]+Data2021[[#This Row],[Dutch total]],"T","F"),"F")</f>
        <v>F</v>
      </c>
      <c r="T106" t="str">
        <f>IFERROR(IF(Data2021[[#This Row],[Number of active members]]=Data2021[[#This Row],[Non-EEA Active ]]+Data2021[[#This Row],[EEA Active]]+Data2021[[#This Row],[Dutch Active]],"T","F"),"F")</f>
        <v>F</v>
      </c>
      <c r="U106" t="str">
        <f>IFERROR(IF(Data2021[[#This Row],[Number of members]]-Data2021[[#This Row],[Non-EEA Active ]]-Data2021[[#This Row],[EEA Active]]-Data2021[[#This Row],[Dutch Active]]=Data2021[[#This Row],[Number of  inactive members]],"T","F"),"F")</f>
        <v>F</v>
      </c>
      <c r="V106" t="str">
        <f>IF(Data2021[[#This Row],[EEA Active]]&lt;=Data2021[[#This Row],[EEA total]],"T","F")</f>
        <v>T</v>
      </c>
      <c r="W106" t="str">
        <f>IF(Data2021[[#This Row],[Dutch Active]]&lt;=Data2021[[#This Row],[Dutch total]],"T","F")</f>
        <v>T</v>
      </c>
      <c r="X106" t="str">
        <f>IF(Data2021[[#This Row],[Non-EEA Active ]]&lt;=Data2021[[#This Row],[Non-EEA Total]],"T","F")</f>
        <v>T</v>
      </c>
      <c r="Y10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6" t="str">
        <f>IFERROR(VLOOKUP(Data2021[[#This Row],[organisation_name]],'Division Study Year Committees'!$A$1:$L$108,2,FALSE),"N/A")</f>
        <v>N/A</v>
      </c>
      <c r="AA106" t="str">
        <f>IFERROR(VLOOKUP(Data2021[[#This Row],[organisation_name]],'Division Study Year Committees'!$A$1:$L$108,3,FALSE),"N/A")</f>
        <v>N/A</v>
      </c>
      <c r="AB106" t="str">
        <f>IFERROR(VLOOKUP(Data2021[[#This Row],[organisation_name]],'Division Study Year Committees'!$A$1:$L$108,4,FALSE),"N/A")</f>
        <v>N/A</v>
      </c>
      <c r="AC106" t="str">
        <f>IFERROR(VLOOKUP(Data2021[[#This Row],[organisation_name]],'Division Study Year Committees'!$A$1:$L$108,5,FALSE), "N/A")</f>
        <v>N/A</v>
      </c>
      <c r="AD106" t="str">
        <f>IFERROR(VLOOKUP(Data2021[[#This Row],[organisation_name]],'Division Study Year Committees'!$A$1:$L$108,6,FALSE), "N/A")</f>
        <v>N/A</v>
      </c>
      <c r="AE106">
        <f>SUM(Data2021[[#This Row],[Number of first year comittee members]:[Number of 4+ year comittee members]])</f>
        <v>0</v>
      </c>
      <c r="AF106">
        <f>COUNTIF('Comittee2021'!D:D,Data2021[[#This Row],[organisation_name]])</f>
        <v>0</v>
      </c>
      <c r="AG106">
        <f>COUNTIFS('Comittee2021'!$D:$D,Data2021[[#This Row],[organisation_name]],'Comittee2021'!$O:$O,"strong decrease")</f>
        <v>0</v>
      </c>
      <c r="AH106">
        <f>COUNTIFS('Comittee2021'!$D:$D,Data2021[[#This Row],[organisation_name]],'Comittee2021'!$O:$O,"slight decrease")</f>
        <v>0</v>
      </c>
      <c r="AI106">
        <f>COUNTIFS('Comittee2021'!$D:$D,Data2021[[#This Row],[organisation_name]],'Comittee2021'!$O:$O,"no influence")</f>
        <v>0</v>
      </c>
      <c r="AJ106">
        <f>COUNTIFS('Comittee2021'!$D:$D,Data2021[[#This Row],[organisation_name]],'Comittee2021'!$O:$O,"slight increase")</f>
        <v>0</v>
      </c>
      <c r="AK106">
        <f>COUNTIFS('Comittee2021'!$D:$D,Data2021[[#This Row],[organisation_name]],'Comittee2021'!$O:$O,"strong increase")</f>
        <v>0</v>
      </c>
      <c r="AL106">
        <v>2021</v>
      </c>
    </row>
    <row r="107" spans="1:38" x14ac:dyDescent="0.3">
      <c r="A107" t="str">
        <f>General2021[[#This Row],[organisation_name]]</f>
        <v>DSIF</v>
      </c>
      <c r="B107" t="str">
        <f>IF(General2021[[#This Row],[sector]]= "",VLOOKUP(Data2021[[#This Row],[organisation_name]],'Response Rate sheet'!A:D,3,FALSE),General2021[[#This Row],[sector]])</f>
        <v>Other</v>
      </c>
      <c r="C107" t="str">
        <f>General2021[[#This Row],[organisation_type]]</f>
        <v>foundation</v>
      </c>
      <c r="D107" t="str">
        <f>IF(ISBLANK(General2021[[#This Row],[number_of_members]]),"N/A",VLOOKUP(A107,General2021[[organisation_name]:[number_of_international_committee_board_members_not_eea]],6,FALSE))</f>
        <v>N/A</v>
      </c>
      <c r="E107" t="str">
        <f>IF(ISBLANK(General2021[[#This Row],[number_of_committee_board_members]]),"N/A",VLOOKUP(A107,General2021!B:M,10,FALSE))</f>
        <v>N/A</v>
      </c>
      <c r="F107" t="str">
        <f>IFERROR(Data2021[[#This Row],[Number of members]]-Data2021[[#This Row],[Number of active members]], "N/A")</f>
        <v>N/A</v>
      </c>
      <c r="G107" t="str">
        <f>IFERROR(Data2021[[#This Row],[Number of active members]]/Data2021[[#This Row],[Number of members]], "N/A")</f>
        <v>N/A</v>
      </c>
      <c r="H107" t="str">
        <f>IFERROR(1-Data2021[[#This Row],[Percentage active members]],"N/A")</f>
        <v>N/A</v>
      </c>
      <c r="I107" t="str">
        <f>IF(Data2021[[#This Row],[Number of members]]=0,"N/A",IF(Data2021[[#This Row],[Number of members]]&lt;50," A. 1 - 50 ",IF(Data2021[[#This Row],[Number of members]]&lt;100, "B. 50 - 100", IF(Data2021[[#This Row],[Number of members]]&lt;400, "C. 100 - 400", IF(Data2021[[#This Row],[Number of members]]&lt;1000,"D. 400 - 1000", "E. 1000 +")))))</f>
        <v>E. 1000 +</v>
      </c>
      <c r="J107" t="str">
        <f>IF(ISBLANK(General2021[[#This Row],[number_of_international_members_not_eea]]),"N/A",VLOOKUP(A107,General2021[[organisation_name]:[number_of_international_committee_board_members_not_eea]],9,FALSE))</f>
        <v>N/A</v>
      </c>
      <c r="K107" t="str">
        <f>IF(ISBLANK(General2021[[#This Row],[number_of_international_members_eea]]),"N/A",VLOOKUP(A107,General2021[[organisation_name]:[number_of_international_committee_board_members_not_eea]],8,FALSE))</f>
        <v>N/A</v>
      </c>
      <c r="L107" t="str">
        <f>IFERROR(IF(Data2021[[#This Row],[Number of members]]-Data2021[[#This Row],[Non-EEA Total]]-Data2021[[#This Row],[EEA total]]&lt;1,"N/A", Data2021[[#This Row],[Number of members]]-Data2021[[#This Row],[Non-EEA Total]]-Data2021[[#This Row],[EEA total]]),"N/A")</f>
        <v>N/A</v>
      </c>
      <c r="M107">
        <f>VLOOKUP(A107,General2021[[organisation_name]:[number_of_international_committee_board_members_not_eea]],12,FALSE)</f>
        <v>0</v>
      </c>
      <c r="N107">
        <f>VLOOKUP(A107,General2021[[organisation_name]:[number_of_international_committee_board_members_not_eea]],11,FALSE)</f>
        <v>0</v>
      </c>
      <c r="O107" t="str">
        <f>IFERROR(IF(Data2021[[#This Row],[Number of active members]]-Data2021[[#This Row],[Non-EEA Active ]]-Data2021[[#This Row],[EEA Active]]&lt;1,"N/A", Data2021[[#This Row],[Number of active members]]-Data2021[[#This Row],[Non-EEA Active ]]-Data2021[[#This Row],[EEA Active]]),"N/A")</f>
        <v>N/A</v>
      </c>
      <c r="P107" t="str">
        <f>IFERROR(Data2021[[#This Row],[Non-EEA Active ]]/Data2021[[#This Row],[Number of active members]],"N/A")</f>
        <v>N/A</v>
      </c>
      <c r="Q107" t="str">
        <f>IFERROR(Data2021[[#This Row],[EEA Active]]/Data2021[[#This Row],[EEA total]], "N/A")</f>
        <v>N/A</v>
      </c>
      <c r="R107" t="str">
        <f>IFERROR(Data2021[[#This Row],[Dutch Active]]/Data2021[[#This Row],[Dutch total]],"N/A")</f>
        <v>N/A</v>
      </c>
      <c r="S107" t="str">
        <f>IFERROR(IF(Data2021[[#This Row],[Number of members]]=Data2021[[#This Row],[Non-EEA Total]]+Data2021[[#This Row],[EEA total]]+Data2021[[#This Row],[Dutch total]],"T","F"),"F")</f>
        <v>F</v>
      </c>
      <c r="T107" t="str">
        <f>IFERROR(IF(Data2021[[#This Row],[Number of active members]]=Data2021[[#This Row],[Non-EEA Active ]]+Data2021[[#This Row],[EEA Active]]+Data2021[[#This Row],[Dutch Active]],"T","F"),"F")</f>
        <v>F</v>
      </c>
      <c r="U107" t="str">
        <f>IFERROR(IF(Data2021[[#This Row],[Number of members]]-Data2021[[#This Row],[Non-EEA Active ]]-Data2021[[#This Row],[EEA Active]]-Data2021[[#This Row],[Dutch Active]]=Data2021[[#This Row],[Number of  inactive members]],"T","F"),"F")</f>
        <v>F</v>
      </c>
      <c r="V107" t="str">
        <f>IF(Data2021[[#This Row],[EEA Active]]&lt;=Data2021[[#This Row],[EEA total]],"T","F")</f>
        <v>T</v>
      </c>
      <c r="W107" t="str">
        <f>IF(Data2021[[#This Row],[Dutch Active]]&lt;=Data2021[[#This Row],[Dutch total]],"T","F")</f>
        <v>T</v>
      </c>
      <c r="X107" t="str">
        <f>IF(Data2021[[#This Row],[Non-EEA Active ]]&lt;=Data2021[[#This Row],[Non-EEA Total]],"T","F")</f>
        <v>T</v>
      </c>
      <c r="Y10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7" t="str">
        <f>IFERROR(VLOOKUP(Data2021[[#This Row],[organisation_name]],'Division Study Year Committees'!$A$1:$L$108,2,FALSE),"N/A")</f>
        <v>N/A</v>
      </c>
      <c r="AA107" t="str">
        <f>IFERROR(VLOOKUP(Data2021[[#This Row],[organisation_name]],'Division Study Year Committees'!$A$1:$L$108,3,FALSE),"N/A")</f>
        <v>N/A</v>
      </c>
      <c r="AB107" t="str">
        <f>IFERROR(VLOOKUP(Data2021[[#This Row],[organisation_name]],'Division Study Year Committees'!$A$1:$L$108,4,FALSE),"N/A")</f>
        <v>N/A</v>
      </c>
      <c r="AC107" t="str">
        <f>IFERROR(VLOOKUP(Data2021[[#This Row],[organisation_name]],'Division Study Year Committees'!$A$1:$L$108,5,FALSE), "N/A")</f>
        <v>N/A</v>
      </c>
      <c r="AD107" t="str">
        <f>IFERROR(VLOOKUP(Data2021[[#This Row],[organisation_name]],'Division Study Year Committees'!$A$1:$L$108,6,FALSE), "N/A")</f>
        <v>N/A</v>
      </c>
      <c r="AE107">
        <f>SUM(Data2021[[#This Row],[Number of first year comittee members]:[Number of 4+ year comittee members]])</f>
        <v>0</v>
      </c>
      <c r="AF107">
        <f>COUNTIF('Comittee2021'!D:D,Data2021[[#This Row],[organisation_name]])</f>
        <v>0</v>
      </c>
      <c r="AG107">
        <f>COUNTIFS('Comittee2021'!$D:$D,Data2021[[#This Row],[organisation_name]],'Comittee2021'!$O:$O,"strong decrease")</f>
        <v>0</v>
      </c>
      <c r="AH107">
        <f>COUNTIFS('Comittee2021'!$D:$D,Data2021[[#This Row],[organisation_name]],'Comittee2021'!$O:$O,"slight decrease")</f>
        <v>0</v>
      </c>
      <c r="AI107">
        <f>COUNTIFS('Comittee2021'!$D:$D,Data2021[[#This Row],[organisation_name]],'Comittee2021'!$O:$O,"no influence")</f>
        <v>0</v>
      </c>
      <c r="AJ107">
        <f>COUNTIFS('Comittee2021'!$D:$D,Data2021[[#This Row],[organisation_name]],'Comittee2021'!$O:$O,"slight increase")</f>
        <v>0</v>
      </c>
      <c r="AK107">
        <f>COUNTIFS('Comittee2021'!$D:$D,Data2021[[#This Row],[organisation_name]],'Comittee2021'!$O:$O,"strong increase")</f>
        <v>0</v>
      </c>
      <c r="AL107">
        <v>2021</v>
      </c>
    </row>
    <row r="108" spans="1:38" x14ac:dyDescent="0.3">
      <c r="A108" t="str">
        <f>General2021[[#This Row],[organisation_name]]</f>
        <v>Hive01</v>
      </c>
      <c r="B108" t="str">
        <f>IF(General2021[[#This Row],[sector]]= "",VLOOKUP(Data2021[[#This Row],[organisation_name]],'Response Rate sheet'!A:D,3,FALSE),General2021[[#This Row],[sector]])</f>
        <v>Other</v>
      </c>
      <c r="C108" t="str">
        <f>General2021[[#This Row],[organisation_type]]</f>
        <v>foundation</v>
      </c>
      <c r="D108">
        <f>IF(ISBLANK(General2021[[#This Row],[number_of_members]]),"N/A",VLOOKUP(A108,General2021[[organisation_name]:[number_of_international_committee_board_members_not_eea]],6,FALSE))</f>
        <v>5</v>
      </c>
      <c r="E108">
        <f>IF(ISBLANK(General2021[[#This Row],[number_of_committee_board_members]]),"N/A",VLOOKUP(A108,General2021!B:M,10,FALSE))</f>
        <v>0</v>
      </c>
      <c r="F108">
        <f>IFERROR(Data2021[[#This Row],[Number of members]]-Data2021[[#This Row],[Number of active members]], "N/A")</f>
        <v>5</v>
      </c>
      <c r="G108">
        <f>IFERROR(Data2021[[#This Row],[Number of active members]]/Data2021[[#This Row],[Number of members]], "N/A")</f>
        <v>0</v>
      </c>
      <c r="H108">
        <f>IFERROR(1-Data2021[[#This Row],[Percentage active members]],"N/A")</f>
        <v>1</v>
      </c>
      <c r="I108"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08">
        <f>IF(ISBLANK(General2021[[#This Row],[number_of_international_members_not_eea]]),"N/A",VLOOKUP(A108,General2021[[organisation_name]:[number_of_international_committee_board_members_not_eea]],9,FALSE))</f>
        <v>0</v>
      </c>
      <c r="K108">
        <f>IF(ISBLANK(General2021[[#This Row],[number_of_international_members_eea]]),"N/A",VLOOKUP(A108,General2021[[organisation_name]:[number_of_international_committee_board_members_not_eea]],8,FALSE))</f>
        <v>1</v>
      </c>
      <c r="L108">
        <f>IFERROR(IF(Data2021[[#This Row],[Number of members]]-Data2021[[#This Row],[Non-EEA Total]]-Data2021[[#This Row],[EEA total]]&lt;1,"N/A", Data2021[[#This Row],[Number of members]]-Data2021[[#This Row],[Non-EEA Total]]-Data2021[[#This Row],[EEA total]]),"N/A")</f>
        <v>4</v>
      </c>
      <c r="M108">
        <f>VLOOKUP(A108,General2021[[organisation_name]:[number_of_international_committee_board_members_not_eea]],12,FALSE)</f>
        <v>0</v>
      </c>
      <c r="N108">
        <f>VLOOKUP(A108,General2021[[organisation_name]:[number_of_international_committee_board_members_not_eea]],11,FALSE)</f>
        <v>0</v>
      </c>
      <c r="O108" t="str">
        <f>IFERROR(IF(Data2021[[#This Row],[Number of active members]]-Data2021[[#This Row],[Non-EEA Active ]]-Data2021[[#This Row],[EEA Active]]&lt;1,"N/A", Data2021[[#This Row],[Number of active members]]-Data2021[[#This Row],[Non-EEA Active ]]-Data2021[[#This Row],[EEA Active]]),"N/A")</f>
        <v>N/A</v>
      </c>
      <c r="P108" t="str">
        <f>IFERROR(Data2021[[#This Row],[Non-EEA Active ]]/Data2021[[#This Row],[Number of active members]],"N/A")</f>
        <v>N/A</v>
      </c>
      <c r="Q108">
        <f>IFERROR(Data2021[[#This Row],[EEA Active]]/Data2021[[#This Row],[EEA total]], "N/A")</f>
        <v>0</v>
      </c>
      <c r="R108" t="str">
        <f>IFERROR(Data2021[[#This Row],[Dutch Active]]/Data2021[[#This Row],[Dutch total]],"N/A")</f>
        <v>N/A</v>
      </c>
      <c r="S108" t="str">
        <f>IFERROR(IF(Data2021[[#This Row],[Number of members]]=Data2021[[#This Row],[Non-EEA Total]]+Data2021[[#This Row],[EEA total]]+Data2021[[#This Row],[Dutch total]],"T","F"),"F")</f>
        <v>T</v>
      </c>
      <c r="T108" t="str">
        <f>IFERROR(IF(Data2021[[#This Row],[Number of active members]]=Data2021[[#This Row],[Non-EEA Active ]]+Data2021[[#This Row],[EEA Active]]+Data2021[[#This Row],[Dutch Active]],"T","F"),"F")</f>
        <v>F</v>
      </c>
      <c r="U108" t="str">
        <f>IFERROR(IF(Data2021[[#This Row],[Number of members]]-Data2021[[#This Row],[Non-EEA Active ]]-Data2021[[#This Row],[EEA Active]]-Data2021[[#This Row],[Dutch Active]]=Data2021[[#This Row],[Number of  inactive members]],"T","F"),"F")</f>
        <v>F</v>
      </c>
      <c r="V108" t="str">
        <f>IF(Data2021[[#This Row],[EEA Active]]&lt;=Data2021[[#This Row],[EEA total]],"T","F")</f>
        <v>T</v>
      </c>
      <c r="W108" t="str">
        <f>IF(Data2021[[#This Row],[Dutch Active]]&lt;=Data2021[[#This Row],[Dutch total]],"T","F")</f>
        <v>F</v>
      </c>
      <c r="X108" t="str">
        <f>IF(Data2021[[#This Row],[Non-EEA Active ]]&lt;=Data2021[[#This Row],[Non-EEA Total]],"T","F")</f>
        <v>T</v>
      </c>
      <c r="Y10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8" t="str">
        <f>IFERROR(VLOOKUP(Data2021[[#This Row],[organisation_name]],'Division Study Year Committees'!$A$1:$L$108,2,FALSE),"N/A")</f>
        <v>N/A</v>
      </c>
      <c r="AA108" t="str">
        <f>IFERROR(VLOOKUP(Data2021[[#This Row],[organisation_name]],'Division Study Year Committees'!$A$1:$L$108,3,FALSE),"N/A")</f>
        <v>N/A</v>
      </c>
      <c r="AB108" t="str">
        <f>IFERROR(VLOOKUP(Data2021[[#This Row],[organisation_name]],'Division Study Year Committees'!$A$1:$L$108,4,FALSE),"N/A")</f>
        <v>N/A</v>
      </c>
      <c r="AC108" t="str">
        <f>IFERROR(VLOOKUP(Data2021[[#This Row],[organisation_name]],'Division Study Year Committees'!$A$1:$L$108,5,FALSE), "N/A")</f>
        <v>N/A</v>
      </c>
      <c r="AD108" t="str">
        <f>IFERROR(VLOOKUP(Data2021[[#This Row],[organisation_name]],'Division Study Year Committees'!$A$1:$L$108,6,FALSE), "N/A")</f>
        <v>N/A</v>
      </c>
      <c r="AE108">
        <f>SUM(Data2021[[#This Row],[Number of first year comittee members]:[Number of 4+ year comittee members]])</f>
        <v>0</v>
      </c>
      <c r="AF108">
        <f>COUNTIF('Comittee2021'!D:D,Data2021[[#This Row],[organisation_name]])</f>
        <v>0</v>
      </c>
      <c r="AG108">
        <f>COUNTIFS('Comittee2021'!$D:$D,Data2021[[#This Row],[organisation_name]],'Comittee2021'!$O:$O,"strong decrease")</f>
        <v>0</v>
      </c>
      <c r="AH108">
        <f>COUNTIFS('Comittee2021'!$D:$D,Data2021[[#This Row],[organisation_name]],'Comittee2021'!$O:$O,"slight decrease")</f>
        <v>0</v>
      </c>
      <c r="AI108">
        <f>COUNTIFS('Comittee2021'!$D:$D,Data2021[[#This Row],[organisation_name]],'Comittee2021'!$O:$O,"no influence")</f>
        <v>0</v>
      </c>
      <c r="AJ108">
        <f>COUNTIFS('Comittee2021'!$D:$D,Data2021[[#This Row],[organisation_name]],'Comittee2021'!$O:$O,"slight increase")</f>
        <v>0</v>
      </c>
      <c r="AK108">
        <f>COUNTIFS('Comittee2021'!$D:$D,Data2021[[#This Row],[organisation_name]],'Comittee2021'!$O:$O,"strong increase")</f>
        <v>0</v>
      </c>
      <c r="AL108">
        <v>2021</v>
      </c>
    </row>
    <row r="109" spans="1:38" x14ac:dyDescent="0.3">
      <c r="A109" t="str">
        <f>General2021[[#This Row],[organisation_name]]</f>
        <v>Green Team Twente</v>
      </c>
      <c r="B109" t="str">
        <f>IF(General2021[[#This Row],[sector]]= "",VLOOKUP(Data2021[[#This Row],[organisation_name]],'Response Rate sheet'!A:D,3,FALSE),General2021[[#This Row],[sector]])</f>
        <v>Other</v>
      </c>
      <c r="C109" t="str">
        <f>General2021[[#This Row],[organisation_type]]</f>
        <v>foundation</v>
      </c>
      <c r="D109" t="str">
        <f>IF(ISBLANK(General2021[[#This Row],[number_of_members]]),"N/A",VLOOKUP(A109,General2021[[organisation_name]:[number_of_international_committee_board_members_not_eea]],6,FALSE))</f>
        <v>N/A</v>
      </c>
      <c r="E109" t="str">
        <f>IF(ISBLANK(General2021[[#This Row],[number_of_committee_board_members]]),"N/A",VLOOKUP(A109,General2021!B:M,10,FALSE))</f>
        <v>N/A</v>
      </c>
      <c r="F109" t="str">
        <f>IFERROR(Data2021[[#This Row],[Number of members]]-Data2021[[#This Row],[Number of active members]], "N/A")</f>
        <v>N/A</v>
      </c>
      <c r="G109" t="str">
        <f>IFERROR(Data2021[[#This Row],[Number of active members]]/Data2021[[#This Row],[Number of members]], "N/A")</f>
        <v>N/A</v>
      </c>
      <c r="H109" t="str">
        <f>IFERROR(1-Data2021[[#This Row],[Percentage active members]],"N/A")</f>
        <v>N/A</v>
      </c>
      <c r="I109" t="str">
        <f>IF(Data2021[[#This Row],[Number of members]]=0,"N/A",IF(Data2021[[#This Row],[Number of members]]&lt;50," A. 1 - 50 ",IF(Data2021[[#This Row],[Number of members]]&lt;100, "B. 50 - 100", IF(Data2021[[#This Row],[Number of members]]&lt;400, "C. 100 - 400", IF(Data2021[[#This Row],[Number of members]]&lt;1000,"D. 400 - 1000", "E. 1000 +")))))</f>
        <v>E. 1000 +</v>
      </c>
      <c r="J109" t="str">
        <f>IF(ISBLANK(General2021[[#This Row],[number_of_international_members_not_eea]]),"N/A",VLOOKUP(A109,General2021[[organisation_name]:[number_of_international_committee_board_members_not_eea]],9,FALSE))</f>
        <v>N/A</v>
      </c>
      <c r="K109" t="str">
        <f>IF(ISBLANK(General2021[[#This Row],[number_of_international_members_eea]]),"N/A",VLOOKUP(A109,General2021[[organisation_name]:[number_of_international_committee_board_members_not_eea]],8,FALSE))</f>
        <v>N/A</v>
      </c>
      <c r="L109" t="str">
        <f>IFERROR(IF(Data2021[[#This Row],[Number of members]]-Data2021[[#This Row],[Non-EEA Total]]-Data2021[[#This Row],[EEA total]]&lt;1,"N/A", Data2021[[#This Row],[Number of members]]-Data2021[[#This Row],[Non-EEA Total]]-Data2021[[#This Row],[EEA total]]),"N/A")</f>
        <v>N/A</v>
      </c>
      <c r="M109">
        <f>VLOOKUP(A109,General2021[[organisation_name]:[number_of_international_committee_board_members_not_eea]],12,FALSE)</f>
        <v>0</v>
      </c>
      <c r="N109">
        <f>VLOOKUP(A109,General2021[[organisation_name]:[number_of_international_committee_board_members_not_eea]],11,FALSE)</f>
        <v>0</v>
      </c>
      <c r="O109" t="str">
        <f>IFERROR(IF(Data2021[[#This Row],[Number of active members]]-Data2021[[#This Row],[Non-EEA Active ]]-Data2021[[#This Row],[EEA Active]]&lt;1,"N/A", Data2021[[#This Row],[Number of active members]]-Data2021[[#This Row],[Non-EEA Active ]]-Data2021[[#This Row],[EEA Active]]),"N/A")</f>
        <v>N/A</v>
      </c>
      <c r="P109" t="str">
        <f>IFERROR(Data2021[[#This Row],[Non-EEA Active ]]/Data2021[[#This Row],[Number of active members]],"N/A")</f>
        <v>N/A</v>
      </c>
      <c r="Q109" t="str">
        <f>IFERROR(Data2021[[#This Row],[EEA Active]]/Data2021[[#This Row],[EEA total]], "N/A")</f>
        <v>N/A</v>
      </c>
      <c r="R109" t="str">
        <f>IFERROR(Data2021[[#This Row],[Dutch Active]]/Data2021[[#This Row],[Dutch total]],"N/A")</f>
        <v>N/A</v>
      </c>
      <c r="S109" t="str">
        <f>IFERROR(IF(Data2021[[#This Row],[Number of members]]=Data2021[[#This Row],[Non-EEA Total]]+Data2021[[#This Row],[EEA total]]+Data2021[[#This Row],[Dutch total]],"T","F"),"F")</f>
        <v>F</v>
      </c>
      <c r="T109" t="str">
        <f>IFERROR(IF(Data2021[[#This Row],[Number of active members]]=Data2021[[#This Row],[Non-EEA Active ]]+Data2021[[#This Row],[EEA Active]]+Data2021[[#This Row],[Dutch Active]],"T","F"),"F")</f>
        <v>F</v>
      </c>
      <c r="U109" t="str">
        <f>IFERROR(IF(Data2021[[#This Row],[Number of members]]-Data2021[[#This Row],[Non-EEA Active ]]-Data2021[[#This Row],[EEA Active]]-Data2021[[#This Row],[Dutch Active]]=Data2021[[#This Row],[Number of  inactive members]],"T","F"),"F")</f>
        <v>F</v>
      </c>
      <c r="V109" t="str">
        <f>IF(Data2021[[#This Row],[EEA Active]]&lt;=Data2021[[#This Row],[EEA total]],"T","F")</f>
        <v>T</v>
      </c>
      <c r="W109" t="str">
        <f>IF(Data2021[[#This Row],[Dutch Active]]&lt;=Data2021[[#This Row],[Dutch total]],"T","F")</f>
        <v>T</v>
      </c>
      <c r="X109" t="str">
        <f>IF(Data2021[[#This Row],[Non-EEA Active ]]&lt;=Data2021[[#This Row],[Non-EEA Total]],"T","F")</f>
        <v>T</v>
      </c>
      <c r="Y10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09" t="str">
        <f>IFERROR(VLOOKUP(Data2021[[#This Row],[organisation_name]],'Division Study Year Committees'!$A$1:$L$108,2,FALSE),"N/A")</f>
        <v>N/A</v>
      </c>
      <c r="AA109" t="str">
        <f>IFERROR(VLOOKUP(Data2021[[#This Row],[organisation_name]],'Division Study Year Committees'!$A$1:$L$108,3,FALSE),"N/A")</f>
        <v>N/A</v>
      </c>
      <c r="AB109" t="str">
        <f>IFERROR(VLOOKUP(Data2021[[#This Row],[organisation_name]],'Division Study Year Committees'!$A$1:$L$108,4,FALSE),"N/A")</f>
        <v>N/A</v>
      </c>
      <c r="AC109" t="str">
        <f>IFERROR(VLOOKUP(Data2021[[#This Row],[organisation_name]],'Division Study Year Committees'!$A$1:$L$108,5,FALSE), "N/A")</f>
        <v>N/A</v>
      </c>
      <c r="AD109" t="str">
        <f>IFERROR(VLOOKUP(Data2021[[#This Row],[organisation_name]],'Division Study Year Committees'!$A$1:$L$108,6,FALSE), "N/A")</f>
        <v>N/A</v>
      </c>
      <c r="AE109">
        <f>SUM(Data2021[[#This Row],[Number of first year comittee members]:[Number of 4+ year comittee members]])</f>
        <v>0</v>
      </c>
      <c r="AF109">
        <f>COUNTIF('Comittee2021'!D:D,Data2021[[#This Row],[organisation_name]])</f>
        <v>0</v>
      </c>
      <c r="AG109">
        <f>COUNTIFS('Comittee2021'!$D:$D,Data2021[[#This Row],[organisation_name]],'Comittee2021'!$O:$O,"strong decrease")</f>
        <v>0</v>
      </c>
      <c r="AH109">
        <f>COUNTIFS('Comittee2021'!$D:$D,Data2021[[#This Row],[organisation_name]],'Comittee2021'!$O:$O,"slight decrease")</f>
        <v>0</v>
      </c>
      <c r="AI109">
        <f>COUNTIFS('Comittee2021'!$D:$D,Data2021[[#This Row],[organisation_name]],'Comittee2021'!$O:$O,"no influence")</f>
        <v>0</v>
      </c>
      <c r="AJ109">
        <f>COUNTIFS('Comittee2021'!$D:$D,Data2021[[#This Row],[organisation_name]],'Comittee2021'!$O:$O,"slight increase")</f>
        <v>0</v>
      </c>
      <c r="AK109">
        <f>COUNTIFS('Comittee2021'!$D:$D,Data2021[[#This Row],[organisation_name]],'Comittee2021'!$O:$O,"strong increase")</f>
        <v>0</v>
      </c>
      <c r="AL109">
        <v>2021</v>
      </c>
    </row>
    <row r="110" spans="1:38" x14ac:dyDescent="0.3">
      <c r="A110" t="str">
        <f>General2021[[#This Row],[organisation_name]]</f>
        <v>IAPC</v>
      </c>
      <c r="B110" t="str">
        <f>IF(General2021[[#This Row],[sector]]= "",VLOOKUP(Data2021[[#This Row],[organisation_name]],'Response Rate sheet'!A:D,3,FALSE),General2021[[#This Row],[sector]])</f>
        <v>Other</v>
      </c>
      <c r="C110" t="str">
        <f>General2021[[#This Row],[organisation_type]]</f>
        <v>foundation</v>
      </c>
      <c r="D110">
        <f>IF(ISBLANK(General2021[[#This Row],[number_of_members]]),"N/A",VLOOKUP(A110,General2021[[organisation_name]:[number_of_international_committee_board_members_not_eea]],6,FALSE))</f>
        <v>92</v>
      </c>
      <c r="E110">
        <f>IF(ISBLANK(General2021[[#This Row],[number_of_committee_board_members]]),"N/A",VLOOKUP(A110,General2021!B:M,10,FALSE))</f>
        <v>0</v>
      </c>
      <c r="F110">
        <f>IFERROR(Data2021[[#This Row],[Number of members]]-Data2021[[#This Row],[Number of active members]], "N/A")</f>
        <v>92</v>
      </c>
      <c r="G110">
        <f>IFERROR(Data2021[[#This Row],[Number of active members]]/Data2021[[#This Row],[Number of members]], "N/A")</f>
        <v>0</v>
      </c>
      <c r="H110">
        <f>IFERROR(1-Data2021[[#This Row],[Percentage active members]],"N/A")</f>
        <v>1</v>
      </c>
      <c r="I110" t="str">
        <f>IF(Data2021[[#This Row],[Number of members]]=0,"N/A",IF(Data2021[[#This Row],[Number of members]]&lt;50," A. 1 - 50 ",IF(Data2021[[#This Row],[Number of members]]&lt;100, "B. 50 - 100", IF(Data2021[[#This Row],[Number of members]]&lt;400, "C. 100 - 400", IF(Data2021[[#This Row],[Number of members]]&lt;1000,"D. 400 - 1000", "E. 1000 +")))))</f>
        <v>B. 50 - 100</v>
      </c>
      <c r="J110">
        <f>IF(ISBLANK(General2021[[#This Row],[number_of_international_members_not_eea]]),"N/A",VLOOKUP(A110,General2021[[organisation_name]:[number_of_international_committee_board_members_not_eea]],9,FALSE))</f>
        <v>0</v>
      </c>
      <c r="K110">
        <f>IF(ISBLANK(General2021[[#This Row],[number_of_international_members_eea]]),"N/A",VLOOKUP(A110,General2021[[organisation_name]:[number_of_international_committee_board_members_not_eea]],8,FALSE))</f>
        <v>0</v>
      </c>
      <c r="L110">
        <f>IFERROR(IF(Data2021[[#This Row],[Number of members]]-Data2021[[#This Row],[Non-EEA Total]]-Data2021[[#This Row],[EEA total]]&lt;1,"N/A", Data2021[[#This Row],[Number of members]]-Data2021[[#This Row],[Non-EEA Total]]-Data2021[[#This Row],[EEA total]]),"N/A")</f>
        <v>92</v>
      </c>
      <c r="M110">
        <f>VLOOKUP(A110,General2021[[organisation_name]:[number_of_international_committee_board_members_not_eea]],12,FALSE)</f>
        <v>0</v>
      </c>
      <c r="N110">
        <f>VLOOKUP(A110,General2021[[organisation_name]:[number_of_international_committee_board_members_not_eea]],11,FALSE)</f>
        <v>0</v>
      </c>
      <c r="O110" t="str">
        <f>IFERROR(IF(Data2021[[#This Row],[Number of active members]]-Data2021[[#This Row],[Non-EEA Active ]]-Data2021[[#This Row],[EEA Active]]&lt;1,"N/A", Data2021[[#This Row],[Number of active members]]-Data2021[[#This Row],[Non-EEA Active ]]-Data2021[[#This Row],[EEA Active]]),"N/A")</f>
        <v>N/A</v>
      </c>
      <c r="P110" t="str">
        <f>IFERROR(Data2021[[#This Row],[Non-EEA Active ]]/Data2021[[#This Row],[Number of active members]],"N/A")</f>
        <v>N/A</v>
      </c>
      <c r="Q110" t="str">
        <f>IFERROR(Data2021[[#This Row],[EEA Active]]/Data2021[[#This Row],[EEA total]], "N/A")</f>
        <v>N/A</v>
      </c>
      <c r="R110" t="str">
        <f>IFERROR(Data2021[[#This Row],[Dutch Active]]/Data2021[[#This Row],[Dutch total]],"N/A")</f>
        <v>N/A</v>
      </c>
      <c r="S110" t="str">
        <f>IFERROR(IF(Data2021[[#This Row],[Number of members]]=Data2021[[#This Row],[Non-EEA Total]]+Data2021[[#This Row],[EEA total]]+Data2021[[#This Row],[Dutch total]],"T","F"),"F")</f>
        <v>T</v>
      </c>
      <c r="T110" t="str">
        <f>IFERROR(IF(Data2021[[#This Row],[Number of active members]]=Data2021[[#This Row],[Non-EEA Active ]]+Data2021[[#This Row],[EEA Active]]+Data2021[[#This Row],[Dutch Active]],"T","F"),"F")</f>
        <v>F</v>
      </c>
      <c r="U110" t="str">
        <f>IFERROR(IF(Data2021[[#This Row],[Number of members]]-Data2021[[#This Row],[Non-EEA Active ]]-Data2021[[#This Row],[EEA Active]]-Data2021[[#This Row],[Dutch Active]]=Data2021[[#This Row],[Number of  inactive members]],"T","F"),"F")</f>
        <v>F</v>
      </c>
      <c r="V110" t="str">
        <f>IF(Data2021[[#This Row],[EEA Active]]&lt;=Data2021[[#This Row],[EEA total]],"T","F")</f>
        <v>T</v>
      </c>
      <c r="W110" t="str">
        <f>IF(Data2021[[#This Row],[Dutch Active]]&lt;=Data2021[[#This Row],[Dutch total]],"T","F")</f>
        <v>F</v>
      </c>
      <c r="X110" t="str">
        <f>IF(Data2021[[#This Row],[Non-EEA Active ]]&lt;=Data2021[[#This Row],[Non-EEA Total]],"T","F")</f>
        <v>T</v>
      </c>
      <c r="Y11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0">
        <f>IFERROR(VLOOKUP(Data2021[[#This Row],[organisation_name]],'Division Study Year Committees'!$A$1:$L$108,2,FALSE),"N/A")</f>
        <v>0</v>
      </c>
      <c r="AA110">
        <f>IFERROR(VLOOKUP(Data2021[[#This Row],[organisation_name]],'Division Study Year Committees'!$A$1:$L$108,3,FALSE),"N/A")</f>
        <v>13</v>
      </c>
      <c r="AB110">
        <f>IFERROR(VLOOKUP(Data2021[[#This Row],[organisation_name]],'Division Study Year Committees'!$A$1:$L$108,4,FALSE),"N/A")</f>
        <v>5</v>
      </c>
      <c r="AC110">
        <f>IFERROR(VLOOKUP(Data2021[[#This Row],[organisation_name]],'Division Study Year Committees'!$A$1:$L$108,5,FALSE), "N/A")</f>
        <v>0</v>
      </c>
      <c r="AD110">
        <f>IFERROR(VLOOKUP(Data2021[[#This Row],[organisation_name]],'Division Study Year Committees'!$A$1:$L$108,6,FALSE), "N/A")</f>
        <v>1</v>
      </c>
      <c r="AE110">
        <f>SUM(Data2021[[#This Row],[Number of first year comittee members]:[Number of 4+ year comittee members]])</f>
        <v>19</v>
      </c>
      <c r="AF110">
        <f>COUNTIF('Comittee2021'!D:D,Data2021[[#This Row],[organisation_name]])</f>
        <v>8</v>
      </c>
      <c r="AG110">
        <f>COUNTIFS('Comittee2021'!$D:$D,Data2021[[#This Row],[organisation_name]],'Comittee2021'!$O:$O,"strong decrease")</f>
        <v>0</v>
      </c>
      <c r="AH110">
        <f>COUNTIFS('Comittee2021'!$D:$D,Data2021[[#This Row],[organisation_name]],'Comittee2021'!$O:$O,"slight decrease")</f>
        <v>1</v>
      </c>
      <c r="AI110">
        <f>COUNTIFS('Comittee2021'!$D:$D,Data2021[[#This Row],[organisation_name]],'Comittee2021'!$O:$O,"no influence")</f>
        <v>7</v>
      </c>
      <c r="AJ110">
        <f>COUNTIFS('Comittee2021'!$D:$D,Data2021[[#This Row],[organisation_name]],'Comittee2021'!$O:$O,"slight increase")</f>
        <v>0</v>
      </c>
      <c r="AK110">
        <f>COUNTIFS('Comittee2021'!$D:$D,Data2021[[#This Row],[organisation_name]],'Comittee2021'!$O:$O,"strong increase")</f>
        <v>0</v>
      </c>
      <c r="AL110">
        <v>2021</v>
      </c>
    </row>
    <row r="111" spans="1:38" x14ac:dyDescent="0.3">
      <c r="A111" t="str">
        <f>General2021[[#This Row],[organisation_name]]</f>
        <v>Stichting Borrelbeheer Zilvering</v>
      </c>
      <c r="B111" t="str">
        <f>IF(General2021[[#This Row],[sector]]= "",VLOOKUP(Data2021[[#This Row],[organisation_name]],'Response Rate sheet'!A:D,3,FALSE),General2021[[#This Row],[sector]])</f>
        <v>Social</v>
      </c>
      <c r="C111" t="str">
        <f>General2021[[#This Row],[organisation_type]]</f>
        <v>foundation</v>
      </c>
      <c r="D111">
        <f>IF(ISBLANK(General2021[[#This Row],[number_of_members]]),"N/A",VLOOKUP(A111,General2021[[organisation_name]:[number_of_international_committee_board_members_not_eea]],6,FALSE))</f>
        <v>17</v>
      </c>
      <c r="E111">
        <f>IF(ISBLANK(General2021[[#This Row],[number_of_committee_board_members]]),"N/A",VLOOKUP(A111,General2021!B:M,10,FALSE))</f>
        <v>0</v>
      </c>
      <c r="F111">
        <f>IFERROR(Data2021[[#This Row],[Number of members]]-Data2021[[#This Row],[Number of active members]], "N/A")</f>
        <v>17</v>
      </c>
      <c r="G111">
        <f>IFERROR(Data2021[[#This Row],[Number of active members]]/Data2021[[#This Row],[Number of members]], "N/A")</f>
        <v>0</v>
      </c>
      <c r="H111">
        <f>IFERROR(1-Data2021[[#This Row],[Percentage active members]],"N/A")</f>
        <v>1</v>
      </c>
      <c r="I111"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11">
        <f>IF(ISBLANK(General2021[[#This Row],[number_of_international_members_not_eea]]),"N/A",VLOOKUP(A111,General2021[[organisation_name]:[number_of_international_committee_board_members_not_eea]],9,FALSE))</f>
        <v>0</v>
      </c>
      <c r="K111">
        <f>IF(ISBLANK(General2021[[#This Row],[number_of_international_members_eea]]),"N/A",VLOOKUP(A111,General2021[[organisation_name]:[number_of_international_committee_board_members_not_eea]],8,FALSE))</f>
        <v>0</v>
      </c>
      <c r="L111">
        <f>IFERROR(IF(Data2021[[#This Row],[Number of members]]-Data2021[[#This Row],[Non-EEA Total]]-Data2021[[#This Row],[EEA total]]&lt;1,"N/A", Data2021[[#This Row],[Number of members]]-Data2021[[#This Row],[Non-EEA Total]]-Data2021[[#This Row],[EEA total]]),"N/A")</f>
        <v>17</v>
      </c>
      <c r="M111">
        <f>VLOOKUP(A111,General2021[[organisation_name]:[number_of_international_committee_board_members_not_eea]],12,FALSE)</f>
        <v>0</v>
      </c>
      <c r="N111">
        <f>VLOOKUP(A111,General2021[[organisation_name]:[number_of_international_committee_board_members_not_eea]],11,FALSE)</f>
        <v>0</v>
      </c>
      <c r="O111" t="str">
        <f>IFERROR(IF(Data2021[[#This Row],[Number of active members]]-Data2021[[#This Row],[Non-EEA Active ]]-Data2021[[#This Row],[EEA Active]]&lt;1,"N/A", Data2021[[#This Row],[Number of active members]]-Data2021[[#This Row],[Non-EEA Active ]]-Data2021[[#This Row],[EEA Active]]),"N/A")</f>
        <v>N/A</v>
      </c>
      <c r="P111" t="str">
        <f>IFERROR(Data2021[[#This Row],[Non-EEA Active ]]/Data2021[[#This Row],[Number of active members]],"N/A")</f>
        <v>N/A</v>
      </c>
      <c r="Q111" t="str">
        <f>IFERROR(Data2021[[#This Row],[EEA Active]]/Data2021[[#This Row],[EEA total]], "N/A")</f>
        <v>N/A</v>
      </c>
      <c r="R111" t="str">
        <f>IFERROR(Data2021[[#This Row],[Dutch Active]]/Data2021[[#This Row],[Dutch total]],"N/A")</f>
        <v>N/A</v>
      </c>
      <c r="S111" t="str">
        <f>IFERROR(IF(Data2021[[#This Row],[Number of members]]=Data2021[[#This Row],[Non-EEA Total]]+Data2021[[#This Row],[EEA total]]+Data2021[[#This Row],[Dutch total]],"T","F"),"F")</f>
        <v>T</v>
      </c>
      <c r="T111" t="str">
        <f>IFERROR(IF(Data2021[[#This Row],[Number of active members]]=Data2021[[#This Row],[Non-EEA Active ]]+Data2021[[#This Row],[EEA Active]]+Data2021[[#This Row],[Dutch Active]],"T","F"),"F")</f>
        <v>F</v>
      </c>
      <c r="U111" t="str">
        <f>IFERROR(IF(Data2021[[#This Row],[Number of members]]-Data2021[[#This Row],[Non-EEA Active ]]-Data2021[[#This Row],[EEA Active]]-Data2021[[#This Row],[Dutch Active]]=Data2021[[#This Row],[Number of  inactive members]],"T","F"),"F")</f>
        <v>F</v>
      </c>
      <c r="V111" t="str">
        <f>IF(Data2021[[#This Row],[EEA Active]]&lt;=Data2021[[#This Row],[EEA total]],"T","F")</f>
        <v>T</v>
      </c>
      <c r="W111" t="str">
        <f>IF(Data2021[[#This Row],[Dutch Active]]&lt;=Data2021[[#This Row],[Dutch total]],"T","F")</f>
        <v>F</v>
      </c>
      <c r="X111" t="str">
        <f>IF(Data2021[[#This Row],[Non-EEA Active ]]&lt;=Data2021[[#This Row],[Non-EEA Total]],"T","F")</f>
        <v>T</v>
      </c>
      <c r="Y11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1">
        <f>IFERROR(VLOOKUP(Data2021[[#This Row],[organisation_name]],'Division Study Year Committees'!$A$1:$L$108,2,FALSE),"N/A")</f>
        <v>0</v>
      </c>
      <c r="AA111">
        <f>IFERROR(VLOOKUP(Data2021[[#This Row],[organisation_name]],'Division Study Year Committees'!$A$1:$L$108,3,FALSE),"N/A")</f>
        <v>0</v>
      </c>
      <c r="AB111">
        <f>IFERROR(VLOOKUP(Data2021[[#This Row],[organisation_name]],'Division Study Year Committees'!$A$1:$L$108,4,FALSE),"N/A")</f>
        <v>6</v>
      </c>
      <c r="AC111">
        <f>IFERROR(VLOOKUP(Data2021[[#This Row],[organisation_name]],'Division Study Year Committees'!$A$1:$L$108,5,FALSE), "N/A")</f>
        <v>2</v>
      </c>
      <c r="AD111">
        <f>IFERROR(VLOOKUP(Data2021[[#This Row],[organisation_name]],'Division Study Year Committees'!$A$1:$L$108,6,FALSE), "N/A")</f>
        <v>0</v>
      </c>
      <c r="AE111">
        <f>SUM(Data2021[[#This Row],[Number of first year comittee members]:[Number of 4+ year comittee members]])</f>
        <v>8</v>
      </c>
      <c r="AF111">
        <f>COUNTIF('Comittee2021'!D:D,Data2021[[#This Row],[organisation_name]])</f>
        <v>2</v>
      </c>
      <c r="AG111">
        <f>COUNTIFS('Comittee2021'!$D:$D,Data2021[[#This Row],[organisation_name]],'Comittee2021'!$O:$O,"strong decrease")</f>
        <v>0</v>
      </c>
      <c r="AH111">
        <f>COUNTIFS('Comittee2021'!$D:$D,Data2021[[#This Row],[organisation_name]],'Comittee2021'!$O:$O,"slight decrease")</f>
        <v>0</v>
      </c>
      <c r="AI111">
        <f>COUNTIFS('Comittee2021'!$D:$D,Data2021[[#This Row],[organisation_name]],'Comittee2021'!$O:$O,"no influence")</f>
        <v>1</v>
      </c>
      <c r="AJ111">
        <f>COUNTIFS('Comittee2021'!$D:$D,Data2021[[#This Row],[organisation_name]],'Comittee2021'!$O:$O,"slight increase")</f>
        <v>0</v>
      </c>
      <c r="AK111">
        <f>COUNTIFS('Comittee2021'!$D:$D,Data2021[[#This Row],[organisation_name]],'Comittee2021'!$O:$O,"strong increase")</f>
        <v>1</v>
      </c>
      <c r="AL111">
        <v>2021</v>
      </c>
    </row>
    <row r="112" spans="1:38" x14ac:dyDescent="0.3">
      <c r="A112" t="str">
        <f>General2021[[#This Row],[organisation_name]]</f>
        <v>Stichting Batavierenrace</v>
      </c>
      <c r="B112" t="str">
        <f>IF(General2021[[#This Row],[sector]]= "",VLOOKUP(Data2021[[#This Row],[organisation_name]],'Response Rate sheet'!A:D,3,FALSE),General2021[[#This Row],[sector]])</f>
        <v>Other</v>
      </c>
      <c r="C112" t="str">
        <f>General2021[[#This Row],[organisation_type]]</f>
        <v>foundation</v>
      </c>
      <c r="D112">
        <f>IF(ISBLANK(General2021[[#This Row],[number_of_members]]),"N/A",VLOOKUP(A112,General2021[[organisation_name]:[number_of_international_committee_board_members_not_eea]],6,FALSE))</f>
        <v>110</v>
      </c>
      <c r="E112">
        <f>IF(ISBLANK(General2021[[#This Row],[number_of_committee_board_members]]),"N/A",VLOOKUP(A112,General2021!B:M,10,FALSE))</f>
        <v>0</v>
      </c>
      <c r="F112">
        <f>IFERROR(Data2021[[#This Row],[Number of members]]-Data2021[[#This Row],[Number of active members]], "N/A")</f>
        <v>110</v>
      </c>
      <c r="G112">
        <f>IFERROR(Data2021[[#This Row],[Number of active members]]/Data2021[[#This Row],[Number of members]], "N/A")</f>
        <v>0</v>
      </c>
      <c r="H112">
        <f>IFERROR(1-Data2021[[#This Row],[Percentage active members]],"N/A")</f>
        <v>1</v>
      </c>
      <c r="I112" t="str">
        <f>IF(Data2021[[#This Row],[Number of members]]=0,"N/A",IF(Data2021[[#This Row],[Number of members]]&lt;50," A. 1 - 50 ",IF(Data2021[[#This Row],[Number of members]]&lt;100, "B. 50 - 100", IF(Data2021[[#This Row],[Number of members]]&lt;400, "C. 100 - 400", IF(Data2021[[#This Row],[Number of members]]&lt;1000,"D. 400 - 1000", "E. 1000 +")))))</f>
        <v>C. 100 - 400</v>
      </c>
      <c r="J112">
        <f>IF(ISBLANK(General2021[[#This Row],[number_of_international_members_not_eea]]),"N/A",VLOOKUP(A112,General2021[[organisation_name]:[number_of_international_committee_board_members_not_eea]],9,FALSE))</f>
        <v>0</v>
      </c>
      <c r="K112">
        <f>IF(ISBLANK(General2021[[#This Row],[number_of_international_members_eea]]),"N/A",VLOOKUP(A112,General2021[[organisation_name]:[number_of_international_committee_board_members_not_eea]],8,FALSE))</f>
        <v>0</v>
      </c>
      <c r="L112">
        <f>IFERROR(IF(Data2021[[#This Row],[Number of members]]-Data2021[[#This Row],[Non-EEA Total]]-Data2021[[#This Row],[EEA total]]&lt;1,"N/A", Data2021[[#This Row],[Number of members]]-Data2021[[#This Row],[Non-EEA Total]]-Data2021[[#This Row],[EEA total]]),"N/A")</f>
        <v>110</v>
      </c>
      <c r="M112">
        <f>VLOOKUP(A112,General2021[[organisation_name]:[number_of_international_committee_board_members_not_eea]],12,FALSE)</f>
        <v>0</v>
      </c>
      <c r="N112">
        <f>VLOOKUP(A112,General2021[[organisation_name]:[number_of_international_committee_board_members_not_eea]],11,FALSE)</f>
        <v>0</v>
      </c>
      <c r="O112" t="str">
        <f>IFERROR(IF(Data2021[[#This Row],[Number of active members]]-Data2021[[#This Row],[Non-EEA Active ]]-Data2021[[#This Row],[EEA Active]]&lt;1,"N/A", Data2021[[#This Row],[Number of active members]]-Data2021[[#This Row],[Non-EEA Active ]]-Data2021[[#This Row],[EEA Active]]),"N/A")</f>
        <v>N/A</v>
      </c>
      <c r="P112" t="str">
        <f>IFERROR(Data2021[[#This Row],[Non-EEA Active ]]/Data2021[[#This Row],[Number of active members]],"N/A")</f>
        <v>N/A</v>
      </c>
      <c r="Q112" t="str">
        <f>IFERROR(Data2021[[#This Row],[EEA Active]]/Data2021[[#This Row],[EEA total]], "N/A")</f>
        <v>N/A</v>
      </c>
      <c r="R112" t="str">
        <f>IFERROR(Data2021[[#This Row],[Dutch Active]]/Data2021[[#This Row],[Dutch total]],"N/A")</f>
        <v>N/A</v>
      </c>
      <c r="S112" t="str">
        <f>IFERROR(IF(Data2021[[#This Row],[Number of members]]=Data2021[[#This Row],[Non-EEA Total]]+Data2021[[#This Row],[EEA total]]+Data2021[[#This Row],[Dutch total]],"T","F"),"F")</f>
        <v>T</v>
      </c>
      <c r="T112" t="str">
        <f>IFERROR(IF(Data2021[[#This Row],[Number of active members]]=Data2021[[#This Row],[Non-EEA Active ]]+Data2021[[#This Row],[EEA Active]]+Data2021[[#This Row],[Dutch Active]],"T","F"),"F")</f>
        <v>F</v>
      </c>
      <c r="U112" t="str">
        <f>IFERROR(IF(Data2021[[#This Row],[Number of members]]-Data2021[[#This Row],[Non-EEA Active ]]-Data2021[[#This Row],[EEA Active]]-Data2021[[#This Row],[Dutch Active]]=Data2021[[#This Row],[Number of  inactive members]],"T","F"),"F")</f>
        <v>F</v>
      </c>
      <c r="V112" t="str">
        <f>IF(Data2021[[#This Row],[EEA Active]]&lt;=Data2021[[#This Row],[EEA total]],"T","F")</f>
        <v>T</v>
      </c>
      <c r="W112" t="str">
        <f>IF(Data2021[[#This Row],[Dutch Active]]&lt;=Data2021[[#This Row],[Dutch total]],"T","F")</f>
        <v>F</v>
      </c>
      <c r="X112" t="str">
        <f>IF(Data2021[[#This Row],[Non-EEA Active ]]&lt;=Data2021[[#This Row],[Non-EEA Total]],"T","F")</f>
        <v>T</v>
      </c>
      <c r="Y11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2">
        <f>IFERROR(VLOOKUP(Data2021[[#This Row],[organisation_name]],'Division Study Year Committees'!$A$1:$L$108,2,FALSE),"N/A")</f>
        <v>0</v>
      </c>
      <c r="AA112">
        <f>IFERROR(VLOOKUP(Data2021[[#This Row],[organisation_name]],'Division Study Year Committees'!$A$1:$L$108,3,FALSE),"N/A")</f>
        <v>2</v>
      </c>
      <c r="AB112">
        <f>IFERROR(VLOOKUP(Data2021[[#This Row],[organisation_name]],'Division Study Year Committees'!$A$1:$L$108,4,FALSE),"N/A")</f>
        <v>0</v>
      </c>
      <c r="AC112">
        <f>IFERROR(VLOOKUP(Data2021[[#This Row],[organisation_name]],'Division Study Year Committees'!$A$1:$L$108,5,FALSE), "N/A")</f>
        <v>1</v>
      </c>
      <c r="AD112">
        <f>IFERROR(VLOOKUP(Data2021[[#This Row],[organisation_name]],'Division Study Year Committees'!$A$1:$L$108,6,FALSE), "N/A")</f>
        <v>1</v>
      </c>
      <c r="AE112">
        <f>SUM(Data2021[[#This Row],[Number of first year comittee members]:[Number of 4+ year comittee members]])</f>
        <v>4</v>
      </c>
      <c r="AF112">
        <f>COUNTIF('Comittee2021'!D:D,Data2021[[#This Row],[organisation_name]])</f>
        <v>15</v>
      </c>
      <c r="AG112">
        <f>COUNTIFS('Comittee2021'!$D:$D,Data2021[[#This Row],[organisation_name]],'Comittee2021'!$O:$O,"strong decrease")</f>
        <v>6</v>
      </c>
      <c r="AH112">
        <f>COUNTIFS('Comittee2021'!$D:$D,Data2021[[#This Row],[organisation_name]],'Comittee2021'!$O:$O,"slight decrease")</f>
        <v>3</v>
      </c>
      <c r="AI112">
        <f>COUNTIFS('Comittee2021'!$D:$D,Data2021[[#This Row],[organisation_name]],'Comittee2021'!$O:$O,"no influence")</f>
        <v>4</v>
      </c>
      <c r="AJ112">
        <f>COUNTIFS('Comittee2021'!$D:$D,Data2021[[#This Row],[organisation_name]],'Comittee2021'!$O:$O,"slight increase")</f>
        <v>2</v>
      </c>
      <c r="AK112">
        <f>COUNTIFS('Comittee2021'!$D:$D,Data2021[[#This Row],[organisation_name]],'Comittee2021'!$O:$O,"strong increase")</f>
        <v>0</v>
      </c>
      <c r="AL112">
        <v>2021</v>
      </c>
    </row>
    <row r="113" spans="1:38" x14ac:dyDescent="0.3">
      <c r="A113" t="str">
        <f>General2021[[#This Row],[organisation_name]]</f>
        <v>Stichting Solar Team Twente</v>
      </c>
      <c r="B113" t="str">
        <f>IF(General2021[[#This Row],[sector]]= "",VLOOKUP(Data2021[[#This Row],[organisation_name]],'Response Rate sheet'!A:D,3,FALSE),General2021[[#This Row],[sector]])</f>
        <v>Other</v>
      </c>
      <c r="C113" t="str">
        <f>General2021[[#This Row],[organisation_type]]</f>
        <v>foundation</v>
      </c>
      <c r="D113">
        <f>IF(ISBLANK(General2021[[#This Row],[number_of_members]]),"N/A",VLOOKUP(A113,General2021[[organisation_name]:[number_of_international_committee_board_members_not_eea]],6,FALSE))</f>
        <v>19</v>
      </c>
      <c r="E113">
        <f>IF(ISBLANK(General2021[[#This Row],[number_of_committee_board_members]]),"N/A",VLOOKUP(A113,General2021!B:M,10,FALSE))</f>
        <v>0</v>
      </c>
      <c r="F113">
        <f>IFERROR(Data2021[[#This Row],[Number of members]]-Data2021[[#This Row],[Number of active members]], "N/A")</f>
        <v>19</v>
      </c>
      <c r="G113">
        <f>IFERROR(Data2021[[#This Row],[Number of active members]]/Data2021[[#This Row],[Number of members]], "N/A")</f>
        <v>0</v>
      </c>
      <c r="H113">
        <f>IFERROR(1-Data2021[[#This Row],[Percentage active members]],"N/A")</f>
        <v>1</v>
      </c>
      <c r="I113"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13">
        <f>IF(ISBLANK(General2021[[#This Row],[number_of_international_members_not_eea]]),"N/A",VLOOKUP(A113,General2021[[organisation_name]:[number_of_international_committee_board_members_not_eea]],9,FALSE))</f>
        <v>0</v>
      </c>
      <c r="K113" t="str">
        <f>IF(ISBLANK(General2021[[#This Row],[number_of_international_members_eea]]),"N/A",VLOOKUP(A113,General2021[[organisation_name]:[number_of_international_committee_board_members_not_eea]],8,FALSE))</f>
        <v>N/A</v>
      </c>
      <c r="L113" t="str">
        <f>IFERROR(IF(Data2021[[#This Row],[Number of members]]-Data2021[[#This Row],[Non-EEA Total]]-Data2021[[#This Row],[EEA total]]&lt;1,"N/A", Data2021[[#This Row],[Number of members]]-Data2021[[#This Row],[Non-EEA Total]]-Data2021[[#This Row],[EEA total]]),"N/A")</f>
        <v>N/A</v>
      </c>
      <c r="M113">
        <f>VLOOKUP(A113,General2021[[organisation_name]:[number_of_international_committee_board_members_not_eea]],12,FALSE)</f>
        <v>0</v>
      </c>
      <c r="N113">
        <f>VLOOKUP(A113,General2021[[organisation_name]:[number_of_international_committee_board_members_not_eea]],11,FALSE)</f>
        <v>0</v>
      </c>
      <c r="O113" t="str">
        <f>IFERROR(IF(Data2021[[#This Row],[Number of active members]]-Data2021[[#This Row],[Non-EEA Active ]]-Data2021[[#This Row],[EEA Active]]&lt;1,"N/A", Data2021[[#This Row],[Number of active members]]-Data2021[[#This Row],[Non-EEA Active ]]-Data2021[[#This Row],[EEA Active]]),"N/A")</f>
        <v>N/A</v>
      </c>
      <c r="P113" t="str">
        <f>IFERROR(Data2021[[#This Row],[Non-EEA Active ]]/Data2021[[#This Row],[Number of active members]],"N/A")</f>
        <v>N/A</v>
      </c>
      <c r="Q113" t="str">
        <f>IFERROR(Data2021[[#This Row],[EEA Active]]/Data2021[[#This Row],[EEA total]], "N/A")</f>
        <v>N/A</v>
      </c>
      <c r="R113" t="str">
        <f>IFERROR(Data2021[[#This Row],[Dutch Active]]/Data2021[[#This Row],[Dutch total]],"N/A")</f>
        <v>N/A</v>
      </c>
      <c r="S113" t="str">
        <f>IFERROR(IF(Data2021[[#This Row],[Number of members]]=Data2021[[#This Row],[Non-EEA Total]]+Data2021[[#This Row],[EEA total]]+Data2021[[#This Row],[Dutch total]],"T","F"),"F")</f>
        <v>F</v>
      </c>
      <c r="T113" t="str">
        <f>IFERROR(IF(Data2021[[#This Row],[Number of active members]]=Data2021[[#This Row],[Non-EEA Active ]]+Data2021[[#This Row],[EEA Active]]+Data2021[[#This Row],[Dutch Active]],"T","F"),"F")</f>
        <v>F</v>
      </c>
      <c r="U113" t="str">
        <f>IFERROR(IF(Data2021[[#This Row],[Number of members]]-Data2021[[#This Row],[Non-EEA Active ]]-Data2021[[#This Row],[EEA Active]]-Data2021[[#This Row],[Dutch Active]]=Data2021[[#This Row],[Number of  inactive members]],"T","F"),"F")</f>
        <v>F</v>
      </c>
      <c r="V113" t="str">
        <f>IF(Data2021[[#This Row],[EEA Active]]&lt;=Data2021[[#This Row],[EEA total]],"T","F")</f>
        <v>T</v>
      </c>
      <c r="W113" t="str">
        <f>IF(Data2021[[#This Row],[Dutch Active]]&lt;=Data2021[[#This Row],[Dutch total]],"T","F")</f>
        <v>T</v>
      </c>
      <c r="X113" t="str">
        <f>IF(Data2021[[#This Row],[Non-EEA Active ]]&lt;=Data2021[[#This Row],[Non-EEA Total]],"T","F")</f>
        <v>T</v>
      </c>
      <c r="Y11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3">
        <f>IFERROR(VLOOKUP(Data2021[[#This Row],[organisation_name]],'Division Study Year Committees'!$A$1:$L$108,2,FALSE),"N/A")</f>
        <v>0</v>
      </c>
      <c r="AA113">
        <f>IFERROR(VLOOKUP(Data2021[[#This Row],[organisation_name]],'Division Study Year Committees'!$A$1:$L$108,3,FALSE),"N/A")</f>
        <v>0</v>
      </c>
      <c r="AB113">
        <f>IFERROR(VLOOKUP(Data2021[[#This Row],[organisation_name]],'Division Study Year Committees'!$A$1:$L$108,4,FALSE),"N/A")</f>
        <v>0</v>
      </c>
      <c r="AC113">
        <f>IFERROR(VLOOKUP(Data2021[[#This Row],[organisation_name]],'Division Study Year Committees'!$A$1:$L$108,5,FALSE), "N/A")</f>
        <v>0</v>
      </c>
      <c r="AD113">
        <f>IFERROR(VLOOKUP(Data2021[[#This Row],[organisation_name]],'Division Study Year Committees'!$A$1:$L$108,6,FALSE), "N/A")</f>
        <v>0</v>
      </c>
      <c r="AE113">
        <f>SUM(Data2021[[#This Row],[Number of first year comittee members]:[Number of 4+ year comittee members]])</f>
        <v>0</v>
      </c>
      <c r="AF113">
        <f>COUNTIF('Comittee2021'!D:D,Data2021[[#This Row],[organisation_name]])</f>
        <v>3</v>
      </c>
      <c r="AG113">
        <f>COUNTIFS('Comittee2021'!$D:$D,Data2021[[#This Row],[organisation_name]],'Comittee2021'!$O:$O,"strong decrease")</f>
        <v>0</v>
      </c>
      <c r="AH113">
        <f>COUNTIFS('Comittee2021'!$D:$D,Data2021[[#This Row],[organisation_name]],'Comittee2021'!$O:$O,"slight decrease")</f>
        <v>0</v>
      </c>
      <c r="AI113">
        <f>COUNTIFS('Comittee2021'!$D:$D,Data2021[[#This Row],[organisation_name]],'Comittee2021'!$O:$O,"no influence")</f>
        <v>0</v>
      </c>
      <c r="AJ113">
        <f>COUNTIFS('Comittee2021'!$D:$D,Data2021[[#This Row],[organisation_name]],'Comittee2021'!$O:$O,"slight increase")</f>
        <v>0</v>
      </c>
      <c r="AK113">
        <f>COUNTIFS('Comittee2021'!$D:$D,Data2021[[#This Row],[organisation_name]],'Comittee2021'!$O:$O,"strong increase")</f>
        <v>0</v>
      </c>
      <c r="AL113">
        <v>2021</v>
      </c>
    </row>
    <row r="114" spans="1:38" x14ac:dyDescent="0.3">
      <c r="A114" t="str">
        <f>General2021[[#This Row],[organisation_name]]</f>
        <v>Studenten Net Twente</v>
      </c>
      <c r="B114" t="str">
        <f>IF(General2021[[#This Row],[sector]]= "",VLOOKUP(Data2021[[#This Row],[organisation_name]],'Response Rate sheet'!A:D,3,FALSE),General2021[[#This Row],[sector]])</f>
        <v>Other</v>
      </c>
      <c r="C114" t="str">
        <f>General2021[[#This Row],[organisation_type]]</f>
        <v>association</v>
      </c>
      <c r="D114" t="str">
        <f>IF(ISBLANK(General2021[[#This Row],[number_of_members]]),"N/A",VLOOKUP(A114,General2021[[organisation_name]:[number_of_international_committee_board_members_not_eea]],6,FALSE))</f>
        <v>N/A</v>
      </c>
      <c r="E114" t="str">
        <f>IF(ISBLANK(General2021[[#This Row],[number_of_committee_board_members]]),"N/A",VLOOKUP(A114,General2021!B:M,10,FALSE))</f>
        <v>N/A</v>
      </c>
      <c r="F114" t="str">
        <f>IFERROR(Data2021[[#This Row],[Number of members]]-Data2021[[#This Row],[Number of active members]], "N/A")</f>
        <v>N/A</v>
      </c>
      <c r="G114" t="str">
        <f>IFERROR(Data2021[[#This Row],[Number of active members]]/Data2021[[#This Row],[Number of members]], "N/A")</f>
        <v>N/A</v>
      </c>
      <c r="H114" t="str">
        <f>IFERROR(1-Data2021[[#This Row],[Percentage active members]],"N/A")</f>
        <v>N/A</v>
      </c>
      <c r="I114" t="str">
        <f>IF(Data2021[[#This Row],[Number of members]]=0,"N/A",IF(Data2021[[#This Row],[Number of members]]&lt;50," A. 1 - 50 ",IF(Data2021[[#This Row],[Number of members]]&lt;100, "B. 50 - 100", IF(Data2021[[#This Row],[Number of members]]&lt;400, "C. 100 - 400", IF(Data2021[[#This Row],[Number of members]]&lt;1000,"D. 400 - 1000", "E. 1000 +")))))</f>
        <v>E. 1000 +</v>
      </c>
      <c r="J114" t="str">
        <f>IF(ISBLANK(General2021[[#This Row],[number_of_international_members_not_eea]]),"N/A",VLOOKUP(A114,General2021[[organisation_name]:[number_of_international_committee_board_members_not_eea]],9,FALSE))</f>
        <v>N/A</v>
      </c>
      <c r="K114" t="str">
        <f>IF(ISBLANK(General2021[[#This Row],[number_of_international_members_eea]]),"N/A",VLOOKUP(A114,General2021[[organisation_name]:[number_of_international_committee_board_members_not_eea]],8,FALSE))</f>
        <v>N/A</v>
      </c>
      <c r="L114" t="str">
        <f>IFERROR(IF(Data2021[[#This Row],[Number of members]]-Data2021[[#This Row],[Non-EEA Total]]-Data2021[[#This Row],[EEA total]]&lt;1,"N/A", Data2021[[#This Row],[Number of members]]-Data2021[[#This Row],[Non-EEA Total]]-Data2021[[#This Row],[EEA total]]),"N/A")</f>
        <v>N/A</v>
      </c>
      <c r="M114">
        <f>VLOOKUP(A114,General2021[[organisation_name]:[number_of_international_committee_board_members_not_eea]],12,FALSE)</f>
        <v>0</v>
      </c>
      <c r="N114">
        <f>VLOOKUP(A114,General2021[[organisation_name]:[number_of_international_committee_board_members_not_eea]],11,FALSE)</f>
        <v>0</v>
      </c>
      <c r="O114" t="str">
        <f>IFERROR(IF(Data2021[[#This Row],[Number of active members]]-Data2021[[#This Row],[Non-EEA Active ]]-Data2021[[#This Row],[EEA Active]]&lt;1,"N/A", Data2021[[#This Row],[Number of active members]]-Data2021[[#This Row],[Non-EEA Active ]]-Data2021[[#This Row],[EEA Active]]),"N/A")</f>
        <v>N/A</v>
      </c>
      <c r="P114" t="str">
        <f>IFERROR(Data2021[[#This Row],[Non-EEA Active ]]/Data2021[[#This Row],[Number of active members]],"N/A")</f>
        <v>N/A</v>
      </c>
      <c r="Q114" t="str">
        <f>IFERROR(Data2021[[#This Row],[EEA Active]]/Data2021[[#This Row],[EEA total]], "N/A")</f>
        <v>N/A</v>
      </c>
      <c r="R114" t="str">
        <f>IFERROR(Data2021[[#This Row],[Dutch Active]]/Data2021[[#This Row],[Dutch total]],"N/A")</f>
        <v>N/A</v>
      </c>
      <c r="S114" t="str">
        <f>IFERROR(IF(Data2021[[#This Row],[Number of members]]=Data2021[[#This Row],[Non-EEA Total]]+Data2021[[#This Row],[EEA total]]+Data2021[[#This Row],[Dutch total]],"T","F"),"F")</f>
        <v>F</v>
      </c>
      <c r="T114" t="str">
        <f>IFERROR(IF(Data2021[[#This Row],[Number of active members]]=Data2021[[#This Row],[Non-EEA Active ]]+Data2021[[#This Row],[EEA Active]]+Data2021[[#This Row],[Dutch Active]],"T","F"),"F")</f>
        <v>F</v>
      </c>
      <c r="U114" t="str">
        <f>IFERROR(IF(Data2021[[#This Row],[Number of members]]-Data2021[[#This Row],[Non-EEA Active ]]-Data2021[[#This Row],[EEA Active]]-Data2021[[#This Row],[Dutch Active]]=Data2021[[#This Row],[Number of  inactive members]],"T","F"),"F")</f>
        <v>F</v>
      </c>
      <c r="V114" t="str">
        <f>IF(Data2021[[#This Row],[EEA Active]]&lt;=Data2021[[#This Row],[EEA total]],"T","F")</f>
        <v>T</v>
      </c>
      <c r="W114" t="str">
        <f>IF(Data2021[[#This Row],[Dutch Active]]&lt;=Data2021[[#This Row],[Dutch total]],"T","F")</f>
        <v>T</v>
      </c>
      <c r="X114" t="str">
        <f>IF(Data2021[[#This Row],[Non-EEA Active ]]&lt;=Data2021[[#This Row],[Non-EEA Total]],"T","F")</f>
        <v>T</v>
      </c>
      <c r="Y11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4" t="str">
        <f>IFERROR(VLOOKUP(Data2021[[#This Row],[organisation_name]],'Division Study Year Committees'!$A$1:$L$108,2,FALSE),"N/A")</f>
        <v>N/A</v>
      </c>
      <c r="AA114" t="str">
        <f>IFERROR(VLOOKUP(Data2021[[#This Row],[organisation_name]],'Division Study Year Committees'!$A$1:$L$108,3,FALSE),"N/A")</f>
        <v>N/A</v>
      </c>
      <c r="AB114" t="str">
        <f>IFERROR(VLOOKUP(Data2021[[#This Row],[organisation_name]],'Division Study Year Committees'!$A$1:$L$108,4,FALSE),"N/A")</f>
        <v>N/A</v>
      </c>
      <c r="AC114" t="str">
        <f>IFERROR(VLOOKUP(Data2021[[#This Row],[organisation_name]],'Division Study Year Committees'!$A$1:$L$108,5,FALSE), "N/A")</f>
        <v>N/A</v>
      </c>
      <c r="AD114" t="str">
        <f>IFERROR(VLOOKUP(Data2021[[#This Row],[organisation_name]],'Division Study Year Committees'!$A$1:$L$108,6,FALSE), "N/A")</f>
        <v>N/A</v>
      </c>
      <c r="AE114">
        <f>SUM(Data2021[[#This Row],[Number of first year comittee members]:[Number of 4+ year comittee members]])</f>
        <v>0</v>
      </c>
      <c r="AF114">
        <f>COUNTIF('Comittee2021'!D:D,Data2021[[#This Row],[organisation_name]])</f>
        <v>0</v>
      </c>
      <c r="AG114">
        <f>COUNTIFS('Comittee2021'!$D:$D,Data2021[[#This Row],[organisation_name]],'Comittee2021'!$O:$O,"strong decrease")</f>
        <v>0</v>
      </c>
      <c r="AH114">
        <f>COUNTIFS('Comittee2021'!$D:$D,Data2021[[#This Row],[organisation_name]],'Comittee2021'!$O:$O,"slight decrease")</f>
        <v>0</v>
      </c>
      <c r="AI114">
        <f>COUNTIFS('Comittee2021'!$D:$D,Data2021[[#This Row],[organisation_name]],'Comittee2021'!$O:$O,"no influence")</f>
        <v>0</v>
      </c>
      <c r="AJ114">
        <f>COUNTIFS('Comittee2021'!$D:$D,Data2021[[#This Row],[organisation_name]],'Comittee2021'!$O:$O,"slight increase")</f>
        <v>0</v>
      </c>
      <c r="AK114">
        <f>COUNTIFS('Comittee2021'!$D:$D,Data2021[[#This Row],[organisation_name]],'Comittee2021'!$O:$O,"strong increase")</f>
        <v>0</v>
      </c>
      <c r="AL114">
        <v>2021</v>
      </c>
    </row>
    <row r="115" spans="1:38" x14ac:dyDescent="0.3">
      <c r="A115" t="str">
        <f>General2021[[#This Row],[organisation_name]]</f>
        <v>Vereniging Campus kabel</v>
      </c>
      <c r="B115" t="str">
        <f>IF(General2021[[#This Row],[sector]]= "",VLOOKUP(Data2021[[#This Row],[organisation_name]],'Response Rate sheet'!A:D,3,FALSE),General2021[[#This Row],[sector]])</f>
        <v>Other</v>
      </c>
      <c r="C115" t="str">
        <f>General2021[[#This Row],[organisation_type]]</f>
        <v>association</v>
      </c>
      <c r="D115" t="str">
        <f>IF(ISBLANK(General2021[[#This Row],[number_of_members]]),"N/A",VLOOKUP(A115,General2021[[organisation_name]:[number_of_international_committee_board_members_not_eea]],6,FALSE))</f>
        <v>N/A</v>
      </c>
      <c r="E115" t="str">
        <f>IF(ISBLANK(General2021[[#This Row],[number_of_committee_board_members]]),"N/A",VLOOKUP(A115,General2021!B:M,10,FALSE))</f>
        <v>N/A</v>
      </c>
      <c r="F115" t="str">
        <f>IFERROR(Data2021[[#This Row],[Number of members]]-Data2021[[#This Row],[Number of active members]], "N/A")</f>
        <v>N/A</v>
      </c>
      <c r="G115" t="str">
        <f>IFERROR(Data2021[[#This Row],[Number of active members]]/Data2021[[#This Row],[Number of members]], "N/A")</f>
        <v>N/A</v>
      </c>
      <c r="H115" t="str">
        <f>IFERROR(1-Data2021[[#This Row],[Percentage active members]],"N/A")</f>
        <v>N/A</v>
      </c>
      <c r="I115" t="str">
        <f>IF(Data2021[[#This Row],[Number of members]]=0,"N/A",IF(Data2021[[#This Row],[Number of members]]&lt;50," A. 1 - 50 ",IF(Data2021[[#This Row],[Number of members]]&lt;100, "B. 50 - 100", IF(Data2021[[#This Row],[Number of members]]&lt;400, "C. 100 - 400", IF(Data2021[[#This Row],[Number of members]]&lt;1000,"D. 400 - 1000", "E. 1000 +")))))</f>
        <v>E. 1000 +</v>
      </c>
      <c r="J115" t="str">
        <f>IF(ISBLANK(General2021[[#This Row],[number_of_international_members_not_eea]]),"N/A",VLOOKUP(A115,General2021[[organisation_name]:[number_of_international_committee_board_members_not_eea]],9,FALSE))</f>
        <v>N/A</v>
      </c>
      <c r="K115" t="str">
        <f>IF(ISBLANK(General2021[[#This Row],[number_of_international_members_eea]]),"N/A",VLOOKUP(A115,General2021[[organisation_name]:[number_of_international_committee_board_members_not_eea]],8,FALSE))</f>
        <v>N/A</v>
      </c>
      <c r="L115" t="str">
        <f>IFERROR(IF(Data2021[[#This Row],[Number of members]]-Data2021[[#This Row],[Non-EEA Total]]-Data2021[[#This Row],[EEA total]]&lt;1,"N/A", Data2021[[#This Row],[Number of members]]-Data2021[[#This Row],[Non-EEA Total]]-Data2021[[#This Row],[EEA total]]),"N/A")</f>
        <v>N/A</v>
      </c>
      <c r="M115">
        <f>VLOOKUP(A115,General2021[[organisation_name]:[number_of_international_committee_board_members_not_eea]],12,FALSE)</f>
        <v>0</v>
      </c>
      <c r="N115">
        <f>VLOOKUP(A115,General2021[[organisation_name]:[number_of_international_committee_board_members_not_eea]],11,FALSE)</f>
        <v>0</v>
      </c>
      <c r="O115" t="str">
        <f>IFERROR(IF(Data2021[[#This Row],[Number of active members]]-Data2021[[#This Row],[Non-EEA Active ]]-Data2021[[#This Row],[EEA Active]]&lt;1,"N/A", Data2021[[#This Row],[Number of active members]]-Data2021[[#This Row],[Non-EEA Active ]]-Data2021[[#This Row],[EEA Active]]),"N/A")</f>
        <v>N/A</v>
      </c>
      <c r="P115" t="str">
        <f>IFERROR(Data2021[[#This Row],[Non-EEA Active ]]/Data2021[[#This Row],[Number of active members]],"N/A")</f>
        <v>N/A</v>
      </c>
      <c r="Q115" t="str">
        <f>IFERROR(Data2021[[#This Row],[EEA Active]]/Data2021[[#This Row],[EEA total]], "N/A")</f>
        <v>N/A</v>
      </c>
      <c r="R115" t="str">
        <f>IFERROR(Data2021[[#This Row],[Dutch Active]]/Data2021[[#This Row],[Dutch total]],"N/A")</f>
        <v>N/A</v>
      </c>
      <c r="S115" t="str">
        <f>IFERROR(IF(Data2021[[#This Row],[Number of members]]=Data2021[[#This Row],[Non-EEA Total]]+Data2021[[#This Row],[EEA total]]+Data2021[[#This Row],[Dutch total]],"T","F"),"F")</f>
        <v>F</v>
      </c>
      <c r="T115" t="str">
        <f>IFERROR(IF(Data2021[[#This Row],[Number of active members]]=Data2021[[#This Row],[Non-EEA Active ]]+Data2021[[#This Row],[EEA Active]]+Data2021[[#This Row],[Dutch Active]],"T","F"),"F")</f>
        <v>F</v>
      </c>
      <c r="U115" t="str">
        <f>IFERROR(IF(Data2021[[#This Row],[Number of members]]-Data2021[[#This Row],[Non-EEA Active ]]-Data2021[[#This Row],[EEA Active]]-Data2021[[#This Row],[Dutch Active]]=Data2021[[#This Row],[Number of  inactive members]],"T","F"),"F")</f>
        <v>F</v>
      </c>
      <c r="V115" t="str">
        <f>IF(Data2021[[#This Row],[EEA Active]]&lt;=Data2021[[#This Row],[EEA total]],"T","F")</f>
        <v>T</v>
      </c>
      <c r="W115" t="str">
        <f>IF(Data2021[[#This Row],[Dutch Active]]&lt;=Data2021[[#This Row],[Dutch total]],"T","F")</f>
        <v>T</v>
      </c>
      <c r="X115" t="str">
        <f>IF(Data2021[[#This Row],[Non-EEA Active ]]&lt;=Data2021[[#This Row],[Non-EEA Total]],"T","F")</f>
        <v>T</v>
      </c>
      <c r="Y11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5" t="str">
        <f>IFERROR(VLOOKUP(Data2021[[#This Row],[organisation_name]],'Division Study Year Committees'!$A$1:$L$108,2,FALSE),"N/A")</f>
        <v>N/A</v>
      </c>
      <c r="AA115" t="str">
        <f>IFERROR(VLOOKUP(Data2021[[#This Row],[organisation_name]],'Division Study Year Committees'!$A$1:$L$108,3,FALSE),"N/A")</f>
        <v>N/A</v>
      </c>
      <c r="AB115" t="str">
        <f>IFERROR(VLOOKUP(Data2021[[#This Row],[organisation_name]],'Division Study Year Committees'!$A$1:$L$108,4,FALSE),"N/A")</f>
        <v>N/A</v>
      </c>
      <c r="AC115" t="str">
        <f>IFERROR(VLOOKUP(Data2021[[#This Row],[organisation_name]],'Division Study Year Committees'!$A$1:$L$108,5,FALSE), "N/A")</f>
        <v>N/A</v>
      </c>
      <c r="AD115" t="str">
        <f>IFERROR(VLOOKUP(Data2021[[#This Row],[organisation_name]],'Division Study Year Committees'!$A$1:$L$108,6,FALSE), "N/A")</f>
        <v>N/A</v>
      </c>
      <c r="AE115">
        <f>SUM(Data2021[[#This Row],[Number of first year comittee members]:[Number of 4+ year comittee members]])</f>
        <v>0</v>
      </c>
      <c r="AF115">
        <f>COUNTIF('Comittee2021'!D:D,Data2021[[#This Row],[organisation_name]])</f>
        <v>0</v>
      </c>
      <c r="AG115">
        <f>COUNTIFS('Comittee2021'!$D:$D,Data2021[[#This Row],[organisation_name]],'Comittee2021'!$O:$O,"strong decrease")</f>
        <v>0</v>
      </c>
      <c r="AH115">
        <f>COUNTIFS('Comittee2021'!$D:$D,Data2021[[#This Row],[organisation_name]],'Comittee2021'!$O:$O,"slight decrease")</f>
        <v>0</v>
      </c>
      <c r="AI115">
        <f>COUNTIFS('Comittee2021'!$D:$D,Data2021[[#This Row],[organisation_name]],'Comittee2021'!$O:$O,"no influence")</f>
        <v>0</v>
      </c>
      <c r="AJ115">
        <f>COUNTIFS('Comittee2021'!$D:$D,Data2021[[#This Row],[organisation_name]],'Comittee2021'!$O:$O,"slight increase")</f>
        <v>0</v>
      </c>
      <c r="AK115">
        <f>COUNTIFS('Comittee2021'!$D:$D,Data2021[[#This Row],[organisation_name]],'Comittee2021'!$O:$O,"strong increase")</f>
        <v>0</v>
      </c>
      <c r="AL115">
        <v>2021</v>
      </c>
    </row>
    <row r="116" spans="1:38" x14ac:dyDescent="0.3">
      <c r="A116" t="str">
        <f>General2021[[#This Row],[organisation_name]]</f>
        <v>Werkgroep OntwikkelingsTechnieken</v>
      </c>
      <c r="B116" t="str">
        <f>IF(General2021[[#This Row],[sector]]= "",VLOOKUP(Data2021[[#This Row],[organisation_name]],'Response Rate sheet'!A:D,3,FALSE),General2021[[#This Row],[sector]])</f>
        <v>Other</v>
      </c>
      <c r="C116" t="str">
        <f>General2021[[#This Row],[organisation_type]]</f>
        <v>association</v>
      </c>
      <c r="D116" t="str">
        <f>IF(ISBLANK(General2021[[#This Row],[number_of_members]]),"N/A",VLOOKUP(A116,General2021[[organisation_name]:[number_of_international_committee_board_members_not_eea]],6,FALSE))</f>
        <v>N/A</v>
      </c>
      <c r="E116" t="str">
        <f>IF(ISBLANK(General2021[[#This Row],[number_of_committee_board_members]]),"N/A",VLOOKUP(A116,General2021!B:M,10,FALSE))</f>
        <v>N/A</v>
      </c>
      <c r="F116" t="str">
        <f>IFERROR(Data2021[[#This Row],[Number of members]]-Data2021[[#This Row],[Number of active members]], "N/A")</f>
        <v>N/A</v>
      </c>
      <c r="G116" t="str">
        <f>IFERROR(Data2021[[#This Row],[Number of active members]]/Data2021[[#This Row],[Number of members]], "N/A")</f>
        <v>N/A</v>
      </c>
      <c r="H116" t="str">
        <f>IFERROR(1-Data2021[[#This Row],[Percentage active members]],"N/A")</f>
        <v>N/A</v>
      </c>
      <c r="I116" t="str">
        <f>IF(Data2021[[#This Row],[Number of members]]=0,"N/A",IF(Data2021[[#This Row],[Number of members]]&lt;50," A. 1 - 50 ",IF(Data2021[[#This Row],[Number of members]]&lt;100, "B. 50 - 100", IF(Data2021[[#This Row],[Number of members]]&lt;400, "C. 100 - 400", IF(Data2021[[#This Row],[Number of members]]&lt;1000,"D. 400 - 1000", "E. 1000 +")))))</f>
        <v>E. 1000 +</v>
      </c>
      <c r="J116" t="str">
        <f>IF(ISBLANK(General2021[[#This Row],[number_of_international_members_not_eea]]),"N/A",VLOOKUP(A116,General2021[[organisation_name]:[number_of_international_committee_board_members_not_eea]],9,FALSE))</f>
        <v>N/A</v>
      </c>
      <c r="K116" t="str">
        <f>IF(ISBLANK(General2021[[#This Row],[number_of_international_members_eea]]),"N/A",VLOOKUP(A116,General2021[[organisation_name]:[number_of_international_committee_board_members_not_eea]],8,FALSE))</f>
        <v>N/A</v>
      </c>
      <c r="L116" t="str">
        <f>IFERROR(IF(Data2021[[#This Row],[Number of members]]-Data2021[[#This Row],[Non-EEA Total]]-Data2021[[#This Row],[EEA total]]&lt;1,"N/A", Data2021[[#This Row],[Number of members]]-Data2021[[#This Row],[Non-EEA Total]]-Data2021[[#This Row],[EEA total]]),"N/A")</f>
        <v>N/A</v>
      </c>
      <c r="M116">
        <f>VLOOKUP(A116,General2021[[organisation_name]:[number_of_international_committee_board_members_not_eea]],12,FALSE)</f>
        <v>0</v>
      </c>
      <c r="N116">
        <f>VLOOKUP(A116,General2021[[organisation_name]:[number_of_international_committee_board_members_not_eea]],11,FALSE)</f>
        <v>0</v>
      </c>
      <c r="O116" t="str">
        <f>IFERROR(IF(Data2021[[#This Row],[Number of active members]]-Data2021[[#This Row],[Non-EEA Active ]]-Data2021[[#This Row],[EEA Active]]&lt;1,"N/A", Data2021[[#This Row],[Number of active members]]-Data2021[[#This Row],[Non-EEA Active ]]-Data2021[[#This Row],[EEA Active]]),"N/A")</f>
        <v>N/A</v>
      </c>
      <c r="P116" t="str">
        <f>IFERROR(Data2021[[#This Row],[Non-EEA Active ]]/Data2021[[#This Row],[Number of active members]],"N/A")</f>
        <v>N/A</v>
      </c>
      <c r="Q116" t="str">
        <f>IFERROR(Data2021[[#This Row],[EEA Active]]/Data2021[[#This Row],[EEA total]], "N/A")</f>
        <v>N/A</v>
      </c>
      <c r="R116" t="str">
        <f>IFERROR(Data2021[[#This Row],[Dutch Active]]/Data2021[[#This Row],[Dutch total]],"N/A")</f>
        <v>N/A</v>
      </c>
      <c r="S116" t="str">
        <f>IFERROR(IF(Data2021[[#This Row],[Number of members]]=Data2021[[#This Row],[Non-EEA Total]]+Data2021[[#This Row],[EEA total]]+Data2021[[#This Row],[Dutch total]],"T","F"),"F")</f>
        <v>F</v>
      </c>
      <c r="T116" t="str">
        <f>IFERROR(IF(Data2021[[#This Row],[Number of active members]]=Data2021[[#This Row],[Non-EEA Active ]]+Data2021[[#This Row],[EEA Active]]+Data2021[[#This Row],[Dutch Active]],"T","F"),"F")</f>
        <v>F</v>
      </c>
      <c r="U116" t="str">
        <f>IFERROR(IF(Data2021[[#This Row],[Number of members]]-Data2021[[#This Row],[Non-EEA Active ]]-Data2021[[#This Row],[EEA Active]]-Data2021[[#This Row],[Dutch Active]]=Data2021[[#This Row],[Number of  inactive members]],"T","F"),"F")</f>
        <v>F</v>
      </c>
      <c r="V116" t="str">
        <f>IF(Data2021[[#This Row],[EEA Active]]&lt;=Data2021[[#This Row],[EEA total]],"T","F")</f>
        <v>T</v>
      </c>
      <c r="W116" t="str">
        <f>IF(Data2021[[#This Row],[Dutch Active]]&lt;=Data2021[[#This Row],[Dutch total]],"T","F")</f>
        <v>T</v>
      </c>
      <c r="X116" t="str">
        <f>IF(Data2021[[#This Row],[Non-EEA Active ]]&lt;=Data2021[[#This Row],[Non-EEA Total]],"T","F")</f>
        <v>T</v>
      </c>
      <c r="Y11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6" t="str">
        <f>IFERROR(VLOOKUP(Data2021[[#This Row],[organisation_name]],'Division Study Year Committees'!$A$1:$L$108,2,FALSE),"N/A")</f>
        <v>N/A</v>
      </c>
      <c r="AA116" t="str">
        <f>IFERROR(VLOOKUP(Data2021[[#This Row],[organisation_name]],'Division Study Year Committees'!$A$1:$L$108,3,FALSE),"N/A")</f>
        <v>N/A</v>
      </c>
      <c r="AB116" t="str">
        <f>IFERROR(VLOOKUP(Data2021[[#This Row],[organisation_name]],'Division Study Year Committees'!$A$1:$L$108,4,FALSE),"N/A")</f>
        <v>N/A</v>
      </c>
      <c r="AC116" t="str">
        <f>IFERROR(VLOOKUP(Data2021[[#This Row],[organisation_name]],'Division Study Year Committees'!$A$1:$L$108,5,FALSE), "N/A")</f>
        <v>N/A</v>
      </c>
      <c r="AD116" t="str">
        <f>IFERROR(VLOOKUP(Data2021[[#This Row],[organisation_name]],'Division Study Year Committees'!$A$1:$L$108,6,FALSE), "N/A")</f>
        <v>N/A</v>
      </c>
      <c r="AE116">
        <f>SUM(Data2021[[#This Row],[Number of first year comittee members]:[Number of 4+ year comittee members]])</f>
        <v>0</v>
      </c>
      <c r="AF116">
        <f>COUNTIF('Comittee2021'!D:D,Data2021[[#This Row],[organisation_name]])</f>
        <v>0</v>
      </c>
      <c r="AG116">
        <f>COUNTIFS('Comittee2021'!$D:$D,Data2021[[#This Row],[organisation_name]],'Comittee2021'!$O:$O,"strong decrease")</f>
        <v>0</v>
      </c>
      <c r="AH116">
        <f>COUNTIFS('Comittee2021'!$D:$D,Data2021[[#This Row],[organisation_name]],'Comittee2021'!$O:$O,"slight decrease")</f>
        <v>0</v>
      </c>
      <c r="AI116">
        <f>COUNTIFS('Comittee2021'!$D:$D,Data2021[[#This Row],[organisation_name]],'Comittee2021'!$O:$O,"no influence")</f>
        <v>0</v>
      </c>
      <c r="AJ116">
        <f>COUNTIFS('Comittee2021'!$D:$D,Data2021[[#This Row],[organisation_name]],'Comittee2021'!$O:$O,"slight increase")</f>
        <v>0</v>
      </c>
      <c r="AK116">
        <f>COUNTIFS('Comittee2021'!$D:$D,Data2021[[#This Row],[organisation_name]],'Comittee2021'!$O:$O,"strong increase")</f>
        <v>0</v>
      </c>
      <c r="AL116">
        <v>2021</v>
      </c>
    </row>
    <row r="117" spans="1:38" x14ac:dyDescent="0.3">
      <c r="A117" t="str">
        <f>General2021[[#This Row],[organisation_name]]</f>
        <v>Borrelbeheer TAP</v>
      </c>
      <c r="B117" t="str">
        <f>IF(General2021[[#This Row],[sector]]= "",VLOOKUP(Data2021[[#This Row],[organisation_name]],'Response Rate sheet'!A:D,3,FALSE),General2021[[#This Row],[sector]])</f>
        <v>other</v>
      </c>
      <c r="C117" t="str">
        <f>General2021[[#This Row],[organisation_type]]</f>
        <v>foundation</v>
      </c>
      <c r="D117" t="str">
        <f>IF(ISBLANK(General2021[[#This Row],[number_of_members]]),"N/A",VLOOKUP(A117,General2021[[organisation_name]:[number_of_international_committee_board_members_not_eea]],6,FALSE))</f>
        <v>N/A</v>
      </c>
      <c r="E117" t="str">
        <f>IF(ISBLANK(General2021[[#This Row],[number_of_committee_board_members]]),"N/A",VLOOKUP(A117,General2021!B:M,10,FALSE))</f>
        <v>N/A</v>
      </c>
      <c r="F117" t="str">
        <f>IFERROR(Data2021[[#This Row],[Number of members]]-Data2021[[#This Row],[Number of active members]], "N/A")</f>
        <v>N/A</v>
      </c>
      <c r="G117" t="str">
        <f>IFERROR(Data2021[[#This Row],[Number of active members]]/Data2021[[#This Row],[Number of members]], "N/A")</f>
        <v>N/A</v>
      </c>
      <c r="H117" t="str">
        <f>IFERROR(1-Data2021[[#This Row],[Percentage active members]],"N/A")</f>
        <v>N/A</v>
      </c>
      <c r="I117" t="str">
        <f>IF(Data2021[[#This Row],[Number of members]]=0,"N/A",IF(Data2021[[#This Row],[Number of members]]&lt;50," A. 1 - 50 ",IF(Data2021[[#This Row],[Number of members]]&lt;100, "B. 50 - 100", IF(Data2021[[#This Row],[Number of members]]&lt;400, "C. 100 - 400", IF(Data2021[[#This Row],[Number of members]]&lt;1000,"D. 400 - 1000", "E. 1000 +")))))</f>
        <v>E. 1000 +</v>
      </c>
      <c r="J117" t="str">
        <f>IF(ISBLANK(General2021[[#This Row],[number_of_international_members_not_eea]]),"N/A",VLOOKUP(A117,General2021[[organisation_name]:[number_of_international_committee_board_members_not_eea]],9,FALSE))</f>
        <v>N/A</v>
      </c>
      <c r="K117" t="str">
        <f>IF(ISBLANK(General2021[[#This Row],[number_of_international_members_eea]]),"N/A",VLOOKUP(A117,General2021[[organisation_name]:[number_of_international_committee_board_members_not_eea]],8,FALSE))</f>
        <v>N/A</v>
      </c>
      <c r="L117" t="str">
        <f>IFERROR(IF(Data2021[[#This Row],[Number of members]]-Data2021[[#This Row],[Non-EEA Total]]-Data2021[[#This Row],[EEA total]]&lt;1,"N/A", Data2021[[#This Row],[Number of members]]-Data2021[[#This Row],[Non-EEA Total]]-Data2021[[#This Row],[EEA total]]),"N/A")</f>
        <v>N/A</v>
      </c>
      <c r="M117">
        <f>VLOOKUP(A117,General2021[[organisation_name]:[number_of_international_committee_board_members_not_eea]],12,FALSE)</f>
        <v>0</v>
      </c>
      <c r="N117">
        <f>VLOOKUP(A117,General2021[[organisation_name]:[number_of_international_committee_board_members_not_eea]],11,FALSE)</f>
        <v>0</v>
      </c>
      <c r="O117" t="str">
        <f>IFERROR(IF(Data2021[[#This Row],[Number of active members]]-Data2021[[#This Row],[Non-EEA Active ]]-Data2021[[#This Row],[EEA Active]]&lt;1,"N/A", Data2021[[#This Row],[Number of active members]]-Data2021[[#This Row],[Non-EEA Active ]]-Data2021[[#This Row],[EEA Active]]),"N/A")</f>
        <v>N/A</v>
      </c>
      <c r="P117" t="str">
        <f>IFERROR(Data2021[[#This Row],[Non-EEA Active ]]/Data2021[[#This Row],[Number of active members]],"N/A")</f>
        <v>N/A</v>
      </c>
      <c r="Q117" t="str">
        <f>IFERROR(Data2021[[#This Row],[EEA Active]]/Data2021[[#This Row],[EEA total]], "N/A")</f>
        <v>N/A</v>
      </c>
      <c r="R117" t="str">
        <f>IFERROR(Data2021[[#This Row],[Dutch Active]]/Data2021[[#This Row],[Dutch total]],"N/A")</f>
        <v>N/A</v>
      </c>
      <c r="S117" t="str">
        <f>IFERROR(IF(Data2021[[#This Row],[Number of members]]=Data2021[[#This Row],[Non-EEA Total]]+Data2021[[#This Row],[EEA total]]+Data2021[[#This Row],[Dutch total]],"T","F"),"F")</f>
        <v>F</v>
      </c>
      <c r="T117" t="str">
        <f>IFERROR(IF(Data2021[[#This Row],[Number of active members]]=Data2021[[#This Row],[Non-EEA Active ]]+Data2021[[#This Row],[EEA Active]]+Data2021[[#This Row],[Dutch Active]],"T","F"),"F")</f>
        <v>F</v>
      </c>
      <c r="U117" t="str">
        <f>IFERROR(IF(Data2021[[#This Row],[Number of members]]-Data2021[[#This Row],[Non-EEA Active ]]-Data2021[[#This Row],[EEA Active]]-Data2021[[#This Row],[Dutch Active]]=Data2021[[#This Row],[Number of  inactive members]],"T","F"),"F")</f>
        <v>F</v>
      </c>
      <c r="V117" t="str">
        <f>IF(Data2021[[#This Row],[EEA Active]]&lt;=Data2021[[#This Row],[EEA total]],"T","F")</f>
        <v>T</v>
      </c>
      <c r="W117" t="str">
        <f>IF(Data2021[[#This Row],[Dutch Active]]&lt;=Data2021[[#This Row],[Dutch total]],"T","F")</f>
        <v>T</v>
      </c>
      <c r="X117" t="str">
        <f>IF(Data2021[[#This Row],[Non-EEA Active ]]&lt;=Data2021[[#This Row],[Non-EEA Total]],"T","F")</f>
        <v>T</v>
      </c>
      <c r="Y11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7" t="str">
        <f>IFERROR(VLOOKUP(Data2021[[#This Row],[organisation_name]],'Division Study Year Committees'!$A$1:$L$108,2,FALSE),"N/A")</f>
        <v>N/A</v>
      </c>
      <c r="AA117" t="str">
        <f>IFERROR(VLOOKUP(Data2021[[#This Row],[organisation_name]],'Division Study Year Committees'!$A$1:$L$108,3,FALSE),"N/A")</f>
        <v>N/A</v>
      </c>
      <c r="AB117" t="str">
        <f>IFERROR(VLOOKUP(Data2021[[#This Row],[organisation_name]],'Division Study Year Committees'!$A$1:$L$108,4,FALSE),"N/A")</f>
        <v>N/A</v>
      </c>
      <c r="AC117" t="str">
        <f>IFERROR(VLOOKUP(Data2021[[#This Row],[organisation_name]],'Division Study Year Committees'!$A$1:$L$108,5,FALSE), "N/A")</f>
        <v>N/A</v>
      </c>
      <c r="AD117" t="str">
        <f>IFERROR(VLOOKUP(Data2021[[#This Row],[organisation_name]],'Division Study Year Committees'!$A$1:$L$108,6,FALSE), "N/A")</f>
        <v>N/A</v>
      </c>
      <c r="AE117">
        <f>SUM(Data2021[[#This Row],[Number of first year comittee members]:[Number of 4+ year comittee members]])</f>
        <v>0</v>
      </c>
      <c r="AF117">
        <f>COUNTIF('Comittee2021'!D:D,Data2021[[#This Row],[organisation_name]])</f>
        <v>0</v>
      </c>
      <c r="AG117">
        <f>COUNTIFS('Comittee2021'!$D:$D,Data2021[[#This Row],[organisation_name]],'Comittee2021'!$O:$O,"strong decrease")</f>
        <v>0</v>
      </c>
      <c r="AH117">
        <f>COUNTIFS('Comittee2021'!$D:$D,Data2021[[#This Row],[organisation_name]],'Comittee2021'!$O:$O,"slight decrease")</f>
        <v>0</v>
      </c>
      <c r="AI117">
        <f>COUNTIFS('Comittee2021'!$D:$D,Data2021[[#This Row],[organisation_name]],'Comittee2021'!$O:$O,"no influence")</f>
        <v>0</v>
      </c>
      <c r="AJ117">
        <f>COUNTIFS('Comittee2021'!$D:$D,Data2021[[#This Row],[organisation_name]],'Comittee2021'!$O:$O,"slight increase")</f>
        <v>0</v>
      </c>
      <c r="AK117">
        <f>COUNTIFS('Comittee2021'!$D:$D,Data2021[[#This Row],[organisation_name]],'Comittee2021'!$O:$O,"strong increase")</f>
        <v>0</v>
      </c>
      <c r="AL117">
        <v>2021</v>
      </c>
    </row>
    <row r="118" spans="1:38" x14ac:dyDescent="0.3">
      <c r="A118" t="str">
        <f>General2021[[#This Row],[organisation_name]]</f>
        <v>Studentenstam Radix</v>
      </c>
      <c r="B118" t="str">
        <f>IF(General2021[[#This Row],[sector]]= "",VLOOKUP(Data2021[[#This Row],[organisation_name]],'Response Rate sheet'!A:D,3,FALSE),General2021[[#This Row],[sector]])</f>
        <v>Sports</v>
      </c>
      <c r="C118" t="str">
        <f>General2021[[#This Row],[organisation_type]]</f>
        <v>association</v>
      </c>
      <c r="D118">
        <f>IF(ISBLANK(General2021[[#This Row],[number_of_members]]),"N/A",VLOOKUP(A118,General2021[[organisation_name]:[number_of_international_committee_board_members_not_eea]],6,FALSE))</f>
        <v>42</v>
      </c>
      <c r="E118">
        <f>IF(ISBLANK(General2021[[#This Row],[number_of_committee_board_members]]),"N/A",VLOOKUP(A118,General2021!B:M,10,FALSE))</f>
        <v>2</v>
      </c>
      <c r="F118">
        <f>IFERROR(Data2021[[#This Row],[Number of members]]-Data2021[[#This Row],[Number of active members]], "N/A")</f>
        <v>40</v>
      </c>
      <c r="G118">
        <f>IFERROR(Data2021[[#This Row],[Number of active members]]/Data2021[[#This Row],[Number of members]], "N/A")</f>
        <v>4.7619047619047616E-2</v>
      </c>
      <c r="H118">
        <f>IFERROR(1-Data2021[[#This Row],[Percentage active members]],"N/A")</f>
        <v>0.95238095238095233</v>
      </c>
      <c r="I118"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18">
        <f>IF(ISBLANK(General2021[[#This Row],[number_of_international_members_not_eea]]),"N/A",VLOOKUP(A118,General2021[[organisation_name]:[number_of_international_committee_board_members_not_eea]],9,FALSE))</f>
        <v>15</v>
      </c>
      <c r="K118">
        <f>IF(ISBLANK(General2021[[#This Row],[number_of_international_members_eea]]),"N/A",VLOOKUP(A118,General2021[[organisation_name]:[number_of_international_committee_board_members_not_eea]],8,FALSE))</f>
        <v>0</v>
      </c>
      <c r="L118">
        <f>IFERROR(IF(Data2021[[#This Row],[Number of members]]-Data2021[[#This Row],[Non-EEA Total]]-Data2021[[#This Row],[EEA total]]&lt;1,"N/A", Data2021[[#This Row],[Number of members]]-Data2021[[#This Row],[Non-EEA Total]]-Data2021[[#This Row],[EEA total]]),"N/A")</f>
        <v>27</v>
      </c>
      <c r="M118">
        <f>VLOOKUP(A118,General2021[[organisation_name]:[number_of_international_committee_board_members_not_eea]],12,FALSE)</f>
        <v>0</v>
      </c>
      <c r="N118">
        <f>VLOOKUP(A118,General2021[[organisation_name]:[number_of_international_committee_board_members_not_eea]],11,FALSE)</f>
        <v>0</v>
      </c>
      <c r="O118">
        <f>IFERROR(IF(Data2021[[#This Row],[Number of active members]]-Data2021[[#This Row],[Non-EEA Active ]]-Data2021[[#This Row],[EEA Active]]&lt;1,"N/A", Data2021[[#This Row],[Number of active members]]-Data2021[[#This Row],[Non-EEA Active ]]-Data2021[[#This Row],[EEA Active]]),"N/A")</f>
        <v>2</v>
      </c>
      <c r="P118">
        <f>IFERROR(Data2021[[#This Row],[Non-EEA Active ]]/Data2021[[#This Row],[Number of active members]],"N/A")</f>
        <v>0</v>
      </c>
      <c r="Q118" t="str">
        <f>IFERROR(Data2021[[#This Row],[EEA Active]]/Data2021[[#This Row],[EEA total]], "N/A")</f>
        <v>N/A</v>
      </c>
      <c r="R118">
        <f>IFERROR(Data2021[[#This Row],[Dutch Active]]/Data2021[[#This Row],[Dutch total]],"N/A")</f>
        <v>7.407407407407407E-2</v>
      </c>
      <c r="S118" t="str">
        <f>IFERROR(IF(Data2021[[#This Row],[Number of members]]=Data2021[[#This Row],[Non-EEA Total]]+Data2021[[#This Row],[EEA total]]+Data2021[[#This Row],[Dutch total]],"T","F"),"F")</f>
        <v>T</v>
      </c>
      <c r="T118" t="str">
        <f>IFERROR(IF(Data2021[[#This Row],[Number of active members]]=Data2021[[#This Row],[Non-EEA Active ]]+Data2021[[#This Row],[EEA Active]]+Data2021[[#This Row],[Dutch Active]],"T","F"),"F")</f>
        <v>T</v>
      </c>
      <c r="U118" t="str">
        <f>IFERROR(IF(Data2021[[#This Row],[Number of members]]-Data2021[[#This Row],[Non-EEA Active ]]-Data2021[[#This Row],[EEA Active]]-Data2021[[#This Row],[Dutch Active]]=Data2021[[#This Row],[Number of  inactive members]],"T","F"),"F")</f>
        <v>T</v>
      </c>
      <c r="V118" t="str">
        <f>IF(Data2021[[#This Row],[EEA Active]]&lt;=Data2021[[#This Row],[EEA total]],"T","F")</f>
        <v>T</v>
      </c>
      <c r="W118" t="str">
        <f>IF(Data2021[[#This Row],[Dutch Active]]&lt;=Data2021[[#This Row],[Dutch total]],"T","F")</f>
        <v>T</v>
      </c>
      <c r="X118" t="str">
        <f>IF(Data2021[[#This Row],[Non-EEA Active ]]&lt;=Data2021[[#This Row],[Non-EEA Total]],"T","F")</f>
        <v>T</v>
      </c>
      <c r="Y118" t="str">
        <f>IF(OR(Data2021[[#This Row],[Test total number of members]]="F",Data2021[[#This Row],[Test total number of active members]]="F",Data2021[[#This Row],[Test total number inactive members]]="F",Data2021[[#This Row],[Test max EEA active]]="F",Data2021[[#This Row],[Test max Dutch active]]="F",Data2021[[#This Row],[Test max non-EEA active]]="F"),"F","T")</f>
        <v>T</v>
      </c>
      <c r="Z118">
        <f>IFERROR(VLOOKUP(Data2021[[#This Row],[organisation_name]],'Division Study Year Committees'!$A$1:$L$108,2,FALSE),"N/A")</f>
        <v>0</v>
      </c>
      <c r="AA118">
        <f>IFERROR(VLOOKUP(Data2021[[#This Row],[organisation_name]],'Division Study Year Committees'!$A$1:$L$108,3,FALSE),"N/A")</f>
        <v>0</v>
      </c>
      <c r="AB118">
        <f>IFERROR(VLOOKUP(Data2021[[#This Row],[organisation_name]],'Division Study Year Committees'!$A$1:$L$108,4,FALSE),"N/A")</f>
        <v>0</v>
      </c>
      <c r="AC118">
        <f>IFERROR(VLOOKUP(Data2021[[#This Row],[organisation_name]],'Division Study Year Committees'!$A$1:$L$108,5,FALSE), "N/A")</f>
        <v>0</v>
      </c>
      <c r="AD118">
        <f>IFERROR(VLOOKUP(Data2021[[#This Row],[organisation_name]],'Division Study Year Committees'!$A$1:$L$108,6,FALSE), "N/A")</f>
        <v>0</v>
      </c>
      <c r="AE118">
        <f>SUM(Data2021[[#This Row],[Number of first year comittee members]:[Number of 4+ year comittee members]])</f>
        <v>0</v>
      </c>
      <c r="AF118">
        <f>COUNTIF('Comittee2021'!D:D,Data2021[[#This Row],[organisation_name]])</f>
        <v>5</v>
      </c>
      <c r="AG118">
        <f>COUNTIFS('Comittee2021'!$D:$D,Data2021[[#This Row],[organisation_name]],'Comittee2021'!$O:$O,"strong decrease")</f>
        <v>1</v>
      </c>
      <c r="AH118">
        <f>COUNTIFS('Comittee2021'!$D:$D,Data2021[[#This Row],[organisation_name]],'Comittee2021'!$O:$O,"slight decrease")</f>
        <v>0</v>
      </c>
      <c r="AI118">
        <f>COUNTIFS('Comittee2021'!$D:$D,Data2021[[#This Row],[organisation_name]],'Comittee2021'!$O:$O,"no influence")</f>
        <v>3</v>
      </c>
      <c r="AJ118">
        <f>COUNTIFS('Comittee2021'!$D:$D,Data2021[[#This Row],[organisation_name]],'Comittee2021'!$O:$O,"slight increase")</f>
        <v>1</v>
      </c>
      <c r="AK118">
        <f>COUNTIFS('Comittee2021'!$D:$D,Data2021[[#This Row],[organisation_name]],'Comittee2021'!$O:$O,"strong increase")</f>
        <v>0</v>
      </c>
      <c r="AL118">
        <v>2021</v>
      </c>
    </row>
    <row r="119" spans="1:38" x14ac:dyDescent="0.3">
      <c r="A119" t="str">
        <f>General2021[[#This Row],[organisation_name]]</f>
        <v>IEEE Student Branch</v>
      </c>
      <c r="B119" t="str">
        <f>IF(General2021[[#This Row],[sector]]= "",VLOOKUP(Data2021[[#This Row],[organisation_name]],'Response Rate sheet'!A:D,3,FALSE),General2021[[#This Row],[sector]])</f>
        <v>other</v>
      </c>
      <c r="C119" t="str">
        <f>General2021[[#This Row],[organisation_type]]</f>
        <v>foundation</v>
      </c>
      <c r="D119" t="str">
        <f>IF(ISBLANK(General2021[[#This Row],[number_of_members]]),"N/A",VLOOKUP(A119,General2021[[organisation_name]:[number_of_international_committee_board_members_not_eea]],6,FALSE))</f>
        <v>N/A</v>
      </c>
      <c r="E119" t="str">
        <f>IF(ISBLANK(General2021[[#This Row],[number_of_committee_board_members]]),"N/A",VLOOKUP(A119,General2021!B:M,10,FALSE))</f>
        <v>N/A</v>
      </c>
      <c r="F119" t="str">
        <f>IFERROR(Data2021[[#This Row],[Number of members]]-Data2021[[#This Row],[Number of active members]], "N/A")</f>
        <v>N/A</v>
      </c>
      <c r="G119" t="str">
        <f>IFERROR(Data2021[[#This Row],[Number of active members]]/Data2021[[#This Row],[Number of members]], "N/A")</f>
        <v>N/A</v>
      </c>
      <c r="H119" t="str">
        <f>IFERROR(1-Data2021[[#This Row],[Percentage active members]],"N/A")</f>
        <v>N/A</v>
      </c>
      <c r="I119" t="str">
        <f>IF(Data2021[[#This Row],[Number of members]]=0,"N/A",IF(Data2021[[#This Row],[Number of members]]&lt;50," A. 1 - 50 ",IF(Data2021[[#This Row],[Number of members]]&lt;100, "B. 50 - 100", IF(Data2021[[#This Row],[Number of members]]&lt;400, "C. 100 - 400", IF(Data2021[[#This Row],[Number of members]]&lt;1000,"D. 400 - 1000", "E. 1000 +")))))</f>
        <v>E. 1000 +</v>
      </c>
      <c r="J119" t="str">
        <f>IF(ISBLANK(General2021[[#This Row],[number_of_international_members_not_eea]]),"N/A",VLOOKUP(A119,General2021[[organisation_name]:[number_of_international_committee_board_members_not_eea]],9,FALSE))</f>
        <v>N/A</v>
      </c>
      <c r="K119" t="str">
        <f>IF(ISBLANK(General2021[[#This Row],[number_of_international_members_eea]]),"N/A",VLOOKUP(A119,General2021[[organisation_name]:[number_of_international_committee_board_members_not_eea]],8,FALSE))</f>
        <v>N/A</v>
      </c>
      <c r="L119" t="str">
        <f>IFERROR(IF(Data2021[[#This Row],[Number of members]]-Data2021[[#This Row],[Non-EEA Total]]-Data2021[[#This Row],[EEA total]]&lt;1,"N/A", Data2021[[#This Row],[Number of members]]-Data2021[[#This Row],[Non-EEA Total]]-Data2021[[#This Row],[EEA total]]),"N/A")</f>
        <v>N/A</v>
      </c>
      <c r="M119">
        <f>VLOOKUP(A119,General2021[[organisation_name]:[number_of_international_committee_board_members_not_eea]],12,FALSE)</f>
        <v>0</v>
      </c>
      <c r="N119">
        <f>VLOOKUP(A119,General2021[[organisation_name]:[number_of_international_committee_board_members_not_eea]],11,FALSE)</f>
        <v>0</v>
      </c>
      <c r="O119" t="str">
        <f>IFERROR(IF(Data2021[[#This Row],[Number of active members]]-Data2021[[#This Row],[Non-EEA Active ]]-Data2021[[#This Row],[EEA Active]]&lt;1,"N/A", Data2021[[#This Row],[Number of active members]]-Data2021[[#This Row],[Non-EEA Active ]]-Data2021[[#This Row],[EEA Active]]),"N/A")</f>
        <v>N/A</v>
      </c>
      <c r="P119" t="str">
        <f>IFERROR(Data2021[[#This Row],[Non-EEA Active ]]/Data2021[[#This Row],[Number of active members]],"N/A")</f>
        <v>N/A</v>
      </c>
      <c r="Q119" t="str">
        <f>IFERROR(Data2021[[#This Row],[EEA Active]]/Data2021[[#This Row],[EEA total]], "N/A")</f>
        <v>N/A</v>
      </c>
      <c r="R119" t="str">
        <f>IFERROR(Data2021[[#This Row],[Dutch Active]]/Data2021[[#This Row],[Dutch total]],"N/A")</f>
        <v>N/A</v>
      </c>
      <c r="S119" t="str">
        <f>IFERROR(IF(Data2021[[#This Row],[Number of members]]=Data2021[[#This Row],[Non-EEA Total]]+Data2021[[#This Row],[EEA total]]+Data2021[[#This Row],[Dutch total]],"T","F"),"F")</f>
        <v>F</v>
      </c>
      <c r="T119" t="str">
        <f>IFERROR(IF(Data2021[[#This Row],[Number of active members]]=Data2021[[#This Row],[Non-EEA Active ]]+Data2021[[#This Row],[EEA Active]]+Data2021[[#This Row],[Dutch Active]],"T","F"),"F")</f>
        <v>F</v>
      </c>
      <c r="U119" t="str">
        <f>IFERROR(IF(Data2021[[#This Row],[Number of members]]-Data2021[[#This Row],[Non-EEA Active ]]-Data2021[[#This Row],[EEA Active]]-Data2021[[#This Row],[Dutch Active]]=Data2021[[#This Row],[Number of  inactive members]],"T","F"),"F")</f>
        <v>F</v>
      </c>
      <c r="V119" t="str">
        <f>IF(Data2021[[#This Row],[EEA Active]]&lt;=Data2021[[#This Row],[EEA total]],"T","F")</f>
        <v>T</v>
      </c>
      <c r="W119" t="str">
        <f>IF(Data2021[[#This Row],[Dutch Active]]&lt;=Data2021[[#This Row],[Dutch total]],"T","F")</f>
        <v>T</v>
      </c>
      <c r="X119" t="str">
        <f>IF(Data2021[[#This Row],[Non-EEA Active ]]&lt;=Data2021[[#This Row],[Non-EEA Total]],"T","F")</f>
        <v>T</v>
      </c>
      <c r="Y11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19" t="str">
        <f>IFERROR(VLOOKUP(Data2021[[#This Row],[organisation_name]],'Division Study Year Committees'!$A$1:$L$108,2,FALSE),"N/A")</f>
        <v>N/A</v>
      </c>
      <c r="AA119" t="str">
        <f>IFERROR(VLOOKUP(Data2021[[#This Row],[organisation_name]],'Division Study Year Committees'!$A$1:$L$108,3,FALSE),"N/A")</f>
        <v>N/A</v>
      </c>
      <c r="AB119" t="str">
        <f>IFERROR(VLOOKUP(Data2021[[#This Row],[organisation_name]],'Division Study Year Committees'!$A$1:$L$108,4,FALSE),"N/A")</f>
        <v>N/A</v>
      </c>
      <c r="AC119" t="str">
        <f>IFERROR(VLOOKUP(Data2021[[#This Row],[organisation_name]],'Division Study Year Committees'!$A$1:$L$108,5,FALSE), "N/A")</f>
        <v>N/A</v>
      </c>
      <c r="AD119" t="str">
        <f>IFERROR(VLOOKUP(Data2021[[#This Row],[organisation_name]],'Division Study Year Committees'!$A$1:$L$108,6,FALSE), "N/A")</f>
        <v>N/A</v>
      </c>
      <c r="AE119">
        <f>SUM(Data2021[[#This Row],[Number of first year comittee members]:[Number of 4+ year comittee members]])</f>
        <v>0</v>
      </c>
      <c r="AF119">
        <f>COUNTIF('Comittee2021'!D:D,Data2021[[#This Row],[organisation_name]])</f>
        <v>0</v>
      </c>
      <c r="AG119">
        <f>COUNTIFS('Comittee2021'!$D:$D,Data2021[[#This Row],[organisation_name]],'Comittee2021'!$O:$O,"strong decrease")</f>
        <v>0</v>
      </c>
      <c r="AH119">
        <f>COUNTIFS('Comittee2021'!$D:$D,Data2021[[#This Row],[organisation_name]],'Comittee2021'!$O:$O,"slight decrease")</f>
        <v>0</v>
      </c>
      <c r="AI119">
        <f>COUNTIFS('Comittee2021'!$D:$D,Data2021[[#This Row],[organisation_name]],'Comittee2021'!$O:$O,"no influence")</f>
        <v>0</v>
      </c>
      <c r="AJ119">
        <f>COUNTIFS('Comittee2021'!$D:$D,Data2021[[#This Row],[organisation_name]],'Comittee2021'!$O:$O,"slight increase")</f>
        <v>0</v>
      </c>
      <c r="AK119">
        <f>COUNTIFS('Comittee2021'!$D:$D,Data2021[[#This Row],[organisation_name]],'Comittee2021'!$O:$O,"strong increase")</f>
        <v>0</v>
      </c>
      <c r="AL119">
        <v>2021</v>
      </c>
    </row>
    <row r="120" spans="1:38" x14ac:dyDescent="0.3">
      <c r="A120" t="str">
        <f>General2021[[#This Row],[organisation_name]]</f>
        <v>Stichting Solar Boat Twente</v>
      </c>
      <c r="B120" t="str">
        <f>IF(General2021[[#This Row],[sector]]= "",VLOOKUP(Data2021[[#This Row],[organisation_name]],'Response Rate sheet'!A:D,3,FALSE),General2021[[#This Row],[sector]])</f>
        <v>Sports</v>
      </c>
      <c r="C120" t="str">
        <f>General2021[[#This Row],[organisation_type]]</f>
        <v>foundation</v>
      </c>
      <c r="D120" t="str">
        <f>IF(ISBLANK(General2021[[#This Row],[number_of_members]]),"N/A",VLOOKUP(A120,General2021[[organisation_name]:[number_of_international_committee_board_members_not_eea]],6,FALSE))</f>
        <v>N/A</v>
      </c>
      <c r="E120" t="str">
        <f>IF(ISBLANK(General2021[[#This Row],[number_of_committee_board_members]]),"N/A",VLOOKUP(A120,General2021!B:M,10,FALSE))</f>
        <v>N/A</v>
      </c>
      <c r="F120" t="str">
        <f>IFERROR(Data2021[[#This Row],[Number of members]]-Data2021[[#This Row],[Number of active members]], "N/A")</f>
        <v>N/A</v>
      </c>
      <c r="G120" t="str">
        <f>IFERROR(Data2021[[#This Row],[Number of active members]]/Data2021[[#This Row],[Number of members]], "N/A")</f>
        <v>N/A</v>
      </c>
      <c r="H120" t="str">
        <f>IFERROR(1-Data2021[[#This Row],[Percentage active members]],"N/A")</f>
        <v>N/A</v>
      </c>
      <c r="I120" t="str">
        <f>IF(Data2021[[#This Row],[Number of members]]=0,"N/A",IF(Data2021[[#This Row],[Number of members]]&lt;50," A. 1 - 50 ",IF(Data2021[[#This Row],[Number of members]]&lt;100, "B. 50 - 100", IF(Data2021[[#This Row],[Number of members]]&lt;400, "C. 100 - 400", IF(Data2021[[#This Row],[Number of members]]&lt;1000,"D. 400 - 1000", "E. 1000 +")))))</f>
        <v>E. 1000 +</v>
      </c>
      <c r="J120" t="str">
        <f>IF(ISBLANK(General2021[[#This Row],[number_of_international_members_not_eea]]),"N/A",VLOOKUP(A120,General2021[[organisation_name]:[number_of_international_committee_board_members_not_eea]],9,FALSE))</f>
        <v>N/A</v>
      </c>
      <c r="K120" t="str">
        <f>IF(ISBLANK(General2021[[#This Row],[number_of_international_members_eea]]),"N/A",VLOOKUP(A120,General2021[[organisation_name]:[number_of_international_committee_board_members_not_eea]],8,FALSE))</f>
        <v>N/A</v>
      </c>
      <c r="L120" t="str">
        <f>IFERROR(IF(Data2021[[#This Row],[Number of members]]-Data2021[[#This Row],[Non-EEA Total]]-Data2021[[#This Row],[EEA total]]&lt;1,"N/A", Data2021[[#This Row],[Number of members]]-Data2021[[#This Row],[Non-EEA Total]]-Data2021[[#This Row],[EEA total]]),"N/A")</f>
        <v>N/A</v>
      </c>
      <c r="M120">
        <f>VLOOKUP(A120,General2021[[organisation_name]:[number_of_international_committee_board_members_not_eea]],12,FALSE)</f>
        <v>0</v>
      </c>
      <c r="N120">
        <f>VLOOKUP(A120,General2021[[organisation_name]:[number_of_international_committee_board_members_not_eea]],11,FALSE)</f>
        <v>0</v>
      </c>
      <c r="O120" t="str">
        <f>IFERROR(IF(Data2021[[#This Row],[Number of active members]]-Data2021[[#This Row],[Non-EEA Active ]]-Data2021[[#This Row],[EEA Active]]&lt;1,"N/A", Data2021[[#This Row],[Number of active members]]-Data2021[[#This Row],[Non-EEA Active ]]-Data2021[[#This Row],[EEA Active]]),"N/A")</f>
        <v>N/A</v>
      </c>
      <c r="P120" t="str">
        <f>IFERROR(Data2021[[#This Row],[Non-EEA Active ]]/Data2021[[#This Row],[Number of active members]],"N/A")</f>
        <v>N/A</v>
      </c>
      <c r="Q120" t="str">
        <f>IFERROR(Data2021[[#This Row],[EEA Active]]/Data2021[[#This Row],[EEA total]], "N/A")</f>
        <v>N/A</v>
      </c>
      <c r="R120" t="str">
        <f>IFERROR(Data2021[[#This Row],[Dutch Active]]/Data2021[[#This Row],[Dutch total]],"N/A")</f>
        <v>N/A</v>
      </c>
      <c r="S120" t="str">
        <f>IFERROR(IF(Data2021[[#This Row],[Number of members]]=Data2021[[#This Row],[Non-EEA Total]]+Data2021[[#This Row],[EEA total]]+Data2021[[#This Row],[Dutch total]],"T","F"),"F")</f>
        <v>F</v>
      </c>
      <c r="T120" t="str">
        <f>IFERROR(IF(Data2021[[#This Row],[Number of active members]]=Data2021[[#This Row],[Non-EEA Active ]]+Data2021[[#This Row],[EEA Active]]+Data2021[[#This Row],[Dutch Active]],"T","F"),"F")</f>
        <v>F</v>
      </c>
      <c r="U120" t="str">
        <f>IFERROR(IF(Data2021[[#This Row],[Number of members]]-Data2021[[#This Row],[Non-EEA Active ]]-Data2021[[#This Row],[EEA Active]]-Data2021[[#This Row],[Dutch Active]]=Data2021[[#This Row],[Number of  inactive members]],"T","F"),"F")</f>
        <v>F</v>
      </c>
      <c r="V120" t="str">
        <f>IF(Data2021[[#This Row],[EEA Active]]&lt;=Data2021[[#This Row],[EEA total]],"T","F")</f>
        <v>T</v>
      </c>
      <c r="W120" t="str">
        <f>IF(Data2021[[#This Row],[Dutch Active]]&lt;=Data2021[[#This Row],[Dutch total]],"T","F")</f>
        <v>T</v>
      </c>
      <c r="X120" t="str">
        <f>IF(Data2021[[#This Row],[Non-EEA Active ]]&lt;=Data2021[[#This Row],[Non-EEA Total]],"T","F")</f>
        <v>T</v>
      </c>
      <c r="Y12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0" t="str">
        <f>IFERROR(VLOOKUP(Data2021[[#This Row],[organisation_name]],'Division Study Year Committees'!$A$1:$L$108,2,FALSE),"N/A")</f>
        <v>N/A</v>
      </c>
      <c r="AA120" t="str">
        <f>IFERROR(VLOOKUP(Data2021[[#This Row],[organisation_name]],'Division Study Year Committees'!$A$1:$L$108,3,FALSE),"N/A")</f>
        <v>N/A</v>
      </c>
      <c r="AB120" t="str">
        <f>IFERROR(VLOOKUP(Data2021[[#This Row],[organisation_name]],'Division Study Year Committees'!$A$1:$L$108,4,FALSE),"N/A")</f>
        <v>N/A</v>
      </c>
      <c r="AC120" t="str">
        <f>IFERROR(VLOOKUP(Data2021[[#This Row],[organisation_name]],'Division Study Year Committees'!$A$1:$L$108,5,FALSE), "N/A")</f>
        <v>N/A</v>
      </c>
      <c r="AD120" t="str">
        <f>IFERROR(VLOOKUP(Data2021[[#This Row],[organisation_name]],'Division Study Year Committees'!$A$1:$L$108,6,FALSE), "N/A")</f>
        <v>N/A</v>
      </c>
      <c r="AE120">
        <f>SUM(Data2021[[#This Row],[Number of first year comittee members]:[Number of 4+ year comittee members]])</f>
        <v>0</v>
      </c>
      <c r="AF120">
        <f>COUNTIF('Comittee2021'!D:D,Data2021[[#This Row],[organisation_name]])</f>
        <v>0</v>
      </c>
      <c r="AG120">
        <f>COUNTIFS('Comittee2021'!$D:$D,Data2021[[#This Row],[organisation_name]],'Comittee2021'!$O:$O,"strong decrease")</f>
        <v>0</v>
      </c>
      <c r="AH120">
        <f>COUNTIFS('Comittee2021'!$D:$D,Data2021[[#This Row],[organisation_name]],'Comittee2021'!$O:$O,"slight decrease")</f>
        <v>0</v>
      </c>
      <c r="AI120">
        <f>COUNTIFS('Comittee2021'!$D:$D,Data2021[[#This Row],[organisation_name]],'Comittee2021'!$O:$O,"no influence")</f>
        <v>0</v>
      </c>
      <c r="AJ120">
        <f>COUNTIFS('Comittee2021'!$D:$D,Data2021[[#This Row],[organisation_name]],'Comittee2021'!$O:$O,"slight increase")</f>
        <v>0</v>
      </c>
      <c r="AK120">
        <f>COUNTIFS('Comittee2021'!$D:$D,Data2021[[#This Row],[organisation_name]],'Comittee2021'!$O:$O,"strong increase")</f>
        <v>0</v>
      </c>
      <c r="AL120">
        <v>2021</v>
      </c>
    </row>
    <row r="121" spans="1:38" x14ac:dyDescent="0.3">
      <c r="A121" t="str">
        <f>General2021[[#This Row],[organisation_name]]</f>
        <v>Stichting Robo Team Twente</v>
      </c>
      <c r="B121" t="str">
        <f>IF(General2021[[#This Row],[sector]]= "",VLOOKUP(Data2021[[#This Row],[organisation_name]],'Response Rate sheet'!A:D,3,FALSE),General2021[[#This Row],[sector]])</f>
        <v>Other</v>
      </c>
      <c r="C121" t="str">
        <f>General2021[[#This Row],[organisation_type]]</f>
        <v>foundation</v>
      </c>
      <c r="D121">
        <f>IF(ISBLANK(General2021[[#This Row],[number_of_members]]),"N/A",VLOOKUP(A121,General2021[[organisation_name]:[number_of_international_committee_board_members_not_eea]],6,FALSE))</f>
        <v>21</v>
      </c>
      <c r="E121">
        <f>IF(ISBLANK(General2021[[#This Row],[number_of_committee_board_members]]),"N/A",VLOOKUP(A121,General2021!B:M,10,FALSE))</f>
        <v>0</v>
      </c>
      <c r="F121">
        <f>IFERROR(Data2021[[#This Row],[Number of members]]-Data2021[[#This Row],[Number of active members]], "N/A")</f>
        <v>21</v>
      </c>
      <c r="G121">
        <f>IFERROR(Data2021[[#This Row],[Number of active members]]/Data2021[[#This Row],[Number of members]], "N/A")</f>
        <v>0</v>
      </c>
      <c r="H121">
        <f>IFERROR(1-Data2021[[#This Row],[Percentage active members]],"N/A")</f>
        <v>1</v>
      </c>
      <c r="I121"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21">
        <f>IF(ISBLANK(General2021[[#This Row],[number_of_international_members_not_eea]]),"N/A",VLOOKUP(A121,General2021[[organisation_name]:[number_of_international_committee_board_members_not_eea]],9,FALSE))</f>
        <v>0</v>
      </c>
      <c r="K121">
        <f>IF(ISBLANK(General2021[[#This Row],[number_of_international_members_eea]]),"N/A",VLOOKUP(A121,General2021[[organisation_name]:[number_of_international_committee_board_members_not_eea]],8,FALSE))</f>
        <v>2</v>
      </c>
      <c r="L121">
        <f>IFERROR(IF(Data2021[[#This Row],[Number of members]]-Data2021[[#This Row],[Non-EEA Total]]-Data2021[[#This Row],[EEA total]]&lt;1,"N/A", Data2021[[#This Row],[Number of members]]-Data2021[[#This Row],[Non-EEA Total]]-Data2021[[#This Row],[EEA total]]),"N/A")</f>
        <v>19</v>
      </c>
      <c r="M121">
        <f>VLOOKUP(A121,General2021[[organisation_name]:[number_of_international_committee_board_members_not_eea]],12,FALSE)</f>
        <v>0</v>
      </c>
      <c r="N121">
        <f>VLOOKUP(A121,General2021[[organisation_name]:[number_of_international_committee_board_members_not_eea]],11,FALSE)</f>
        <v>0</v>
      </c>
      <c r="O121" t="str">
        <f>IFERROR(IF(Data2021[[#This Row],[Number of active members]]-Data2021[[#This Row],[Non-EEA Active ]]-Data2021[[#This Row],[EEA Active]]&lt;1,"N/A", Data2021[[#This Row],[Number of active members]]-Data2021[[#This Row],[Non-EEA Active ]]-Data2021[[#This Row],[EEA Active]]),"N/A")</f>
        <v>N/A</v>
      </c>
      <c r="P121" t="str">
        <f>IFERROR(Data2021[[#This Row],[Non-EEA Active ]]/Data2021[[#This Row],[Number of active members]],"N/A")</f>
        <v>N/A</v>
      </c>
      <c r="Q121">
        <f>IFERROR(Data2021[[#This Row],[EEA Active]]/Data2021[[#This Row],[EEA total]], "N/A")</f>
        <v>0</v>
      </c>
      <c r="R121" t="str">
        <f>IFERROR(Data2021[[#This Row],[Dutch Active]]/Data2021[[#This Row],[Dutch total]],"N/A")</f>
        <v>N/A</v>
      </c>
      <c r="S121" t="str">
        <f>IFERROR(IF(Data2021[[#This Row],[Number of members]]=Data2021[[#This Row],[Non-EEA Total]]+Data2021[[#This Row],[EEA total]]+Data2021[[#This Row],[Dutch total]],"T","F"),"F")</f>
        <v>T</v>
      </c>
      <c r="T121" t="str">
        <f>IFERROR(IF(Data2021[[#This Row],[Number of active members]]=Data2021[[#This Row],[Non-EEA Active ]]+Data2021[[#This Row],[EEA Active]]+Data2021[[#This Row],[Dutch Active]],"T","F"),"F")</f>
        <v>F</v>
      </c>
      <c r="U121" t="str">
        <f>IFERROR(IF(Data2021[[#This Row],[Number of members]]-Data2021[[#This Row],[Non-EEA Active ]]-Data2021[[#This Row],[EEA Active]]-Data2021[[#This Row],[Dutch Active]]=Data2021[[#This Row],[Number of  inactive members]],"T","F"),"F")</f>
        <v>F</v>
      </c>
      <c r="V121" t="str">
        <f>IF(Data2021[[#This Row],[EEA Active]]&lt;=Data2021[[#This Row],[EEA total]],"T","F")</f>
        <v>T</v>
      </c>
      <c r="W121" t="str">
        <f>IF(Data2021[[#This Row],[Dutch Active]]&lt;=Data2021[[#This Row],[Dutch total]],"T","F")</f>
        <v>F</v>
      </c>
      <c r="X121" t="str">
        <f>IF(Data2021[[#This Row],[Non-EEA Active ]]&lt;=Data2021[[#This Row],[Non-EEA Total]],"T","F")</f>
        <v>T</v>
      </c>
      <c r="Y12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1">
        <f>IFERROR(VLOOKUP(Data2021[[#This Row],[organisation_name]],'Division Study Year Committees'!$A$1:$L$108,2,FALSE),"N/A")</f>
        <v>0</v>
      </c>
      <c r="AA121">
        <f>IFERROR(VLOOKUP(Data2021[[#This Row],[organisation_name]],'Division Study Year Committees'!$A$1:$L$108,3,FALSE),"N/A")</f>
        <v>0</v>
      </c>
      <c r="AB121">
        <f>IFERROR(VLOOKUP(Data2021[[#This Row],[organisation_name]],'Division Study Year Committees'!$A$1:$L$108,4,FALSE),"N/A")</f>
        <v>0</v>
      </c>
      <c r="AC121">
        <f>IFERROR(VLOOKUP(Data2021[[#This Row],[organisation_name]],'Division Study Year Committees'!$A$1:$L$108,5,FALSE), "N/A")</f>
        <v>0</v>
      </c>
      <c r="AD121">
        <f>IFERROR(VLOOKUP(Data2021[[#This Row],[organisation_name]],'Division Study Year Committees'!$A$1:$L$108,6,FALSE), "N/A")</f>
        <v>0</v>
      </c>
      <c r="AE121">
        <f>SUM(Data2021[[#This Row],[Number of first year comittee members]:[Number of 4+ year comittee members]])</f>
        <v>0</v>
      </c>
      <c r="AF121">
        <f>COUNTIF('Comittee2021'!D:D,Data2021[[#This Row],[organisation_name]])</f>
        <v>1</v>
      </c>
      <c r="AG121">
        <f>COUNTIFS('Comittee2021'!$D:$D,Data2021[[#This Row],[organisation_name]],'Comittee2021'!$O:$O,"strong decrease")</f>
        <v>0</v>
      </c>
      <c r="AH121">
        <f>COUNTIFS('Comittee2021'!$D:$D,Data2021[[#This Row],[organisation_name]],'Comittee2021'!$O:$O,"slight decrease")</f>
        <v>0</v>
      </c>
      <c r="AI121">
        <f>COUNTIFS('Comittee2021'!$D:$D,Data2021[[#This Row],[organisation_name]],'Comittee2021'!$O:$O,"no influence")</f>
        <v>1</v>
      </c>
      <c r="AJ121">
        <f>COUNTIFS('Comittee2021'!$D:$D,Data2021[[#This Row],[organisation_name]],'Comittee2021'!$O:$O,"slight increase")</f>
        <v>0</v>
      </c>
      <c r="AK121">
        <f>COUNTIFS('Comittee2021'!$D:$D,Data2021[[#This Row],[organisation_name]],'Comittee2021'!$O:$O,"strong increase")</f>
        <v>0</v>
      </c>
      <c r="AL121">
        <v>2021</v>
      </c>
    </row>
    <row r="122" spans="1:38" x14ac:dyDescent="0.3">
      <c r="A122" t="str">
        <f>General2021[[#This Row],[organisation_name]]</f>
        <v>Stichting Electric Superbike Twente</v>
      </c>
      <c r="B122" t="str">
        <f>IF(General2021[[#This Row],[sector]]= "",VLOOKUP(Data2021[[#This Row],[organisation_name]],'Response Rate sheet'!A:D,3,FALSE),General2021[[#This Row],[sector]])</f>
        <v>other</v>
      </c>
      <c r="C122" t="str">
        <f>General2021[[#This Row],[organisation_type]]</f>
        <v>foundation</v>
      </c>
      <c r="D122" t="str">
        <f>IF(ISBLANK(General2021[[#This Row],[number_of_members]]),"N/A",VLOOKUP(A122,General2021[[organisation_name]:[number_of_international_committee_board_members_not_eea]],6,FALSE))</f>
        <v>N/A</v>
      </c>
      <c r="E122" t="str">
        <f>IF(ISBLANK(General2021[[#This Row],[number_of_committee_board_members]]),"N/A",VLOOKUP(A122,General2021!B:M,10,FALSE))</f>
        <v>N/A</v>
      </c>
      <c r="F122" t="str">
        <f>IFERROR(Data2021[[#This Row],[Number of members]]-Data2021[[#This Row],[Number of active members]], "N/A")</f>
        <v>N/A</v>
      </c>
      <c r="G122" t="str">
        <f>IFERROR(Data2021[[#This Row],[Number of active members]]/Data2021[[#This Row],[Number of members]], "N/A")</f>
        <v>N/A</v>
      </c>
      <c r="H122" t="str">
        <f>IFERROR(1-Data2021[[#This Row],[Percentage active members]],"N/A")</f>
        <v>N/A</v>
      </c>
      <c r="I122" t="str">
        <f>IF(Data2021[[#This Row],[Number of members]]=0,"N/A",IF(Data2021[[#This Row],[Number of members]]&lt;50," A. 1 - 50 ",IF(Data2021[[#This Row],[Number of members]]&lt;100, "B. 50 - 100", IF(Data2021[[#This Row],[Number of members]]&lt;400, "C. 100 - 400", IF(Data2021[[#This Row],[Number of members]]&lt;1000,"D. 400 - 1000", "E. 1000 +")))))</f>
        <v>E. 1000 +</v>
      </c>
      <c r="J122" t="str">
        <f>IF(ISBLANK(General2021[[#This Row],[number_of_international_members_not_eea]]),"N/A",VLOOKUP(A122,General2021[[organisation_name]:[number_of_international_committee_board_members_not_eea]],9,FALSE))</f>
        <v>N/A</v>
      </c>
      <c r="K122" t="str">
        <f>IF(ISBLANK(General2021[[#This Row],[number_of_international_members_eea]]),"N/A",VLOOKUP(A122,General2021[[organisation_name]:[number_of_international_committee_board_members_not_eea]],8,FALSE))</f>
        <v>N/A</v>
      </c>
      <c r="L122" t="str">
        <f>IFERROR(IF(Data2021[[#This Row],[Number of members]]-Data2021[[#This Row],[Non-EEA Total]]-Data2021[[#This Row],[EEA total]]&lt;1,"N/A", Data2021[[#This Row],[Number of members]]-Data2021[[#This Row],[Non-EEA Total]]-Data2021[[#This Row],[EEA total]]),"N/A")</f>
        <v>N/A</v>
      </c>
      <c r="M122">
        <f>VLOOKUP(A122,General2021[[organisation_name]:[number_of_international_committee_board_members_not_eea]],12,FALSE)</f>
        <v>0</v>
      </c>
      <c r="N122">
        <f>VLOOKUP(A122,General2021[[organisation_name]:[number_of_international_committee_board_members_not_eea]],11,FALSE)</f>
        <v>0</v>
      </c>
      <c r="O122" t="str">
        <f>IFERROR(IF(Data2021[[#This Row],[Number of active members]]-Data2021[[#This Row],[Non-EEA Active ]]-Data2021[[#This Row],[EEA Active]]&lt;1,"N/A", Data2021[[#This Row],[Number of active members]]-Data2021[[#This Row],[Non-EEA Active ]]-Data2021[[#This Row],[EEA Active]]),"N/A")</f>
        <v>N/A</v>
      </c>
      <c r="P122" t="str">
        <f>IFERROR(Data2021[[#This Row],[Non-EEA Active ]]/Data2021[[#This Row],[Number of active members]],"N/A")</f>
        <v>N/A</v>
      </c>
      <c r="Q122" t="str">
        <f>IFERROR(Data2021[[#This Row],[EEA Active]]/Data2021[[#This Row],[EEA total]], "N/A")</f>
        <v>N/A</v>
      </c>
      <c r="R122" t="str">
        <f>IFERROR(Data2021[[#This Row],[Dutch Active]]/Data2021[[#This Row],[Dutch total]],"N/A")</f>
        <v>N/A</v>
      </c>
      <c r="S122" t="str">
        <f>IFERROR(IF(Data2021[[#This Row],[Number of members]]=Data2021[[#This Row],[Non-EEA Total]]+Data2021[[#This Row],[EEA total]]+Data2021[[#This Row],[Dutch total]],"T","F"),"F")</f>
        <v>F</v>
      </c>
      <c r="T122" t="str">
        <f>IFERROR(IF(Data2021[[#This Row],[Number of active members]]=Data2021[[#This Row],[Non-EEA Active ]]+Data2021[[#This Row],[EEA Active]]+Data2021[[#This Row],[Dutch Active]],"T","F"),"F")</f>
        <v>F</v>
      </c>
      <c r="U122" t="str">
        <f>IFERROR(IF(Data2021[[#This Row],[Number of members]]-Data2021[[#This Row],[Non-EEA Active ]]-Data2021[[#This Row],[EEA Active]]-Data2021[[#This Row],[Dutch Active]]=Data2021[[#This Row],[Number of  inactive members]],"T","F"),"F")</f>
        <v>F</v>
      </c>
      <c r="V122" t="str">
        <f>IF(Data2021[[#This Row],[EEA Active]]&lt;=Data2021[[#This Row],[EEA total]],"T","F")</f>
        <v>T</v>
      </c>
      <c r="W122" t="str">
        <f>IF(Data2021[[#This Row],[Dutch Active]]&lt;=Data2021[[#This Row],[Dutch total]],"T","F")</f>
        <v>T</v>
      </c>
      <c r="X122" t="str">
        <f>IF(Data2021[[#This Row],[Non-EEA Active ]]&lt;=Data2021[[#This Row],[Non-EEA Total]],"T","F")</f>
        <v>T</v>
      </c>
      <c r="Y12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2" t="str">
        <f>IFERROR(VLOOKUP(Data2021[[#This Row],[organisation_name]],'Division Study Year Committees'!$A$1:$L$108,2,FALSE),"N/A")</f>
        <v>N/A</v>
      </c>
      <c r="AA122" t="str">
        <f>IFERROR(VLOOKUP(Data2021[[#This Row],[organisation_name]],'Division Study Year Committees'!$A$1:$L$108,3,FALSE),"N/A")</f>
        <v>N/A</v>
      </c>
      <c r="AB122" t="str">
        <f>IFERROR(VLOOKUP(Data2021[[#This Row],[organisation_name]],'Division Study Year Committees'!$A$1:$L$108,4,FALSE),"N/A")</f>
        <v>N/A</v>
      </c>
      <c r="AC122" t="str">
        <f>IFERROR(VLOOKUP(Data2021[[#This Row],[organisation_name]],'Division Study Year Committees'!$A$1:$L$108,5,FALSE), "N/A")</f>
        <v>N/A</v>
      </c>
      <c r="AD122" t="str">
        <f>IFERROR(VLOOKUP(Data2021[[#This Row],[organisation_name]],'Division Study Year Committees'!$A$1:$L$108,6,FALSE), "N/A")</f>
        <v>N/A</v>
      </c>
      <c r="AE122">
        <f>SUM(Data2021[[#This Row],[Number of first year comittee members]:[Number of 4+ year comittee members]])</f>
        <v>0</v>
      </c>
      <c r="AF122">
        <f>COUNTIF('Comittee2021'!D:D,Data2021[[#This Row],[organisation_name]])</f>
        <v>0</v>
      </c>
      <c r="AG122">
        <f>COUNTIFS('Comittee2021'!$D:$D,Data2021[[#This Row],[organisation_name]],'Comittee2021'!$O:$O,"strong decrease")</f>
        <v>0</v>
      </c>
      <c r="AH122">
        <f>COUNTIFS('Comittee2021'!$D:$D,Data2021[[#This Row],[organisation_name]],'Comittee2021'!$O:$O,"slight decrease")</f>
        <v>0</v>
      </c>
      <c r="AI122">
        <f>COUNTIFS('Comittee2021'!$D:$D,Data2021[[#This Row],[organisation_name]],'Comittee2021'!$O:$O,"no influence")</f>
        <v>0</v>
      </c>
      <c r="AJ122">
        <f>COUNTIFS('Comittee2021'!$D:$D,Data2021[[#This Row],[organisation_name]],'Comittee2021'!$O:$O,"slight increase")</f>
        <v>0</v>
      </c>
      <c r="AK122">
        <f>COUNTIFS('Comittee2021'!$D:$D,Data2021[[#This Row],[organisation_name]],'Comittee2021'!$O:$O,"strong increase")</f>
        <v>0</v>
      </c>
      <c r="AL122">
        <v>2021</v>
      </c>
    </row>
    <row r="123" spans="1:38" x14ac:dyDescent="0.3">
      <c r="A123" t="str">
        <f>General2021[[#This Row],[organisation_name]]</f>
        <v>De sevende camer</v>
      </c>
      <c r="B123" t="str">
        <f>IF(General2021[[#This Row],[sector]]= "",VLOOKUP(Data2021[[#This Row],[organisation_name]],'Response Rate sheet'!A:D,3,FALSE),General2021[[#This Row],[sector]])</f>
        <v>Other</v>
      </c>
      <c r="C123" t="str">
        <f>General2021[[#This Row],[organisation_type]]</f>
        <v>foundation</v>
      </c>
      <c r="D123" t="str">
        <f>IF(ISBLANK(General2021[[#This Row],[number_of_members]]),"N/A",VLOOKUP(A123,General2021[[organisation_name]:[number_of_international_committee_board_members_not_eea]],6,FALSE))</f>
        <v>N/A</v>
      </c>
      <c r="E123" t="str">
        <f>IF(ISBLANK(General2021[[#This Row],[number_of_committee_board_members]]),"N/A",VLOOKUP(A123,General2021!B:M,10,FALSE))</f>
        <v>N/A</v>
      </c>
      <c r="F123" t="str">
        <f>IFERROR(Data2021[[#This Row],[Number of members]]-Data2021[[#This Row],[Number of active members]], "N/A")</f>
        <v>N/A</v>
      </c>
      <c r="G123" t="str">
        <f>IFERROR(Data2021[[#This Row],[Number of active members]]/Data2021[[#This Row],[Number of members]], "N/A")</f>
        <v>N/A</v>
      </c>
      <c r="H123" t="str">
        <f>IFERROR(1-Data2021[[#This Row],[Percentage active members]],"N/A")</f>
        <v>N/A</v>
      </c>
      <c r="I123" t="str">
        <f>IF(Data2021[[#This Row],[Number of members]]=0,"N/A",IF(Data2021[[#This Row],[Number of members]]&lt;50," A. 1 - 50 ",IF(Data2021[[#This Row],[Number of members]]&lt;100, "B. 50 - 100", IF(Data2021[[#This Row],[Number of members]]&lt;400, "C. 100 - 400", IF(Data2021[[#This Row],[Number of members]]&lt;1000,"D. 400 - 1000", "E. 1000 +")))))</f>
        <v>E. 1000 +</v>
      </c>
      <c r="J123" t="str">
        <f>IF(ISBLANK(General2021[[#This Row],[number_of_international_members_not_eea]]),"N/A",VLOOKUP(A123,General2021[[organisation_name]:[number_of_international_committee_board_members_not_eea]],9,FALSE))</f>
        <v>N/A</v>
      </c>
      <c r="K123" t="str">
        <f>IF(ISBLANK(General2021[[#This Row],[number_of_international_members_eea]]),"N/A",VLOOKUP(A123,General2021[[organisation_name]:[number_of_international_committee_board_members_not_eea]],8,FALSE))</f>
        <v>N/A</v>
      </c>
      <c r="L123" t="str">
        <f>IFERROR(IF(Data2021[[#This Row],[Number of members]]-Data2021[[#This Row],[Non-EEA Total]]-Data2021[[#This Row],[EEA total]]&lt;1,"N/A", Data2021[[#This Row],[Number of members]]-Data2021[[#This Row],[Non-EEA Total]]-Data2021[[#This Row],[EEA total]]),"N/A")</f>
        <v>N/A</v>
      </c>
      <c r="M123">
        <f>VLOOKUP(A123,General2021[[organisation_name]:[number_of_international_committee_board_members_not_eea]],12,FALSE)</f>
        <v>0</v>
      </c>
      <c r="N123">
        <f>VLOOKUP(A123,General2021[[organisation_name]:[number_of_international_committee_board_members_not_eea]],11,FALSE)</f>
        <v>0</v>
      </c>
      <c r="O123" t="str">
        <f>IFERROR(IF(Data2021[[#This Row],[Number of active members]]-Data2021[[#This Row],[Non-EEA Active ]]-Data2021[[#This Row],[EEA Active]]&lt;1,"N/A", Data2021[[#This Row],[Number of active members]]-Data2021[[#This Row],[Non-EEA Active ]]-Data2021[[#This Row],[EEA Active]]),"N/A")</f>
        <v>N/A</v>
      </c>
      <c r="P123" t="str">
        <f>IFERROR(Data2021[[#This Row],[Non-EEA Active ]]/Data2021[[#This Row],[Number of active members]],"N/A")</f>
        <v>N/A</v>
      </c>
      <c r="Q123" t="str">
        <f>IFERROR(Data2021[[#This Row],[EEA Active]]/Data2021[[#This Row],[EEA total]], "N/A")</f>
        <v>N/A</v>
      </c>
      <c r="R123" t="str">
        <f>IFERROR(Data2021[[#This Row],[Dutch Active]]/Data2021[[#This Row],[Dutch total]],"N/A")</f>
        <v>N/A</v>
      </c>
      <c r="S123" t="str">
        <f>IFERROR(IF(Data2021[[#This Row],[Number of members]]=Data2021[[#This Row],[Non-EEA Total]]+Data2021[[#This Row],[EEA total]]+Data2021[[#This Row],[Dutch total]],"T","F"),"F")</f>
        <v>F</v>
      </c>
      <c r="T123" t="str">
        <f>IFERROR(IF(Data2021[[#This Row],[Number of active members]]=Data2021[[#This Row],[Non-EEA Active ]]+Data2021[[#This Row],[EEA Active]]+Data2021[[#This Row],[Dutch Active]],"T","F"),"F")</f>
        <v>F</v>
      </c>
      <c r="U123" t="str">
        <f>IFERROR(IF(Data2021[[#This Row],[Number of members]]-Data2021[[#This Row],[Non-EEA Active ]]-Data2021[[#This Row],[EEA Active]]-Data2021[[#This Row],[Dutch Active]]=Data2021[[#This Row],[Number of  inactive members]],"T","F"),"F")</f>
        <v>F</v>
      </c>
      <c r="V123" t="str">
        <f>IF(Data2021[[#This Row],[EEA Active]]&lt;=Data2021[[#This Row],[EEA total]],"T","F")</f>
        <v>T</v>
      </c>
      <c r="W123" t="str">
        <f>IF(Data2021[[#This Row],[Dutch Active]]&lt;=Data2021[[#This Row],[Dutch total]],"T","F")</f>
        <v>T</v>
      </c>
      <c r="X123" t="str">
        <f>IF(Data2021[[#This Row],[Non-EEA Active ]]&lt;=Data2021[[#This Row],[Non-EEA Total]],"T","F")</f>
        <v>T</v>
      </c>
      <c r="Y12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3" t="str">
        <f>IFERROR(VLOOKUP(Data2021[[#This Row],[organisation_name]],'Division Study Year Committees'!$A$1:$L$108,2,FALSE),"N/A")</f>
        <v>N/A</v>
      </c>
      <c r="AA123" t="str">
        <f>IFERROR(VLOOKUP(Data2021[[#This Row],[organisation_name]],'Division Study Year Committees'!$A$1:$L$108,3,FALSE),"N/A")</f>
        <v>N/A</v>
      </c>
      <c r="AB123" t="str">
        <f>IFERROR(VLOOKUP(Data2021[[#This Row],[organisation_name]],'Division Study Year Committees'!$A$1:$L$108,4,FALSE),"N/A")</f>
        <v>N/A</v>
      </c>
      <c r="AC123" t="str">
        <f>IFERROR(VLOOKUP(Data2021[[#This Row],[organisation_name]],'Division Study Year Committees'!$A$1:$L$108,5,FALSE), "N/A")</f>
        <v>N/A</v>
      </c>
      <c r="AD123" t="str">
        <f>IFERROR(VLOOKUP(Data2021[[#This Row],[organisation_name]],'Division Study Year Committees'!$A$1:$L$108,6,FALSE), "N/A")</f>
        <v>N/A</v>
      </c>
      <c r="AE123">
        <f>SUM(Data2021[[#This Row],[Number of first year comittee members]:[Number of 4+ year comittee members]])</f>
        <v>0</v>
      </c>
      <c r="AF123">
        <f>COUNTIF('Comittee2021'!D:D,Data2021[[#This Row],[organisation_name]])</f>
        <v>0</v>
      </c>
      <c r="AG123">
        <f>COUNTIFS('Comittee2021'!$D:$D,Data2021[[#This Row],[organisation_name]],'Comittee2021'!$O:$O,"strong decrease")</f>
        <v>0</v>
      </c>
      <c r="AH123">
        <f>COUNTIFS('Comittee2021'!$D:$D,Data2021[[#This Row],[organisation_name]],'Comittee2021'!$O:$O,"slight decrease")</f>
        <v>0</v>
      </c>
      <c r="AI123">
        <f>COUNTIFS('Comittee2021'!$D:$D,Data2021[[#This Row],[organisation_name]],'Comittee2021'!$O:$O,"no influence")</f>
        <v>0</v>
      </c>
      <c r="AJ123">
        <f>COUNTIFS('Comittee2021'!$D:$D,Data2021[[#This Row],[organisation_name]],'Comittee2021'!$O:$O,"slight increase")</f>
        <v>0</v>
      </c>
      <c r="AK123">
        <f>COUNTIFS('Comittee2021'!$D:$D,Data2021[[#This Row],[organisation_name]],'Comittee2021'!$O:$O,"strong increase")</f>
        <v>0</v>
      </c>
      <c r="AL123">
        <v>2021</v>
      </c>
    </row>
    <row r="124" spans="1:38" x14ac:dyDescent="0.3">
      <c r="A124" t="str">
        <f>General2021[[#This Row],[organisation_name]]</f>
        <v>The negotiation project</v>
      </c>
      <c r="B124" t="str">
        <f>IF(General2021[[#This Row],[sector]]= "",VLOOKUP(Data2021[[#This Row],[organisation_name]],'Response Rate sheet'!A:D,3,FALSE),General2021[[#This Row],[sector]])</f>
        <v>Other</v>
      </c>
      <c r="C124" t="str">
        <f>General2021[[#This Row],[organisation_type]]</f>
        <v>foundation</v>
      </c>
      <c r="D124">
        <f>IF(ISBLANK(General2021[[#This Row],[number_of_members]]),"N/A",VLOOKUP(A124,General2021[[organisation_name]:[number_of_international_committee_board_members_not_eea]],6,FALSE))</f>
        <v>25</v>
      </c>
      <c r="E124">
        <f>IF(ISBLANK(General2021[[#This Row],[number_of_committee_board_members]]),"N/A",VLOOKUP(A124,General2021!B:M,10,FALSE))</f>
        <v>0</v>
      </c>
      <c r="F124">
        <f>IFERROR(Data2021[[#This Row],[Number of members]]-Data2021[[#This Row],[Number of active members]], "N/A")</f>
        <v>25</v>
      </c>
      <c r="G124">
        <f>IFERROR(Data2021[[#This Row],[Number of active members]]/Data2021[[#This Row],[Number of members]], "N/A")</f>
        <v>0</v>
      </c>
      <c r="H124">
        <f>IFERROR(1-Data2021[[#This Row],[Percentage active members]],"N/A")</f>
        <v>1</v>
      </c>
      <c r="I124"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24">
        <f>IF(ISBLANK(General2021[[#This Row],[number_of_international_members_not_eea]]),"N/A",VLOOKUP(A124,General2021[[organisation_name]:[number_of_international_committee_board_members_not_eea]],9,FALSE))</f>
        <v>0</v>
      </c>
      <c r="K124">
        <f>IF(ISBLANK(General2021[[#This Row],[number_of_international_members_eea]]),"N/A",VLOOKUP(A124,General2021[[organisation_name]:[number_of_international_committee_board_members_not_eea]],8,FALSE))</f>
        <v>6</v>
      </c>
      <c r="L124">
        <f>IFERROR(IF(Data2021[[#This Row],[Number of members]]-Data2021[[#This Row],[Non-EEA Total]]-Data2021[[#This Row],[EEA total]]&lt;1,"N/A", Data2021[[#This Row],[Number of members]]-Data2021[[#This Row],[Non-EEA Total]]-Data2021[[#This Row],[EEA total]]),"N/A")</f>
        <v>19</v>
      </c>
      <c r="M124">
        <f>VLOOKUP(A124,General2021[[organisation_name]:[number_of_international_committee_board_members_not_eea]],12,FALSE)</f>
        <v>0</v>
      </c>
      <c r="N124">
        <f>VLOOKUP(A124,General2021[[organisation_name]:[number_of_international_committee_board_members_not_eea]],11,FALSE)</f>
        <v>0</v>
      </c>
      <c r="O124" t="str">
        <f>IFERROR(IF(Data2021[[#This Row],[Number of active members]]-Data2021[[#This Row],[Non-EEA Active ]]-Data2021[[#This Row],[EEA Active]]&lt;1,"N/A", Data2021[[#This Row],[Number of active members]]-Data2021[[#This Row],[Non-EEA Active ]]-Data2021[[#This Row],[EEA Active]]),"N/A")</f>
        <v>N/A</v>
      </c>
      <c r="P124" t="str">
        <f>IFERROR(Data2021[[#This Row],[Non-EEA Active ]]/Data2021[[#This Row],[Number of active members]],"N/A")</f>
        <v>N/A</v>
      </c>
      <c r="Q124">
        <f>IFERROR(Data2021[[#This Row],[EEA Active]]/Data2021[[#This Row],[EEA total]], "N/A")</f>
        <v>0</v>
      </c>
      <c r="R124" t="str">
        <f>IFERROR(Data2021[[#This Row],[Dutch Active]]/Data2021[[#This Row],[Dutch total]],"N/A")</f>
        <v>N/A</v>
      </c>
      <c r="S124" t="str">
        <f>IFERROR(IF(Data2021[[#This Row],[Number of members]]=Data2021[[#This Row],[Non-EEA Total]]+Data2021[[#This Row],[EEA total]]+Data2021[[#This Row],[Dutch total]],"T","F"),"F")</f>
        <v>T</v>
      </c>
      <c r="T124" t="str">
        <f>IFERROR(IF(Data2021[[#This Row],[Number of active members]]=Data2021[[#This Row],[Non-EEA Active ]]+Data2021[[#This Row],[EEA Active]]+Data2021[[#This Row],[Dutch Active]],"T","F"),"F")</f>
        <v>F</v>
      </c>
      <c r="U124" t="str">
        <f>IFERROR(IF(Data2021[[#This Row],[Number of members]]-Data2021[[#This Row],[Non-EEA Active ]]-Data2021[[#This Row],[EEA Active]]-Data2021[[#This Row],[Dutch Active]]=Data2021[[#This Row],[Number of  inactive members]],"T","F"),"F")</f>
        <v>F</v>
      </c>
      <c r="V124" t="str">
        <f>IF(Data2021[[#This Row],[EEA Active]]&lt;=Data2021[[#This Row],[EEA total]],"T","F")</f>
        <v>T</v>
      </c>
      <c r="W124" t="str">
        <f>IF(Data2021[[#This Row],[Dutch Active]]&lt;=Data2021[[#This Row],[Dutch total]],"T","F")</f>
        <v>F</v>
      </c>
      <c r="X124" t="str">
        <f>IF(Data2021[[#This Row],[Non-EEA Active ]]&lt;=Data2021[[#This Row],[Non-EEA Total]],"T","F")</f>
        <v>T</v>
      </c>
      <c r="Y12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4">
        <f>IFERROR(VLOOKUP(Data2021[[#This Row],[organisation_name]],'Division Study Year Committees'!$A$1:$L$108,2,FALSE),"N/A")</f>
        <v>0</v>
      </c>
      <c r="AA124">
        <f>IFERROR(VLOOKUP(Data2021[[#This Row],[organisation_name]],'Division Study Year Committees'!$A$1:$L$108,3,FALSE),"N/A")</f>
        <v>3</v>
      </c>
      <c r="AB124">
        <f>IFERROR(VLOOKUP(Data2021[[#This Row],[organisation_name]],'Division Study Year Committees'!$A$1:$L$108,4,FALSE),"N/A")</f>
        <v>2</v>
      </c>
      <c r="AC124">
        <f>IFERROR(VLOOKUP(Data2021[[#This Row],[organisation_name]],'Division Study Year Committees'!$A$1:$L$108,5,FALSE), "N/A")</f>
        <v>0</v>
      </c>
      <c r="AD124">
        <f>IFERROR(VLOOKUP(Data2021[[#This Row],[organisation_name]],'Division Study Year Committees'!$A$1:$L$108,6,FALSE), "N/A")</f>
        <v>0</v>
      </c>
      <c r="AE124">
        <f>SUM(Data2021[[#This Row],[Number of first year comittee members]:[Number of 4+ year comittee members]])</f>
        <v>5</v>
      </c>
      <c r="AF124">
        <f>COUNTIF('Comittee2021'!D:D,Data2021[[#This Row],[organisation_name]])</f>
        <v>1</v>
      </c>
      <c r="AG124">
        <f>COUNTIFS('Comittee2021'!$D:$D,Data2021[[#This Row],[organisation_name]],'Comittee2021'!$O:$O,"strong decrease")</f>
        <v>0</v>
      </c>
      <c r="AH124">
        <f>COUNTIFS('Comittee2021'!$D:$D,Data2021[[#This Row],[organisation_name]],'Comittee2021'!$O:$O,"slight decrease")</f>
        <v>0</v>
      </c>
      <c r="AI124">
        <f>COUNTIFS('Comittee2021'!$D:$D,Data2021[[#This Row],[organisation_name]],'Comittee2021'!$O:$O,"no influence")</f>
        <v>1</v>
      </c>
      <c r="AJ124">
        <f>COUNTIFS('Comittee2021'!$D:$D,Data2021[[#This Row],[organisation_name]],'Comittee2021'!$O:$O,"slight increase")</f>
        <v>0</v>
      </c>
      <c r="AK124">
        <f>COUNTIFS('Comittee2021'!$D:$D,Data2021[[#This Row],[organisation_name]],'Comittee2021'!$O:$O,"strong increase")</f>
        <v>0</v>
      </c>
      <c r="AL124">
        <v>2021</v>
      </c>
    </row>
    <row r="125" spans="1:38" x14ac:dyDescent="0.3">
      <c r="A125" t="str">
        <f>General2021[[#This Row],[organisation_name]]</f>
        <v>Drone Team Twente</v>
      </c>
      <c r="B125" t="str">
        <f>IF(General2021[[#This Row],[sector]]= "",VLOOKUP(Data2021[[#This Row],[organisation_name]],'Response Rate sheet'!A:D,3,FALSE),General2021[[#This Row],[sector]])</f>
        <v>Other</v>
      </c>
      <c r="C125" t="str">
        <f>General2021[[#This Row],[organisation_type]]</f>
        <v>foundation</v>
      </c>
      <c r="D125">
        <f>IF(ISBLANK(General2021[[#This Row],[number_of_members]]),"N/A",VLOOKUP(A125,General2021[[organisation_name]:[number_of_international_committee_board_members_not_eea]],6,FALSE))</f>
        <v>10</v>
      </c>
      <c r="E125">
        <f>IF(ISBLANK(General2021[[#This Row],[number_of_committee_board_members]]),"N/A",VLOOKUP(A125,General2021!B:M,10,FALSE))</f>
        <v>0</v>
      </c>
      <c r="F125">
        <f>IFERROR(Data2021[[#This Row],[Number of members]]-Data2021[[#This Row],[Number of active members]], "N/A")</f>
        <v>10</v>
      </c>
      <c r="G125">
        <f>IFERROR(Data2021[[#This Row],[Number of active members]]/Data2021[[#This Row],[Number of members]], "N/A")</f>
        <v>0</v>
      </c>
      <c r="H125">
        <f>IFERROR(1-Data2021[[#This Row],[Percentage active members]],"N/A")</f>
        <v>1</v>
      </c>
      <c r="I125"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25">
        <f>IF(ISBLANK(General2021[[#This Row],[number_of_international_members_not_eea]]),"N/A",VLOOKUP(A125,General2021[[organisation_name]:[number_of_international_committee_board_members_not_eea]],9,FALSE))</f>
        <v>0</v>
      </c>
      <c r="K125">
        <f>IF(ISBLANK(General2021[[#This Row],[number_of_international_members_eea]]),"N/A",VLOOKUP(A125,General2021[[organisation_name]:[number_of_international_committee_board_members_not_eea]],8,FALSE))</f>
        <v>6</v>
      </c>
      <c r="L125">
        <f>IFERROR(IF(Data2021[[#This Row],[Number of members]]-Data2021[[#This Row],[Non-EEA Total]]-Data2021[[#This Row],[EEA total]]&lt;1,"N/A", Data2021[[#This Row],[Number of members]]-Data2021[[#This Row],[Non-EEA Total]]-Data2021[[#This Row],[EEA total]]),"N/A")</f>
        <v>4</v>
      </c>
      <c r="M125">
        <f>VLOOKUP(A125,General2021[[organisation_name]:[number_of_international_committee_board_members_not_eea]],12,FALSE)</f>
        <v>0</v>
      </c>
      <c r="N125">
        <f>VLOOKUP(A125,General2021[[organisation_name]:[number_of_international_committee_board_members_not_eea]],11,FALSE)</f>
        <v>0</v>
      </c>
      <c r="O125" t="str">
        <f>IFERROR(IF(Data2021[[#This Row],[Number of active members]]-Data2021[[#This Row],[Non-EEA Active ]]-Data2021[[#This Row],[EEA Active]]&lt;1,"N/A", Data2021[[#This Row],[Number of active members]]-Data2021[[#This Row],[Non-EEA Active ]]-Data2021[[#This Row],[EEA Active]]),"N/A")</f>
        <v>N/A</v>
      </c>
      <c r="P125" t="str">
        <f>IFERROR(Data2021[[#This Row],[Non-EEA Active ]]/Data2021[[#This Row],[Number of active members]],"N/A")</f>
        <v>N/A</v>
      </c>
      <c r="Q125">
        <f>IFERROR(Data2021[[#This Row],[EEA Active]]/Data2021[[#This Row],[EEA total]], "N/A")</f>
        <v>0</v>
      </c>
      <c r="R125" t="str">
        <f>IFERROR(Data2021[[#This Row],[Dutch Active]]/Data2021[[#This Row],[Dutch total]],"N/A")</f>
        <v>N/A</v>
      </c>
      <c r="S125" t="str">
        <f>IFERROR(IF(Data2021[[#This Row],[Number of members]]=Data2021[[#This Row],[Non-EEA Total]]+Data2021[[#This Row],[EEA total]]+Data2021[[#This Row],[Dutch total]],"T","F"),"F")</f>
        <v>T</v>
      </c>
      <c r="T125" t="str">
        <f>IFERROR(IF(Data2021[[#This Row],[Number of active members]]=Data2021[[#This Row],[Non-EEA Active ]]+Data2021[[#This Row],[EEA Active]]+Data2021[[#This Row],[Dutch Active]],"T","F"),"F")</f>
        <v>F</v>
      </c>
      <c r="U125" t="str">
        <f>IFERROR(IF(Data2021[[#This Row],[Number of members]]-Data2021[[#This Row],[Non-EEA Active ]]-Data2021[[#This Row],[EEA Active]]-Data2021[[#This Row],[Dutch Active]]=Data2021[[#This Row],[Number of  inactive members]],"T","F"),"F")</f>
        <v>F</v>
      </c>
      <c r="V125" t="str">
        <f>IF(Data2021[[#This Row],[EEA Active]]&lt;=Data2021[[#This Row],[EEA total]],"T","F")</f>
        <v>T</v>
      </c>
      <c r="W125" t="str">
        <f>IF(Data2021[[#This Row],[Dutch Active]]&lt;=Data2021[[#This Row],[Dutch total]],"T","F")</f>
        <v>F</v>
      </c>
      <c r="X125" t="str">
        <f>IF(Data2021[[#This Row],[Non-EEA Active ]]&lt;=Data2021[[#This Row],[Non-EEA Total]],"T","F")</f>
        <v>T</v>
      </c>
      <c r="Y12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5">
        <f>IFERROR(VLOOKUP(Data2021[[#This Row],[organisation_name]],'Division Study Year Committees'!$A$1:$L$108,2,FALSE),"N/A")</f>
        <v>2</v>
      </c>
      <c r="AA125">
        <f>IFERROR(VLOOKUP(Data2021[[#This Row],[organisation_name]],'Division Study Year Committees'!$A$1:$L$108,3,FALSE),"N/A")</f>
        <v>3</v>
      </c>
      <c r="AB125">
        <f>IFERROR(VLOOKUP(Data2021[[#This Row],[organisation_name]],'Division Study Year Committees'!$A$1:$L$108,4,FALSE),"N/A")</f>
        <v>3</v>
      </c>
      <c r="AC125">
        <f>IFERROR(VLOOKUP(Data2021[[#This Row],[organisation_name]],'Division Study Year Committees'!$A$1:$L$108,5,FALSE), "N/A")</f>
        <v>0</v>
      </c>
      <c r="AD125">
        <f>IFERROR(VLOOKUP(Data2021[[#This Row],[organisation_name]],'Division Study Year Committees'!$A$1:$L$108,6,FALSE), "N/A")</f>
        <v>2</v>
      </c>
      <c r="AE125">
        <f>SUM(Data2021[[#This Row],[Number of first year comittee members]:[Number of 4+ year comittee members]])</f>
        <v>10</v>
      </c>
      <c r="AF125">
        <f>COUNTIF('Comittee2021'!D:D,Data2021[[#This Row],[organisation_name]])</f>
        <v>2</v>
      </c>
      <c r="AG125">
        <f>COUNTIFS('Comittee2021'!$D:$D,Data2021[[#This Row],[organisation_name]],'Comittee2021'!$O:$O,"strong decrease")</f>
        <v>0</v>
      </c>
      <c r="AH125">
        <f>COUNTIFS('Comittee2021'!$D:$D,Data2021[[#This Row],[organisation_name]],'Comittee2021'!$O:$O,"slight decrease")</f>
        <v>0</v>
      </c>
      <c r="AI125">
        <f>COUNTIFS('Comittee2021'!$D:$D,Data2021[[#This Row],[organisation_name]],'Comittee2021'!$O:$O,"no influence")</f>
        <v>0</v>
      </c>
      <c r="AJ125">
        <f>COUNTIFS('Comittee2021'!$D:$D,Data2021[[#This Row],[organisation_name]],'Comittee2021'!$O:$O,"slight increase")</f>
        <v>2</v>
      </c>
      <c r="AK125">
        <f>COUNTIFS('Comittee2021'!$D:$D,Data2021[[#This Row],[organisation_name]],'Comittee2021'!$O:$O,"strong increase")</f>
        <v>0</v>
      </c>
      <c r="AL125">
        <v>2021</v>
      </c>
    </row>
    <row r="126" spans="1:38" x14ac:dyDescent="0.3">
      <c r="A126" t="str">
        <f>General2021[[#This Row],[organisation_name]]</f>
        <v>Sustain</v>
      </c>
      <c r="B126" t="str">
        <f>IF(General2021[[#This Row],[sector]]= "",VLOOKUP(Data2021[[#This Row],[organisation_name]],'Response Rate sheet'!A:D,3,FALSE),General2021[[#This Row],[sector]])</f>
        <v>Other</v>
      </c>
      <c r="C126" t="str">
        <f>General2021[[#This Row],[organisation_type]]</f>
        <v>association</v>
      </c>
      <c r="D126" t="str">
        <f>IF(ISBLANK(General2021[[#This Row],[number_of_members]]),"N/A",VLOOKUP(A126,General2021[[organisation_name]:[number_of_international_committee_board_members_not_eea]],6,FALSE))</f>
        <v>N/A</v>
      </c>
      <c r="E126" t="str">
        <f>IF(ISBLANK(General2021[[#This Row],[number_of_committee_board_members]]),"N/A",VLOOKUP(A126,General2021!B:M,10,FALSE))</f>
        <v>N/A</v>
      </c>
      <c r="F126" t="str">
        <f>IFERROR(Data2021[[#This Row],[Number of members]]-Data2021[[#This Row],[Number of active members]], "N/A")</f>
        <v>N/A</v>
      </c>
      <c r="G126" t="str">
        <f>IFERROR(Data2021[[#This Row],[Number of active members]]/Data2021[[#This Row],[Number of members]], "N/A")</f>
        <v>N/A</v>
      </c>
      <c r="H126" t="str">
        <f>IFERROR(1-Data2021[[#This Row],[Percentage active members]],"N/A")</f>
        <v>N/A</v>
      </c>
      <c r="I126" t="str">
        <f>IF(Data2021[[#This Row],[Number of members]]=0,"N/A",IF(Data2021[[#This Row],[Number of members]]&lt;50," A. 1 - 50 ",IF(Data2021[[#This Row],[Number of members]]&lt;100, "B. 50 - 100", IF(Data2021[[#This Row],[Number of members]]&lt;400, "C. 100 - 400", IF(Data2021[[#This Row],[Number of members]]&lt;1000,"D. 400 - 1000", "E. 1000 +")))))</f>
        <v>E. 1000 +</v>
      </c>
      <c r="J126" t="str">
        <f>IF(ISBLANK(General2021[[#This Row],[number_of_international_members_not_eea]]),"N/A",VLOOKUP(A126,General2021[[organisation_name]:[number_of_international_committee_board_members_not_eea]],9,FALSE))</f>
        <v>N/A</v>
      </c>
      <c r="K126" t="str">
        <f>IF(ISBLANK(General2021[[#This Row],[number_of_international_members_eea]]),"N/A",VLOOKUP(A126,General2021[[organisation_name]:[number_of_international_committee_board_members_not_eea]],8,FALSE))</f>
        <v>N/A</v>
      </c>
      <c r="L126" t="str">
        <f>IFERROR(IF(Data2021[[#This Row],[Number of members]]-Data2021[[#This Row],[Non-EEA Total]]-Data2021[[#This Row],[EEA total]]&lt;1,"N/A", Data2021[[#This Row],[Number of members]]-Data2021[[#This Row],[Non-EEA Total]]-Data2021[[#This Row],[EEA total]]),"N/A")</f>
        <v>N/A</v>
      </c>
      <c r="M126">
        <f>VLOOKUP(A126,General2021[[organisation_name]:[number_of_international_committee_board_members_not_eea]],12,FALSE)</f>
        <v>0</v>
      </c>
      <c r="N126">
        <f>VLOOKUP(A126,General2021[[organisation_name]:[number_of_international_committee_board_members_not_eea]],11,FALSE)</f>
        <v>0</v>
      </c>
      <c r="O126" t="str">
        <f>IFERROR(IF(Data2021[[#This Row],[Number of active members]]-Data2021[[#This Row],[Non-EEA Active ]]-Data2021[[#This Row],[EEA Active]]&lt;1,"N/A", Data2021[[#This Row],[Number of active members]]-Data2021[[#This Row],[Non-EEA Active ]]-Data2021[[#This Row],[EEA Active]]),"N/A")</f>
        <v>N/A</v>
      </c>
      <c r="P126" t="str">
        <f>IFERROR(Data2021[[#This Row],[Non-EEA Active ]]/Data2021[[#This Row],[Number of active members]],"N/A")</f>
        <v>N/A</v>
      </c>
      <c r="Q126" t="str">
        <f>IFERROR(Data2021[[#This Row],[EEA Active]]/Data2021[[#This Row],[EEA total]], "N/A")</f>
        <v>N/A</v>
      </c>
      <c r="R126" t="str">
        <f>IFERROR(Data2021[[#This Row],[Dutch Active]]/Data2021[[#This Row],[Dutch total]],"N/A")</f>
        <v>N/A</v>
      </c>
      <c r="S126" t="str">
        <f>IFERROR(IF(Data2021[[#This Row],[Number of members]]=Data2021[[#This Row],[Non-EEA Total]]+Data2021[[#This Row],[EEA total]]+Data2021[[#This Row],[Dutch total]],"T","F"),"F")</f>
        <v>F</v>
      </c>
      <c r="T126" t="str">
        <f>IFERROR(IF(Data2021[[#This Row],[Number of active members]]=Data2021[[#This Row],[Non-EEA Active ]]+Data2021[[#This Row],[EEA Active]]+Data2021[[#This Row],[Dutch Active]],"T","F"),"F")</f>
        <v>F</v>
      </c>
      <c r="U126" t="str">
        <f>IFERROR(IF(Data2021[[#This Row],[Number of members]]-Data2021[[#This Row],[Non-EEA Active ]]-Data2021[[#This Row],[EEA Active]]-Data2021[[#This Row],[Dutch Active]]=Data2021[[#This Row],[Number of  inactive members]],"T","F"),"F")</f>
        <v>F</v>
      </c>
      <c r="V126" t="str">
        <f>IF(Data2021[[#This Row],[EEA Active]]&lt;=Data2021[[#This Row],[EEA total]],"T","F")</f>
        <v>T</v>
      </c>
      <c r="W126" t="str">
        <f>IF(Data2021[[#This Row],[Dutch Active]]&lt;=Data2021[[#This Row],[Dutch total]],"T","F")</f>
        <v>T</v>
      </c>
      <c r="X126" t="str">
        <f>IF(Data2021[[#This Row],[Non-EEA Active ]]&lt;=Data2021[[#This Row],[Non-EEA Total]],"T","F")</f>
        <v>T</v>
      </c>
      <c r="Y12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6" t="str">
        <f>IFERROR(VLOOKUP(Data2021[[#This Row],[organisation_name]],'Division Study Year Committees'!$A$1:$L$108,2,FALSE),"N/A")</f>
        <v>N/A</v>
      </c>
      <c r="AA126" t="str">
        <f>IFERROR(VLOOKUP(Data2021[[#This Row],[organisation_name]],'Division Study Year Committees'!$A$1:$L$108,3,FALSE),"N/A")</f>
        <v>N/A</v>
      </c>
      <c r="AB126" t="str">
        <f>IFERROR(VLOOKUP(Data2021[[#This Row],[organisation_name]],'Division Study Year Committees'!$A$1:$L$108,4,FALSE),"N/A")</f>
        <v>N/A</v>
      </c>
      <c r="AC126" t="str">
        <f>IFERROR(VLOOKUP(Data2021[[#This Row],[organisation_name]],'Division Study Year Committees'!$A$1:$L$108,5,FALSE), "N/A")</f>
        <v>N/A</v>
      </c>
      <c r="AD126" t="str">
        <f>IFERROR(VLOOKUP(Data2021[[#This Row],[organisation_name]],'Division Study Year Committees'!$A$1:$L$108,6,FALSE), "N/A")</f>
        <v>N/A</v>
      </c>
      <c r="AE126">
        <f>SUM(Data2021[[#This Row],[Number of first year comittee members]:[Number of 4+ year comittee members]])</f>
        <v>0</v>
      </c>
      <c r="AF126">
        <f>COUNTIF('Comittee2021'!D:D,Data2021[[#This Row],[organisation_name]])</f>
        <v>0</v>
      </c>
      <c r="AG126">
        <f>COUNTIFS('Comittee2021'!$D:$D,Data2021[[#This Row],[organisation_name]],'Comittee2021'!$O:$O,"strong decrease")</f>
        <v>0</v>
      </c>
      <c r="AH126">
        <f>COUNTIFS('Comittee2021'!$D:$D,Data2021[[#This Row],[organisation_name]],'Comittee2021'!$O:$O,"slight decrease")</f>
        <v>0</v>
      </c>
      <c r="AI126">
        <f>COUNTIFS('Comittee2021'!$D:$D,Data2021[[#This Row],[organisation_name]],'Comittee2021'!$O:$O,"no influence")</f>
        <v>0</v>
      </c>
      <c r="AJ126">
        <f>COUNTIFS('Comittee2021'!$D:$D,Data2021[[#This Row],[organisation_name]],'Comittee2021'!$O:$O,"slight increase")</f>
        <v>0</v>
      </c>
      <c r="AK126">
        <f>COUNTIFS('Comittee2021'!$D:$D,Data2021[[#This Row],[organisation_name]],'Comittee2021'!$O:$O,"strong increase")</f>
        <v>0</v>
      </c>
      <c r="AL126">
        <v>2021</v>
      </c>
    </row>
    <row r="127" spans="1:38" x14ac:dyDescent="0.3">
      <c r="A127" t="str">
        <f>General2021[[#This Row],[organisation_name]]</f>
        <v>Space Society</v>
      </c>
      <c r="B127" t="str">
        <f>IF(General2021[[#This Row],[sector]]= "",VLOOKUP(Data2021[[#This Row],[organisation_name]],'Response Rate sheet'!A:D,3,FALSE),General2021[[#This Row],[sector]])</f>
        <v>Other</v>
      </c>
      <c r="C127" t="str">
        <f>General2021[[#This Row],[organisation_type]]</f>
        <v>association</v>
      </c>
      <c r="D127" t="str">
        <f>IF(ISBLANK(General2021[[#This Row],[number_of_members]]),"N/A",VLOOKUP(A127,General2021[[organisation_name]:[number_of_international_committee_board_members_not_eea]],6,FALSE))</f>
        <v>N/A</v>
      </c>
      <c r="E127" t="str">
        <f>IF(ISBLANK(General2021[[#This Row],[number_of_committee_board_members]]),"N/A",VLOOKUP(A127,General2021!B:M,10,FALSE))</f>
        <v>N/A</v>
      </c>
      <c r="F127" t="str">
        <f>IFERROR(Data2021[[#This Row],[Number of members]]-Data2021[[#This Row],[Number of active members]], "N/A")</f>
        <v>N/A</v>
      </c>
      <c r="G127" t="str">
        <f>IFERROR(Data2021[[#This Row],[Number of active members]]/Data2021[[#This Row],[Number of members]], "N/A")</f>
        <v>N/A</v>
      </c>
      <c r="H127" t="str">
        <f>IFERROR(1-Data2021[[#This Row],[Percentage active members]],"N/A")</f>
        <v>N/A</v>
      </c>
      <c r="I127" t="str">
        <f>IF(Data2021[[#This Row],[Number of members]]=0,"N/A",IF(Data2021[[#This Row],[Number of members]]&lt;50," A. 1 - 50 ",IF(Data2021[[#This Row],[Number of members]]&lt;100, "B. 50 - 100", IF(Data2021[[#This Row],[Number of members]]&lt;400, "C. 100 - 400", IF(Data2021[[#This Row],[Number of members]]&lt;1000,"D. 400 - 1000", "E. 1000 +")))))</f>
        <v>E. 1000 +</v>
      </c>
      <c r="J127" t="str">
        <f>IF(ISBLANK(General2021[[#This Row],[number_of_international_members_not_eea]]),"N/A",VLOOKUP(A127,General2021[[organisation_name]:[number_of_international_committee_board_members_not_eea]],9,FALSE))</f>
        <v>N/A</v>
      </c>
      <c r="K127" t="str">
        <f>IF(ISBLANK(General2021[[#This Row],[number_of_international_members_eea]]),"N/A",VLOOKUP(A127,General2021[[organisation_name]:[number_of_international_committee_board_members_not_eea]],8,FALSE))</f>
        <v>N/A</v>
      </c>
      <c r="L127" t="str">
        <f>IFERROR(IF(Data2021[[#This Row],[Number of members]]-Data2021[[#This Row],[Non-EEA Total]]-Data2021[[#This Row],[EEA total]]&lt;1,"N/A", Data2021[[#This Row],[Number of members]]-Data2021[[#This Row],[Non-EEA Total]]-Data2021[[#This Row],[EEA total]]),"N/A")</f>
        <v>N/A</v>
      </c>
      <c r="M127">
        <f>VLOOKUP(A127,General2021[[organisation_name]:[number_of_international_committee_board_members_not_eea]],12,FALSE)</f>
        <v>0</v>
      </c>
      <c r="N127">
        <f>VLOOKUP(A127,General2021[[organisation_name]:[number_of_international_committee_board_members_not_eea]],11,FALSE)</f>
        <v>0</v>
      </c>
      <c r="O127" t="str">
        <f>IFERROR(IF(Data2021[[#This Row],[Number of active members]]-Data2021[[#This Row],[Non-EEA Active ]]-Data2021[[#This Row],[EEA Active]]&lt;1,"N/A", Data2021[[#This Row],[Number of active members]]-Data2021[[#This Row],[Non-EEA Active ]]-Data2021[[#This Row],[EEA Active]]),"N/A")</f>
        <v>N/A</v>
      </c>
      <c r="P127" t="str">
        <f>IFERROR(Data2021[[#This Row],[Non-EEA Active ]]/Data2021[[#This Row],[Number of active members]],"N/A")</f>
        <v>N/A</v>
      </c>
      <c r="Q127" t="str">
        <f>IFERROR(Data2021[[#This Row],[EEA Active]]/Data2021[[#This Row],[EEA total]], "N/A")</f>
        <v>N/A</v>
      </c>
      <c r="R127" t="str">
        <f>IFERROR(Data2021[[#This Row],[Dutch Active]]/Data2021[[#This Row],[Dutch total]],"N/A")</f>
        <v>N/A</v>
      </c>
      <c r="S127" t="str">
        <f>IFERROR(IF(Data2021[[#This Row],[Number of members]]=Data2021[[#This Row],[Non-EEA Total]]+Data2021[[#This Row],[EEA total]]+Data2021[[#This Row],[Dutch total]],"T","F"),"F")</f>
        <v>F</v>
      </c>
      <c r="T127" t="str">
        <f>IFERROR(IF(Data2021[[#This Row],[Number of active members]]=Data2021[[#This Row],[Non-EEA Active ]]+Data2021[[#This Row],[EEA Active]]+Data2021[[#This Row],[Dutch Active]],"T","F"),"F")</f>
        <v>F</v>
      </c>
      <c r="U127" t="str">
        <f>IFERROR(IF(Data2021[[#This Row],[Number of members]]-Data2021[[#This Row],[Non-EEA Active ]]-Data2021[[#This Row],[EEA Active]]-Data2021[[#This Row],[Dutch Active]]=Data2021[[#This Row],[Number of  inactive members]],"T","F"),"F")</f>
        <v>F</v>
      </c>
      <c r="V127" t="str">
        <f>IF(Data2021[[#This Row],[EEA Active]]&lt;=Data2021[[#This Row],[EEA total]],"T","F")</f>
        <v>T</v>
      </c>
      <c r="W127" t="str">
        <f>IF(Data2021[[#This Row],[Dutch Active]]&lt;=Data2021[[#This Row],[Dutch total]],"T","F")</f>
        <v>T</v>
      </c>
      <c r="X127" t="str">
        <f>IF(Data2021[[#This Row],[Non-EEA Active ]]&lt;=Data2021[[#This Row],[Non-EEA Total]],"T","F")</f>
        <v>T</v>
      </c>
      <c r="Y12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7" t="str">
        <f>IFERROR(VLOOKUP(Data2021[[#This Row],[organisation_name]],'Division Study Year Committees'!$A$1:$L$108,2,FALSE),"N/A")</f>
        <v>N/A</v>
      </c>
      <c r="AA127" t="str">
        <f>IFERROR(VLOOKUP(Data2021[[#This Row],[organisation_name]],'Division Study Year Committees'!$A$1:$L$108,3,FALSE),"N/A")</f>
        <v>N/A</v>
      </c>
      <c r="AB127" t="str">
        <f>IFERROR(VLOOKUP(Data2021[[#This Row],[organisation_name]],'Division Study Year Committees'!$A$1:$L$108,4,FALSE),"N/A")</f>
        <v>N/A</v>
      </c>
      <c r="AC127" t="str">
        <f>IFERROR(VLOOKUP(Data2021[[#This Row],[organisation_name]],'Division Study Year Committees'!$A$1:$L$108,5,FALSE), "N/A")</f>
        <v>N/A</v>
      </c>
      <c r="AD127" t="str">
        <f>IFERROR(VLOOKUP(Data2021[[#This Row],[organisation_name]],'Division Study Year Committees'!$A$1:$L$108,6,FALSE), "N/A")</f>
        <v>N/A</v>
      </c>
      <c r="AE127">
        <f>SUM(Data2021[[#This Row],[Number of first year comittee members]:[Number of 4+ year comittee members]])</f>
        <v>0</v>
      </c>
      <c r="AF127">
        <f>COUNTIF('Comittee2021'!D:D,Data2021[[#This Row],[organisation_name]])</f>
        <v>0</v>
      </c>
      <c r="AG127">
        <f>COUNTIFS('Comittee2021'!$D:$D,Data2021[[#This Row],[organisation_name]],'Comittee2021'!$O:$O,"strong decrease")</f>
        <v>0</v>
      </c>
      <c r="AH127">
        <f>COUNTIFS('Comittee2021'!$D:$D,Data2021[[#This Row],[organisation_name]],'Comittee2021'!$O:$O,"slight decrease")</f>
        <v>0</v>
      </c>
      <c r="AI127">
        <f>COUNTIFS('Comittee2021'!$D:$D,Data2021[[#This Row],[organisation_name]],'Comittee2021'!$O:$O,"no influence")</f>
        <v>0</v>
      </c>
      <c r="AJ127">
        <f>COUNTIFS('Comittee2021'!$D:$D,Data2021[[#This Row],[organisation_name]],'Comittee2021'!$O:$O,"slight increase")</f>
        <v>0</v>
      </c>
      <c r="AK127">
        <f>COUNTIFS('Comittee2021'!$D:$D,Data2021[[#This Row],[organisation_name]],'Comittee2021'!$O:$O,"strong increase")</f>
        <v>0</v>
      </c>
      <c r="AL127">
        <v>2021</v>
      </c>
    </row>
    <row r="128" spans="1:38" x14ac:dyDescent="0.3">
      <c r="A128" t="str">
        <f>General2021[[#This Row],[organisation_name]]</f>
        <v>Drienerlose Stichting Torenhoog</v>
      </c>
      <c r="B128" t="str">
        <f>IF(General2021[[#This Row],[sector]]= "",VLOOKUP(Data2021[[#This Row],[organisation_name]],'Response Rate sheet'!A:D,3,FALSE),General2021[[#This Row],[sector]])</f>
        <v>other</v>
      </c>
      <c r="C128" t="str">
        <f>General2021[[#This Row],[organisation_type]]</f>
        <v>foundation</v>
      </c>
      <c r="D128" t="str">
        <f>IF(ISBLANK(General2021[[#This Row],[number_of_members]]),"N/A",VLOOKUP(A128,General2021[[organisation_name]:[number_of_international_committee_board_members_not_eea]],6,FALSE))</f>
        <v>N/A</v>
      </c>
      <c r="E128" t="str">
        <f>IF(ISBLANK(General2021[[#This Row],[number_of_committee_board_members]]),"N/A",VLOOKUP(A128,General2021!B:M,10,FALSE))</f>
        <v>N/A</v>
      </c>
      <c r="F128" t="str">
        <f>IFERROR(Data2021[[#This Row],[Number of members]]-Data2021[[#This Row],[Number of active members]], "N/A")</f>
        <v>N/A</v>
      </c>
      <c r="G128" t="str">
        <f>IFERROR(Data2021[[#This Row],[Number of active members]]/Data2021[[#This Row],[Number of members]], "N/A")</f>
        <v>N/A</v>
      </c>
      <c r="H128" t="str">
        <f>IFERROR(1-Data2021[[#This Row],[Percentage active members]],"N/A")</f>
        <v>N/A</v>
      </c>
      <c r="I128" t="str">
        <f>IF(Data2021[[#This Row],[Number of members]]=0,"N/A",IF(Data2021[[#This Row],[Number of members]]&lt;50," A. 1 - 50 ",IF(Data2021[[#This Row],[Number of members]]&lt;100, "B. 50 - 100", IF(Data2021[[#This Row],[Number of members]]&lt;400, "C. 100 - 400", IF(Data2021[[#This Row],[Number of members]]&lt;1000,"D. 400 - 1000", "E. 1000 +")))))</f>
        <v>E. 1000 +</v>
      </c>
      <c r="J128" t="str">
        <f>IF(ISBLANK(General2021[[#This Row],[number_of_international_members_not_eea]]),"N/A",VLOOKUP(A128,General2021[[organisation_name]:[number_of_international_committee_board_members_not_eea]],9,FALSE))</f>
        <v>N/A</v>
      </c>
      <c r="K128" t="str">
        <f>IF(ISBLANK(General2021[[#This Row],[number_of_international_members_eea]]),"N/A",VLOOKUP(A128,General2021[[organisation_name]:[number_of_international_committee_board_members_not_eea]],8,FALSE))</f>
        <v>N/A</v>
      </c>
      <c r="L128" t="str">
        <f>IFERROR(IF(Data2021[[#This Row],[Number of members]]-Data2021[[#This Row],[Non-EEA Total]]-Data2021[[#This Row],[EEA total]]&lt;1,"N/A", Data2021[[#This Row],[Number of members]]-Data2021[[#This Row],[Non-EEA Total]]-Data2021[[#This Row],[EEA total]]),"N/A")</f>
        <v>N/A</v>
      </c>
      <c r="M128">
        <f>VLOOKUP(A128,General2021[[organisation_name]:[number_of_international_committee_board_members_not_eea]],12,FALSE)</f>
        <v>0</v>
      </c>
      <c r="N128">
        <f>VLOOKUP(A128,General2021[[organisation_name]:[number_of_international_committee_board_members_not_eea]],11,FALSE)</f>
        <v>0</v>
      </c>
      <c r="O128" t="str">
        <f>IFERROR(IF(Data2021[[#This Row],[Number of active members]]-Data2021[[#This Row],[Non-EEA Active ]]-Data2021[[#This Row],[EEA Active]]&lt;1,"N/A", Data2021[[#This Row],[Number of active members]]-Data2021[[#This Row],[Non-EEA Active ]]-Data2021[[#This Row],[EEA Active]]),"N/A")</f>
        <v>N/A</v>
      </c>
      <c r="P128" t="str">
        <f>IFERROR(Data2021[[#This Row],[Non-EEA Active ]]/Data2021[[#This Row],[Number of active members]],"N/A")</f>
        <v>N/A</v>
      </c>
      <c r="Q128" t="str">
        <f>IFERROR(Data2021[[#This Row],[EEA Active]]/Data2021[[#This Row],[EEA total]], "N/A")</f>
        <v>N/A</v>
      </c>
      <c r="R128" t="str">
        <f>IFERROR(Data2021[[#This Row],[Dutch Active]]/Data2021[[#This Row],[Dutch total]],"N/A")</f>
        <v>N/A</v>
      </c>
      <c r="S128" t="str">
        <f>IFERROR(IF(Data2021[[#This Row],[Number of members]]=Data2021[[#This Row],[Non-EEA Total]]+Data2021[[#This Row],[EEA total]]+Data2021[[#This Row],[Dutch total]],"T","F"),"F")</f>
        <v>F</v>
      </c>
      <c r="T128" t="str">
        <f>IFERROR(IF(Data2021[[#This Row],[Number of active members]]=Data2021[[#This Row],[Non-EEA Active ]]+Data2021[[#This Row],[EEA Active]]+Data2021[[#This Row],[Dutch Active]],"T","F"),"F")</f>
        <v>F</v>
      </c>
      <c r="U128" t="str">
        <f>IFERROR(IF(Data2021[[#This Row],[Number of members]]-Data2021[[#This Row],[Non-EEA Active ]]-Data2021[[#This Row],[EEA Active]]-Data2021[[#This Row],[Dutch Active]]=Data2021[[#This Row],[Number of  inactive members]],"T","F"),"F")</f>
        <v>F</v>
      </c>
      <c r="V128" t="str">
        <f>IF(Data2021[[#This Row],[EEA Active]]&lt;=Data2021[[#This Row],[EEA total]],"T","F")</f>
        <v>T</v>
      </c>
      <c r="W128" t="str">
        <f>IF(Data2021[[#This Row],[Dutch Active]]&lt;=Data2021[[#This Row],[Dutch total]],"T","F")</f>
        <v>T</v>
      </c>
      <c r="X128" t="str">
        <f>IF(Data2021[[#This Row],[Non-EEA Active ]]&lt;=Data2021[[#This Row],[Non-EEA Total]],"T","F")</f>
        <v>T</v>
      </c>
      <c r="Y12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8" t="str">
        <f>IFERROR(VLOOKUP(Data2021[[#This Row],[organisation_name]],'Division Study Year Committees'!$A$1:$L$108,2,FALSE),"N/A")</f>
        <v>N/A</v>
      </c>
      <c r="AA128" t="str">
        <f>IFERROR(VLOOKUP(Data2021[[#This Row],[organisation_name]],'Division Study Year Committees'!$A$1:$L$108,3,FALSE),"N/A")</f>
        <v>N/A</v>
      </c>
      <c r="AB128" t="str">
        <f>IFERROR(VLOOKUP(Data2021[[#This Row],[organisation_name]],'Division Study Year Committees'!$A$1:$L$108,4,FALSE),"N/A")</f>
        <v>N/A</v>
      </c>
      <c r="AC128" t="str">
        <f>IFERROR(VLOOKUP(Data2021[[#This Row],[organisation_name]],'Division Study Year Committees'!$A$1:$L$108,5,FALSE), "N/A")</f>
        <v>N/A</v>
      </c>
      <c r="AD128" t="str">
        <f>IFERROR(VLOOKUP(Data2021[[#This Row],[organisation_name]],'Division Study Year Committees'!$A$1:$L$108,6,FALSE), "N/A")</f>
        <v>N/A</v>
      </c>
      <c r="AE128">
        <f>SUM(Data2021[[#This Row],[Number of first year comittee members]:[Number of 4+ year comittee members]])</f>
        <v>0</v>
      </c>
      <c r="AF128">
        <f>COUNTIF('Comittee2021'!D:D,Data2021[[#This Row],[organisation_name]])</f>
        <v>0</v>
      </c>
      <c r="AG128">
        <f>COUNTIFS('Comittee2021'!$D:$D,Data2021[[#This Row],[organisation_name]],'Comittee2021'!$O:$O,"strong decrease")</f>
        <v>0</v>
      </c>
      <c r="AH128">
        <f>COUNTIFS('Comittee2021'!$D:$D,Data2021[[#This Row],[organisation_name]],'Comittee2021'!$O:$O,"slight decrease")</f>
        <v>0</v>
      </c>
      <c r="AI128">
        <f>COUNTIFS('Comittee2021'!$D:$D,Data2021[[#This Row],[organisation_name]],'Comittee2021'!$O:$O,"no influence")</f>
        <v>0</v>
      </c>
      <c r="AJ128">
        <f>COUNTIFS('Comittee2021'!$D:$D,Data2021[[#This Row],[organisation_name]],'Comittee2021'!$O:$O,"slight increase")</f>
        <v>0</v>
      </c>
      <c r="AK128">
        <f>COUNTIFS('Comittee2021'!$D:$D,Data2021[[#This Row],[organisation_name]],'Comittee2021'!$O:$O,"strong increase")</f>
        <v>0</v>
      </c>
      <c r="AL128">
        <v>2021</v>
      </c>
    </row>
    <row r="129" spans="1:38" x14ac:dyDescent="0.3">
      <c r="A129" t="str">
        <f>General2021[[#This Row],[organisation_name]]</f>
        <v>Vereniging Overleg Studieverenigingen</v>
      </c>
      <c r="B129" t="str">
        <f>IF(General2021[[#This Row],[sector]]= "",VLOOKUP(Data2021[[#This Row],[organisation_name]],'Response Rate sheet'!A:D,3,FALSE),General2021[[#This Row],[sector]])</f>
        <v>Study</v>
      </c>
      <c r="C129" t="str">
        <f>General2021[[#This Row],[organisation_type]]</f>
        <v>association</v>
      </c>
      <c r="D129">
        <f>IF(ISBLANK(General2021[[#This Row],[number_of_members]]),"N/A",VLOOKUP(A129,General2021[[organisation_name]:[number_of_international_committee_board_members_not_eea]],6,FALSE))</f>
        <v>20</v>
      </c>
      <c r="E129">
        <f>IF(ISBLANK(General2021[[#This Row],[number_of_committee_board_members]]),"N/A",VLOOKUP(A129,General2021!B:M,10,FALSE))</f>
        <v>0</v>
      </c>
      <c r="F129">
        <f>IFERROR(Data2021[[#This Row],[Number of members]]-Data2021[[#This Row],[Number of active members]], "N/A")</f>
        <v>20</v>
      </c>
      <c r="G129">
        <f>IFERROR(Data2021[[#This Row],[Number of active members]]/Data2021[[#This Row],[Number of members]], "N/A")</f>
        <v>0</v>
      </c>
      <c r="H129">
        <f>IFERROR(1-Data2021[[#This Row],[Percentage active members]],"N/A")</f>
        <v>1</v>
      </c>
      <c r="I129"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29">
        <f>IF(ISBLANK(General2021[[#This Row],[number_of_international_members_not_eea]]),"N/A",VLOOKUP(A129,General2021[[organisation_name]:[number_of_international_committee_board_members_not_eea]],9,FALSE))</f>
        <v>0</v>
      </c>
      <c r="K129">
        <f>IF(ISBLANK(General2021[[#This Row],[number_of_international_members_eea]]),"N/A",VLOOKUP(A129,General2021[[organisation_name]:[number_of_international_committee_board_members_not_eea]],8,FALSE))</f>
        <v>0</v>
      </c>
      <c r="L129">
        <f>IFERROR(IF(Data2021[[#This Row],[Number of members]]-Data2021[[#This Row],[Non-EEA Total]]-Data2021[[#This Row],[EEA total]]&lt;1,"N/A", Data2021[[#This Row],[Number of members]]-Data2021[[#This Row],[Non-EEA Total]]-Data2021[[#This Row],[EEA total]]),"N/A")</f>
        <v>20</v>
      </c>
      <c r="M129">
        <f>VLOOKUP(A129,General2021[[organisation_name]:[number_of_international_committee_board_members_not_eea]],12,FALSE)</f>
        <v>0</v>
      </c>
      <c r="N129">
        <f>VLOOKUP(A129,General2021[[organisation_name]:[number_of_international_committee_board_members_not_eea]],11,FALSE)</f>
        <v>0</v>
      </c>
      <c r="O129" t="str">
        <f>IFERROR(IF(Data2021[[#This Row],[Number of active members]]-Data2021[[#This Row],[Non-EEA Active ]]-Data2021[[#This Row],[EEA Active]]&lt;1,"N/A", Data2021[[#This Row],[Number of active members]]-Data2021[[#This Row],[Non-EEA Active ]]-Data2021[[#This Row],[EEA Active]]),"N/A")</f>
        <v>N/A</v>
      </c>
      <c r="P129" t="str">
        <f>IFERROR(Data2021[[#This Row],[Non-EEA Active ]]/Data2021[[#This Row],[Number of active members]],"N/A")</f>
        <v>N/A</v>
      </c>
      <c r="Q129" t="str">
        <f>IFERROR(Data2021[[#This Row],[EEA Active]]/Data2021[[#This Row],[EEA total]], "N/A")</f>
        <v>N/A</v>
      </c>
      <c r="R129" t="str">
        <f>IFERROR(Data2021[[#This Row],[Dutch Active]]/Data2021[[#This Row],[Dutch total]],"N/A")</f>
        <v>N/A</v>
      </c>
      <c r="S129" t="str">
        <f>IFERROR(IF(Data2021[[#This Row],[Number of members]]=Data2021[[#This Row],[Non-EEA Total]]+Data2021[[#This Row],[EEA total]]+Data2021[[#This Row],[Dutch total]],"T","F"),"F")</f>
        <v>T</v>
      </c>
      <c r="T129" t="str">
        <f>IFERROR(IF(Data2021[[#This Row],[Number of active members]]=Data2021[[#This Row],[Non-EEA Active ]]+Data2021[[#This Row],[EEA Active]]+Data2021[[#This Row],[Dutch Active]],"T","F"),"F")</f>
        <v>F</v>
      </c>
      <c r="U129" t="str">
        <f>IFERROR(IF(Data2021[[#This Row],[Number of members]]-Data2021[[#This Row],[Non-EEA Active ]]-Data2021[[#This Row],[EEA Active]]-Data2021[[#This Row],[Dutch Active]]=Data2021[[#This Row],[Number of  inactive members]],"T","F"),"F")</f>
        <v>F</v>
      </c>
      <c r="V129" t="str">
        <f>IF(Data2021[[#This Row],[EEA Active]]&lt;=Data2021[[#This Row],[EEA total]],"T","F")</f>
        <v>T</v>
      </c>
      <c r="W129" t="str">
        <f>IF(Data2021[[#This Row],[Dutch Active]]&lt;=Data2021[[#This Row],[Dutch total]],"T","F")</f>
        <v>F</v>
      </c>
      <c r="X129" t="str">
        <f>IF(Data2021[[#This Row],[Non-EEA Active ]]&lt;=Data2021[[#This Row],[Non-EEA Total]],"T","F")</f>
        <v>T</v>
      </c>
      <c r="Y129"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29">
        <f>IFERROR(VLOOKUP(Data2021[[#This Row],[organisation_name]],'Division Study Year Committees'!$A$1:$L$108,2,FALSE),"N/A")</f>
        <v>0</v>
      </c>
      <c r="AA129">
        <f>IFERROR(VLOOKUP(Data2021[[#This Row],[organisation_name]],'Division Study Year Committees'!$A$1:$L$108,3,FALSE),"N/A")</f>
        <v>0</v>
      </c>
      <c r="AB129">
        <f>IFERROR(VLOOKUP(Data2021[[#This Row],[organisation_name]],'Division Study Year Committees'!$A$1:$L$108,4,FALSE),"N/A")</f>
        <v>14</v>
      </c>
      <c r="AC129">
        <f>IFERROR(VLOOKUP(Data2021[[#This Row],[organisation_name]],'Division Study Year Committees'!$A$1:$L$108,5,FALSE), "N/A")</f>
        <v>6</v>
      </c>
      <c r="AD129">
        <f>IFERROR(VLOOKUP(Data2021[[#This Row],[organisation_name]],'Division Study Year Committees'!$A$1:$L$108,6,FALSE), "N/A")</f>
        <v>0</v>
      </c>
      <c r="AE129">
        <f>SUM(Data2021[[#This Row],[Number of first year comittee members]:[Number of 4+ year comittee members]])</f>
        <v>20</v>
      </c>
      <c r="AF129">
        <f>COUNTIF('Comittee2021'!D:D,Data2021[[#This Row],[organisation_name]])</f>
        <v>7</v>
      </c>
      <c r="AG129">
        <f>COUNTIFS('Comittee2021'!$D:$D,Data2021[[#This Row],[organisation_name]],'Comittee2021'!$O:$O,"strong decrease")</f>
        <v>2</v>
      </c>
      <c r="AH129">
        <f>COUNTIFS('Comittee2021'!$D:$D,Data2021[[#This Row],[organisation_name]],'Comittee2021'!$O:$O,"slight decrease")</f>
        <v>0</v>
      </c>
      <c r="AI129">
        <f>COUNTIFS('Comittee2021'!$D:$D,Data2021[[#This Row],[organisation_name]],'Comittee2021'!$O:$O,"no influence")</f>
        <v>2</v>
      </c>
      <c r="AJ129">
        <f>COUNTIFS('Comittee2021'!$D:$D,Data2021[[#This Row],[organisation_name]],'Comittee2021'!$O:$O,"slight increase")</f>
        <v>2</v>
      </c>
      <c r="AK129">
        <f>COUNTIFS('Comittee2021'!$D:$D,Data2021[[#This Row],[organisation_name]],'Comittee2021'!$O:$O,"strong increase")</f>
        <v>1</v>
      </c>
      <c r="AL129">
        <v>2021</v>
      </c>
    </row>
    <row r="130" spans="1:38" x14ac:dyDescent="0.3">
      <c r="A130" t="str">
        <f>General2021[[#This Row],[organisation_name]]</f>
        <v>IrNUT</v>
      </c>
      <c r="B130" t="str">
        <f>IF(General2021[[#This Row],[sector]]= "",VLOOKUP(Data2021[[#This Row],[organisation_name]],'Response Rate sheet'!A:D,3,FALSE),General2021[[#This Row],[sector]])</f>
        <v>other</v>
      </c>
      <c r="C130" t="str">
        <f>General2021[[#This Row],[organisation_type]]</f>
        <v>association</v>
      </c>
      <c r="D130" t="str">
        <f>IF(ISBLANK(General2021[[#This Row],[number_of_members]]),"N/A",VLOOKUP(A130,General2021[[organisation_name]:[number_of_international_committee_board_members_not_eea]],6,FALSE))</f>
        <v>N/A</v>
      </c>
      <c r="E130" t="str">
        <f>IF(ISBLANK(General2021[[#This Row],[number_of_committee_board_members]]),"N/A",VLOOKUP(A130,General2021!B:M,10,FALSE))</f>
        <v>N/A</v>
      </c>
      <c r="F130" t="str">
        <f>IFERROR(Data2021[[#This Row],[Number of members]]-Data2021[[#This Row],[Number of active members]], "N/A")</f>
        <v>N/A</v>
      </c>
      <c r="G130" t="str">
        <f>IFERROR(Data2021[[#This Row],[Number of active members]]/Data2021[[#This Row],[Number of members]], "N/A")</f>
        <v>N/A</v>
      </c>
      <c r="H130" t="str">
        <f>IFERROR(1-Data2021[[#This Row],[Percentage active members]],"N/A")</f>
        <v>N/A</v>
      </c>
      <c r="I130" t="str">
        <f>IF(Data2021[[#This Row],[Number of members]]=0,"N/A",IF(Data2021[[#This Row],[Number of members]]&lt;50," A. 1 - 50 ",IF(Data2021[[#This Row],[Number of members]]&lt;100, "B. 50 - 100", IF(Data2021[[#This Row],[Number of members]]&lt;400, "C. 100 - 400", IF(Data2021[[#This Row],[Number of members]]&lt;1000,"D. 400 - 1000", "E. 1000 +")))))</f>
        <v>E. 1000 +</v>
      </c>
      <c r="J130" t="str">
        <f>IF(ISBLANK(General2021[[#This Row],[number_of_international_members_not_eea]]),"N/A",VLOOKUP(A130,General2021[[organisation_name]:[number_of_international_committee_board_members_not_eea]],9,FALSE))</f>
        <v>N/A</v>
      </c>
      <c r="K130" t="str">
        <f>IF(ISBLANK(General2021[[#This Row],[number_of_international_members_eea]]),"N/A",VLOOKUP(A130,General2021[[organisation_name]:[number_of_international_committee_board_members_not_eea]],8,FALSE))</f>
        <v>N/A</v>
      </c>
      <c r="L130" t="str">
        <f>IFERROR(IF(Data2021[[#This Row],[Number of members]]-Data2021[[#This Row],[Non-EEA Total]]-Data2021[[#This Row],[EEA total]]&lt;1,"N/A", Data2021[[#This Row],[Number of members]]-Data2021[[#This Row],[Non-EEA Total]]-Data2021[[#This Row],[EEA total]]),"N/A")</f>
        <v>N/A</v>
      </c>
      <c r="M130">
        <f>VLOOKUP(A130,General2021[[organisation_name]:[number_of_international_committee_board_members_not_eea]],12,FALSE)</f>
        <v>0</v>
      </c>
      <c r="N130">
        <f>VLOOKUP(A130,General2021[[organisation_name]:[number_of_international_committee_board_members_not_eea]],11,FALSE)</f>
        <v>0</v>
      </c>
      <c r="O130" t="str">
        <f>IFERROR(IF(Data2021[[#This Row],[Number of active members]]-Data2021[[#This Row],[Non-EEA Active ]]-Data2021[[#This Row],[EEA Active]]&lt;1,"N/A", Data2021[[#This Row],[Number of active members]]-Data2021[[#This Row],[Non-EEA Active ]]-Data2021[[#This Row],[EEA Active]]),"N/A")</f>
        <v>N/A</v>
      </c>
      <c r="P130" t="str">
        <f>IFERROR(Data2021[[#This Row],[Non-EEA Active ]]/Data2021[[#This Row],[Number of active members]],"N/A")</f>
        <v>N/A</v>
      </c>
      <c r="Q130" t="str">
        <f>IFERROR(Data2021[[#This Row],[EEA Active]]/Data2021[[#This Row],[EEA total]], "N/A")</f>
        <v>N/A</v>
      </c>
      <c r="R130" t="str">
        <f>IFERROR(Data2021[[#This Row],[Dutch Active]]/Data2021[[#This Row],[Dutch total]],"N/A")</f>
        <v>N/A</v>
      </c>
      <c r="S130" t="str">
        <f>IFERROR(IF(Data2021[[#This Row],[Number of members]]=Data2021[[#This Row],[Non-EEA Total]]+Data2021[[#This Row],[EEA total]]+Data2021[[#This Row],[Dutch total]],"T","F"),"F")</f>
        <v>F</v>
      </c>
      <c r="T130" t="str">
        <f>IFERROR(IF(Data2021[[#This Row],[Number of active members]]=Data2021[[#This Row],[Non-EEA Active ]]+Data2021[[#This Row],[EEA Active]]+Data2021[[#This Row],[Dutch Active]],"T","F"),"F")</f>
        <v>F</v>
      </c>
      <c r="U130" t="str">
        <f>IFERROR(IF(Data2021[[#This Row],[Number of members]]-Data2021[[#This Row],[Non-EEA Active ]]-Data2021[[#This Row],[EEA Active]]-Data2021[[#This Row],[Dutch Active]]=Data2021[[#This Row],[Number of  inactive members]],"T","F"),"F")</f>
        <v>F</v>
      </c>
      <c r="V130" t="str">
        <f>IF(Data2021[[#This Row],[EEA Active]]&lt;=Data2021[[#This Row],[EEA total]],"T","F")</f>
        <v>T</v>
      </c>
      <c r="W130" t="str">
        <f>IF(Data2021[[#This Row],[Dutch Active]]&lt;=Data2021[[#This Row],[Dutch total]],"T","F")</f>
        <v>T</v>
      </c>
      <c r="X130" t="str">
        <f>IF(Data2021[[#This Row],[Non-EEA Active ]]&lt;=Data2021[[#This Row],[Non-EEA Total]],"T","F")</f>
        <v>T</v>
      </c>
      <c r="Y130"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0" t="str">
        <f>IFERROR(VLOOKUP(Data2021[[#This Row],[organisation_name]],'Division Study Year Committees'!$A$1:$L$108,2,FALSE),"N/A")</f>
        <v>N/A</v>
      </c>
      <c r="AA130" t="str">
        <f>IFERROR(VLOOKUP(Data2021[[#This Row],[organisation_name]],'Division Study Year Committees'!$A$1:$L$108,3,FALSE),"N/A")</f>
        <v>N/A</v>
      </c>
      <c r="AB130" t="str">
        <f>IFERROR(VLOOKUP(Data2021[[#This Row],[organisation_name]],'Division Study Year Committees'!$A$1:$L$108,4,FALSE),"N/A")</f>
        <v>N/A</v>
      </c>
      <c r="AC130" t="str">
        <f>IFERROR(VLOOKUP(Data2021[[#This Row],[organisation_name]],'Division Study Year Committees'!$A$1:$L$108,5,FALSE), "N/A")</f>
        <v>N/A</v>
      </c>
      <c r="AD130" t="str">
        <f>IFERROR(VLOOKUP(Data2021[[#This Row],[organisation_name]],'Division Study Year Committees'!$A$1:$L$108,6,FALSE), "N/A")</f>
        <v>N/A</v>
      </c>
      <c r="AE130">
        <f>SUM(Data2021[[#This Row],[Number of first year comittee members]:[Number of 4+ year comittee members]])</f>
        <v>0</v>
      </c>
      <c r="AF130">
        <f>COUNTIF('Comittee2021'!D:D,Data2021[[#This Row],[organisation_name]])</f>
        <v>0</v>
      </c>
      <c r="AG130">
        <f>COUNTIFS('Comittee2021'!$D:$D,Data2021[[#This Row],[organisation_name]],'Comittee2021'!$O:$O,"strong decrease")</f>
        <v>0</v>
      </c>
      <c r="AH130">
        <f>COUNTIFS('Comittee2021'!$D:$D,Data2021[[#This Row],[organisation_name]],'Comittee2021'!$O:$O,"slight decrease")</f>
        <v>0</v>
      </c>
      <c r="AI130">
        <f>COUNTIFS('Comittee2021'!$D:$D,Data2021[[#This Row],[organisation_name]],'Comittee2021'!$O:$O,"no influence")</f>
        <v>0</v>
      </c>
      <c r="AJ130">
        <f>COUNTIFS('Comittee2021'!$D:$D,Data2021[[#This Row],[organisation_name]],'Comittee2021'!$O:$O,"slight increase")</f>
        <v>0</v>
      </c>
      <c r="AK130">
        <f>COUNTIFS('Comittee2021'!$D:$D,Data2021[[#This Row],[organisation_name]],'Comittee2021'!$O:$O,"strong increase")</f>
        <v>0</v>
      </c>
      <c r="AL130">
        <v>2021</v>
      </c>
    </row>
    <row r="131" spans="1:38" x14ac:dyDescent="0.3">
      <c r="A131" t="str">
        <f>General2021[[#This Row],[organisation_name]]</f>
        <v>Stichting Societeit Antigoon</v>
      </c>
      <c r="B131" t="str">
        <f>IF(General2021[[#This Row],[sector]]= "",VLOOKUP(Data2021[[#This Row],[organisation_name]],'Response Rate sheet'!A:D,3,FALSE),General2021[[#This Row],[sector]])</f>
        <v>Study</v>
      </c>
      <c r="C131" t="str">
        <f>General2021[[#This Row],[organisation_type]]</f>
        <v>foundation</v>
      </c>
      <c r="D131" t="str">
        <f>IF(ISBLANK(General2021[[#This Row],[number_of_members]]),"N/A",VLOOKUP(A131,General2021[[organisation_name]:[number_of_international_committee_board_members_not_eea]],6,FALSE))</f>
        <v>N/A</v>
      </c>
      <c r="E131" t="str">
        <f>IF(ISBLANK(General2021[[#This Row],[number_of_committee_board_members]]),"N/A",VLOOKUP(A131,General2021!B:M,10,FALSE))</f>
        <v>N/A</v>
      </c>
      <c r="F131" t="str">
        <f>IFERROR(Data2021[[#This Row],[Number of members]]-Data2021[[#This Row],[Number of active members]], "N/A")</f>
        <v>N/A</v>
      </c>
      <c r="G131" t="str">
        <f>IFERROR(Data2021[[#This Row],[Number of active members]]/Data2021[[#This Row],[Number of members]], "N/A")</f>
        <v>N/A</v>
      </c>
      <c r="H131" t="str">
        <f>IFERROR(1-Data2021[[#This Row],[Percentage active members]],"N/A")</f>
        <v>N/A</v>
      </c>
      <c r="I131" t="str">
        <f>IF(Data2021[[#This Row],[Number of members]]=0,"N/A",IF(Data2021[[#This Row],[Number of members]]&lt;50," A. 1 - 50 ",IF(Data2021[[#This Row],[Number of members]]&lt;100, "B. 50 - 100", IF(Data2021[[#This Row],[Number of members]]&lt;400, "C. 100 - 400", IF(Data2021[[#This Row],[Number of members]]&lt;1000,"D. 400 - 1000", "E. 1000 +")))))</f>
        <v>E. 1000 +</v>
      </c>
      <c r="J131" t="str">
        <f>IF(ISBLANK(General2021[[#This Row],[number_of_international_members_not_eea]]),"N/A",VLOOKUP(A131,General2021[[organisation_name]:[number_of_international_committee_board_members_not_eea]],9,FALSE))</f>
        <v>N/A</v>
      </c>
      <c r="K131" t="str">
        <f>IF(ISBLANK(General2021[[#This Row],[number_of_international_members_eea]]),"N/A",VLOOKUP(A131,General2021[[organisation_name]:[number_of_international_committee_board_members_not_eea]],8,FALSE))</f>
        <v>N/A</v>
      </c>
      <c r="L131" t="str">
        <f>IFERROR(IF(Data2021[[#This Row],[Number of members]]-Data2021[[#This Row],[Non-EEA Total]]-Data2021[[#This Row],[EEA total]]&lt;1,"N/A", Data2021[[#This Row],[Number of members]]-Data2021[[#This Row],[Non-EEA Total]]-Data2021[[#This Row],[EEA total]]),"N/A")</f>
        <v>N/A</v>
      </c>
      <c r="M131">
        <f>VLOOKUP(A131,General2021[[organisation_name]:[number_of_international_committee_board_members_not_eea]],12,FALSE)</f>
        <v>0</v>
      </c>
      <c r="N131">
        <f>VLOOKUP(A131,General2021[[organisation_name]:[number_of_international_committee_board_members_not_eea]],11,FALSE)</f>
        <v>0</v>
      </c>
      <c r="O131" t="str">
        <f>IFERROR(IF(Data2021[[#This Row],[Number of active members]]-Data2021[[#This Row],[Non-EEA Active ]]-Data2021[[#This Row],[EEA Active]]&lt;1,"N/A", Data2021[[#This Row],[Number of active members]]-Data2021[[#This Row],[Non-EEA Active ]]-Data2021[[#This Row],[EEA Active]]),"N/A")</f>
        <v>N/A</v>
      </c>
      <c r="P131" t="str">
        <f>IFERROR(Data2021[[#This Row],[Non-EEA Active ]]/Data2021[[#This Row],[Number of active members]],"N/A")</f>
        <v>N/A</v>
      </c>
      <c r="Q131" t="str">
        <f>IFERROR(Data2021[[#This Row],[EEA Active]]/Data2021[[#This Row],[EEA total]], "N/A")</f>
        <v>N/A</v>
      </c>
      <c r="R131" t="str">
        <f>IFERROR(Data2021[[#This Row],[Dutch Active]]/Data2021[[#This Row],[Dutch total]],"N/A")</f>
        <v>N/A</v>
      </c>
      <c r="S131" t="str">
        <f>IFERROR(IF(Data2021[[#This Row],[Number of members]]=Data2021[[#This Row],[Non-EEA Total]]+Data2021[[#This Row],[EEA total]]+Data2021[[#This Row],[Dutch total]],"T","F"),"F")</f>
        <v>F</v>
      </c>
      <c r="T131" t="str">
        <f>IFERROR(IF(Data2021[[#This Row],[Number of active members]]=Data2021[[#This Row],[Non-EEA Active ]]+Data2021[[#This Row],[EEA Active]]+Data2021[[#This Row],[Dutch Active]],"T","F"),"F")</f>
        <v>F</v>
      </c>
      <c r="U131" t="str">
        <f>IFERROR(IF(Data2021[[#This Row],[Number of members]]-Data2021[[#This Row],[Non-EEA Active ]]-Data2021[[#This Row],[EEA Active]]-Data2021[[#This Row],[Dutch Active]]=Data2021[[#This Row],[Number of  inactive members]],"T","F"),"F")</f>
        <v>F</v>
      </c>
      <c r="V131" t="str">
        <f>IF(Data2021[[#This Row],[EEA Active]]&lt;=Data2021[[#This Row],[EEA total]],"T","F")</f>
        <v>T</v>
      </c>
      <c r="W131" t="str">
        <f>IF(Data2021[[#This Row],[Dutch Active]]&lt;=Data2021[[#This Row],[Dutch total]],"T","F")</f>
        <v>T</v>
      </c>
      <c r="X131" t="str">
        <f>IF(Data2021[[#This Row],[Non-EEA Active ]]&lt;=Data2021[[#This Row],[Non-EEA Total]],"T","F")</f>
        <v>T</v>
      </c>
      <c r="Y131"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1" t="str">
        <f>IFERROR(VLOOKUP(Data2021[[#This Row],[organisation_name]],'Division Study Year Committees'!$A$1:$L$108,2,FALSE),"N/A")</f>
        <v>N/A</v>
      </c>
      <c r="AA131" t="str">
        <f>IFERROR(VLOOKUP(Data2021[[#This Row],[organisation_name]],'Division Study Year Committees'!$A$1:$L$108,3,FALSE),"N/A")</f>
        <v>N/A</v>
      </c>
      <c r="AB131" t="str">
        <f>IFERROR(VLOOKUP(Data2021[[#This Row],[organisation_name]],'Division Study Year Committees'!$A$1:$L$108,4,FALSE),"N/A")</f>
        <v>N/A</v>
      </c>
      <c r="AC131" t="str">
        <f>IFERROR(VLOOKUP(Data2021[[#This Row],[organisation_name]],'Division Study Year Committees'!$A$1:$L$108,5,FALSE), "N/A")</f>
        <v>N/A</v>
      </c>
      <c r="AD131" t="str">
        <f>IFERROR(VLOOKUP(Data2021[[#This Row],[organisation_name]],'Division Study Year Committees'!$A$1:$L$108,6,FALSE), "N/A")</f>
        <v>N/A</v>
      </c>
      <c r="AE131">
        <f>SUM(Data2021[[#This Row],[Number of first year comittee members]:[Number of 4+ year comittee members]])</f>
        <v>0</v>
      </c>
      <c r="AF131">
        <f>COUNTIF('Comittee2021'!D:D,Data2021[[#This Row],[organisation_name]])</f>
        <v>0</v>
      </c>
      <c r="AG131">
        <f>COUNTIFS('Comittee2021'!$D:$D,Data2021[[#This Row],[organisation_name]],'Comittee2021'!$O:$O,"strong decrease")</f>
        <v>0</v>
      </c>
      <c r="AH131">
        <f>COUNTIFS('Comittee2021'!$D:$D,Data2021[[#This Row],[organisation_name]],'Comittee2021'!$O:$O,"slight decrease")</f>
        <v>0</v>
      </c>
      <c r="AI131">
        <f>COUNTIFS('Comittee2021'!$D:$D,Data2021[[#This Row],[organisation_name]],'Comittee2021'!$O:$O,"no influence")</f>
        <v>0</v>
      </c>
      <c r="AJ131">
        <f>COUNTIFS('Comittee2021'!$D:$D,Data2021[[#This Row],[organisation_name]],'Comittee2021'!$O:$O,"slight increase")</f>
        <v>0</v>
      </c>
      <c r="AK131">
        <f>COUNTIFS('Comittee2021'!$D:$D,Data2021[[#This Row],[organisation_name]],'Comittee2021'!$O:$O,"strong increase")</f>
        <v>0</v>
      </c>
      <c r="AL131">
        <v>2021</v>
      </c>
    </row>
    <row r="132" spans="1:38" x14ac:dyDescent="0.3">
      <c r="A132" t="str">
        <f>General2021[[#This Row],[organisation_name]]</f>
        <v>Stichting Societeit TRAM</v>
      </c>
      <c r="B132" t="str">
        <f>IF(General2021[[#This Row],[sector]]= "",VLOOKUP(Data2021[[#This Row],[organisation_name]],'Response Rate sheet'!A:D,3,FALSE),General2021[[#This Row],[sector]])</f>
        <v>world</v>
      </c>
      <c r="C132" t="str">
        <f>General2021[[#This Row],[organisation_type]]</f>
        <v>foundation</v>
      </c>
      <c r="D132" t="str">
        <f>IF(ISBLANK(General2021[[#This Row],[number_of_members]]),"N/A",VLOOKUP(A132,General2021[[organisation_name]:[number_of_international_committee_board_members_not_eea]],6,FALSE))</f>
        <v>N/A</v>
      </c>
      <c r="E132" t="str">
        <f>IF(ISBLANK(General2021[[#This Row],[number_of_committee_board_members]]),"N/A",VLOOKUP(A132,General2021!B:M,10,FALSE))</f>
        <v>N/A</v>
      </c>
      <c r="F132" t="str">
        <f>IFERROR(Data2021[[#This Row],[Number of members]]-Data2021[[#This Row],[Number of active members]], "N/A")</f>
        <v>N/A</v>
      </c>
      <c r="G132" t="str">
        <f>IFERROR(Data2021[[#This Row],[Number of active members]]/Data2021[[#This Row],[Number of members]], "N/A")</f>
        <v>N/A</v>
      </c>
      <c r="H132" t="str">
        <f>IFERROR(1-Data2021[[#This Row],[Percentage active members]],"N/A")</f>
        <v>N/A</v>
      </c>
      <c r="I132" t="str">
        <f>IF(Data2021[[#This Row],[Number of members]]=0,"N/A",IF(Data2021[[#This Row],[Number of members]]&lt;50," A. 1 - 50 ",IF(Data2021[[#This Row],[Number of members]]&lt;100, "B. 50 - 100", IF(Data2021[[#This Row],[Number of members]]&lt;400, "C. 100 - 400", IF(Data2021[[#This Row],[Number of members]]&lt;1000,"D. 400 - 1000", "E. 1000 +")))))</f>
        <v>E. 1000 +</v>
      </c>
      <c r="J132" t="str">
        <f>IF(ISBLANK(General2021[[#This Row],[number_of_international_members_not_eea]]),"N/A",VLOOKUP(A132,General2021[[organisation_name]:[number_of_international_committee_board_members_not_eea]],9,FALSE))</f>
        <v>N/A</v>
      </c>
      <c r="K132" t="str">
        <f>IF(ISBLANK(General2021[[#This Row],[number_of_international_members_eea]]),"N/A",VLOOKUP(A132,General2021[[organisation_name]:[number_of_international_committee_board_members_not_eea]],8,FALSE))</f>
        <v>N/A</v>
      </c>
      <c r="L132" t="str">
        <f>IFERROR(IF(Data2021[[#This Row],[Number of members]]-Data2021[[#This Row],[Non-EEA Total]]-Data2021[[#This Row],[EEA total]]&lt;1,"N/A", Data2021[[#This Row],[Number of members]]-Data2021[[#This Row],[Non-EEA Total]]-Data2021[[#This Row],[EEA total]]),"N/A")</f>
        <v>N/A</v>
      </c>
      <c r="M132">
        <f>VLOOKUP(A132,General2021[[organisation_name]:[number_of_international_committee_board_members_not_eea]],12,FALSE)</f>
        <v>0</v>
      </c>
      <c r="N132">
        <f>VLOOKUP(A132,General2021[[organisation_name]:[number_of_international_committee_board_members_not_eea]],11,FALSE)</f>
        <v>0</v>
      </c>
      <c r="O132" t="str">
        <f>IFERROR(IF(Data2021[[#This Row],[Number of active members]]-Data2021[[#This Row],[Non-EEA Active ]]-Data2021[[#This Row],[EEA Active]]&lt;1,"N/A", Data2021[[#This Row],[Number of active members]]-Data2021[[#This Row],[Non-EEA Active ]]-Data2021[[#This Row],[EEA Active]]),"N/A")</f>
        <v>N/A</v>
      </c>
      <c r="P132" t="str">
        <f>IFERROR(Data2021[[#This Row],[Non-EEA Active ]]/Data2021[[#This Row],[Number of active members]],"N/A")</f>
        <v>N/A</v>
      </c>
      <c r="Q132" t="str">
        <f>IFERROR(Data2021[[#This Row],[EEA Active]]/Data2021[[#This Row],[EEA total]], "N/A")</f>
        <v>N/A</v>
      </c>
      <c r="R132" t="str">
        <f>IFERROR(Data2021[[#This Row],[Dutch Active]]/Data2021[[#This Row],[Dutch total]],"N/A")</f>
        <v>N/A</v>
      </c>
      <c r="S132" t="str">
        <f>IFERROR(IF(Data2021[[#This Row],[Number of members]]=Data2021[[#This Row],[Non-EEA Total]]+Data2021[[#This Row],[EEA total]]+Data2021[[#This Row],[Dutch total]],"T","F"),"F")</f>
        <v>F</v>
      </c>
      <c r="T132" t="str">
        <f>IFERROR(IF(Data2021[[#This Row],[Number of active members]]=Data2021[[#This Row],[Non-EEA Active ]]+Data2021[[#This Row],[EEA Active]]+Data2021[[#This Row],[Dutch Active]],"T","F"),"F")</f>
        <v>F</v>
      </c>
      <c r="U132" t="str">
        <f>IFERROR(IF(Data2021[[#This Row],[Number of members]]-Data2021[[#This Row],[Non-EEA Active ]]-Data2021[[#This Row],[EEA Active]]-Data2021[[#This Row],[Dutch Active]]=Data2021[[#This Row],[Number of  inactive members]],"T","F"),"F")</f>
        <v>F</v>
      </c>
      <c r="V132" t="str">
        <f>IF(Data2021[[#This Row],[EEA Active]]&lt;=Data2021[[#This Row],[EEA total]],"T","F")</f>
        <v>T</v>
      </c>
      <c r="W132" t="str">
        <f>IF(Data2021[[#This Row],[Dutch Active]]&lt;=Data2021[[#This Row],[Dutch total]],"T","F")</f>
        <v>T</v>
      </c>
      <c r="X132" t="str">
        <f>IF(Data2021[[#This Row],[Non-EEA Active ]]&lt;=Data2021[[#This Row],[Non-EEA Total]],"T","F")</f>
        <v>T</v>
      </c>
      <c r="Y132"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2" t="str">
        <f>IFERROR(VLOOKUP(Data2021[[#This Row],[organisation_name]],'Division Study Year Committees'!$A$1:$L$108,2,FALSE),"N/A")</f>
        <v>N/A</v>
      </c>
      <c r="AA132" t="str">
        <f>IFERROR(VLOOKUP(Data2021[[#This Row],[organisation_name]],'Division Study Year Committees'!$A$1:$L$108,3,FALSE),"N/A")</f>
        <v>N/A</v>
      </c>
      <c r="AB132" t="str">
        <f>IFERROR(VLOOKUP(Data2021[[#This Row],[organisation_name]],'Division Study Year Committees'!$A$1:$L$108,4,FALSE),"N/A")</f>
        <v>N/A</v>
      </c>
      <c r="AC132" t="str">
        <f>IFERROR(VLOOKUP(Data2021[[#This Row],[organisation_name]],'Division Study Year Committees'!$A$1:$L$108,5,FALSE), "N/A")</f>
        <v>N/A</v>
      </c>
      <c r="AD132" t="str">
        <f>IFERROR(VLOOKUP(Data2021[[#This Row],[organisation_name]],'Division Study Year Committees'!$A$1:$L$108,6,FALSE), "N/A")</f>
        <v>N/A</v>
      </c>
      <c r="AE132">
        <f>SUM(Data2021[[#This Row],[Number of first year comittee members]:[Number of 4+ year comittee members]])</f>
        <v>0</v>
      </c>
      <c r="AF132">
        <f>COUNTIF('Comittee2021'!D:D,Data2021[[#This Row],[organisation_name]])</f>
        <v>0</v>
      </c>
      <c r="AG132">
        <f>COUNTIFS('Comittee2021'!$D:$D,Data2021[[#This Row],[organisation_name]],'Comittee2021'!$O:$O,"strong decrease")</f>
        <v>0</v>
      </c>
      <c r="AH132">
        <f>COUNTIFS('Comittee2021'!$D:$D,Data2021[[#This Row],[organisation_name]],'Comittee2021'!$O:$O,"slight decrease")</f>
        <v>0</v>
      </c>
      <c r="AI132">
        <f>COUNTIFS('Comittee2021'!$D:$D,Data2021[[#This Row],[organisation_name]],'Comittee2021'!$O:$O,"no influence")</f>
        <v>0</v>
      </c>
      <c r="AJ132">
        <f>COUNTIFS('Comittee2021'!$D:$D,Data2021[[#This Row],[organisation_name]],'Comittee2021'!$O:$O,"slight increase")</f>
        <v>0</v>
      </c>
      <c r="AK132">
        <f>COUNTIFS('Comittee2021'!$D:$D,Data2021[[#This Row],[organisation_name]],'Comittee2021'!$O:$O,"strong increase")</f>
        <v>0</v>
      </c>
      <c r="AL132">
        <v>2021</v>
      </c>
    </row>
    <row r="133" spans="1:38" x14ac:dyDescent="0.3">
      <c r="A133" t="str">
        <f>General2021[[#This Row],[organisation_name]]</f>
        <v>Stichting Societeit Flux</v>
      </c>
      <c r="B133" t="str">
        <f>IF(General2021[[#This Row],[sector]]= "",VLOOKUP(Data2021[[#This Row],[organisation_name]],'Response Rate sheet'!A:D,3,FALSE),General2021[[#This Row],[sector]])</f>
        <v>other</v>
      </c>
      <c r="C133" t="str">
        <f>General2021[[#This Row],[organisation_type]]</f>
        <v>foundation</v>
      </c>
      <c r="D133" t="str">
        <f>IF(ISBLANK(General2021[[#This Row],[number_of_members]]),"N/A",VLOOKUP(A133,General2021[[organisation_name]:[number_of_international_committee_board_members_not_eea]],6,FALSE))</f>
        <v>N/A</v>
      </c>
      <c r="E133" t="str">
        <f>IF(ISBLANK(General2021[[#This Row],[number_of_committee_board_members]]),"N/A",VLOOKUP(A133,General2021!B:M,10,FALSE))</f>
        <v>N/A</v>
      </c>
      <c r="F133" t="str">
        <f>IFERROR(Data2021[[#This Row],[Number of members]]-Data2021[[#This Row],[Number of active members]], "N/A")</f>
        <v>N/A</v>
      </c>
      <c r="G133" t="str">
        <f>IFERROR(Data2021[[#This Row],[Number of active members]]/Data2021[[#This Row],[Number of members]], "N/A")</f>
        <v>N/A</v>
      </c>
      <c r="H133" t="str">
        <f>IFERROR(1-Data2021[[#This Row],[Percentage active members]],"N/A")</f>
        <v>N/A</v>
      </c>
      <c r="I133" t="str">
        <f>IF(Data2021[[#This Row],[Number of members]]=0,"N/A",IF(Data2021[[#This Row],[Number of members]]&lt;50," A. 1 - 50 ",IF(Data2021[[#This Row],[Number of members]]&lt;100, "B. 50 - 100", IF(Data2021[[#This Row],[Number of members]]&lt;400, "C. 100 - 400", IF(Data2021[[#This Row],[Number of members]]&lt;1000,"D. 400 - 1000", "E. 1000 +")))))</f>
        <v>E. 1000 +</v>
      </c>
      <c r="J133" t="str">
        <f>IF(ISBLANK(General2021[[#This Row],[number_of_international_members_not_eea]]),"N/A",VLOOKUP(A133,General2021[[organisation_name]:[number_of_international_committee_board_members_not_eea]],9,FALSE))</f>
        <v>N/A</v>
      </c>
      <c r="K133" t="str">
        <f>IF(ISBLANK(General2021[[#This Row],[number_of_international_members_eea]]),"N/A",VLOOKUP(A133,General2021[[organisation_name]:[number_of_international_committee_board_members_not_eea]],8,FALSE))</f>
        <v>N/A</v>
      </c>
      <c r="L133" t="str">
        <f>IFERROR(IF(Data2021[[#This Row],[Number of members]]-Data2021[[#This Row],[Non-EEA Total]]-Data2021[[#This Row],[EEA total]]&lt;1,"N/A", Data2021[[#This Row],[Number of members]]-Data2021[[#This Row],[Non-EEA Total]]-Data2021[[#This Row],[EEA total]]),"N/A")</f>
        <v>N/A</v>
      </c>
      <c r="M133">
        <f>VLOOKUP(A133,General2021[[organisation_name]:[number_of_international_committee_board_members_not_eea]],12,FALSE)</f>
        <v>0</v>
      </c>
      <c r="N133">
        <f>VLOOKUP(A133,General2021[[organisation_name]:[number_of_international_committee_board_members_not_eea]],11,FALSE)</f>
        <v>0</v>
      </c>
      <c r="O133" t="str">
        <f>IFERROR(IF(Data2021[[#This Row],[Number of active members]]-Data2021[[#This Row],[Non-EEA Active ]]-Data2021[[#This Row],[EEA Active]]&lt;1,"N/A", Data2021[[#This Row],[Number of active members]]-Data2021[[#This Row],[Non-EEA Active ]]-Data2021[[#This Row],[EEA Active]]),"N/A")</f>
        <v>N/A</v>
      </c>
      <c r="P133" t="str">
        <f>IFERROR(Data2021[[#This Row],[Non-EEA Active ]]/Data2021[[#This Row],[Number of active members]],"N/A")</f>
        <v>N/A</v>
      </c>
      <c r="Q133" t="str">
        <f>IFERROR(Data2021[[#This Row],[EEA Active]]/Data2021[[#This Row],[EEA total]], "N/A")</f>
        <v>N/A</v>
      </c>
      <c r="R133" t="str">
        <f>IFERROR(Data2021[[#This Row],[Dutch Active]]/Data2021[[#This Row],[Dutch total]],"N/A")</f>
        <v>N/A</v>
      </c>
      <c r="S133" t="str">
        <f>IFERROR(IF(Data2021[[#This Row],[Number of members]]=Data2021[[#This Row],[Non-EEA Total]]+Data2021[[#This Row],[EEA total]]+Data2021[[#This Row],[Dutch total]],"T","F"),"F")</f>
        <v>F</v>
      </c>
      <c r="T133" t="str">
        <f>IFERROR(IF(Data2021[[#This Row],[Number of active members]]=Data2021[[#This Row],[Non-EEA Active ]]+Data2021[[#This Row],[EEA Active]]+Data2021[[#This Row],[Dutch Active]],"T","F"),"F")</f>
        <v>F</v>
      </c>
      <c r="U133" t="str">
        <f>IFERROR(IF(Data2021[[#This Row],[Number of members]]-Data2021[[#This Row],[Non-EEA Active ]]-Data2021[[#This Row],[EEA Active]]-Data2021[[#This Row],[Dutch Active]]=Data2021[[#This Row],[Number of  inactive members]],"T","F"),"F")</f>
        <v>F</v>
      </c>
      <c r="V133" t="str">
        <f>IF(Data2021[[#This Row],[EEA Active]]&lt;=Data2021[[#This Row],[EEA total]],"T","F")</f>
        <v>T</v>
      </c>
      <c r="W133" t="str">
        <f>IF(Data2021[[#This Row],[Dutch Active]]&lt;=Data2021[[#This Row],[Dutch total]],"T","F")</f>
        <v>T</v>
      </c>
      <c r="X133" t="str">
        <f>IF(Data2021[[#This Row],[Non-EEA Active ]]&lt;=Data2021[[#This Row],[Non-EEA Total]],"T","F")</f>
        <v>T</v>
      </c>
      <c r="Y133"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3" t="str">
        <f>IFERROR(VLOOKUP(Data2021[[#This Row],[organisation_name]],'Division Study Year Committees'!$A$1:$L$108,2,FALSE),"N/A")</f>
        <v>N/A</v>
      </c>
      <c r="AA133" t="str">
        <f>IFERROR(VLOOKUP(Data2021[[#This Row],[organisation_name]],'Division Study Year Committees'!$A$1:$L$108,3,FALSE),"N/A")</f>
        <v>N/A</v>
      </c>
      <c r="AB133" t="str">
        <f>IFERROR(VLOOKUP(Data2021[[#This Row],[organisation_name]],'Division Study Year Committees'!$A$1:$L$108,4,FALSE),"N/A")</f>
        <v>N/A</v>
      </c>
      <c r="AC133" t="str">
        <f>IFERROR(VLOOKUP(Data2021[[#This Row],[organisation_name]],'Division Study Year Committees'!$A$1:$L$108,5,FALSE), "N/A")</f>
        <v>N/A</v>
      </c>
      <c r="AD133" t="str">
        <f>IFERROR(VLOOKUP(Data2021[[#This Row],[organisation_name]],'Division Study Year Committees'!$A$1:$L$108,6,FALSE), "N/A")</f>
        <v>N/A</v>
      </c>
      <c r="AE133">
        <f>SUM(Data2021[[#This Row],[Number of first year comittee members]:[Number of 4+ year comittee members]])</f>
        <v>0</v>
      </c>
      <c r="AF133">
        <f>COUNTIF('Comittee2021'!D:D,Data2021[[#This Row],[organisation_name]])</f>
        <v>0</v>
      </c>
      <c r="AG133">
        <f>COUNTIFS('Comittee2021'!$D:$D,Data2021[[#This Row],[organisation_name]],'Comittee2021'!$O:$O,"strong decrease")</f>
        <v>0</v>
      </c>
      <c r="AH133">
        <f>COUNTIFS('Comittee2021'!$D:$D,Data2021[[#This Row],[organisation_name]],'Comittee2021'!$O:$O,"slight decrease")</f>
        <v>0</v>
      </c>
      <c r="AI133">
        <f>COUNTIFS('Comittee2021'!$D:$D,Data2021[[#This Row],[organisation_name]],'Comittee2021'!$O:$O,"no influence")</f>
        <v>0</v>
      </c>
      <c r="AJ133">
        <f>COUNTIFS('Comittee2021'!$D:$D,Data2021[[#This Row],[organisation_name]],'Comittee2021'!$O:$O,"slight increase")</f>
        <v>0</v>
      </c>
      <c r="AK133">
        <f>COUNTIFS('Comittee2021'!$D:$D,Data2021[[#This Row],[organisation_name]],'Comittee2021'!$O:$O,"strong increase")</f>
        <v>0</v>
      </c>
      <c r="AL133">
        <v>2021</v>
      </c>
    </row>
    <row r="134" spans="1:38" x14ac:dyDescent="0.3">
      <c r="A134" t="str">
        <f>General2021[[#This Row],[organisation_name]]</f>
        <v>Stichting Societeit Asterion</v>
      </c>
      <c r="B134" t="str">
        <f>IF(General2021[[#This Row],[sector]]= "",VLOOKUP(Data2021[[#This Row],[organisation_name]],'Response Rate sheet'!A:D,3,FALSE),General2021[[#This Row],[sector]])</f>
        <v>other</v>
      </c>
      <c r="C134" t="str">
        <f>General2021[[#This Row],[organisation_type]]</f>
        <v>foundation</v>
      </c>
      <c r="D134" t="str">
        <f>IF(ISBLANK(General2021[[#This Row],[number_of_members]]),"N/A",VLOOKUP(A134,General2021[[organisation_name]:[number_of_international_committee_board_members_not_eea]],6,FALSE))</f>
        <v>N/A</v>
      </c>
      <c r="E134" t="str">
        <f>IF(ISBLANK(General2021[[#This Row],[number_of_committee_board_members]]),"N/A",VLOOKUP(A134,General2021!B:M,10,FALSE))</f>
        <v>N/A</v>
      </c>
      <c r="F134" t="str">
        <f>IFERROR(Data2021[[#This Row],[Number of members]]-Data2021[[#This Row],[Number of active members]], "N/A")</f>
        <v>N/A</v>
      </c>
      <c r="G134" t="str">
        <f>IFERROR(Data2021[[#This Row],[Number of active members]]/Data2021[[#This Row],[Number of members]], "N/A")</f>
        <v>N/A</v>
      </c>
      <c r="H134" t="str">
        <f>IFERROR(1-Data2021[[#This Row],[Percentage active members]],"N/A")</f>
        <v>N/A</v>
      </c>
      <c r="I134" t="str">
        <f>IF(Data2021[[#This Row],[Number of members]]=0,"N/A",IF(Data2021[[#This Row],[Number of members]]&lt;50," A. 1 - 50 ",IF(Data2021[[#This Row],[Number of members]]&lt;100, "B. 50 - 100", IF(Data2021[[#This Row],[Number of members]]&lt;400, "C. 100 - 400", IF(Data2021[[#This Row],[Number of members]]&lt;1000,"D. 400 - 1000", "E. 1000 +")))))</f>
        <v>E. 1000 +</v>
      </c>
      <c r="J134" t="str">
        <f>IF(ISBLANK(General2021[[#This Row],[number_of_international_members_not_eea]]),"N/A",VLOOKUP(A134,General2021[[organisation_name]:[number_of_international_committee_board_members_not_eea]],9,FALSE))</f>
        <v>N/A</v>
      </c>
      <c r="K134" t="str">
        <f>IF(ISBLANK(General2021[[#This Row],[number_of_international_members_eea]]),"N/A",VLOOKUP(A134,General2021[[organisation_name]:[number_of_international_committee_board_members_not_eea]],8,FALSE))</f>
        <v>N/A</v>
      </c>
      <c r="L134" t="str">
        <f>IFERROR(IF(Data2021[[#This Row],[Number of members]]-Data2021[[#This Row],[Non-EEA Total]]-Data2021[[#This Row],[EEA total]]&lt;1,"N/A", Data2021[[#This Row],[Number of members]]-Data2021[[#This Row],[Non-EEA Total]]-Data2021[[#This Row],[EEA total]]),"N/A")</f>
        <v>N/A</v>
      </c>
      <c r="M134">
        <f>VLOOKUP(A134,General2021[[organisation_name]:[number_of_international_committee_board_members_not_eea]],12,FALSE)</f>
        <v>0</v>
      </c>
      <c r="N134">
        <f>VLOOKUP(A134,General2021[[organisation_name]:[number_of_international_committee_board_members_not_eea]],11,FALSE)</f>
        <v>0</v>
      </c>
      <c r="O134" t="str">
        <f>IFERROR(IF(Data2021[[#This Row],[Number of active members]]-Data2021[[#This Row],[Non-EEA Active ]]-Data2021[[#This Row],[EEA Active]]&lt;1,"N/A", Data2021[[#This Row],[Number of active members]]-Data2021[[#This Row],[Non-EEA Active ]]-Data2021[[#This Row],[EEA Active]]),"N/A")</f>
        <v>N/A</v>
      </c>
      <c r="P134" t="str">
        <f>IFERROR(Data2021[[#This Row],[Non-EEA Active ]]/Data2021[[#This Row],[Number of active members]],"N/A")</f>
        <v>N/A</v>
      </c>
      <c r="Q134" t="str">
        <f>IFERROR(Data2021[[#This Row],[EEA Active]]/Data2021[[#This Row],[EEA total]], "N/A")</f>
        <v>N/A</v>
      </c>
      <c r="R134" t="str">
        <f>IFERROR(Data2021[[#This Row],[Dutch Active]]/Data2021[[#This Row],[Dutch total]],"N/A")</f>
        <v>N/A</v>
      </c>
      <c r="S134" t="str">
        <f>IFERROR(IF(Data2021[[#This Row],[Number of members]]=Data2021[[#This Row],[Non-EEA Total]]+Data2021[[#This Row],[EEA total]]+Data2021[[#This Row],[Dutch total]],"T","F"),"F")</f>
        <v>F</v>
      </c>
      <c r="T134" t="str">
        <f>IFERROR(IF(Data2021[[#This Row],[Number of active members]]=Data2021[[#This Row],[Non-EEA Active ]]+Data2021[[#This Row],[EEA Active]]+Data2021[[#This Row],[Dutch Active]],"T","F"),"F")</f>
        <v>F</v>
      </c>
      <c r="U134" t="str">
        <f>IFERROR(IF(Data2021[[#This Row],[Number of members]]-Data2021[[#This Row],[Non-EEA Active ]]-Data2021[[#This Row],[EEA Active]]-Data2021[[#This Row],[Dutch Active]]=Data2021[[#This Row],[Number of  inactive members]],"T","F"),"F")</f>
        <v>F</v>
      </c>
      <c r="V134" t="str">
        <f>IF(Data2021[[#This Row],[EEA Active]]&lt;=Data2021[[#This Row],[EEA total]],"T","F")</f>
        <v>T</v>
      </c>
      <c r="W134" t="str">
        <f>IF(Data2021[[#This Row],[Dutch Active]]&lt;=Data2021[[#This Row],[Dutch total]],"T","F")</f>
        <v>T</v>
      </c>
      <c r="X134" t="str">
        <f>IF(Data2021[[#This Row],[Non-EEA Active ]]&lt;=Data2021[[#This Row],[Non-EEA Total]],"T","F")</f>
        <v>T</v>
      </c>
      <c r="Y134"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4" t="str">
        <f>IFERROR(VLOOKUP(Data2021[[#This Row],[organisation_name]],'Division Study Year Committees'!$A$1:$L$108,2,FALSE),"N/A")</f>
        <v>N/A</v>
      </c>
      <c r="AA134" t="str">
        <f>IFERROR(VLOOKUP(Data2021[[#This Row],[organisation_name]],'Division Study Year Committees'!$A$1:$L$108,3,FALSE),"N/A")</f>
        <v>N/A</v>
      </c>
      <c r="AB134" t="str">
        <f>IFERROR(VLOOKUP(Data2021[[#This Row],[organisation_name]],'Division Study Year Committees'!$A$1:$L$108,4,FALSE),"N/A")</f>
        <v>N/A</v>
      </c>
      <c r="AC134" t="str">
        <f>IFERROR(VLOOKUP(Data2021[[#This Row],[organisation_name]],'Division Study Year Committees'!$A$1:$L$108,5,FALSE), "N/A")</f>
        <v>N/A</v>
      </c>
      <c r="AD134" t="str">
        <f>IFERROR(VLOOKUP(Data2021[[#This Row],[organisation_name]],'Division Study Year Committees'!$A$1:$L$108,6,FALSE), "N/A")</f>
        <v>N/A</v>
      </c>
      <c r="AE134">
        <f>SUM(Data2021[[#This Row],[Number of first year comittee members]:[Number of 4+ year comittee members]])</f>
        <v>0</v>
      </c>
      <c r="AF134">
        <f>COUNTIF('Comittee2021'!D:D,Data2021[[#This Row],[organisation_name]])</f>
        <v>0</v>
      </c>
      <c r="AG134">
        <f>COUNTIFS('Comittee2021'!$D:$D,Data2021[[#This Row],[organisation_name]],'Comittee2021'!$O:$O,"strong decrease")</f>
        <v>0</v>
      </c>
      <c r="AH134">
        <f>COUNTIFS('Comittee2021'!$D:$D,Data2021[[#This Row],[organisation_name]],'Comittee2021'!$O:$O,"slight decrease")</f>
        <v>0</v>
      </c>
      <c r="AI134">
        <f>COUNTIFS('Comittee2021'!$D:$D,Data2021[[#This Row],[organisation_name]],'Comittee2021'!$O:$O,"no influence")</f>
        <v>0</v>
      </c>
      <c r="AJ134">
        <f>COUNTIFS('Comittee2021'!$D:$D,Data2021[[#This Row],[organisation_name]],'Comittee2021'!$O:$O,"slight increase")</f>
        <v>0</v>
      </c>
      <c r="AK134">
        <f>COUNTIFS('Comittee2021'!$D:$D,Data2021[[#This Row],[organisation_name]],'Comittee2021'!$O:$O,"strong increase")</f>
        <v>0</v>
      </c>
      <c r="AL134">
        <v>2021</v>
      </c>
    </row>
    <row r="135" spans="1:38" x14ac:dyDescent="0.3">
      <c r="A135" t="str">
        <f>General2021[[#This Row],[organisation_name]]</f>
        <v>Stichting Kantine Sportcentrum</v>
      </c>
      <c r="B135" t="str">
        <f>IF(General2021[[#This Row],[sector]]= "",VLOOKUP(Data2021[[#This Row],[organisation_name]],'Response Rate sheet'!A:D,3,FALSE),General2021[[#This Row],[sector]])</f>
        <v>other</v>
      </c>
      <c r="C135" t="str">
        <f>General2021[[#This Row],[organisation_type]]</f>
        <v>foundation</v>
      </c>
      <c r="D135" t="str">
        <f>IF(ISBLANK(General2021[[#This Row],[number_of_members]]),"N/A",VLOOKUP(A135,General2021[[organisation_name]:[number_of_international_committee_board_members_not_eea]],6,FALSE))</f>
        <v>N/A</v>
      </c>
      <c r="E135" t="str">
        <f>IF(ISBLANK(General2021[[#This Row],[number_of_committee_board_members]]),"N/A",VLOOKUP(A135,General2021!B:M,10,FALSE))</f>
        <v>N/A</v>
      </c>
      <c r="F135" t="str">
        <f>IFERROR(Data2021[[#This Row],[Number of members]]-Data2021[[#This Row],[Number of active members]], "N/A")</f>
        <v>N/A</v>
      </c>
      <c r="G135" t="str">
        <f>IFERROR(Data2021[[#This Row],[Number of active members]]/Data2021[[#This Row],[Number of members]], "N/A")</f>
        <v>N/A</v>
      </c>
      <c r="H135" t="str">
        <f>IFERROR(1-Data2021[[#This Row],[Percentage active members]],"N/A")</f>
        <v>N/A</v>
      </c>
      <c r="I135" t="str">
        <f>IF(Data2021[[#This Row],[Number of members]]=0,"N/A",IF(Data2021[[#This Row],[Number of members]]&lt;50," A. 1 - 50 ",IF(Data2021[[#This Row],[Number of members]]&lt;100, "B. 50 - 100", IF(Data2021[[#This Row],[Number of members]]&lt;400, "C. 100 - 400", IF(Data2021[[#This Row],[Number of members]]&lt;1000,"D. 400 - 1000", "E. 1000 +")))))</f>
        <v>E. 1000 +</v>
      </c>
      <c r="J135" t="str">
        <f>IF(ISBLANK(General2021[[#This Row],[number_of_international_members_not_eea]]),"N/A",VLOOKUP(A135,General2021[[organisation_name]:[number_of_international_committee_board_members_not_eea]],9,FALSE))</f>
        <v>N/A</v>
      </c>
      <c r="K135" t="str">
        <f>IF(ISBLANK(General2021[[#This Row],[number_of_international_members_eea]]),"N/A",VLOOKUP(A135,General2021[[organisation_name]:[number_of_international_committee_board_members_not_eea]],8,FALSE))</f>
        <v>N/A</v>
      </c>
      <c r="L135" t="str">
        <f>IFERROR(IF(Data2021[[#This Row],[Number of members]]-Data2021[[#This Row],[Non-EEA Total]]-Data2021[[#This Row],[EEA total]]&lt;1,"N/A", Data2021[[#This Row],[Number of members]]-Data2021[[#This Row],[Non-EEA Total]]-Data2021[[#This Row],[EEA total]]),"N/A")</f>
        <v>N/A</v>
      </c>
      <c r="M135">
        <f>VLOOKUP(A135,General2021[[organisation_name]:[number_of_international_committee_board_members_not_eea]],12,FALSE)</f>
        <v>0</v>
      </c>
      <c r="N135">
        <f>VLOOKUP(A135,General2021[[organisation_name]:[number_of_international_committee_board_members_not_eea]],11,FALSE)</f>
        <v>0</v>
      </c>
      <c r="O135" t="str">
        <f>IFERROR(IF(Data2021[[#This Row],[Number of active members]]-Data2021[[#This Row],[Non-EEA Active ]]-Data2021[[#This Row],[EEA Active]]&lt;1,"N/A", Data2021[[#This Row],[Number of active members]]-Data2021[[#This Row],[Non-EEA Active ]]-Data2021[[#This Row],[EEA Active]]),"N/A")</f>
        <v>N/A</v>
      </c>
      <c r="P135" t="str">
        <f>IFERROR(Data2021[[#This Row],[Non-EEA Active ]]/Data2021[[#This Row],[Number of active members]],"N/A")</f>
        <v>N/A</v>
      </c>
      <c r="Q135" t="str">
        <f>IFERROR(Data2021[[#This Row],[EEA Active]]/Data2021[[#This Row],[EEA total]], "N/A")</f>
        <v>N/A</v>
      </c>
      <c r="R135" t="str">
        <f>IFERROR(Data2021[[#This Row],[Dutch Active]]/Data2021[[#This Row],[Dutch total]],"N/A")</f>
        <v>N/A</v>
      </c>
      <c r="S135" t="str">
        <f>IFERROR(IF(Data2021[[#This Row],[Number of members]]=Data2021[[#This Row],[Non-EEA Total]]+Data2021[[#This Row],[EEA total]]+Data2021[[#This Row],[Dutch total]],"T","F"),"F")</f>
        <v>F</v>
      </c>
      <c r="T135" t="str">
        <f>IFERROR(IF(Data2021[[#This Row],[Number of active members]]=Data2021[[#This Row],[Non-EEA Active ]]+Data2021[[#This Row],[EEA Active]]+Data2021[[#This Row],[Dutch Active]],"T","F"),"F")</f>
        <v>F</v>
      </c>
      <c r="U135" t="str">
        <f>IFERROR(IF(Data2021[[#This Row],[Number of members]]-Data2021[[#This Row],[Non-EEA Active ]]-Data2021[[#This Row],[EEA Active]]-Data2021[[#This Row],[Dutch Active]]=Data2021[[#This Row],[Number of  inactive members]],"T","F"),"F")</f>
        <v>F</v>
      </c>
      <c r="V135" t="str">
        <f>IF(Data2021[[#This Row],[EEA Active]]&lt;=Data2021[[#This Row],[EEA total]],"T","F")</f>
        <v>T</v>
      </c>
      <c r="W135" t="str">
        <f>IF(Data2021[[#This Row],[Dutch Active]]&lt;=Data2021[[#This Row],[Dutch total]],"T","F")</f>
        <v>T</v>
      </c>
      <c r="X135" t="str">
        <f>IF(Data2021[[#This Row],[Non-EEA Active ]]&lt;=Data2021[[#This Row],[Non-EEA Total]],"T","F")</f>
        <v>T</v>
      </c>
      <c r="Y135"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5" t="str">
        <f>IFERROR(VLOOKUP(Data2021[[#This Row],[organisation_name]],'Division Study Year Committees'!$A$1:$L$108,2,FALSE),"N/A")</f>
        <v>N/A</v>
      </c>
      <c r="AA135" t="str">
        <f>IFERROR(VLOOKUP(Data2021[[#This Row],[organisation_name]],'Division Study Year Committees'!$A$1:$L$108,3,FALSE),"N/A")</f>
        <v>N/A</v>
      </c>
      <c r="AB135" t="str">
        <f>IFERROR(VLOOKUP(Data2021[[#This Row],[organisation_name]],'Division Study Year Committees'!$A$1:$L$108,4,FALSE),"N/A")</f>
        <v>N/A</v>
      </c>
      <c r="AC135" t="str">
        <f>IFERROR(VLOOKUP(Data2021[[#This Row],[organisation_name]],'Division Study Year Committees'!$A$1:$L$108,5,FALSE), "N/A")</f>
        <v>N/A</v>
      </c>
      <c r="AD135" t="str">
        <f>IFERROR(VLOOKUP(Data2021[[#This Row],[organisation_name]],'Division Study Year Committees'!$A$1:$L$108,6,FALSE), "N/A")</f>
        <v>N/A</v>
      </c>
      <c r="AE135">
        <f>SUM(Data2021[[#This Row],[Number of first year comittee members]:[Number of 4+ year comittee members]])</f>
        <v>0</v>
      </c>
      <c r="AF135">
        <f>COUNTIF('Comittee2021'!D:D,Data2021[[#This Row],[organisation_name]])</f>
        <v>0</v>
      </c>
      <c r="AG135">
        <f>COUNTIFS('Comittee2021'!$D:$D,Data2021[[#This Row],[organisation_name]],'Comittee2021'!$O:$O,"strong decrease")</f>
        <v>0</v>
      </c>
      <c r="AH135">
        <f>COUNTIFS('Comittee2021'!$D:$D,Data2021[[#This Row],[organisation_name]],'Comittee2021'!$O:$O,"slight decrease")</f>
        <v>0</v>
      </c>
      <c r="AI135">
        <f>COUNTIFS('Comittee2021'!$D:$D,Data2021[[#This Row],[organisation_name]],'Comittee2021'!$O:$O,"no influence")</f>
        <v>0</v>
      </c>
      <c r="AJ135">
        <f>COUNTIFS('Comittee2021'!$D:$D,Data2021[[#This Row],[organisation_name]],'Comittee2021'!$O:$O,"slight increase")</f>
        <v>0</v>
      </c>
      <c r="AK135">
        <f>COUNTIFS('Comittee2021'!$D:$D,Data2021[[#This Row],[organisation_name]],'Comittee2021'!$O:$O,"strong increase")</f>
        <v>0</v>
      </c>
      <c r="AL135">
        <v>2021</v>
      </c>
    </row>
    <row r="136" spans="1:38" x14ac:dyDescent="0.3">
      <c r="A136" t="str">
        <f>General2021[[#This Row],[organisation_name]]</f>
        <v>VGST</v>
      </c>
      <c r="B136" t="str">
        <f>IF(General2021[[#This Row],[sector]]= "",VLOOKUP(Data2021[[#This Row],[organisation_name]],'Response Rate sheet'!A:D,3,FALSE),General2021[[#This Row],[sector]])</f>
        <v>other</v>
      </c>
      <c r="C136" t="str">
        <f>General2021[[#This Row],[organisation_type]]</f>
        <v>association</v>
      </c>
      <c r="D136" t="str">
        <f>IF(ISBLANK(General2021[[#This Row],[number_of_members]]),"N/A",VLOOKUP(A136,General2021[[organisation_name]:[number_of_international_committee_board_members_not_eea]],6,FALSE))</f>
        <v>N/A</v>
      </c>
      <c r="E136" t="str">
        <f>IF(ISBLANK(General2021[[#This Row],[number_of_committee_board_members]]),"N/A",VLOOKUP(A136,General2021!B:M,10,FALSE))</f>
        <v>N/A</v>
      </c>
      <c r="F136" t="str">
        <f>IFERROR(Data2021[[#This Row],[Number of members]]-Data2021[[#This Row],[Number of active members]], "N/A")</f>
        <v>N/A</v>
      </c>
      <c r="G136" t="str">
        <f>IFERROR(Data2021[[#This Row],[Number of active members]]/Data2021[[#This Row],[Number of members]], "N/A")</f>
        <v>N/A</v>
      </c>
      <c r="H136" t="str">
        <f>IFERROR(1-Data2021[[#This Row],[Percentage active members]],"N/A")</f>
        <v>N/A</v>
      </c>
      <c r="I136" t="str">
        <f>IF(Data2021[[#This Row],[Number of members]]=0,"N/A",IF(Data2021[[#This Row],[Number of members]]&lt;50," A. 1 - 50 ",IF(Data2021[[#This Row],[Number of members]]&lt;100, "B. 50 - 100", IF(Data2021[[#This Row],[Number of members]]&lt;400, "C. 100 - 400", IF(Data2021[[#This Row],[Number of members]]&lt;1000,"D. 400 - 1000", "E. 1000 +")))))</f>
        <v>E. 1000 +</v>
      </c>
      <c r="J136" t="str">
        <f>IF(ISBLANK(General2021[[#This Row],[number_of_international_members_not_eea]]),"N/A",VLOOKUP(A136,General2021[[organisation_name]:[number_of_international_committee_board_members_not_eea]],9,FALSE))</f>
        <v>N/A</v>
      </c>
      <c r="K136" t="str">
        <f>IF(ISBLANK(General2021[[#This Row],[number_of_international_members_eea]]),"N/A",VLOOKUP(A136,General2021[[organisation_name]:[number_of_international_committee_board_members_not_eea]],8,FALSE))</f>
        <v>N/A</v>
      </c>
      <c r="L136" t="str">
        <f>IFERROR(IF(Data2021[[#This Row],[Number of members]]-Data2021[[#This Row],[Non-EEA Total]]-Data2021[[#This Row],[EEA total]]&lt;1,"N/A", Data2021[[#This Row],[Number of members]]-Data2021[[#This Row],[Non-EEA Total]]-Data2021[[#This Row],[EEA total]]),"N/A")</f>
        <v>N/A</v>
      </c>
      <c r="M136">
        <f>VLOOKUP(A136,General2021[[organisation_name]:[number_of_international_committee_board_members_not_eea]],12,FALSE)</f>
        <v>0</v>
      </c>
      <c r="N136">
        <f>VLOOKUP(A136,General2021[[organisation_name]:[number_of_international_committee_board_members_not_eea]],11,FALSE)</f>
        <v>0</v>
      </c>
      <c r="O136" t="str">
        <f>IFERROR(IF(Data2021[[#This Row],[Number of active members]]-Data2021[[#This Row],[Non-EEA Active ]]-Data2021[[#This Row],[EEA Active]]&lt;1,"N/A", Data2021[[#This Row],[Number of active members]]-Data2021[[#This Row],[Non-EEA Active ]]-Data2021[[#This Row],[EEA Active]]),"N/A")</f>
        <v>N/A</v>
      </c>
      <c r="P136" t="str">
        <f>IFERROR(Data2021[[#This Row],[Non-EEA Active ]]/Data2021[[#This Row],[Number of active members]],"N/A")</f>
        <v>N/A</v>
      </c>
      <c r="Q136" t="str">
        <f>IFERROR(Data2021[[#This Row],[EEA Active]]/Data2021[[#This Row],[EEA total]], "N/A")</f>
        <v>N/A</v>
      </c>
      <c r="R136" t="str">
        <f>IFERROR(Data2021[[#This Row],[Dutch Active]]/Data2021[[#This Row],[Dutch total]],"N/A")</f>
        <v>N/A</v>
      </c>
      <c r="S136" t="str">
        <f>IFERROR(IF(Data2021[[#This Row],[Number of members]]=Data2021[[#This Row],[Non-EEA Total]]+Data2021[[#This Row],[EEA total]]+Data2021[[#This Row],[Dutch total]],"T","F"),"F")</f>
        <v>F</v>
      </c>
      <c r="T136" t="str">
        <f>IFERROR(IF(Data2021[[#This Row],[Number of active members]]=Data2021[[#This Row],[Non-EEA Active ]]+Data2021[[#This Row],[EEA Active]]+Data2021[[#This Row],[Dutch Active]],"T","F"),"F")</f>
        <v>F</v>
      </c>
      <c r="U136" t="str">
        <f>IFERROR(IF(Data2021[[#This Row],[Number of members]]-Data2021[[#This Row],[Non-EEA Active ]]-Data2021[[#This Row],[EEA Active]]-Data2021[[#This Row],[Dutch Active]]=Data2021[[#This Row],[Number of  inactive members]],"T","F"),"F")</f>
        <v>F</v>
      </c>
      <c r="V136" t="str">
        <f>IF(Data2021[[#This Row],[EEA Active]]&lt;=Data2021[[#This Row],[EEA total]],"T","F")</f>
        <v>T</v>
      </c>
      <c r="W136" t="str">
        <f>IF(Data2021[[#This Row],[Dutch Active]]&lt;=Data2021[[#This Row],[Dutch total]],"T","F")</f>
        <v>T</v>
      </c>
      <c r="X136" t="str">
        <f>IF(Data2021[[#This Row],[Non-EEA Active ]]&lt;=Data2021[[#This Row],[Non-EEA Total]],"T","F")</f>
        <v>T</v>
      </c>
      <c r="Y136"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6" t="str">
        <f>IFERROR(VLOOKUP(Data2021[[#This Row],[organisation_name]],'Division Study Year Committees'!$A$1:$L$108,2,FALSE),"N/A")</f>
        <v>N/A</v>
      </c>
      <c r="AA136" t="str">
        <f>IFERROR(VLOOKUP(Data2021[[#This Row],[organisation_name]],'Division Study Year Committees'!$A$1:$L$108,3,FALSE),"N/A")</f>
        <v>N/A</v>
      </c>
      <c r="AB136" t="str">
        <f>IFERROR(VLOOKUP(Data2021[[#This Row],[organisation_name]],'Division Study Year Committees'!$A$1:$L$108,4,FALSE),"N/A")</f>
        <v>N/A</v>
      </c>
      <c r="AC136" t="str">
        <f>IFERROR(VLOOKUP(Data2021[[#This Row],[organisation_name]],'Division Study Year Committees'!$A$1:$L$108,5,FALSE), "N/A")</f>
        <v>N/A</v>
      </c>
      <c r="AD136" t="str">
        <f>IFERROR(VLOOKUP(Data2021[[#This Row],[organisation_name]],'Division Study Year Committees'!$A$1:$L$108,6,FALSE), "N/A")</f>
        <v>N/A</v>
      </c>
      <c r="AE136">
        <f>SUM(Data2021[[#This Row],[Number of first year comittee members]:[Number of 4+ year comittee members]])</f>
        <v>0</v>
      </c>
      <c r="AF136">
        <f>COUNTIF('Comittee2021'!D:D,Data2021[[#This Row],[organisation_name]])</f>
        <v>0</v>
      </c>
      <c r="AG136">
        <f>COUNTIFS('Comittee2021'!$D:$D,Data2021[[#This Row],[organisation_name]],'Comittee2021'!$O:$O,"strong decrease")</f>
        <v>0</v>
      </c>
      <c r="AH136">
        <f>COUNTIFS('Comittee2021'!$D:$D,Data2021[[#This Row],[organisation_name]],'Comittee2021'!$O:$O,"slight decrease")</f>
        <v>0</v>
      </c>
      <c r="AI136">
        <f>COUNTIFS('Comittee2021'!$D:$D,Data2021[[#This Row],[organisation_name]],'Comittee2021'!$O:$O,"no influence")</f>
        <v>0</v>
      </c>
      <c r="AJ136">
        <f>COUNTIFS('Comittee2021'!$D:$D,Data2021[[#This Row],[organisation_name]],'Comittee2021'!$O:$O,"slight increase")</f>
        <v>0</v>
      </c>
      <c r="AK136">
        <f>COUNTIFS('Comittee2021'!$D:$D,Data2021[[#This Row],[organisation_name]],'Comittee2021'!$O:$O,"strong increase")</f>
        <v>0</v>
      </c>
      <c r="AL136">
        <v>2021</v>
      </c>
    </row>
    <row r="137" spans="1:38" x14ac:dyDescent="0.3">
      <c r="A137" t="str">
        <f>General2021[[#This Row],[organisation_name]]</f>
        <v>Stichting t Fluitje</v>
      </c>
      <c r="B137" t="str">
        <f>IF(General2021[[#This Row],[sector]]= "",VLOOKUP(Data2021[[#This Row],[organisation_name]],'Response Rate sheet'!A:D,3,FALSE),General2021[[#This Row],[sector]])</f>
        <v>Other</v>
      </c>
      <c r="C137" t="str">
        <f>General2021[[#This Row],[organisation_type]]</f>
        <v>foundation</v>
      </c>
      <c r="D137">
        <f>IF(ISBLANK(General2021[[#This Row],[number_of_members]]),"N/A",VLOOKUP(A137,General2021[[organisation_name]:[number_of_international_committee_board_members_not_eea]],6,FALSE))</f>
        <v>10</v>
      </c>
      <c r="E137">
        <f>IF(ISBLANK(General2021[[#This Row],[number_of_committee_board_members]]),"N/A",VLOOKUP(A137,General2021!B:M,10,FALSE))</f>
        <v>0</v>
      </c>
      <c r="F137">
        <f>IFERROR(Data2021[[#This Row],[Number of members]]-Data2021[[#This Row],[Number of active members]], "N/A")</f>
        <v>10</v>
      </c>
      <c r="G137">
        <f>IFERROR(Data2021[[#This Row],[Number of active members]]/Data2021[[#This Row],[Number of members]], "N/A")</f>
        <v>0</v>
      </c>
      <c r="H137">
        <f>IFERROR(1-Data2021[[#This Row],[Percentage active members]],"N/A")</f>
        <v>1</v>
      </c>
      <c r="I137" t="str">
        <f>IF(Data2021[[#This Row],[Number of members]]=0,"N/A",IF(Data2021[[#This Row],[Number of members]]&lt;50," A. 1 - 50 ",IF(Data2021[[#This Row],[Number of members]]&lt;100, "B. 50 - 100", IF(Data2021[[#This Row],[Number of members]]&lt;400, "C. 100 - 400", IF(Data2021[[#This Row],[Number of members]]&lt;1000,"D. 400 - 1000", "E. 1000 +")))))</f>
        <v xml:space="preserve"> A. 1 - 50 </v>
      </c>
      <c r="J137">
        <f>IF(ISBLANK(General2021[[#This Row],[number_of_international_members_not_eea]]),"N/A",VLOOKUP(A137,General2021[[organisation_name]:[number_of_international_committee_board_members_not_eea]],9,FALSE))</f>
        <v>0</v>
      </c>
      <c r="K137">
        <f>IF(ISBLANK(General2021[[#This Row],[number_of_international_members_eea]]),"N/A",VLOOKUP(A137,General2021[[organisation_name]:[number_of_international_committee_board_members_not_eea]],8,FALSE))</f>
        <v>0</v>
      </c>
      <c r="L137">
        <f>IFERROR(IF(Data2021[[#This Row],[Number of members]]-Data2021[[#This Row],[Non-EEA Total]]-Data2021[[#This Row],[EEA total]]&lt;1,"N/A", Data2021[[#This Row],[Number of members]]-Data2021[[#This Row],[Non-EEA Total]]-Data2021[[#This Row],[EEA total]]),"N/A")</f>
        <v>10</v>
      </c>
      <c r="M137">
        <f>VLOOKUP(A137,General2021[[organisation_name]:[number_of_international_committee_board_members_not_eea]],12,FALSE)</f>
        <v>0</v>
      </c>
      <c r="N137">
        <f>VLOOKUP(A137,General2021[[organisation_name]:[number_of_international_committee_board_members_not_eea]],11,FALSE)</f>
        <v>0</v>
      </c>
      <c r="O137" t="str">
        <f>IFERROR(IF(Data2021[[#This Row],[Number of active members]]-Data2021[[#This Row],[Non-EEA Active ]]-Data2021[[#This Row],[EEA Active]]&lt;1,"N/A", Data2021[[#This Row],[Number of active members]]-Data2021[[#This Row],[Non-EEA Active ]]-Data2021[[#This Row],[EEA Active]]),"N/A")</f>
        <v>N/A</v>
      </c>
      <c r="P137" t="str">
        <f>IFERROR(Data2021[[#This Row],[Non-EEA Active ]]/Data2021[[#This Row],[Number of active members]],"N/A")</f>
        <v>N/A</v>
      </c>
      <c r="Q137" t="str">
        <f>IFERROR(Data2021[[#This Row],[EEA Active]]/Data2021[[#This Row],[EEA total]], "N/A")</f>
        <v>N/A</v>
      </c>
      <c r="R137" t="str">
        <f>IFERROR(Data2021[[#This Row],[Dutch Active]]/Data2021[[#This Row],[Dutch total]],"N/A")</f>
        <v>N/A</v>
      </c>
      <c r="S137" t="str">
        <f>IFERROR(IF(Data2021[[#This Row],[Number of members]]=Data2021[[#This Row],[Non-EEA Total]]+Data2021[[#This Row],[EEA total]]+Data2021[[#This Row],[Dutch total]],"T","F"),"F")</f>
        <v>T</v>
      </c>
      <c r="T137" t="str">
        <f>IFERROR(IF(Data2021[[#This Row],[Number of active members]]=Data2021[[#This Row],[Non-EEA Active ]]+Data2021[[#This Row],[EEA Active]]+Data2021[[#This Row],[Dutch Active]],"T","F"),"F")</f>
        <v>F</v>
      </c>
      <c r="U137" t="str">
        <f>IFERROR(IF(Data2021[[#This Row],[Number of members]]-Data2021[[#This Row],[Non-EEA Active ]]-Data2021[[#This Row],[EEA Active]]-Data2021[[#This Row],[Dutch Active]]=Data2021[[#This Row],[Number of  inactive members]],"T","F"),"F")</f>
        <v>F</v>
      </c>
      <c r="V137" t="str">
        <f>IF(Data2021[[#This Row],[EEA Active]]&lt;=Data2021[[#This Row],[EEA total]],"T","F")</f>
        <v>T</v>
      </c>
      <c r="W137" t="str">
        <f>IF(Data2021[[#This Row],[Dutch Active]]&lt;=Data2021[[#This Row],[Dutch total]],"T","F")</f>
        <v>F</v>
      </c>
      <c r="X137" t="str">
        <f>IF(Data2021[[#This Row],[Non-EEA Active ]]&lt;=Data2021[[#This Row],[Non-EEA Total]],"T","F")</f>
        <v>T</v>
      </c>
      <c r="Y137"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7">
        <f>IFERROR(VLOOKUP(Data2021[[#This Row],[organisation_name]],'Division Study Year Committees'!$A$1:$L$108,2,FALSE),"N/A")</f>
        <v>0</v>
      </c>
      <c r="AA137">
        <f>IFERROR(VLOOKUP(Data2021[[#This Row],[organisation_name]],'Division Study Year Committees'!$A$1:$L$108,3,FALSE),"N/A")</f>
        <v>0</v>
      </c>
      <c r="AB137">
        <f>IFERROR(VLOOKUP(Data2021[[#This Row],[organisation_name]],'Division Study Year Committees'!$A$1:$L$108,4,FALSE),"N/A")</f>
        <v>1</v>
      </c>
      <c r="AC137">
        <f>IFERROR(VLOOKUP(Data2021[[#This Row],[organisation_name]],'Division Study Year Committees'!$A$1:$L$108,5,FALSE), "N/A")</f>
        <v>3</v>
      </c>
      <c r="AD137">
        <f>IFERROR(VLOOKUP(Data2021[[#This Row],[organisation_name]],'Division Study Year Committees'!$A$1:$L$108,6,FALSE), "N/A")</f>
        <v>2</v>
      </c>
      <c r="AE137">
        <f>SUM(Data2021[[#This Row],[Number of first year comittee members]:[Number of 4+ year comittee members]])</f>
        <v>6</v>
      </c>
      <c r="AF137">
        <f>COUNTIF('Comittee2021'!D:D,Data2021[[#This Row],[organisation_name]])</f>
        <v>3</v>
      </c>
      <c r="AG137">
        <f>COUNTIFS('Comittee2021'!$D:$D,Data2021[[#This Row],[organisation_name]],'Comittee2021'!$O:$O,"strong decrease")</f>
        <v>1</v>
      </c>
      <c r="AH137">
        <f>COUNTIFS('Comittee2021'!$D:$D,Data2021[[#This Row],[organisation_name]],'Comittee2021'!$O:$O,"slight decrease")</f>
        <v>0</v>
      </c>
      <c r="AI137">
        <f>COUNTIFS('Comittee2021'!$D:$D,Data2021[[#This Row],[organisation_name]],'Comittee2021'!$O:$O,"no influence")</f>
        <v>1</v>
      </c>
      <c r="AJ137">
        <f>COUNTIFS('Comittee2021'!$D:$D,Data2021[[#This Row],[organisation_name]],'Comittee2021'!$O:$O,"slight increase")</f>
        <v>1</v>
      </c>
      <c r="AK137">
        <f>COUNTIFS('Comittee2021'!$D:$D,Data2021[[#This Row],[organisation_name]],'Comittee2021'!$O:$O,"strong increase")</f>
        <v>0</v>
      </c>
      <c r="AL137">
        <v>2021</v>
      </c>
    </row>
    <row r="138" spans="1:38" x14ac:dyDescent="0.3">
      <c r="A138" t="str">
        <f>General2021[[#This Row],[organisation_name]]</f>
        <v>Enactus Twente</v>
      </c>
      <c r="B138" t="str">
        <f>IF(General2021[[#This Row],[sector]]= "",VLOOKUP(Data2021[[#This Row],[organisation_name]],'Response Rate sheet'!A:D,3,FALSE),General2021[[#This Row],[sector]])</f>
        <v>Social</v>
      </c>
      <c r="C138" t="str">
        <f>General2021[[#This Row],[organisation_type]]</f>
        <v>foundation</v>
      </c>
      <c r="D138" t="str">
        <f>IF(ISBLANK(General2021[[#This Row],[number_of_members]]),"N/A",VLOOKUP(A138,General2021[[organisation_name]:[number_of_international_committee_board_members_not_eea]],6,FALSE))</f>
        <v>N/A</v>
      </c>
      <c r="E138" t="str">
        <f>IF(ISBLANK(General2021[[#This Row],[number_of_committee_board_members]]),"N/A",VLOOKUP(A138,General2021!B:M,10,FALSE))</f>
        <v>N/A</v>
      </c>
      <c r="F138" t="str">
        <f>IFERROR(Data2021[[#This Row],[Number of members]]-Data2021[[#This Row],[Number of active members]], "N/A")</f>
        <v>N/A</v>
      </c>
      <c r="G138" t="str">
        <f>IFERROR(Data2021[[#This Row],[Number of active members]]/Data2021[[#This Row],[Number of members]], "N/A")</f>
        <v>N/A</v>
      </c>
      <c r="H138" t="str">
        <f>IFERROR(1-Data2021[[#This Row],[Percentage active members]],"N/A")</f>
        <v>N/A</v>
      </c>
      <c r="I138" t="str">
        <f>IF(Data2021[[#This Row],[Number of members]]=0,"N/A",IF(Data2021[[#This Row],[Number of members]]&lt;50," A. 1 - 50 ",IF(Data2021[[#This Row],[Number of members]]&lt;100, "B. 50 - 100", IF(Data2021[[#This Row],[Number of members]]&lt;400, "C. 100 - 400", IF(Data2021[[#This Row],[Number of members]]&lt;1000,"D. 400 - 1000", "E. 1000 +")))))</f>
        <v>E. 1000 +</v>
      </c>
      <c r="J138" t="str">
        <f>IF(ISBLANK(General2021[[#This Row],[number_of_international_members_not_eea]]),"N/A",VLOOKUP(A138,General2021[[organisation_name]:[number_of_international_committee_board_members_not_eea]],9,FALSE))</f>
        <v>N/A</v>
      </c>
      <c r="K138" t="str">
        <f>IF(ISBLANK(General2021[[#This Row],[number_of_international_members_eea]]),"N/A",VLOOKUP(A138,General2021[[organisation_name]:[number_of_international_committee_board_members_not_eea]],8,FALSE))</f>
        <v>N/A</v>
      </c>
      <c r="L138" t="str">
        <f>IFERROR(IF(Data2021[[#This Row],[Number of members]]-Data2021[[#This Row],[Non-EEA Total]]-Data2021[[#This Row],[EEA total]]&lt;1,"N/A", Data2021[[#This Row],[Number of members]]-Data2021[[#This Row],[Non-EEA Total]]-Data2021[[#This Row],[EEA total]]),"N/A")</f>
        <v>N/A</v>
      </c>
      <c r="M138">
        <f>VLOOKUP(A138,General2021[[organisation_name]:[number_of_international_committee_board_members_not_eea]],12,FALSE)</f>
        <v>0</v>
      </c>
      <c r="N138">
        <f>VLOOKUP(A138,General2021[[organisation_name]:[number_of_international_committee_board_members_not_eea]],11,FALSE)</f>
        <v>0</v>
      </c>
      <c r="O138" t="str">
        <f>IFERROR(IF(Data2021[[#This Row],[Number of active members]]-Data2021[[#This Row],[Non-EEA Active ]]-Data2021[[#This Row],[EEA Active]]&lt;1,"N/A", Data2021[[#This Row],[Number of active members]]-Data2021[[#This Row],[Non-EEA Active ]]-Data2021[[#This Row],[EEA Active]]),"N/A")</f>
        <v>N/A</v>
      </c>
      <c r="P138" t="str">
        <f>IFERROR(Data2021[[#This Row],[Non-EEA Active ]]/Data2021[[#This Row],[Number of active members]],"N/A")</f>
        <v>N/A</v>
      </c>
      <c r="Q138" t="str">
        <f>IFERROR(Data2021[[#This Row],[EEA Active]]/Data2021[[#This Row],[EEA total]], "N/A")</f>
        <v>N/A</v>
      </c>
      <c r="R138" t="str">
        <f>IFERROR(Data2021[[#This Row],[Dutch Active]]/Data2021[[#This Row],[Dutch total]],"N/A")</f>
        <v>N/A</v>
      </c>
      <c r="S138" t="str">
        <f>IFERROR(IF(Data2021[[#This Row],[Number of members]]=Data2021[[#This Row],[Non-EEA Total]]+Data2021[[#This Row],[EEA total]]+Data2021[[#This Row],[Dutch total]],"T","F"),"F")</f>
        <v>F</v>
      </c>
      <c r="T138" t="str">
        <f>IFERROR(IF(Data2021[[#This Row],[Number of active members]]=Data2021[[#This Row],[Non-EEA Active ]]+Data2021[[#This Row],[EEA Active]]+Data2021[[#This Row],[Dutch Active]],"T","F"),"F")</f>
        <v>F</v>
      </c>
      <c r="U138" t="str">
        <f>IFERROR(IF(Data2021[[#This Row],[Number of members]]-Data2021[[#This Row],[Non-EEA Active ]]-Data2021[[#This Row],[EEA Active]]-Data2021[[#This Row],[Dutch Active]]=Data2021[[#This Row],[Number of  inactive members]],"T","F"),"F")</f>
        <v>F</v>
      </c>
      <c r="V138" t="str">
        <f>IF(Data2021[[#This Row],[EEA Active]]&lt;=Data2021[[#This Row],[EEA total]],"T","F")</f>
        <v>T</v>
      </c>
      <c r="W138" t="str">
        <f>IF(Data2021[[#This Row],[Dutch Active]]&lt;=Data2021[[#This Row],[Dutch total]],"T","F")</f>
        <v>T</v>
      </c>
      <c r="X138" t="str">
        <f>IF(Data2021[[#This Row],[Non-EEA Active ]]&lt;=Data2021[[#This Row],[Non-EEA Total]],"T","F")</f>
        <v>T</v>
      </c>
      <c r="Y138" t="str">
        <f>IF(OR(Data2021[[#This Row],[Test total number of members]]="F",Data2021[[#This Row],[Test total number of active members]]="F",Data2021[[#This Row],[Test total number inactive members]]="F",Data2021[[#This Row],[Test max EEA active]]="F",Data2021[[#This Row],[Test max Dutch active]]="F",Data2021[[#This Row],[Test max non-EEA active]]="F"),"F","T")</f>
        <v>F</v>
      </c>
      <c r="Z138" t="str">
        <f>IFERROR(VLOOKUP(Data2021[[#This Row],[organisation_name]],'Division Study Year Committees'!$A$1:$L$108,2,FALSE),"N/A")</f>
        <v>N/A</v>
      </c>
      <c r="AA138" t="str">
        <f>IFERROR(VLOOKUP(Data2021[[#This Row],[organisation_name]],'Division Study Year Committees'!$A$1:$L$108,3,FALSE),"N/A")</f>
        <v>N/A</v>
      </c>
      <c r="AB138" t="str">
        <f>IFERROR(VLOOKUP(Data2021[[#This Row],[organisation_name]],'Division Study Year Committees'!$A$1:$L$108,4,FALSE),"N/A")</f>
        <v>N/A</v>
      </c>
      <c r="AC138" t="str">
        <f>IFERROR(VLOOKUP(Data2021[[#This Row],[organisation_name]],'Division Study Year Committees'!$A$1:$L$108,5,FALSE), "N/A")</f>
        <v>N/A</v>
      </c>
      <c r="AD138" t="str">
        <f>IFERROR(VLOOKUP(Data2021[[#This Row],[organisation_name]],'Division Study Year Committees'!$A$1:$L$108,6,FALSE), "N/A")</f>
        <v>N/A</v>
      </c>
      <c r="AE138">
        <f>SUM(Data2021[[#This Row],[Number of first year comittee members]:[Number of 4+ year comittee members]])</f>
        <v>0</v>
      </c>
      <c r="AF138">
        <f>COUNTIF('Comittee2021'!D:D,Data2021[[#This Row],[organisation_name]])</f>
        <v>0</v>
      </c>
      <c r="AG138">
        <f>COUNTIFS('Comittee2021'!$D:$D,Data2021[[#This Row],[organisation_name]],'Comittee2021'!$O:$O,"strong decrease")</f>
        <v>0</v>
      </c>
      <c r="AH138">
        <f>COUNTIFS('Comittee2021'!$D:$D,Data2021[[#This Row],[organisation_name]],'Comittee2021'!$O:$O,"slight decrease")</f>
        <v>0</v>
      </c>
      <c r="AI138">
        <f>COUNTIFS('Comittee2021'!$D:$D,Data2021[[#This Row],[organisation_name]],'Comittee2021'!$O:$O,"no influence")</f>
        <v>0</v>
      </c>
      <c r="AJ138">
        <f>COUNTIFS('Comittee2021'!$D:$D,Data2021[[#This Row],[organisation_name]],'Comittee2021'!$O:$O,"slight increase")</f>
        <v>0</v>
      </c>
      <c r="AK138">
        <f>COUNTIFS('Comittee2021'!$D:$D,Data2021[[#This Row],[organisation_name]],'Comittee2021'!$O:$O,"strong increase")</f>
        <v>0</v>
      </c>
      <c r="AL138">
        <v>2021</v>
      </c>
    </row>
    <row r="139" spans="1:38" x14ac:dyDescent="0.3">
      <c r="A139" t="str">
        <f>General2021[[#This Row],[organisation_name]]</f>
        <v>Eurasian Student Organisation</v>
      </c>
      <c r="B139" t="str">
        <f>IF(General2021[[#This Row],[sector]]= "",VLOOKUP(Data2021[[#This Row],[organisation_name]],'Response Rate sheet'!A:D,3,FALSE),General2021[[#This Row],[sector]])</f>
        <v>World</v>
      </c>
      <c r="C139" t="str">
        <f>General2021[[#This Row],[organisation_type]]</f>
        <v>association</v>
      </c>
      <c r="D139">
        <f>IF(ISBLANK(General2021[[#This Row],[number_of_members]]),"N/A",VLOOKUP(A139,General2021[[organisation_name]:[number_of_international_committee_board_members_not_eea]],6,FALSE))</f>
        <v>200</v>
      </c>
      <c r="E139">
        <f>IF(ISBLANK(General2021[[#This Row],[number_of_committee_board_members]]),"N/A",VLOOKUP(A139,General2021!B:M,10,FALSE))</f>
        <v>15</v>
      </c>
      <c r="F139">
        <f>IFERROR(Data2021[[#This Row],[Number of members]]-Data2021[[#This Row],[Number of active members]], "N/A")</f>
        <v>185</v>
      </c>
      <c r="G139">
        <f>IFERROR(Data2021[[#This Row],[Number of active members]]/Data2021[[#This Row],[Number of members]], "N/A")</f>
        <v>7.4999999999999997E-2</v>
      </c>
      <c r="H139">
        <f>IFERROR(1-Data2021[[#This Row],[Percentage active members]],"N/A")</f>
        <v>0.92500000000000004</v>
      </c>
      <c r="I139" t="str">
        <f>IF(Data2021[[#This Row],[Number of members]]=0,"N/A",IF(Data2021[[#This Row],[Number of members]]&lt;50," A. 1 - 50 ",IF(Data2021[[#This Row],[Number of members]]&lt;100, "B. 50 - 100", IF(Data2021[[#This Row],[Number of members]]&lt;400, "C. 100 - 400", IF(Data2021[[#This Row],[Number of members]]&lt;1000,"D. 400 - 1000", "E. 1000 +")))))</f>
        <v>C. 100 - 400</v>
      </c>
      <c r="J139">
        <f>IF(ISBLANK(General2021[[#This Row],[number_of_international_members_not_eea]]),"N/A",VLOOKUP(A139,General2021[[organisation_name]:[number_of_international_committee_board_members_not_eea]],9,FALSE))</f>
        <v>20</v>
      </c>
      <c r="K139">
        <f>IF(ISBLANK(General2021[[#This Row],[number_of_international_members_eea]]),"N/A",VLOOKUP(A139,General2021[[organisation_name]:[number_of_international_committee_board_members_not_eea]],8,FALSE))</f>
        <v>200</v>
      </c>
      <c r="L139" t="str">
        <f>IFERROR(IF(Data2021[[#This Row],[Number of members]]-Data2021[[#This Row],[Non-EEA Total]]-Data2021[[#This Row],[EEA total]]&lt;1,"N/A", Data2021[[#This Row],[Number of members]]-Data2021[[#This Row],[Non-EEA Total]]-Data2021[[#This Row],[EEA total]]),"N/A")</f>
        <v>N/A</v>
      </c>
      <c r="M139">
        <f>VLOOKUP(A139,General2021[[organisation_name]:[number_of_international_committee_board_members_not_eea]],12,FALSE)</f>
        <v>20</v>
      </c>
      <c r="N139">
        <f>VLOOKUP(A139,General2021[[organisation_name]:[number_of_international_committee_board_members_not_eea]],11,FALSE)</f>
        <v>5</v>
      </c>
      <c r="O139" t="str">
        <f>IFERROR(IF(Data2021[[#This Row],[Number of active members]]-Data2021[[#This Row],[Non-EEA Active ]]-Data2021[[#This Row],[EEA Active]]&lt;1,"N/A", Data2021[[#This Row],[Number of active members]]-Data2021[[#This Row],[Non-EEA Active ]]-Data2021[[#This Row],[EEA Active]]),"N/A")</f>
        <v>N/A</v>
      </c>
      <c r="P139">
        <f>IFERROR(Data2021[[#This Row],[Non-EEA Active ]]/Data2021[[#This Row],[Number of active members]],"N/A")</f>
        <v>1.3333333333333333</v>
      </c>
      <c r="Q139">
        <f>IFERROR(Data2021[[#This Row],[EEA Active]]/Data2021[[#This Row],[EEA total]], "N/A")</f>
        <v>2.5000000000000001E-2</v>
      </c>
      <c r="R139" t="str">
        <f>IFERROR(Data2021[[#This Row],[Dutch Active]]/Data2021[[#This Row],[Dutch total]],"N/A")</f>
        <v>N/A</v>
      </c>
      <c r="S139" t="str">
        <f>IFERROR(IF(Data2021[[#This Row],[Number of members]]=Data2021[[#This Row],[Non-EEA Total]]+Data2021[[#This Row],[EEA total]]+Data2021[[#This Row],[Dutch total]],"T","F"),"F")</f>
        <v>F</v>
      </c>
      <c r="T139" t="str">
        <f>IFERROR(IF(Data2021[[#This Row],[Number of active members]]=Data2021[[#This Row],[Non-EEA Active ]]+Data2021[[#This Row],[EEA Active]]+Data2021[[#This Row],[Dutch Active]],"T","F"),"F")</f>
        <v>F</v>
      </c>
      <c r="U139" t="str">
        <f>IFERROR(IF(Data2021[[#This Row],[Number of members]]-Data2021[[#This Row],[Non-EEA Active ]]-Data2021[[#This Row],[EEA Active]]-Data2021[[#This Row],[Dutch Active]]=Data2021[[#This Row],[Number of  inactive members]],"T","F"),"F")</f>
        <v>F</v>
      </c>
      <c r="V139" t="str">
        <f>IF(Data2021[[#This Row],[EEA Active]]&lt;=Data2021[[#This Row],[EEA total]],"T","F")</f>
        <v>T</v>
      </c>
      <c r="W139" t="str">
        <f>IF(Data2021[[#This Row],[Dutch Active]]&lt;=Data2021[[#This Row],[Dutch total]],"T","F")</f>
        <v>T</v>
      </c>
      <c r="X139" t="str">
        <f>IF(Data2021[[#This Row],[Non-EEA Active ]]&lt;=Data2021[[#This Row],[Non-EEA Total]],"T","F")</f>
        <v>T</v>
      </c>
      <c r="Z139">
        <f>IFERROR(VLOOKUP(Data2021[[#This Row],[organisation_name]],'Division Study Year Committees'!$A$1:$L$108,2,FALSE),"N/A")</f>
        <v>5</v>
      </c>
      <c r="AA139">
        <f>IFERROR(VLOOKUP(Data2021[[#This Row],[organisation_name]],'Division Study Year Committees'!$A$1:$L$108,3,FALSE),"N/A")</f>
        <v>1</v>
      </c>
      <c r="AB139">
        <f>IFERROR(VLOOKUP(Data2021[[#This Row],[organisation_name]],'Division Study Year Committees'!$A$1:$L$108,4,FALSE),"N/A")</f>
        <v>2</v>
      </c>
      <c r="AC139">
        <f>IFERROR(VLOOKUP(Data2021[[#This Row],[organisation_name]],'Division Study Year Committees'!$A$1:$L$108,5,FALSE), "N/A")</f>
        <v>0</v>
      </c>
      <c r="AD139">
        <f>IFERROR(VLOOKUP(Data2021[[#This Row],[organisation_name]],'Division Study Year Committees'!$A$1:$L$108,6,FALSE), "N/A")</f>
        <v>0</v>
      </c>
      <c r="AE139">
        <f>SUM(Data2021[[#This Row],[Number of first year comittee members]:[Number of 4+ year comittee members]])</f>
        <v>8</v>
      </c>
      <c r="AF139">
        <f>COUNTIF('Comittee2021'!D:D,Data2021[[#This Row],[organisation_name]])</f>
        <v>3</v>
      </c>
      <c r="AG139">
        <f>COUNTIFS('Comittee2021'!$D:$D,Data2021[[#This Row],[organisation_name]],'Comittee2021'!$O:$O,"strong decrease")</f>
        <v>0</v>
      </c>
      <c r="AH139">
        <f>COUNTIFS('Comittee2021'!$D:$D,Data2021[[#This Row],[organisation_name]],'Comittee2021'!$O:$O,"slight decrease")</f>
        <v>0</v>
      </c>
      <c r="AI139">
        <f>COUNTIFS('Comittee2021'!$D:$D,Data2021[[#This Row],[organisation_name]],'Comittee2021'!$O:$O,"no influence")</f>
        <v>3</v>
      </c>
      <c r="AJ139">
        <f>COUNTIFS('Comittee2021'!$D:$D,Data2021[[#This Row],[organisation_name]],'Comittee2021'!$O:$O,"slight increase")</f>
        <v>0</v>
      </c>
      <c r="AK139">
        <f>COUNTIFS('Comittee2021'!$D:$D,Data2021[[#This Row],[organisation_name]],'Comittee2021'!$O:$O,"strong increase")</f>
        <v>0</v>
      </c>
      <c r="AL139">
        <v>2021</v>
      </c>
    </row>
    <row r="140" spans="1:38" x14ac:dyDescent="0.3">
      <c r="A140" t="str">
        <f>General2021[[#This Row],[organisation_name]]</f>
        <v>Ultimate Frisbee Twente</v>
      </c>
      <c r="B140" t="str">
        <f>IF(General2021[[#This Row],[sector]]= "",VLOOKUP(Data2021[[#This Row],[organisation_name]],'Response Rate sheet'!A:D,3,FALSE),General2021[[#This Row],[sector]])</f>
        <v>Sports</v>
      </c>
      <c r="C140" t="str">
        <f>General2021[[#This Row],[organisation_type]]</f>
        <v>association</v>
      </c>
      <c r="D140" t="str">
        <f>IF(ISBLANK(General2021[[#This Row],[number_of_members]]),"N/A",VLOOKUP(A140,General2021[[organisation_name]:[number_of_international_committee_board_members_not_eea]],6,FALSE))</f>
        <v>N/A</v>
      </c>
      <c r="E140" t="str">
        <f>IF(ISBLANK(General2021[[#This Row],[number_of_committee_board_members]]),"N/A",VLOOKUP(A140,General2021!B:M,10,FALSE))</f>
        <v>N/A</v>
      </c>
      <c r="F140" t="str">
        <f>IFERROR(Data2021[[#This Row],[Number of members]]-Data2021[[#This Row],[Number of active members]], "N/A")</f>
        <v>N/A</v>
      </c>
      <c r="G140" t="str">
        <f>IFERROR(Data2021[[#This Row],[Number of active members]]/Data2021[[#This Row],[Number of members]], "N/A")</f>
        <v>N/A</v>
      </c>
      <c r="H140" t="str">
        <f>IFERROR(1-Data2021[[#This Row],[Percentage active members]],"N/A")</f>
        <v>N/A</v>
      </c>
      <c r="I140" t="str">
        <f>IF(Data2021[[#This Row],[Number of members]]=0,"N/A",IF(Data2021[[#This Row],[Number of members]]&lt;50," A. 1 - 50 ",IF(Data2021[[#This Row],[Number of members]]&lt;100, "B. 50 - 100", IF(Data2021[[#This Row],[Number of members]]&lt;400, "C. 100 - 400", IF(Data2021[[#This Row],[Number of members]]&lt;1000,"D. 400 - 1000", "E. 1000 +")))))</f>
        <v>E. 1000 +</v>
      </c>
      <c r="J140" t="str">
        <f>IF(ISBLANK(General2021[[#This Row],[number_of_international_members_not_eea]]),"N/A",VLOOKUP(A140,General2021[[organisation_name]:[number_of_international_committee_board_members_not_eea]],9,FALSE))</f>
        <v>N/A</v>
      </c>
      <c r="K140" t="str">
        <f>IF(ISBLANK(General2021[[#This Row],[number_of_international_members_eea]]),"N/A",VLOOKUP(A140,General2021[[organisation_name]:[number_of_international_committee_board_members_not_eea]],8,FALSE))</f>
        <v>N/A</v>
      </c>
      <c r="L140" t="str">
        <f>IFERROR(IF(Data2021[[#This Row],[Number of members]]-Data2021[[#This Row],[Non-EEA Total]]-Data2021[[#This Row],[EEA total]]&lt;1,"N/A", Data2021[[#This Row],[Number of members]]-Data2021[[#This Row],[Non-EEA Total]]-Data2021[[#This Row],[EEA total]]),"N/A")</f>
        <v>N/A</v>
      </c>
      <c r="M140">
        <f>VLOOKUP(A140,General2021[[organisation_name]:[number_of_international_committee_board_members_not_eea]],12,FALSE)</f>
        <v>0</v>
      </c>
      <c r="N140">
        <f>VLOOKUP(A140,General2021[[organisation_name]:[number_of_international_committee_board_members_not_eea]],11,FALSE)</f>
        <v>0</v>
      </c>
      <c r="O140" t="str">
        <f>IFERROR(IF(Data2021[[#This Row],[Number of active members]]-Data2021[[#This Row],[Non-EEA Active ]]-Data2021[[#This Row],[EEA Active]]&lt;1,"N/A", Data2021[[#This Row],[Number of active members]]-Data2021[[#This Row],[Non-EEA Active ]]-Data2021[[#This Row],[EEA Active]]),"N/A")</f>
        <v>N/A</v>
      </c>
      <c r="P140" t="str">
        <f>IFERROR(Data2021[[#This Row],[Non-EEA Active ]]/Data2021[[#This Row],[Number of active members]],"N/A")</f>
        <v>N/A</v>
      </c>
      <c r="Q140" t="str">
        <f>IFERROR(Data2021[[#This Row],[EEA Active]]/Data2021[[#This Row],[EEA total]], "N/A")</f>
        <v>N/A</v>
      </c>
      <c r="R140" t="str">
        <f>IFERROR(Data2021[[#This Row],[Dutch Active]]/Data2021[[#This Row],[Dutch total]],"N/A")</f>
        <v>N/A</v>
      </c>
      <c r="S140" t="str">
        <f>IFERROR(IF(Data2021[[#This Row],[Number of members]]=Data2021[[#This Row],[Non-EEA Total]]+Data2021[[#This Row],[EEA total]]+Data2021[[#This Row],[Dutch total]],"T","F"),"F")</f>
        <v>F</v>
      </c>
      <c r="T140" t="str">
        <f>IFERROR(IF(Data2021[[#This Row],[Number of active members]]=Data2021[[#This Row],[Non-EEA Active ]]+Data2021[[#This Row],[EEA Active]]+Data2021[[#This Row],[Dutch Active]],"T","F"),"F")</f>
        <v>F</v>
      </c>
      <c r="U140" t="str">
        <f>IFERROR(IF(Data2021[[#This Row],[Number of members]]-Data2021[[#This Row],[Non-EEA Active ]]-Data2021[[#This Row],[EEA Active]]-Data2021[[#This Row],[Dutch Active]]=Data2021[[#This Row],[Number of  inactive members]],"T","F"),"F")</f>
        <v>F</v>
      </c>
      <c r="V140" t="str">
        <f>IF(Data2021[[#This Row],[EEA Active]]&lt;=Data2021[[#This Row],[EEA total]],"T","F")</f>
        <v>T</v>
      </c>
      <c r="W140" t="str">
        <f>IF(Data2021[[#This Row],[Dutch Active]]&lt;=Data2021[[#This Row],[Dutch total]],"T","F")</f>
        <v>T</v>
      </c>
      <c r="X140" t="str">
        <f>IF(Data2021[[#This Row],[Non-EEA Active ]]&lt;=Data2021[[#This Row],[Non-EEA Total]],"T","F")</f>
        <v>T</v>
      </c>
      <c r="Y140" t="e">
        <f>IF(OR(Data2021[[#This Row],[Test total number of members]],Data2021[[#This Row],[Test total number of active members]],Data2021[[#This Row],[Test total number inactive members]],Data2021[[#This Row],[Test max EEA active]],Data2021[[#This Row],[Test max Dutch active]],Data2021[[#This Row],[Test max non-EEA active]])="F",0,1)</f>
        <v>#VALUE!</v>
      </c>
      <c r="Z140" t="str">
        <f>IFERROR(VLOOKUP(Data2021[[#This Row],[organisation_name]],'Division Study Year Committees'!$A$1:$L$108,2,FALSE),"N/A")</f>
        <v>N/A</v>
      </c>
      <c r="AA140" t="str">
        <f>IFERROR(VLOOKUP(Data2021[[#This Row],[organisation_name]],'Division Study Year Committees'!$A$1:$L$108,3,FALSE),"N/A")</f>
        <v>N/A</v>
      </c>
      <c r="AB140" t="str">
        <f>IFERROR(VLOOKUP(Data2021[[#This Row],[organisation_name]],'Division Study Year Committees'!$A$1:$L$108,4,FALSE),"N/A")</f>
        <v>N/A</v>
      </c>
      <c r="AC140" t="str">
        <f>IFERROR(VLOOKUP(Data2021[[#This Row],[organisation_name]],'Division Study Year Committees'!$A$1:$L$108,5,FALSE), "N/A")</f>
        <v>N/A</v>
      </c>
      <c r="AD140" t="str">
        <f>IFERROR(VLOOKUP(Data2021[[#This Row],[organisation_name]],'Division Study Year Committees'!$A$1:$L$108,6,FALSE), "N/A")</f>
        <v>N/A</v>
      </c>
      <c r="AE140">
        <f>SUM(Data2021[[#This Row],[Number of first year comittee members]:[Number of 4+ year comittee members]])</f>
        <v>0</v>
      </c>
      <c r="AF140">
        <f>COUNTIF('Comittee2021'!D:D,Data2021[[#This Row],[organisation_name]])</f>
        <v>0</v>
      </c>
      <c r="AG140">
        <f>COUNTIFS('Comittee2021'!$D:$D,Data2021[[#This Row],[organisation_name]],'Comittee2021'!$O:$O,"strong decrease")</f>
        <v>0</v>
      </c>
      <c r="AH140">
        <f>COUNTIFS('Comittee2021'!$D:$D,Data2021[[#This Row],[organisation_name]],'Comittee2021'!$O:$O,"slight decrease")</f>
        <v>0</v>
      </c>
      <c r="AI140">
        <f>COUNTIFS('Comittee2021'!$D:$D,Data2021[[#This Row],[organisation_name]],'Comittee2021'!$O:$O,"no influence")</f>
        <v>0</v>
      </c>
      <c r="AJ140">
        <f>COUNTIFS('Comittee2021'!$D:$D,Data2021[[#This Row],[organisation_name]],'Comittee2021'!$O:$O,"slight increase")</f>
        <v>0</v>
      </c>
      <c r="AK140">
        <f>COUNTIFS('Comittee2021'!$D:$D,Data2021[[#This Row],[organisation_name]],'Comittee2021'!$O:$O,"strong increase")</f>
        <v>0</v>
      </c>
      <c r="AL140">
        <v>2021</v>
      </c>
    </row>
  </sheetData>
  <sheetProtection selectLockedCells="1" autoFilter="0" pivotTables="0" selectUnlockedCells="1"/>
  <sortState xmlns:xlrd2="http://schemas.microsoft.com/office/spreadsheetml/2017/richdata2" ref="P3:Q12">
    <sortCondition descending="1" ref="Q3"/>
  </sortState>
  <phoneticPr fontId="0"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BD705-16FC-4A8C-9ACD-FDEDE5B182D7}">
  <sheetPr codeName="Sheet18">
    <tabColor rgb="FFF2F0F5"/>
  </sheetPr>
  <dimension ref="A1:M140"/>
  <sheetViews>
    <sheetView workbookViewId="0">
      <pane ySplit="1" topLeftCell="A2" activePane="bottomLeft" state="frozen"/>
      <selection activeCell="K39" sqref="K39"/>
      <selection pane="bottomLeft" activeCell="K39" sqref="K39"/>
    </sheetView>
  </sheetViews>
  <sheetFormatPr defaultRowHeight="14.4" x14ac:dyDescent="0.3"/>
  <cols>
    <col min="1" max="1" width="16.33203125" bestFit="1" customWidth="1"/>
    <col min="2" max="2" width="35.44140625" bestFit="1" customWidth="1"/>
    <col min="3" max="3" width="18.5546875" bestFit="1" customWidth="1"/>
    <col min="4" max="4" width="32.5546875" bestFit="1" customWidth="1"/>
    <col min="5" max="5" width="19.88671875" bestFit="1" customWidth="1"/>
    <col min="6" max="6" width="8.33203125" bestFit="1" customWidth="1"/>
    <col min="7" max="7" width="21.6640625" bestFit="1" customWidth="1"/>
    <col min="8" max="8" width="45.88671875" bestFit="1" customWidth="1"/>
    <col min="9" max="9" width="38" bestFit="1" customWidth="1"/>
    <col min="10" max="10" width="42" bestFit="1" customWidth="1"/>
    <col min="11" max="11" width="38.33203125" bestFit="1" customWidth="1"/>
    <col min="12" max="12" width="54.5546875" bestFit="1" customWidth="1"/>
    <col min="13" max="13" width="58.5546875" bestFit="1" customWidth="1"/>
  </cols>
  <sheetData>
    <row r="1" spans="1:13" s="5" customFormat="1" x14ac:dyDescent="0.3">
      <c r="A1" s="5" t="s">
        <v>0</v>
      </c>
      <c r="B1" s="5" t="s">
        <v>1</v>
      </c>
      <c r="C1" s="5" t="s">
        <v>2</v>
      </c>
      <c r="D1" s="5" t="s">
        <v>3</v>
      </c>
      <c r="E1" s="5" t="s">
        <v>4</v>
      </c>
      <c r="F1" s="5" t="s">
        <v>5</v>
      </c>
      <c r="G1" s="5" t="s">
        <v>6</v>
      </c>
      <c r="H1" s="5" t="s">
        <v>7</v>
      </c>
      <c r="I1" s="5" t="s">
        <v>8</v>
      </c>
      <c r="J1" s="5" t="s">
        <v>9</v>
      </c>
      <c r="K1" s="5" t="s">
        <v>10</v>
      </c>
      <c r="L1" s="5" t="s">
        <v>11</v>
      </c>
      <c r="M1" s="5" t="s">
        <v>12</v>
      </c>
    </row>
    <row r="2" spans="1:13" x14ac:dyDescent="0.3">
      <c r="A2">
        <v>107</v>
      </c>
      <c r="B2" t="s">
        <v>13</v>
      </c>
      <c r="C2" t="s">
        <v>14</v>
      </c>
      <c r="D2" t="s">
        <v>15</v>
      </c>
      <c r="E2" t="s">
        <v>16</v>
      </c>
      <c r="F2" t="s">
        <v>17</v>
      </c>
      <c r="G2">
        <v>60</v>
      </c>
      <c r="I2">
        <v>1</v>
      </c>
      <c r="J2">
        <v>10</v>
      </c>
      <c r="K2">
        <v>2</v>
      </c>
    </row>
    <row r="3" spans="1:13" x14ac:dyDescent="0.3">
      <c r="A3">
        <v>108</v>
      </c>
      <c r="B3" t="s">
        <v>18</v>
      </c>
      <c r="C3" t="s">
        <v>14</v>
      </c>
      <c r="D3" t="s">
        <v>19</v>
      </c>
      <c r="E3" t="s">
        <v>16</v>
      </c>
      <c r="F3" t="s">
        <v>20</v>
      </c>
      <c r="G3">
        <v>99</v>
      </c>
      <c r="H3">
        <v>6</v>
      </c>
      <c r="I3">
        <v>1</v>
      </c>
      <c r="J3">
        <v>40</v>
      </c>
      <c r="K3">
        <v>10</v>
      </c>
      <c r="L3">
        <v>0</v>
      </c>
      <c r="M3">
        <v>1</v>
      </c>
    </row>
    <row r="4" spans="1:13" x14ac:dyDescent="0.3">
      <c r="A4">
        <v>110</v>
      </c>
      <c r="B4" t="s">
        <v>21</v>
      </c>
      <c r="C4" t="s">
        <v>14</v>
      </c>
      <c r="D4" t="s">
        <v>22</v>
      </c>
      <c r="E4" t="s">
        <v>16</v>
      </c>
      <c r="F4" t="s">
        <v>1116</v>
      </c>
    </row>
    <row r="5" spans="1:13" x14ac:dyDescent="0.3">
      <c r="A5">
        <v>111</v>
      </c>
      <c r="B5" t="s">
        <v>23</v>
      </c>
      <c r="C5" t="s">
        <v>14</v>
      </c>
      <c r="D5" t="s">
        <v>24</v>
      </c>
      <c r="E5" t="s">
        <v>16</v>
      </c>
      <c r="F5" t="s">
        <v>20</v>
      </c>
      <c r="G5">
        <v>58</v>
      </c>
      <c r="H5">
        <v>8</v>
      </c>
      <c r="I5">
        <v>1</v>
      </c>
      <c r="J5">
        <v>18</v>
      </c>
      <c r="K5">
        <v>10</v>
      </c>
      <c r="L5">
        <v>1</v>
      </c>
      <c r="M5">
        <v>0</v>
      </c>
    </row>
    <row r="6" spans="1:13" x14ac:dyDescent="0.3">
      <c r="A6">
        <v>112</v>
      </c>
      <c r="B6" t="s">
        <v>25</v>
      </c>
      <c r="C6" t="s">
        <v>14</v>
      </c>
      <c r="D6" t="s">
        <v>26</v>
      </c>
      <c r="E6" t="s">
        <v>16</v>
      </c>
      <c r="F6" t="s">
        <v>20</v>
      </c>
      <c r="G6">
        <v>232</v>
      </c>
      <c r="H6">
        <v>2</v>
      </c>
      <c r="I6">
        <v>0</v>
      </c>
      <c r="J6">
        <v>56</v>
      </c>
      <c r="K6">
        <v>40</v>
      </c>
      <c r="L6">
        <v>0</v>
      </c>
      <c r="M6">
        <v>0</v>
      </c>
    </row>
    <row r="7" spans="1:13" x14ac:dyDescent="0.3">
      <c r="A7">
        <v>113</v>
      </c>
      <c r="B7" t="s">
        <v>27</v>
      </c>
      <c r="C7" t="s">
        <v>14</v>
      </c>
      <c r="D7" t="s">
        <v>28</v>
      </c>
      <c r="E7" t="s">
        <v>16</v>
      </c>
      <c r="F7" t="s">
        <v>20</v>
      </c>
      <c r="G7">
        <v>32</v>
      </c>
      <c r="H7">
        <v>27</v>
      </c>
      <c r="I7">
        <v>5</v>
      </c>
      <c r="J7">
        <v>7</v>
      </c>
      <c r="K7">
        <v>7</v>
      </c>
      <c r="L7">
        <v>14</v>
      </c>
      <c r="M7">
        <v>0</v>
      </c>
    </row>
    <row r="8" spans="1:13" x14ac:dyDescent="0.3">
      <c r="A8">
        <v>114</v>
      </c>
      <c r="B8" t="s">
        <v>29</v>
      </c>
      <c r="C8" t="s">
        <v>14</v>
      </c>
      <c r="D8" t="s">
        <v>30</v>
      </c>
      <c r="E8" t="s">
        <v>16</v>
      </c>
      <c r="F8" t="s">
        <v>20</v>
      </c>
      <c r="G8">
        <v>170</v>
      </c>
      <c r="H8">
        <v>10</v>
      </c>
      <c r="I8">
        <v>2</v>
      </c>
      <c r="J8">
        <v>25</v>
      </c>
      <c r="K8">
        <v>50</v>
      </c>
      <c r="L8">
        <v>6</v>
      </c>
      <c r="M8">
        <v>1</v>
      </c>
    </row>
    <row r="9" spans="1:13" x14ac:dyDescent="0.3">
      <c r="A9">
        <v>115</v>
      </c>
      <c r="B9" t="s">
        <v>31</v>
      </c>
      <c r="C9" t="s">
        <v>14</v>
      </c>
      <c r="D9" t="s">
        <v>32</v>
      </c>
      <c r="E9" t="s">
        <v>16</v>
      </c>
      <c r="F9" t="s">
        <v>1116</v>
      </c>
    </row>
    <row r="10" spans="1:13" x14ac:dyDescent="0.3">
      <c r="A10">
        <v>116</v>
      </c>
      <c r="B10" t="s">
        <v>33</v>
      </c>
      <c r="C10" t="s">
        <v>14</v>
      </c>
      <c r="D10" t="s">
        <v>34</v>
      </c>
      <c r="E10" t="s">
        <v>16</v>
      </c>
      <c r="F10" t="s">
        <v>1116</v>
      </c>
    </row>
    <row r="11" spans="1:13" x14ac:dyDescent="0.3">
      <c r="A11">
        <v>117</v>
      </c>
      <c r="B11" t="s">
        <v>35</v>
      </c>
      <c r="C11" t="s">
        <v>14</v>
      </c>
      <c r="D11" t="s">
        <v>36</v>
      </c>
      <c r="E11" t="s">
        <v>16</v>
      </c>
      <c r="F11" t="s">
        <v>20</v>
      </c>
      <c r="G11">
        <v>40</v>
      </c>
      <c r="H11">
        <v>3</v>
      </c>
      <c r="I11">
        <v>3</v>
      </c>
      <c r="J11">
        <v>14</v>
      </c>
      <c r="K11">
        <v>6</v>
      </c>
      <c r="L11">
        <v>0</v>
      </c>
      <c r="M11">
        <v>0</v>
      </c>
    </row>
    <row r="12" spans="1:13" x14ac:dyDescent="0.3">
      <c r="A12">
        <v>118</v>
      </c>
      <c r="B12" t="s">
        <v>37</v>
      </c>
      <c r="C12" t="s">
        <v>14</v>
      </c>
      <c r="D12" t="s">
        <v>38</v>
      </c>
      <c r="E12" t="s">
        <v>16</v>
      </c>
      <c r="F12" t="s">
        <v>20</v>
      </c>
      <c r="G12">
        <v>245</v>
      </c>
      <c r="H12">
        <v>8</v>
      </c>
      <c r="I12">
        <v>4</v>
      </c>
      <c r="J12">
        <v>1</v>
      </c>
      <c r="K12">
        <v>75</v>
      </c>
      <c r="L12">
        <v>3</v>
      </c>
      <c r="M12">
        <v>1</v>
      </c>
    </row>
    <row r="13" spans="1:13" x14ac:dyDescent="0.3">
      <c r="A13">
        <v>119</v>
      </c>
      <c r="B13" t="s">
        <v>39</v>
      </c>
      <c r="C13" t="s">
        <v>14</v>
      </c>
      <c r="D13" t="s">
        <v>40</v>
      </c>
      <c r="E13" t="s">
        <v>16</v>
      </c>
      <c r="F13" t="s">
        <v>1116</v>
      </c>
    </row>
    <row r="14" spans="1:13" x14ac:dyDescent="0.3">
      <c r="A14">
        <v>120</v>
      </c>
      <c r="B14" t="s">
        <v>41</v>
      </c>
      <c r="C14" t="s">
        <v>14</v>
      </c>
      <c r="D14" t="s">
        <v>42</v>
      </c>
      <c r="E14" t="s">
        <v>16</v>
      </c>
      <c r="F14" t="s">
        <v>20</v>
      </c>
      <c r="G14">
        <v>337</v>
      </c>
      <c r="H14">
        <v>4</v>
      </c>
      <c r="I14">
        <v>3</v>
      </c>
      <c r="J14">
        <v>120</v>
      </c>
      <c r="K14">
        <v>20</v>
      </c>
      <c r="L14">
        <v>1</v>
      </c>
      <c r="M14">
        <v>0</v>
      </c>
    </row>
    <row r="15" spans="1:13" x14ac:dyDescent="0.3">
      <c r="A15">
        <v>121</v>
      </c>
      <c r="B15" t="s">
        <v>43</v>
      </c>
      <c r="C15" t="s">
        <v>14</v>
      </c>
      <c r="D15" t="s">
        <v>44</v>
      </c>
      <c r="E15" t="s">
        <v>16</v>
      </c>
      <c r="F15" t="s">
        <v>20</v>
      </c>
      <c r="G15">
        <v>64</v>
      </c>
      <c r="H15">
        <v>19</v>
      </c>
      <c r="I15">
        <v>11</v>
      </c>
      <c r="J15">
        <v>20</v>
      </c>
      <c r="K15">
        <v>25</v>
      </c>
      <c r="L15">
        <v>5</v>
      </c>
      <c r="M15">
        <v>3</v>
      </c>
    </row>
    <row r="16" spans="1:13" x14ac:dyDescent="0.3">
      <c r="A16">
        <v>122</v>
      </c>
      <c r="B16" t="s">
        <v>45</v>
      </c>
      <c r="C16" t="s">
        <v>14</v>
      </c>
      <c r="D16" t="s">
        <v>46</v>
      </c>
      <c r="E16" t="s">
        <v>16</v>
      </c>
      <c r="F16" t="s">
        <v>1116</v>
      </c>
    </row>
    <row r="17" spans="1:13" x14ac:dyDescent="0.3">
      <c r="A17">
        <v>123</v>
      </c>
      <c r="B17" t="s">
        <v>47</v>
      </c>
      <c r="C17" t="s">
        <v>14</v>
      </c>
      <c r="D17" t="s">
        <v>48</v>
      </c>
      <c r="E17" t="s">
        <v>16</v>
      </c>
      <c r="F17" t="s">
        <v>20</v>
      </c>
      <c r="G17">
        <v>62</v>
      </c>
      <c r="H17">
        <v>8</v>
      </c>
      <c r="I17">
        <v>3</v>
      </c>
      <c r="J17">
        <v>25</v>
      </c>
      <c r="K17">
        <v>0</v>
      </c>
      <c r="L17">
        <v>4</v>
      </c>
    </row>
    <row r="18" spans="1:13" x14ac:dyDescent="0.3">
      <c r="A18">
        <v>124</v>
      </c>
      <c r="B18" t="s">
        <v>49</v>
      </c>
      <c r="C18" t="s">
        <v>14</v>
      </c>
      <c r="D18" t="s">
        <v>50</v>
      </c>
      <c r="E18" t="s">
        <v>16</v>
      </c>
      <c r="F18" t="s">
        <v>20</v>
      </c>
      <c r="G18">
        <v>56</v>
      </c>
      <c r="H18">
        <v>0</v>
      </c>
      <c r="I18">
        <v>0</v>
      </c>
      <c r="J18">
        <v>25</v>
      </c>
      <c r="K18">
        <v>2</v>
      </c>
      <c r="L18">
        <v>0</v>
      </c>
      <c r="M18">
        <v>0</v>
      </c>
    </row>
    <row r="19" spans="1:13" x14ac:dyDescent="0.3">
      <c r="A19">
        <v>125</v>
      </c>
      <c r="B19" t="s">
        <v>51</v>
      </c>
      <c r="C19" t="s">
        <v>14</v>
      </c>
      <c r="D19" t="s">
        <v>52</v>
      </c>
      <c r="E19" t="s">
        <v>16</v>
      </c>
      <c r="F19" t="s">
        <v>20</v>
      </c>
      <c r="G19">
        <v>70</v>
      </c>
      <c r="H19">
        <v>10</v>
      </c>
      <c r="I19">
        <v>10</v>
      </c>
      <c r="J19">
        <v>20</v>
      </c>
      <c r="K19">
        <v>30</v>
      </c>
      <c r="L19">
        <v>3</v>
      </c>
      <c r="M19">
        <v>5</v>
      </c>
    </row>
    <row r="20" spans="1:13" x14ac:dyDescent="0.3">
      <c r="A20">
        <v>126</v>
      </c>
      <c r="B20" t="s">
        <v>53</v>
      </c>
      <c r="C20" t="s">
        <v>14</v>
      </c>
      <c r="D20" t="s">
        <v>54</v>
      </c>
      <c r="E20" t="s">
        <v>16</v>
      </c>
      <c r="F20" t="s">
        <v>20</v>
      </c>
      <c r="G20">
        <v>41</v>
      </c>
      <c r="H20">
        <v>3</v>
      </c>
      <c r="I20">
        <v>1</v>
      </c>
      <c r="J20">
        <v>11</v>
      </c>
      <c r="K20">
        <v>5</v>
      </c>
      <c r="L20">
        <v>1</v>
      </c>
      <c r="M20">
        <v>0</v>
      </c>
    </row>
    <row r="21" spans="1:13" x14ac:dyDescent="0.3">
      <c r="A21">
        <v>127</v>
      </c>
      <c r="B21" t="s">
        <v>55</v>
      </c>
      <c r="C21" t="s">
        <v>14</v>
      </c>
      <c r="D21" t="s">
        <v>56</v>
      </c>
      <c r="E21" t="s">
        <v>16</v>
      </c>
      <c r="F21" t="s">
        <v>20</v>
      </c>
      <c r="G21">
        <v>65</v>
      </c>
      <c r="H21">
        <v>10</v>
      </c>
      <c r="I21">
        <v>3</v>
      </c>
      <c r="J21">
        <v>18</v>
      </c>
      <c r="K21">
        <v>20</v>
      </c>
      <c r="L21">
        <v>1</v>
      </c>
      <c r="M21">
        <v>1</v>
      </c>
    </row>
    <row r="22" spans="1:13" x14ac:dyDescent="0.3">
      <c r="A22">
        <v>128</v>
      </c>
      <c r="B22" t="s">
        <v>57</v>
      </c>
      <c r="C22" t="s">
        <v>14</v>
      </c>
      <c r="D22" t="s">
        <v>58</v>
      </c>
      <c r="E22" t="s">
        <v>16</v>
      </c>
      <c r="F22" t="s">
        <v>1116</v>
      </c>
    </row>
    <row r="23" spans="1:13" x14ac:dyDescent="0.3">
      <c r="A23">
        <v>129</v>
      </c>
      <c r="B23" t="s">
        <v>59</v>
      </c>
      <c r="C23" t="s">
        <v>14</v>
      </c>
      <c r="D23" t="s">
        <v>60</v>
      </c>
      <c r="E23" t="s">
        <v>16</v>
      </c>
      <c r="F23" t="s">
        <v>1116</v>
      </c>
    </row>
    <row r="24" spans="1:13" x14ac:dyDescent="0.3">
      <c r="A24">
        <v>130</v>
      </c>
      <c r="B24" t="s">
        <v>61</v>
      </c>
      <c r="C24" t="s">
        <v>14</v>
      </c>
      <c r="D24" t="s">
        <v>62</v>
      </c>
      <c r="E24" t="s">
        <v>16</v>
      </c>
      <c r="F24" t="s">
        <v>20</v>
      </c>
      <c r="G24">
        <v>56</v>
      </c>
      <c r="H24">
        <v>0</v>
      </c>
      <c r="I24">
        <v>0</v>
      </c>
      <c r="J24">
        <v>32</v>
      </c>
      <c r="K24">
        <v>4</v>
      </c>
      <c r="L24">
        <v>0</v>
      </c>
      <c r="M24">
        <v>0</v>
      </c>
    </row>
    <row r="25" spans="1:13" x14ac:dyDescent="0.3">
      <c r="A25">
        <v>131</v>
      </c>
      <c r="B25" t="s">
        <v>63</v>
      </c>
      <c r="C25" t="s">
        <v>14</v>
      </c>
      <c r="D25" t="s">
        <v>64</v>
      </c>
      <c r="E25" t="s">
        <v>16</v>
      </c>
      <c r="F25" t="s">
        <v>20</v>
      </c>
      <c r="G25">
        <v>41</v>
      </c>
      <c r="H25">
        <v>1</v>
      </c>
      <c r="I25">
        <v>7</v>
      </c>
      <c r="J25">
        <v>12</v>
      </c>
      <c r="K25">
        <v>5</v>
      </c>
      <c r="L25">
        <v>0</v>
      </c>
      <c r="M25">
        <v>1</v>
      </c>
    </row>
    <row r="26" spans="1:13" x14ac:dyDescent="0.3">
      <c r="A26">
        <v>132</v>
      </c>
      <c r="B26" t="s">
        <v>65</v>
      </c>
      <c r="C26" t="s">
        <v>14</v>
      </c>
      <c r="D26" t="s">
        <v>66</v>
      </c>
      <c r="E26" t="s">
        <v>16</v>
      </c>
      <c r="F26" t="s">
        <v>1116</v>
      </c>
    </row>
    <row r="27" spans="1:13" x14ac:dyDescent="0.3">
      <c r="A27">
        <v>133</v>
      </c>
      <c r="B27" t="s">
        <v>67</v>
      </c>
      <c r="C27" t="s">
        <v>14</v>
      </c>
      <c r="D27" t="s">
        <v>68</v>
      </c>
      <c r="E27" t="s">
        <v>16</v>
      </c>
      <c r="F27" t="s">
        <v>1116</v>
      </c>
    </row>
    <row r="28" spans="1:13" x14ac:dyDescent="0.3">
      <c r="A28">
        <v>134</v>
      </c>
      <c r="B28" t="s">
        <v>69</v>
      </c>
      <c r="C28" t="s">
        <v>14</v>
      </c>
      <c r="D28" t="s">
        <v>70</v>
      </c>
      <c r="E28" t="s">
        <v>16</v>
      </c>
      <c r="F28" t="s">
        <v>1116</v>
      </c>
    </row>
    <row r="29" spans="1:13" x14ac:dyDescent="0.3">
      <c r="A29">
        <v>135</v>
      </c>
      <c r="B29" t="s">
        <v>71</v>
      </c>
      <c r="C29" t="s">
        <v>14</v>
      </c>
      <c r="D29" t="s">
        <v>72</v>
      </c>
      <c r="E29" t="s">
        <v>16</v>
      </c>
      <c r="F29" t="s">
        <v>20</v>
      </c>
      <c r="G29">
        <v>210</v>
      </c>
      <c r="H29">
        <v>30</v>
      </c>
      <c r="I29">
        <v>10</v>
      </c>
      <c r="J29">
        <v>43</v>
      </c>
      <c r="K29">
        <v>60</v>
      </c>
      <c r="L29">
        <v>10</v>
      </c>
      <c r="M29">
        <v>4</v>
      </c>
    </row>
    <row r="30" spans="1:13" x14ac:dyDescent="0.3">
      <c r="A30">
        <v>136</v>
      </c>
      <c r="B30" t="s">
        <v>73</v>
      </c>
      <c r="C30" t="s">
        <v>14</v>
      </c>
      <c r="D30" t="s">
        <v>74</v>
      </c>
      <c r="E30" t="s">
        <v>16</v>
      </c>
      <c r="F30" t="s">
        <v>20</v>
      </c>
      <c r="G30">
        <v>109</v>
      </c>
      <c r="H30">
        <v>36</v>
      </c>
      <c r="I30">
        <v>2</v>
      </c>
      <c r="J30">
        <v>22</v>
      </c>
      <c r="K30">
        <v>6</v>
      </c>
      <c r="L30">
        <v>10</v>
      </c>
      <c r="M30">
        <v>0</v>
      </c>
    </row>
    <row r="31" spans="1:13" x14ac:dyDescent="0.3">
      <c r="A31">
        <v>137</v>
      </c>
      <c r="B31" t="s">
        <v>75</v>
      </c>
      <c r="C31" t="s">
        <v>14</v>
      </c>
      <c r="D31" t="s">
        <v>76</v>
      </c>
      <c r="E31" t="s">
        <v>16</v>
      </c>
      <c r="F31" t="s">
        <v>20</v>
      </c>
      <c r="G31">
        <v>430</v>
      </c>
      <c r="H31">
        <v>400</v>
      </c>
      <c r="I31">
        <v>30</v>
      </c>
      <c r="J31">
        <v>30</v>
      </c>
      <c r="K31">
        <v>100</v>
      </c>
      <c r="L31">
        <v>3</v>
      </c>
      <c r="M31">
        <v>0</v>
      </c>
    </row>
    <row r="32" spans="1:13" x14ac:dyDescent="0.3">
      <c r="A32">
        <v>138</v>
      </c>
      <c r="B32" t="s">
        <v>77</v>
      </c>
      <c r="C32" t="s">
        <v>14</v>
      </c>
      <c r="D32" t="s">
        <v>78</v>
      </c>
      <c r="E32" t="s">
        <v>16</v>
      </c>
      <c r="F32" t="s">
        <v>20</v>
      </c>
      <c r="G32">
        <v>420</v>
      </c>
      <c r="J32">
        <v>100</v>
      </c>
      <c r="K32">
        <v>100</v>
      </c>
    </row>
    <row r="33" spans="1:13" x14ac:dyDescent="0.3">
      <c r="A33">
        <v>139</v>
      </c>
      <c r="B33" t="s">
        <v>79</v>
      </c>
      <c r="C33" t="s">
        <v>14</v>
      </c>
      <c r="D33" t="s">
        <v>80</v>
      </c>
      <c r="E33" t="s">
        <v>16</v>
      </c>
      <c r="F33" t="s">
        <v>20</v>
      </c>
      <c r="G33">
        <v>278</v>
      </c>
      <c r="H33">
        <v>23</v>
      </c>
      <c r="I33">
        <v>7</v>
      </c>
      <c r="J33">
        <v>81</v>
      </c>
      <c r="K33">
        <v>90</v>
      </c>
      <c r="L33">
        <v>6</v>
      </c>
      <c r="M33">
        <v>2</v>
      </c>
    </row>
    <row r="34" spans="1:13" x14ac:dyDescent="0.3">
      <c r="A34">
        <v>140</v>
      </c>
      <c r="B34" t="s">
        <v>81</v>
      </c>
      <c r="C34" t="s">
        <v>14</v>
      </c>
      <c r="D34" t="s">
        <v>82</v>
      </c>
      <c r="E34" t="s">
        <v>16</v>
      </c>
      <c r="F34" t="s">
        <v>1116</v>
      </c>
    </row>
    <row r="35" spans="1:13" x14ac:dyDescent="0.3">
      <c r="A35">
        <v>141</v>
      </c>
      <c r="B35" t="s">
        <v>83</v>
      </c>
      <c r="C35" t="s">
        <v>14</v>
      </c>
      <c r="D35" t="s">
        <v>84</v>
      </c>
      <c r="E35" t="s">
        <v>16</v>
      </c>
      <c r="F35" t="s">
        <v>17</v>
      </c>
      <c r="G35">
        <v>41</v>
      </c>
      <c r="H35">
        <v>4</v>
      </c>
      <c r="I35">
        <v>0</v>
      </c>
      <c r="J35">
        <v>20</v>
      </c>
      <c r="K35">
        <v>10</v>
      </c>
      <c r="L35">
        <v>1</v>
      </c>
      <c r="M35">
        <v>0</v>
      </c>
    </row>
    <row r="36" spans="1:13" x14ac:dyDescent="0.3">
      <c r="A36">
        <v>142</v>
      </c>
      <c r="B36" t="s">
        <v>85</v>
      </c>
      <c r="C36" t="s">
        <v>14</v>
      </c>
      <c r="D36" t="s">
        <v>86</v>
      </c>
      <c r="E36" t="s">
        <v>16</v>
      </c>
      <c r="F36" t="s">
        <v>1116</v>
      </c>
    </row>
    <row r="37" spans="1:13" x14ac:dyDescent="0.3">
      <c r="A37">
        <v>143</v>
      </c>
      <c r="B37" t="s">
        <v>87</v>
      </c>
      <c r="C37" t="s">
        <v>14</v>
      </c>
      <c r="D37" t="s">
        <v>88</v>
      </c>
      <c r="E37" t="s">
        <v>16</v>
      </c>
      <c r="F37" t="s">
        <v>1116</v>
      </c>
    </row>
    <row r="38" spans="1:13" x14ac:dyDescent="0.3">
      <c r="A38">
        <v>144</v>
      </c>
      <c r="B38" t="s">
        <v>89</v>
      </c>
      <c r="C38" t="s">
        <v>14</v>
      </c>
      <c r="D38" t="s">
        <v>90</v>
      </c>
      <c r="E38" t="s">
        <v>16</v>
      </c>
      <c r="F38" t="s">
        <v>1116</v>
      </c>
    </row>
    <row r="39" spans="1:13" x14ac:dyDescent="0.3">
      <c r="A39">
        <v>145</v>
      </c>
      <c r="B39" t="s">
        <v>91</v>
      </c>
      <c r="C39" t="s">
        <v>14</v>
      </c>
      <c r="D39" t="s">
        <v>92</v>
      </c>
      <c r="E39" t="s">
        <v>16</v>
      </c>
      <c r="F39" t="s">
        <v>1116</v>
      </c>
    </row>
    <row r="40" spans="1:13" x14ac:dyDescent="0.3">
      <c r="A40">
        <v>146</v>
      </c>
      <c r="B40" t="s">
        <v>93</v>
      </c>
      <c r="C40" t="s">
        <v>14</v>
      </c>
      <c r="D40" t="s">
        <v>94</v>
      </c>
      <c r="E40" t="s">
        <v>16</v>
      </c>
      <c r="F40" t="s">
        <v>1116</v>
      </c>
    </row>
    <row r="41" spans="1:13" x14ac:dyDescent="0.3">
      <c r="A41">
        <v>147</v>
      </c>
      <c r="B41" t="s">
        <v>95</v>
      </c>
      <c r="C41" t="s">
        <v>14</v>
      </c>
      <c r="D41" t="s">
        <v>96</v>
      </c>
      <c r="E41" t="s">
        <v>16</v>
      </c>
      <c r="F41" t="s">
        <v>1116</v>
      </c>
    </row>
    <row r="42" spans="1:13" x14ac:dyDescent="0.3">
      <c r="A42">
        <v>148</v>
      </c>
      <c r="B42" t="s">
        <v>97</v>
      </c>
      <c r="C42" t="s">
        <v>14</v>
      </c>
      <c r="D42" t="s">
        <v>98</v>
      </c>
      <c r="E42" t="s">
        <v>16</v>
      </c>
      <c r="F42" t="s">
        <v>1116</v>
      </c>
    </row>
    <row r="43" spans="1:13" x14ac:dyDescent="0.3">
      <c r="A43">
        <v>149</v>
      </c>
      <c r="B43" t="s">
        <v>99</v>
      </c>
      <c r="C43" t="s">
        <v>14</v>
      </c>
      <c r="D43" t="s">
        <v>100</v>
      </c>
      <c r="E43" t="s">
        <v>16</v>
      </c>
      <c r="F43" t="s">
        <v>1116</v>
      </c>
    </row>
    <row r="44" spans="1:13" x14ac:dyDescent="0.3">
      <c r="A44">
        <v>151</v>
      </c>
      <c r="B44" t="s">
        <v>101</v>
      </c>
      <c r="C44" t="s">
        <v>14</v>
      </c>
      <c r="D44" t="s">
        <v>102</v>
      </c>
      <c r="E44" t="s">
        <v>16</v>
      </c>
      <c r="F44" t="s">
        <v>1116</v>
      </c>
    </row>
    <row r="45" spans="1:13" x14ac:dyDescent="0.3">
      <c r="A45">
        <v>152</v>
      </c>
      <c r="B45" t="s">
        <v>103</v>
      </c>
      <c r="C45" t="s">
        <v>14</v>
      </c>
      <c r="D45" t="s">
        <v>104</v>
      </c>
      <c r="E45" t="s">
        <v>16</v>
      </c>
      <c r="F45" t="s">
        <v>17</v>
      </c>
      <c r="G45">
        <v>28</v>
      </c>
      <c r="H45">
        <v>10</v>
      </c>
      <c r="I45">
        <v>4</v>
      </c>
      <c r="J45">
        <v>6</v>
      </c>
      <c r="K45">
        <v>6</v>
      </c>
      <c r="L45">
        <v>3</v>
      </c>
      <c r="M45">
        <v>1</v>
      </c>
    </row>
    <row r="46" spans="1:13" x14ac:dyDescent="0.3">
      <c r="A46">
        <v>153</v>
      </c>
      <c r="B46" t="s">
        <v>105</v>
      </c>
      <c r="C46" t="s">
        <v>14</v>
      </c>
      <c r="D46" t="s">
        <v>106</v>
      </c>
      <c r="E46" t="s">
        <v>16</v>
      </c>
      <c r="F46" t="s">
        <v>1116</v>
      </c>
    </row>
    <row r="47" spans="1:13" x14ac:dyDescent="0.3">
      <c r="A47">
        <v>154</v>
      </c>
      <c r="B47" t="s">
        <v>107</v>
      </c>
      <c r="C47" t="s">
        <v>14</v>
      </c>
      <c r="D47" t="s">
        <v>108</v>
      </c>
      <c r="E47" t="s">
        <v>16</v>
      </c>
      <c r="F47" t="s">
        <v>1116</v>
      </c>
    </row>
    <row r="48" spans="1:13" x14ac:dyDescent="0.3">
      <c r="A48">
        <v>155</v>
      </c>
      <c r="B48" t="s">
        <v>109</v>
      </c>
      <c r="C48" t="s">
        <v>14</v>
      </c>
      <c r="D48" t="s">
        <v>110</v>
      </c>
      <c r="E48" t="s">
        <v>16</v>
      </c>
      <c r="F48" t="s">
        <v>17</v>
      </c>
      <c r="G48">
        <v>32</v>
      </c>
      <c r="H48">
        <v>3</v>
      </c>
      <c r="I48">
        <v>1</v>
      </c>
      <c r="J48">
        <v>10</v>
      </c>
      <c r="K48">
        <v>5</v>
      </c>
      <c r="L48">
        <v>2</v>
      </c>
      <c r="M48">
        <v>1</v>
      </c>
    </row>
    <row r="49" spans="1:13" x14ac:dyDescent="0.3">
      <c r="A49">
        <v>156</v>
      </c>
      <c r="B49" t="s">
        <v>111</v>
      </c>
      <c r="C49" t="s">
        <v>14</v>
      </c>
      <c r="D49" t="s">
        <v>112</v>
      </c>
      <c r="E49" t="s">
        <v>16</v>
      </c>
      <c r="F49" t="s">
        <v>17</v>
      </c>
      <c r="G49">
        <v>28</v>
      </c>
      <c r="H49">
        <v>2</v>
      </c>
      <c r="I49">
        <v>2</v>
      </c>
      <c r="J49">
        <v>15</v>
      </c>
      <c r="K49">
        <v>4</v>
      </c>
      <c r="L49">
        <v>1</v>
      </c>
      <c r="M49">
        <v>0</v>
      </c>
    </row>
    <row r="50" spans="1:13" x14ac:dyDescent="0.3">
      <c r="A50">
        <v>157</v>
      </c>
      <c r="B50" t="s">
        <v>113</v>
      </c>
      <c r="C50" t="s">
        <v>14</v>
      </c>
      <c r="D50" t="s">
        <v>114</v>
      </c>
      <c r="E50" t="s">
        <v>16</v>
      </c>
      <c r="F50" t="s">
        <v>1116</v>
      </c>
    </row>
    <row r="51" spans="1:13" x14ac:dyDescent="0.3">
      <c r="A51">
        <v>158</v>
      </c>
      <c r="B51" t="s">
        <v>115</v>
      </c>
      <c r="C51" t="s">
        <v>14</v>
      </c>
      <c r="D51" t="s">
        <v>116</v>
      </c>
      <c r="E51" t="s">
        <v>16</v>
      </c>
      <c r="F51" t="s">
        <v>17</v>
      </c>
      <c r="G51">
        <v>70</v>
      </c>
      <c r="H51">
        <v>17</v>
      </c>
      <c r="I51">
        <v>0</v>
      </c>
      <c r="J51">
        <v>28</v>
      </c>
      <c r="K51">
        <v>10</v>
      </c>
      <c r="L51">
        <v>8</v>
      </c>
      <c r="M51">
        <v>0</v>
      </c>
    </row>
    <row r="52" spans="1:13" x14ac:dyDescent="0.3">
      <c r="A52">
        <v>159</v>
      </c>
      <c r="B52" t="s">
        <v>117</v>
      </c>
      <c r="C52" t="s">
        <v>14</v>
      </c>
      <c r="D52" t="s">
        <v>118</v>
      </c>
      <c r="E52" t="s">
        <v>16</v>
      </c>
      <c r="F52" t="s">
        <v>17</v>
      </c>
      <c r="G52">
        <v>39</v>
      </c>
      <c r="H52">
        <v>8</v>
      </c>
      <c r="I52">
        <v>4</v>
      </c>
      <c r="J52">
        <v>10</v>
      </c>
      <c r="K52">
        <v>5</v>
      </c>
      <c r="L52">
        <v>2</v>
      </c>
      <c r="M52">
        <v>0</v>
      </c>
    </row>
    <row r="53" spans="1:13" x14ac:dyDescent="0.3">
      <c r="A53">
        <v>160</v>
      </c>
      <c r="B53" t="s">
        <v>119</v>
      </c>
      <c r="C53" t="s">
        <v>14</v>
      </c>
      <c r="D53" t="s">
        <v>120</v>
      </c>
      <c r="E53" t="s">
        <v>16</v>
      </c>
      <c r="F53" t="s">
        <v>17</v>
      </c>
      <c r="G53">
        <v>48</v>
      </c>
      <c r="H53">
        <v>8</v>
      </c>
      <c r="I53">
        <v>6</v>
      </c>
      <c r="J53">
        <v>25</v>
      </c>
      <c r="K53">
        <v>10</v>
      </c>
      <c r="L53">
        <v>4</v>
      </c>
      <c r="M53">
        <v>2</v>
      </c>
    </row>
    <row r="54" spans="1:13" x14ac:dyDescent="0.3">
      <c r="A54">
        <v>161</v>
      </c>
      <c r="B54" t="s">
        <v>121</v>
      </c>
      <c r="C54" t="s">
        <v>14</v>
      </c>
      <c r="D54" t="s">
        <v>122</v>
      </c>
      <c r="E54" t="s">
        <v>16</v>
      </c>
      <c r="F54" t="s">
        <v>1116</v>
      </c>
    </row>
    <row r="55" spans="1:13" x14ac:dyDescent="0.3">
      <c r="A55">
        <v>162</v>
      </c>
      <c r="B55" t="s">
        <v>123</v>
      </c>
      <c r="C55" t="s">
        <v>14</v>
      </c>
      <c r="D55" t="s">
        <v>124</v>
      </c>
      <c r="E55" t="s">
        <v>16</v>
      </c>
      <c r="F55" t="s">
        <v>1116</v>
      </c>
    </row>
    <row r="56" spans="1:13" x14ac:dyDescent="0.3">
      <c r="A56">
        <v>163</v>
      </c>
      <c r="B56" t="s">
        <v>125</v>
      </c>
      <c r="C56" t="s">
        <v>126</v>
      </c>
      <c r="D56" t="s">
        <v>127</v>
      </c>
      <c r="E56" t="s">
        <v>16</v>
      </c>
      <c r="F56" t="s">
        <v>17</v>
      </c>
      <c r="G56">
        <v>50</v>
      </c>
      <c r="H56">
        <v>4</v>
      </c>
      <c r="I56">
        <v>2</v>
      </c>
      <c r="J56">
        <v>0</v>
      </c>
      <c r="K56">
        <v>0</v>
      </c>
    </row>
    <row r="57" spans="1:13" x14ac:dyDescent="0.3">
      <c r="A57">
        <v>164</v>
      </c>
      <c r="B57" t="s">
        <v>128</v>
      </c>
      <c r="C57" t="s">
        <v>14</v>
      </c>
      <c r="D57" t="s">
        <v>129</v>
      </c>
      <c r="E57" t="s">
        <v>16</v>
      </c>
      <c r="F57" t="s">
        <v>1116</v>
      </c>
    </row>
    <row r="58" spans="1:13" x14ac:dyDescent="0.3">
      <c r="A58">
        <v>165</v>
      </c>
      <c r="B58" t="s">
        <v>130</v>
      </c>
      <c r="C58" t="s">
        <v>14</v>
      </c>
      <c r="D58" t="s">
        <v>131</v>
      </c>
      <c r="E58" t="s">
        <v>16</v>
      </c>
      <c r="F58" t="s">
        <v>132</v>
      </c>
      <c r="G58">
        <v>441</v>
      </c>
      <c r="H58">
        <v>20</v>
      </c>
      <c r="I58">
        <v>10</v>
      </c>
      <c r="J58">
        <v>85</v>
      </c>
      <c r="K58">
        <v>15</v>
      </c>
      <c r="L58">
        <v>2</v>
      </c>
      <c r="M58">
        <v>2</v>
      </c>
    </row>
    <row r="59" spans="1:13" x14ac:dyDescent="0.3">
      <c r="A59">
        <v>166</v>
      </c>
      <c r="B59" t="s">
        <v>133</v>
      </c>
      <c r="C59" t="s">
        <v>14</v>
      </c>
      <c r="D59" t="s">
        <v>134</v>
      </c>
      <c r="E59" t="s">
        <v>16</v>
      </c>
      <c r="F59" t="s">
        <v>132</v>
      </c>
      <c r="G59">
        <v>857</v>
      </c>
      <c r="H59">
        <v>60</v>
      </c>
      <c r="I59">
        <v>20</v>
      </c>
      <c r="J59">
        <v>218</v>
      </c>
      <c r="K59">
        <v>50</v>
      </c>
      <c r="L59">
        <v>15</v>
      </c>
      <c r="M59">
        <v>5</v>
      </c>
    </row>
    <row r="60" spans="1:13" x14ac:dyDescent="0.3">
      <c r="A60">
        <v>167</v>
      </c>
      <c r="B60" t="s">
        <v>135</v>
      </c>
      <c r="C60" t="s">
        <v>14</v>
      </c>
      <c r="D60" t="s">
        <v>136</v>
      </c>
      <c r="E60" t="s">
        <v>16</v>
      </c>
      <c r="F60" t="s">
        <v>132</v>
      </c>
      <c r="G60">
        <v>564</v>
      </c>
      <c r="H60">
        <v>3</v>
      </c>
      <c r="I60">
        <v>1</v>
      </c>
      <c r="J60">
        <v>146</v>
      </c>
      <c r="K60">
        <v>10</v>
      </c>
      <c r="L60">
        <v>0</v>
      </c>
      <c r="M60">
        <v>0</v>
      </c>
    </row>
    <row r="61" spans="1:13" x14ac:dyDescent="0.3">
      <c r="A61">
        <v>168</v>
      </c>
      <c r="B61" t="s">
        <v>137</v>
      </c>
      <c r="C61" t="s">
        <v>14</v>
      </c>
      <c r="D61" t="s">
        <v>138</v>
      </c>
      <c r="E61" t="s">
        <v>16</v>
      </c>
      <c r="F61" t="s">
        <v>132</v>
      </c>
      <c r="G61">
        <v>442</v>
      </c>
      <c r="H61">
        <v>52</v>
      </c>
      <c r="I61">
        <v>36</v>
      </c>
      <c r="J61">
        <v>108</v>
      </c>
      <c r="K61">
        <v>0</v>
      </c>
      <c r="L61">
        <v>10</v>
      </c>
      <c r="M61">
        <v>5</v>
      </c>
    </row>
    <row r="62" spans="1:13" x14ac:dyDescent="0.3">
      <c r="A62">
        <v>169</v>
      </c>
      <c r="B62" t="s">
        <v>139</v>
      </c>
      <c r="C62" t="s">
        <v>14</v>
      </c>
      <c r="D62" t="s">
        <v>140</v>
      </c>
      <c r="E62" t="s">
        <v>16</v>
      </c>
      <c r="F62" t="s">
        <v>132</v>
      </c>
      <c r="G62">
        <v>344</v>
      </c>
      <c r="H62">
        <v>80</v>
      </c>
      <c r="I62">
        <v>50</v>
      </c>
      <c r="J62">
        <v>70</v>
      </c>
      <c r="K62">
        <v>5</v>
      </c>
      <c r="L62">
        <v>9</v>
      </c>
      <c r="M62">
        <v>8</v>
      </c>
    </row>
    <row r="63" spans="1:13" x14ac:dyDescent="0.3">
      <c r="A63">
        <v>170</v>
      </c>
      <c r="B63" t="s">
        <v>141</v>
      </c>
      <c r="C63" t="s">
        <v>14</v>
      </c>
      <c r="D63" t="s">
        <v>142</v>
      </c>
      <c r="E63" t="s">
        <v>16</v>
      </c>
      <c r="F63" t="s">
        <v>132</v>
      </c>
      <c r="G63">
        <v>351</v>
      </c>
      <c r="H63">
        <v>180</v>
      </c>
      <c r="I63">
        <v>30</v>
      </c>
      <c r="J63">
        <v>46</v>
      </c>
      <c r="K63">
        <v>50</v>
      </c>
      <c r="L63">
        <v>23</v>
      </c>
      <c r="M63">
        <v>0</v>
      </c>
    </row>
    <row r="64" spans="1:13" x14ac:dyDescent="0.3">
      <c r="A64">
        <v>171</v>
      </c>
      <c r="B64" t="s">
        <v>143</v>
      </c>
      <c r="C64" t="s">
        <v>14</v>
      </c>
      <c r="D64" t="s">
        <v>144</v>
      </c>
      <c r="E64" t="s">
        <v>16</v>
      </c>
      <c r="F64" t="s">
        <v>1116</v>
      </c>
    </row>
    <row r="65" spans="1:13" x14ac:dyDescent="0.3">
      <c r="A65">
        <v>172</v>
      </c>
      <c r="B65" t="s">
        <v>145</v>
      </c>
      <c r="C65" t="s">
        <v>14</v>
      </c>
      <c r="D65" t="s">
        <v>146</v>
      </c>
      <c r="E65" t="s">
        <v>16</v>
      </c>
      <c r="F65" t="s">
        <v>132</v>
      </c>
      <c r="G65">
        <v>770</v>
      </c>
      <c r="H65">
        <v>70</v>
      </c>
      <c r="I65">
        <v>45</v>
      </c>
      <c r="J65">
        <v>160</v>
      </c>
      <c r="K65">
        <v>400</v>
      </c>
      <c r="L65">
        <v>10</v>
      </c>
      <c r="M65">
        <v>5</v>
      </c>
    </row>
    <row r="66" spans="1:13" x14ac:dyDescent="0.3">
      <c r="A66">
        <v>173</v>
      </c>
      <c r="B66" t="s">
        <v>147</v>
      </c>
      <c r="C66" t="s">
        <v>14</v>
      </c>
      <c r="D66" t="s">
        <v>148</v>
      </c>
      <c r="E66" t="s">
        <v>16</v>
      </c>
      <c r="F66" t="s">
        <v>132</v>
      </c>
      <c r="G66">
        <v>999</v>
      </c>
      <c r="H66">
        <v>500</v>
      </c>
      <c r="I66">
        <v>100</v>
      </c>
      <c r="J66">
        <v>60</v>
      </c>
      <c r="K66">
        <v>200</v>
      </c>
      <c r="L66">
        <v>35</v>
      </c>
      <c r="M66">
        <v>0</v>
      </c>
    </row>
    <row r="67" spans="1:13" x14ac:dyDescent="0.3">
      <c r="A67">
        <v>174</v>
      </c>
      <c r="B67" t="s">
        <v>149</v>
      </c>
      <c r="C67" t="s">
        <v>14</v>
      </c>
      <c r="D67" t="s">
        <v>150</v>
      </c>
      <c r="E67" t="s">
        <v>16</v>
      </c>
      <c r="F67" t="s">
        <v>1116</v>
      </c>
    </row>
    <row r="68" spans="1:13" x14ac:dyDescent="0.3">
      <c r="A68">
        <v>175</v>
      </c>
      <c r="B68" t="s">
        <v>151</v>
      </c>
      <c r="C68" t="s">
        <v>14</v>
      </c>
      <c r="D68" t="s">
        <v>152</v>
      </c>
      <c r="E68" t="s">
        <v>16</v>
      </c>
      <c r="F68" t="s">
        <v>132</v>
      </c>
      <c r="G68">
        <v>1300</v>
      </c>
      <c r="H68">
        <v>140</v>
      </c>
      <c r="I68">
        <v>120</v>
      </c>
      <c r="J68">
        <v>160</v>
      </c>
      <c r="K68">
        <v>300</v>
      </c>
      <c r="L68">
        <v>7</v>
      </c>
      <c r="M68">
        <v>7</v>
      </c>
    </row>
    <row r="69" spans="1:13" x14ac:dyDescent="0.3">
      <c r="A69">
        <v>176</v>
      </c>
      <c r="B69" t="s">
        <v>153</v>
      </c>
      <c r="C69" t="s">
        <v>14</v>
      </c>
      <c r="D69" t="s">
        <v>154</v>
      </c>
      <c r="E69" t="s">
        <v>16</v>
      </c>
      <c r="F69" t="s">
        <v>132</v>
      </c>
      <c r="G69">
        <v>1241</v>
      </c>
      <c r="H69">
        <v>100</v>
      </c>
      <c r="I69">
        <v>150</v>
      </c>
      <c r="J69">
        <v>120</v>
      </c>
      <c r="K69">
        <v>400</v>
      </c>
      <c r="L69">
        <v>7</v>
      </c>
      <c r="M69">
        <v>7</v>
      </c>
    </row>
    <row r="70" spans="1:13" x14ac:dyDescent="0.3">
      <c r="A70">
        <v>177</v>
      </c>
      <c r="B70" t="s">
        <v>155</v>
      </c>
      <c r="C70" t="s">
        <v>14</v>
      </c>
      <c r="D70" t="s">
        <v>156</v>
      </c>
      <c r="E70" t="s">
        <v>16</v>
      </c>
      <c r="F70" t="s">
        <v>132</v>
      </c>
      <c r="G70">
        <v>185</v>
      </c>
      <c r="H70">
        <v>100</v>
      </c>
      <c r="I70">
        <v>85</v>
      </c>
      <c r="J70">
        <v>10</v>
      </c>
      <c r="K70">
        <v>40</v>
      </c>
      <c r="L70">
        <v>3</v>
      </c>
      <c r="M70">
        <v>7</v>
      </c>
    </row>
    <row r="71" spans="1:13" x14ac:dyDescent="0.3">
      <c r="A71">
        <v>178</v>
      </c>
      <c r="B71" t="s">
        <v>157</v>
      </c>
      <c r="C71" t="s">
        <v>14</v>
      </c>
      <c r="D71" t="s">
        <v>158</v>
      </c>
      <c r="E71" t="s">
        <v>16</v>
      </c>
      <c r="F71" t="s">
        <v>1116</v>
      </c>
    </row>
    <row r="72" spans="1:13" x14ac:dyDescent="0.3">
      <c r="A72">
        <v>179</v>
      </c>
      <c r="B72" t="s">
        <v>159</v>
      </c>
      <c r="C72" t="s">
        <v>14</v>
      </c>
      <c r="D72" t="s">
        <v>160</v>
      </c>
      <c r="E72" t="s">
        <v>16</v>
      </c>
      <c r="F72" t="s">
        <v>132</v>
      </c>
      <c r="G72">
        <v>450</v>
      </c>
      <c r="H72">
        <v>90</v>
      </c>
      <c r="I72">
        <v>60</v>
      </c>
      <c r="J72">
        <v>116</v>
      </c>
      <c r="K72">
        <v>100</v>
      </c>
      <c r="L72">
        <v>10</v>
      </c>
      <c r="M72">
        <v>5</v>
      </c>
    </row>
    <row r="73" spans="1:13" x14ac:dyDescent="0.3">
      <c r="A73">
        <v>180</v>
      </c>
      <c r="B73" t="s">
        <v>161</v>
      </c>
      <c r="C73" t="s">
        <v>14</v>
      </c>
      <c r="D73" t="s">
        <v>162</v>
      </c>
      <c r="E73" t="s">
        <v>16</v>
      </c>
      <c r="F73" t="s">
        <v>132</v>
      </c>
      <c r="G73">
        <v>665</v>
      </c>
      <c r="H73">
        <v>200</v>
      </c>
      <c r="I73">
        <v>200</v>
      </c>
      <c r="J73">
        <v>140</v>
      </c>
      <c r="K73">
        <v>50</v>
      </c>
      <c r="L73">
        <v>5</v>
      </c>
      <c r="M73">
        <v>5</v>
      </c>
    </row>
    <row r="74" spans="1:13" x14ac:dyDescent="0.3">
      <c r="A74">
        <v>181</v>
      </c>
      <c r="B74" t="s">
        <v>163</v>
      </c>
      <c r="C74" t="s">
        <v>14</v>
      </c>
      <c r="D74" t="s">
        <v>164</v>
      </c>
      <c r="E74" t="s">
        <v>16</v>
      </c>
      <c r="F74" t="s">
        <v>132</v>
      </c>
      <c r="G74">
        <v>713</v>
      </c>
      <c r="H74">
        <v>71</v>
      </c>
      <c r="I74">
        <v>0</v>
      </c>
      <c r="J74">
        <v>87</v>
      </c>
      <c r="K74">
        <v>0</v>
      </c>
      <c r="L74">
        <v>5</v>
      </c>
      <c r="M74">
        <v>0</v>
      </c>
    </row>
    <row r="75" spans="1:13" x14ac:dyDescent="0.3">
      <c r="A75">
        <v>182</v>
      </c>
      <c r="B75" t="s">
        <v>165</v>
      </c>
      <c r="C75" t="s">
        <v>14</v>
      </c>
      <c r="D75" t="s">
        <v>166</v>
      </c>
      <c r="E75" t="s">
        <v>16</v>
      </c>
      <c r="F75" t="s">
        <v>132</v>
      </c>
      <c r="G75">
        <v>1900</v>
      </c>
      <c r="H75">
        <v>1400</v>
      </c>
      <c r="I75">
        <v>500</v>
      </c>
      <c r="J75">
        <v>130</v>
      </c>
      <c r="K75">
        <v>800</v>
      </c>
      <c r="L75">
        <v>30</v>
      </c>
      <c r="M75">
        <v>7</v>
      </c>
    </row>
    <row r="76" spans="1:13" x14ac:dyDescent="0.3">
      <c r="A76">
        <v>183</v>
      </c>
      <c r="B76" t="s">
        <v>167</v>
      </c>
      <c r="C76" t="s">
        <v>14</v>
      </c>
      <c r="D76" t="s">
        <v>168</v>
      </c>
      <c r="E76" t="s">
        <v>16</v>
      </c>
      <c r="F76" t="s">
        <v>132</v>
      </c>
      <c r="G76">
        <v>200</v>
      </c>
      <c r="H76">
        <v>0</v>
      </c>
      <c r="I76">
        <v>0</v>
      </c>
      <c r="J76">
        <v>20</v>
      </c>
      <c r="K76">
        <v>72</v>
      </c>
      <c r="L76">
        <v>0</v>
      </c>
      <c r="M76">
        <v>0</v>
      </c>
    </row>
    <row r="77" spans="1:13" x14ac:dyDescent="0.3">
      <c r="A77">
        <v>184</v>
      </c>
      <c r="B77" t="s">
        <v>169</v>
      </c>
      <c r="C77" t="s">
        <v>14</v>
      </c>
      <c r="D77" t="s">
        <v>170</v>
      </c>
      <c r="E77" t="s">
        <v>16</v>
      </c>
      <c r="F77" t="s">
        <v>1116</v>
      </c>
    </row>
    <row r="78" spans="1:13" x14ac:dyDescent="0.3">
      <c r="A78">
        <v>185</v>
      </c>
      <c r="B78" t="s">
        <v>171</v>
      </c>
      <c r="C78" t="s">
        <v>14</v>
      </c>
      <c r="D78" t="s">
        <v>172</v>
      </c>
      <c r="E78" t="s">
        <v>16</v>
      </c>
      <c r="F78" t="s">
        <v>1116</v>
      </c>
    </row>
    <row r="79" spans="1:13" x14ac:dyDescent="0.3">
      <c r="A79">
        <v>186</v>
      </c>
      <c r="B79" t="s">
        <v>173</v>
      </c>
      <c r="C79" t="s">
        <v>14</v>
      </c>
      <c r="D79" t="s">
        <v>174</v>
      </c>
      <c r="E79" t="s">
        <v>16</v>
      </c>
      <c r="F79" t="s">
        <v>175</v>
      </c>
      <c r="G79">
        <v>280</v>
      </c>
      <c r="H79">
        <v>15</v>
      </c>
      <c r="I79">
        <v>2</v>
      </c>
      <c r="J79">
        <v>95</v>
      </c>
      <c r="K79">
        <v>60</v>
      </c>
      <c r="L79">
        <v>3</v>
      </c>
      <c r="M79">
        <v>0</v>
      </c>
    </row>
    <row r="80" spans="1:13" x14ac:dyDescent="0.3">
      <c r="A80">
        <v>187</v>
      </c>
      <c r="B80" t="s">
        <v>176</v>
      </c>
      <c r="C80" t="s">
        <v>14</v>
      </c>
      <c r="D80" t="s">
        <v>177</v>
      </c>
      <c r="E80" t="s">
        <v>16</v>
      </c>
      <c r="F80" t="s">
        <v>175</v>
      </c>
      <c r="G80">
        <v>562</v>
      </c>
      <c r="H80">
        <v>50</v>
      </c>
      <c r="I80">
        <v>4</v>
      </c>
      <c r="J80">
        <v>4</v>
      </c>
      <c r="K80">
        <v>163</v>
      </c>
      <c r="L80">
        <v>4</v>
      </c>
      <c r="M80">
        <v>4</v>
      </c>
    </row>
    <row r="81" spans="1:13" x14ac:dyDescent="0.3">
      <c r="A81">
        <v>188</v>
      </c>
      <c r="B81" t="s">
        <v>178</v>
      </c>
      <c r="C81" t="s">
        <v>14</v>
      </c>
      <c r="D81" t="s">
        <v>179</v>
      </c>
      <c r="E81" t="s">
        <v>16</v>
      </c>
      <c r="F81" t="s">
        <v>1116</v>
      </c>
    </row>
    <row r="82" spans="1:13" x14ac:dyDescent="0.3">
      <c r="A82">
        <v>189</v>
      </c>
      <c r="B82" t="s">
        <v>180</v>
      </c>
      <c r="C82" t="s">
        <v>14</v>
      </c>
      <c r="D82" t="s">
        <v>181</v>
      </c>
      <c r="E82" t="s">
        <v>16</v>
      </c>
      <c r="F82" t="s">
        <v>175</v>
      </c>
      <c r="G82">
        <v>104</v>
      </c>
      <c r="H82">
        <v>0</v>
      </c>
      <c r="I82">
        <v>0</v>
      </c>
      <c r="J82">
        <v>87</v>
      </c>
      <c r="K82">
        <v>4</v>
      </c>
      <c r="L82">
        <v>0</v>
      </c>
      <c r="M82">
        <v>0</v>
      </c>
    </row>
    <row r="83" spans="1:13" x14ac:dyDescent="0.3">
      <c r="A83">
        <v>190</v>
      </c>
      <c r="B83" t="s">
        <v>182</v>
      </c>
      <c r="C83" t="s">
        <v>14</v>
      </c>
      <c r="D83" t="s">
        <v>183</v>
      </c>
      <c r="E83" t="s">
        <v>16</v>
      </c>
      <c r="F83" t="s">
        <v>1116</v>
      </c>
    </row>
    <row r="84" spans="1:13" x14ac:dyDescent="0.3">
      <c r="A84">
        <v>191</v>
      </c>
      <c r="B84" t="s">
        <v>184</v>
      </c>
      <c r="C84" t="s">
        <v>14</v>
      </c>
      <c r="D84" t="s">
        <v>185</v>
      </c>
      <c r="E84" t="s">
        <v>16</v>
      </c>
      <c r="F84" t="s">
        <v>1116</v>
      </c>
    </row>
    <row r="85" spans="1:13" x14ac:dyDescent="0.3">
      <c r="A85">
        <v>192</v>
      </c>
      <c r="B85" t="s">
        <v>186</v>
      </c>
      <c r="C85" t="s">
        <v>14</v>
      </c>
      <c r="D85" t="s">
        <v>187</v>
      </c>
      <c r="E85" t="s">
        <v>16</v>
      </c>
      <c r="F85" t="s">
        <v>175</v>
      </c>
      <c r="G85">
        <v>109</v>
      </c>
      <c r="H85">
        <v>0</v>
      </c>
      <c r="I85">
        <v>0</v>
      </c>
      <c r="J85">
        <v>85</v>
      </c>
      <c r="K85">
        <v>7</v>
      </c>
      <c r="L85">
        <v>0</v>
      </c>
      <c r="M85">
        <v>0</v>
      </c>
    </row>
    <row r="86" spans="1:13" x14ac:dyDescent="0.3">
      <c r="A86">
        <v>193</v>
      </c>
      <c r="B86" t="s">
        <v>188</v>
      </c>
      <c r="C86" t="s">
        <v>14</v>
      </c>
      <c r="D86" t="s">
        <v>189</v>
      </c>
      <c r="E86" t="s">
        <v>16</v>
      </c>
      <c r="F86" t="s">
        <v>1116</v>
      </c>
    </row>
    <row r="87" spans="1:13" x14ac:dyDescent="0.3">
      <c r="A87">
        <v>194</v>
      </c>
      <c r="B87" t="s">
        <v>190</v>
      </c>
      <c r="C87" t="s">
        <v>14</v>
      </c>
      <c r="D87" t="s">
        <v>191</v>
      </c>
      <c r="E87" t="s">
        <v>16</v>
      </c>
      <c r="F87" t="s">
        <v>1116</v>
      </c>
    </row>
    <row r="88" spans="1:13" x14ac:dyDescent="0.3">
      <c r="A88">
        <v>195</v>
      </c>
      <c r="B88" t="s">
        <v>192</v>
      </c>
      <c r="C88" t="s">
        <v>126</v>
      </c>
      <c r="D88" t="s">
        <v>193</v>
      </c>
      <c r="E88" t="s">
        <v>16</v>
      </c>
      <c r="F88" t="s">
        <v>194</v>
      </c>
      <c r="G88">
        <v>32</v>
      </c>
      <c r="H88">
        <v>5</v>
      </c>
      <c r="I88">
        <v>6</v>
      </c>
      <c r="J88">
        <v>0</v>
      </c>
      <c r="K88">
        <v>0</v>
      </c>
    </row>
    <row r="89" spans="1:13" x14ac:dyDescent="0.3">
      <c r="A89">
        <v>196</v>
      </c>
      <c r="B89" t="s">
        <v>195</v>
      </c>
      <c r="C89" t="s">
        <v>14</v>
      </c>
      <c r="D89" t="s">
        <v>196</v>
      </c>
      <c r="E89" t="s">
        <v>16</v>
      </c>
      <c r="F89" t="s">
        <v>1116</v>
      </c>
    </row>
    <row r="90" spans="1:13" x14ac:dyDescent="0.3">
      <c r="A90">
        <v>197</v>
      </c>
      <c r="B90" t="s">
        <v>197</v>
      </c>
      <c r="C90" t="s">
        <v>126</v>
      </c>
      <c r="D90" t="s">
        <v>198</v>
      </c>
      <c r="E90" t="s">
        <v>16</v>
      </c>
      <c r="F90" t="s">
        <v>199</v>
      </c>
      <c r="G90">
        <v>30</v>
      </c>
      <c r="H90">
        <v>20</v>
      </c>
      <c r="I90">
        <v>10</v>
      </c>
      <c r="J90">
        <v>0</v>
      </c>
      <c r="K90">
        <v>0</v>
      </c>
    </row>
    <row r="91" spans="1:13" x14ac:dyDescent="0.3">
      <c r="A91">
        <v>198</v>
      </c>
      <c r="B91" t="s">
        <v>200</v>
      </c>
      <c r="C91" t="s">
        <v>126</v>
      </c>
      <c r="D91" t="s">
        <v>201</v>
      </c>
      <c r="E91" t="s">
        <v>16</v>
      </c>
      <c r="F91" t="s">
        <v>199</v>
      </c>
      <c r="G91">
        <v>100</v>
      </c>
      <c r="H91">
        <v>70</v>
      </c>
      <c r="I91">
        <v>30</v>
      </c>
      <c r="J91">
        <v>0</v>
      </c>
      <c r="K91">
        <v>0</v>
      </c>
    </row>
    <row r="92" spans="1:13" x14ac:dyDescent="0.3">
      <c r="A92">
        <v>199</v>
      </c>
      <c r="B92" t="s">
        <v>202</v>
      </c>
      <c r="C92" t="s">
        <v>14</v>
      </c>
      <c r="D92" t="s">
        <v>203</v>
      </c>
      <c r="E92" t="s">
        <v>16</v>
      </c>
      <c r="F92" t="s">
        <v>1116</v>
      </c>
    </row>
    <row r="93" spans="1:13" x14ac:dyDescent="0.3">
      <c r="A93">
        <v>200</v>
      </c>
      <c r="B93" t="s">
        <v>204</v>
      </c>
      <c r="C93" t="s">
        <v>14</v>
      </c>
      <c r="D93" t="s">
        <v>205</v>
      </c>
      <c r="E93" t="s">
        <v>16</v>
      </c>
      <c r="F93" t="s">
        <v>1116</v>
      </c>
    </row>
    <row r="94" spans="1:13" x14ac:dyDescent="0.3">
      <c r="A94">
        <v>201</v>
      </c>
      <c r="B94" t="s">
        <v>206</v>
      </c>
      <c r="C94" t="s">
        <v>14</v>
      </c>
      <c r="D94" t="s">
        <v>207</v>
      </c>
      <c r="E94" t="s">
        <v>16</v>
      </c>
      <c r="F94" t="s">
        <v>1116</v>
      </c>
    </row>
    <row r="95" spans="1:13" x14ac:dyDescent="0.3">
      <c r="A95">
        <v>202</v>
      </c>
      <c r="B95" t="s">
        <v>208</v>
      </c>
      <c r="C95" t="s">
        <v>14</v>
      </c>
      <c r="D95" t="s">
        <v>209</v>
      </c>
      <c r="E95" t="s">
        <v>16</v>
      </c>
      <c r="F95" t="s">
        <v>199</v>
      </c>
      <c r="G95">
        <v>57</v>
      </c>
      <c r="H95">
        <v>4</v>
      </c>
      <c r="I95">
        <v>36</v>
      </c>
      <c r="J95">
        <v>15</v>
      </c>
      <c r="K95">
        <v>5</v>
      </c>
      <c r="L95">
        <v>1</v>
      </c>
      <c r="M95">
        <v>6</v>
      </c>
    </row>
    <row r="96" spans="1:13" x14ac:dyDescent="0.3">
      <c r="A96">
        <v>203</v>
      </c>
      <c r="B96" t="s">
        <v>210</v>
      </c>
      <c r="C96" t="s">
        <v>126</v>
      </c>
      <c r="D96" t="s">
        <v>211</v>
      </c>
      <c r="E96" t="s">
        <v>16</v>
      </c>
      <c r="F96" t="s">
        <v>20</v>
      </c>
      <c r="G96">
        <v>3</v>
      </c>
      <c r="J96">
        <v>0</v>
      </c>
      <c r="K96">
        <v>0</v>
      </c>
    </row>
    <row r="97" spans="1:11" x14ac:dyDescent="0.3">
      <c r="A97">
        <v>204</v>
      </c>
      <c r="B97" t="s">
        <v>212</v>
      </c>
      <c r="C97" t="s">
        <v>126</v>
      </c>
      <c r="D97" t="s">
        <v>213</v>
      </c>
      <c r="E97" t="s">
        <v>16</v>
      </c>
      <c r="F97" t="s">
        <v>17</v>
      </c>
      <c r="G97">
        <v>4</v>
      </c>
      <c r="J97">
        <v>0</v>
      </c>
      <c r="K97">
        <v>0</v>
      </c>
    </row>
    <row r="98" spans="1:11" x14ac:dyDescent="0.3">
      <c r="A98">
        <v>206</v>
      </c>
      <c r="B98" t="s">
        <v>214</v>
      </c>
      <c r="C98" t="s">
        <v>126</v>
      </c>
      <c r="D98" t="s">
        <v>215</v>
      </c>
      <c r="E98" t="s">
        <v>16</v>
      </c>
      <c r="F98" t="s">
        <v>175</v>
      </c>
      <c r="G98">
        <v>4</v>
      </c>
      <c r="H98">
        <v>0</v>
      </c>
      <c r="I98">
        <v>0</v>
      </c>
      <c r="J98">
        <v>0</v>
      </c>
      <c r="K98">
        <v>0</v>
      </c>
    </row>
    <row r="99" spans="1:11" x14ac:dyDescent="0.3">
      <c r="A99">
        <v>207</v>
      </c>
      <c r="B99" t="s">
        <v>216</v>
      </c>
      <c r="C99" t="s">
        <v>126</v>
      </c>
      <c r="D99" t="s">
        <v>217</v>
      </c>
      <c r="E99" t="s">
        <v>16</v>
      </c>
      <c r="F99" t="s">
        <v>199</v>
      </c>
      <c r="G99">
        <v>7</v>
      </c>
      <c r="H99">
        <v>0</v>
      </c>
      <c r="I99">
        <v>6</v>
      </c>
      <c r="J99">
        <v>0</v>
      </c>
      <c r="K99">
        <v>0</v>
      </c>
    </row>
    <row r="100" spans="1:11" x14ac:dyDescent="0.3">
      <c r="A100">
        <v>208</v>
      </c>
      <c r="B100" t="s">
        <v>218</v>
      </c>
      <c r="C100" t="s">
        <v>126</v>
      </c>
      <c r="D100" t="s">
        <v>219</v>
      </c>
      <c r="E100" t="s">
        <v>16</v>
      </c>
      <c r="F100" t="s">
        <v>194</v>
      </c>
      <c r="G100">
        <v>9</v>
      </c>
      <c r="H100">
        <v>0</v>
      </c>
      <c r="I100">
        <v>1</v>
      </c>
      <c r="J100">
        <v>0</v>
      </c>
      <c r="K100">
        <v>0</v>
      </c>
    </row>
    <row r="101" spans="1:11" x14ac:dyDescent="0.3">
      <c r="A101">
        <v>209</v>
      </c>
      <c r="B101" t="s">
        <v>220</v>
      </c>
      <c r="C101" t="s">
        <v>126</v>
      </c>
      <c r="D101" t="s">
        <v>221</v>
      </c>
      <c r="E101" t="s">
        <v>16</v>
      </c>
      <c r="F101" t="s">
        <v>1116</v>
      </c>
    </row>
    <row r="102" spans="1:11" x14ac:dyDescent="0.3">
      <c r="A102">
        <v>210</v>
      </c>
      <c r="B102" t="s">
        <v>222</v>
      </c>
      <c r="C102" t="s">
        <v>14</v>
      </c>
      <c r="D102" t="s">
        <v>223</v>
      </c>
      <c r="E102" t="s">
        <v>16</v>
      </c>
      <c r="F102" t="s">
        <v>1116</v>
      </c>
    </row>
    <row r="103" spans="1:11" x14ac:dyDescent="0.3">
      <c r="A103">
        <v>211</v>
      </c>
      <c r="B103" t="s">
        <v>224</v>
      </c>
      <c r="C103" t="s">
        <v>126</v>
      </c>
      <c r="D103" t="s">
        <v>225</v>
      </c>
      <c r="E103" t="s">
        <v>16</v>
      </c>
      <c r="F103" t="s">
        <v>1116</v>
      </c>
    </row>
    <row r="104" spans="1:11" x14ac:dyDescent="0.3">
      <c r="A104">
        <v>212</v>
      </c>
      <c r="B104" t="s">
        <v>226</v>
      </c>
      <c r="C104" t="s">
        <v>126</v>
      </c>
      <c r="D104" t="s">
        <v>227</v>
      </c>
      <c r="E104" t="s">
        <v>16</v>
      </c>
      <c r="F104" t="s">
        <v>194</v>
      </c>
      <c r="G104">
        <v>8</v>
      </c>
      <c r="J104">
        <v>0</v>
      </c>
      <c r="K104">
        <v>0</v>
      </c>
    </row>
    <row r="105" spans="1:11" x14ac:dyDescent="0.3">
      <c r="A105">
        <v>213</v>
      </c>
      <c r="B105" t="s">
        <v>228</v>
      </c>
      <c r="C105" t="s">
        <v>126</v>
      </c>
      <c r="D105" t="s">
        <v>229</v>
      </c>
      <c r="E105" t="s">
        <v>16</v>
      </c>
      <c r="F105" t="s">
        <v>194</v>
      </c>
      <c r="G105">
        <v>17500</v>
      </c>
      <c r="H105">
        <v>0</v>
      </c>
      <c r="I105">
        <v>0</v>
      </c>
      <c r="J105">
        <v>0</v>
      </c>
      <c r="K105">
        <v>0</v>
      </c>
    </row>
    <row r="106" spans="1:11" x14ac:dyDescent="0.3">
      <c r="A106">
        <v>214</v>
      </c>
      <c r="B106" t="s">
        <v>230</v>
      </c>
      <c r="C106" t="s">
        <v>126</v>
      </c>
      <c r="D106" t="s">
        <v>231</v>
      </c>
      <c r="E106" t="s">
        <v>16</v>
      </c>
      <c r="F106" t="s">
        <v>1116</v>
      </c>
    </row>
    <row r="107" spans="1:11" x14ac:dyDescent="0.3">
      <c r="A107">
        <v>215</v>
      </c>
      <c r="B107" t="s">
        <v>232</v>
      </c>
      <c r="C107" t="s">
        <v>126</v>
      </c>
      <c r="D107" t="s">
        <v>233</v>
      </c>
      <c r="E107" t="s">
        <v>16</v>
      </c>
      <c r="F107" t="s">
        <v>1116</v>
      </c>
    </row>
    <row r="108" spans="1:11" x14ac:dyDescent="0.3">
      <c r="A108">
        <v>216</v>
      </c>
      <c r="B108" t="s">
        <v>234</v>
      </c>
      <c r="C108" t="s">
        <v>126</v>
      </c>
      <c r="D108" t="s">
        <v>235</v>
      </c>
      <c r="E108" t="s">
        <v>16</v>
      </c>
      <c r="F108" t="s">
        <v>194</v>
      </c>
      <c r="G108">
        <v>5</v>
      </c>
      <c r="H108">
        <v>4</v>
      </c>
      <c r="I108">
        <v>1</v>
      </c>
      <c r="J108">
        <v>0</v>
      </c>
      <c r="K108">
        <v>0</v>
      </c>
    </row>
    <row r="109" spans="1:11" x14ac:dyDescent="0.3">
      <c r="A109">
        <v>218</v>
      </c>
      <c r="B109" t="s">
        <v>236</v>
      </c>
      <c r="C109" t="s">
        <v>126</v>
      </c>
      <c r="D109" t="s">
        <v>237</v>
      </c>
      <c r="E109" t="s">
        <v>16</v>
      </c>
      <c r="F109" t="s">
        <v>1116</v>
      </c>
    </row>
    <row r="110" spans="1:11" x14ac:dyDescent="0.3">
      <c r="A110">
        <v>219</v>
      </c>
      <c r="B110" t="s">
        <v>238</v>
      </c>
      <c r="C110" t="s">
        <v>126</v>
      </c>
      <c r="D110" t="s">
        <v>239</v>
      </c>
      <c r="E110" t="s">
        <v>16</v>
      </c>
      <c r="F110" t="s">
        <v>194</v>
      </c>
      <c r="G110">
        <v>92</v>
      </c>
      <c r="H110">
        <v>92</v>
      </c>
      <c r="I110">
        <v>0</v>
      </c>
      <c r="J110">
        <v>0</v>
      </c>
      <c r="K110">
        <v>0</v>
      </c>
    </row>
    <row r="111" spans="1:11" x14ac:dyDescent="0.3">
      <c r="A111">
        <v>220</v>
      </c>
      <c r="B111" t="s">
        <v>240</v>
      </c>
      <c r="C111" t="s">
        <v>126</v>
      </c>
      <c r="D111" t="s">
        <v>241</v>
      </c>
      <c r="E111" t="s">
        <v>16</v>
      </c>
      <c r="F111" t="s">
        <v>175</v>
      </c>
      <c r="G111">
        <v>17</v>
      </c>
      <c r="H111">
        <v>0</v>
      </c>
      <c r="I111">
        <v>0</v>
      </c>
      <c r="J111">
        <v>0</v>
      </c>
      <c r="K111">
        <v>0</v>
      </c>
    </row>
    <row r="112" spans="1:11" x14ac:dyDescent="0.3">
      <c r="A112">
        <v>221</v>
      </c>
      <c r="B112" t="s">
        <v>242</v>
      </c>
      <c r="C112" t="s">
        <v>126</v>
      </c>
      <c r="D112" t="s">
        <v>243</v>
      </c>
      <c r="E112" t="s">
        <v>16</v>
      </c>
      <c r="F112" t="s">
        <v>194</v>
      </c>
      <c r="G112">
        <v>110</v>
      </c>
      <c r="H112">
        <v>10</v>
      </c>
      <c r="I112">
        <v>0</v>
      </c>
      <c r="J112">
        <v>0</v>
      </c>
      <c r="K112">
        <v>0</v>
      </c>
    </row>
    <row r="113" spans="1:13" x14ac:dyDescent="0.3">
      <c r="A113">
        <v>222</v>
      </c>
      <c r="B113" t="s">
        <v>244</v>
      </c>
      <c r="C113" t="s">
        <v>126</v>
      </c>
      <c r="D113" t="s">
        <v>245</v>
      </c>
      <c r="E113" t="s">
        <v>16</v>
      </c>
      <c r="F113" t="s">
        <v>194</v>
      </c>
      <c r="G113">
        <v>19</v>
      </c>
      <c r="H113">
        <v>19</v>
      </c>
      <c r="J113">
        <v>0</v>
      </c>
      <c r="K113">
        <v>0</v>
      </c>
    </row>
    <row r="114" spans="1:13" x14ac:dyDescent="0.3">
      <c r="A114">
        <v>223</v>
      </c>
      <c r="B114" t="s">
        <v>246</v>
      </c>
      <c r="C114" t="s">
        <v>14</v>
      </c>
      <c r="D114" t="s">
        <v>247</v>
      </c>
      <c r="E114" t="s">
        <v>16</v>
      </c>
      <c r="F114" t="s">
        <v>1116</v>
      </c>
    </row>
    <row r="115" spans="1:13" x14ac:dyDescent="0.3">
      <c r="A115">
        <v>224</v>
      </c>
      <c r="B115" t="s">
        <v>248</v>
      </c>
      <c r="C115" t="s">
        <v>14</v>
      </c>
      <c r="D115" t="s">
        <v>249</v>
      </c>
      <c r="E115" t="s">
        <v>16</v>
      </c>
      <c r="F115" t="s">
        <v>1116</v>
      </c>
    </row>
    <row r="116" spans="1:13" x14ac:dyDescent="0.3">
      <c r="A116">
        <v>225</v>
      </c>
      <c r="B116" t="s">
        <v>250</v>
      </c>
      <c r="C116" t="s">
        <v>14</v>
      </c>
      <c r="D116" t="s">
        <v>251</v>
      </c>
      <c r="E116" t="s">
        <v>16</v>
      </c>
      <c r="F116" t="s">
        <v>1116</v>
      </c>
    </row>
    <row r="117" spans="1:13" x14ac:dyDescent="0.3">
      <c r="A117">
        <v>226</v>
      </c>
      <c r="B117" t="s">
        <v>252</v>
      </c>
      <c r="C117" t="s">
        <v>126</v>
      </c>
      <c r="D117" t="s">
        <v>253</v>
      </c>
      <c r="E117" t="s">
        <v>16</v>
      </c>
      <c r="F117" t="s">
        <v>1116</v>
      </c>
    </row>
    <row r="118" spans="1:13" x14ac:dyDescent="0.3">
      <c r="A118">
        <v>227</v>
      </c>
      <c r="B118" t="s">
        <v>254</v>
      </c>
      <c r="C118" t="s">
        <v>14</v>
      </c>
      <c r="D118" t="s">
        <v>255</v>
      </c>
      <c r="E118" t="s">
        <v>16</v>
      </c>
      <c r="F118" t="s">
        <v>20</v>
      </c>
      <c r="G118">
        <v>42</v>
      </c>
      <c r="H118">
        <v>0</v>
      </c>
      <c r="I118">
        <v>0</v>
      </c>
      <c r="J118">
        <v>15</v>
      </c>
      <c r="K118">
        <v>2</v>
      </c>
      <c r="L118">
        <v>0</v>
      </c>
      <c r="M118">
        <v>0</v>
      </c>
    </row>
    <row r="119" spans="1:13" x14ac:dyDescent="0.3">
      <c r="A119">
        <v>228</v>
      </c>
      <c r="B119" t="s">
        <v>256</v>
      </c>
      <c r="C119" t="s">
        <v>126</v>
      </c>
      <c r="D119" t="s">
        <v>257</v>
      </c>
      <c r="E119" t="s">
        <v>16</v>
      </c>
      <c r="F119" t="s">
        <v>1116</v>
      </c>
    </row>
    <row r="120" spans="1:13" x14ac:dyDescent="0.3">
      <c r="A120">
        <v>230</v>
      </c>
      <c r="B120" t="s">
        <v>258</v>
      </c>
      <c r="C120" t="s">
        <v>126</v>
      </c>
      <c r="D120" t="s">
        <v>259</v>
      </c>
      <c r="E120" t="s">
        <v>16</v>
      </c>
      <c r="F120" t="s">
        <v>1116</v>
      </c>
    </row>
    <row r="121" spans="1:13" x14ac:dyDescent="0.3">
      <c r="A121">
        <v>231</v>
      </c>
      <c r="B121" t="s">
        <v>260</v>
      </c>
      <c r="C121" t="s">
        <v>126</v>
      </c>
      <c r="D121" t="s">
        <v>261</v>
      </c>
      <c r="E121" t="s">
        <v>16</v>
      </c>
      <c r="F121" t="s">
        <v>194</v>
      </c>
      <c r="G121">
        <v>21</v>
      </c>
      <c r="H121">
        <v>5</v>
      </c>
      <c r="I121">
        <v>2</v>
      </c>
      <c r="J121">
        <v>0</v>
      </c>
      <c r="K121">
        <v>0</v>
      </c>
    </row>
    <row r="122" spans="1:13" x14ac:dyDescent="0.3">
      <c r="A122">
        <v>232</v>
      </c>
      <c r="B122" t="s">
        <v>262</v>
      </c>
      <c r="C122" t="s">
        <v>126</v>
      </c>
      <c r="D122" t="s">
        <v>263</v>
      </c>
      <c r="E122" t="s">
        <v>16</v>
      </c>
      <c r="F122" t="s">
        <v>1116</v>
      </c>
    </row>
    <row r="123" spans="1:13" x14ac:dyDescent="0.3">
      <c r="A123">
        <v>233</v>
      </c>
      <c r="B123" t="s">
        <v>264</v>
      </c>
      <c r="C123" t="s">
        <v>126</v>
      </c>
      <c r="D123" t="s">
        <v>265</v>
      </c>
      <c r="E123" t="s">
        <v>16</v>
      </c>
      <c r="F123" t="s">
        <v>1116</v>
      </c>
    </row>
    <row r="124" spans="1:13" x14ac:dyDescent="0.3">
      <c r="A124">
        <v>234</v>
      </c>
      <c r="B124" t="s">
        <v>266</v>
      </c>
      <c r="C124" t="s">
        <v>126</v>
      </c>
      <c r="D124" t="s">
        <v>267</v>
      </c>
      <c r="E124" t="s">
        <v>16</v>
      </c>
      <c r="F124" t="s">
        <v>194</v>
      </c>
      <c r="G124">
        <v>25</v>
      </c>
      <c r="H124">
        <v>9</v>
      </c>
      <c r="I124">
        <v>6</v>
      </c>
      <c r="J124">
        <v>0</v>
      </c>
      <c r="K124">
        <v>0</v>
      </c>
    </row>
    <row r="125" spans="1:13" x14ac:dyDescent="0.3">
      <c r="A125">
        <v>235</v>
      </c>
      <c r="B125" t="s">
        <v>268</v>
      </c>
      <c r="C125" t="s">
        <v>126</v>
      </c>
      <c r="D125" t="s">
        <v>269</v>
      </c>
      <c r="E125" t="s">
        <v>16</v>
      </c>
      <c r="F125" t="s">
        <v>194</v>
      </c>
      <c r="G125">
        <v>10</v>
      </c>
      <c r="H125">
        <v>4</v>
      </c>
      <c r="I125">
        <v>6</v>
      </c>
      <c r="J125">
        <v>0</v>
      </c>
      <c r="K125">
        <v>0</v>
      </c>
    </row>
    <row r="126" spans="1:13" x14ac:dyDescent="0.3">
      <c r="A126">
        <v>236</v>
      </c>
      <c r="B126" t="s">
        <v>270</v>
      </c>
      <c r="C126" t="s">
        <v>14</v>
      </c>
      <c r="D126" t="s">
        <v>271</v>
      </c>
      <c r="E126" t="s">
        <v>16</v>
      </c>
      <c r="F126" t="s">
        <v>1116</v>
      </c>
    </row>
    <row r="127" spans="1:13" x14ac:dyDescent="0.3">
      <c r="A127">
        <v>237</v>
      </c>
      <c r="B127" t="s">
        <v>272</v>
      </c>
      <c r="C127" t="s">
        <v>14</v>
      </c>
      <c r="D127" t="s">
        <v>273</v>
      </c>
      <c r="E127" t="s">
        <v>16</v>
      </c>
      <c r="F127" t="s">
        <v>1116</v>
      </c>
    </row>
    <row r="128" spans="1:13" x14ac:dyDescent="0.3">
      <c r="A128">
        <v>238</v>
      </c>
      <c r="B128" t="s">
        <v>274</v>
      </c>
      <c r="C128" t="s">
        <v>126</v>
      </c>
      <c r="D128" t="s">
        <v>275</v>
      </c>
      <c r="E128" t="s">
        <v>16</v>
      </c>
      <c r="F128" t="s">
        <v>1116</v>
      </c>
    </row>
    <row r="129" spans="1:13" x14ac:dyDescent="0.3">
      <c r="A129">
        <v>239</v>
      </c>
      <c r="B129" t="s">
        <v>276</v>
      </c>
      <c r="C129" t="s">
        <v>14</v>
      </c>
      <c r="D129" t="s">
        <v>277</v>
      </c>
      <c r="E129" t="s">
        <v>16</v>
      </c>
      <c r="F129" t="s">
        <v>132</v>
      </c>
      <c r="G129">
        <v>20</v>
      </c>
      <c r="H129">
        <v>0</v>
      </c>
      <c r="I129">
        <v>0</v>
      </c>
      <c r="J129">
        <v>0</v>
      </c>
      <c r="K129">
        <v>0</v>
      </c>
      <c r="L129">
        <v>0</v>
      </c>
      <c r="M129">
        <v>0</v>
      </c>
    </row>
    <row r="130" spans="1:13" x14ac:dyDescent="0.3">
      <c r="A130">
        <v>240</v>
      </c>
      <c r="B130" t="s">
        <v>278</v>
      </c>
      <c r="C130" t="s">
        <v>14</v>
      </c>
      <c r="D130" t="s">
        <v>279</v>
      </c>
      <c r="E130" t="s">
        <v>16</v>
      </c>
      <c r="F130" t="s">
        <v>1116</v>
      </c>
    </row>
    <row r="131" spans="1:13" x14ac:dyDescent="0.3">
      <c r="A131">
        <v>241</v>
      </c>
      <c r="B131" t="s">
        <v>280</v>
      </c>
      <c r="C131" t="s">
        <v>126</v>
      </c>
      <c r="D131" t="s">
        <v>281</v>
      </c>
      <c r="E131" t="s">
        <v>16</v>
      </c>
      <c r="F131" t="s">
        <v>1116</v>
      </c>
    </row>
    <row r="132" spans="1:13" x14ac:dyDescent="0.3">
      <c r="A132">
        <v>242</v>
      </c>
      <c r="B132" t="s">
        <v>282</v>
      </c>
      <c r="C132" t="s">
        <v>126</v>
      </c>
      <c r="D132" t="s">
        <v>283</v>
      </c>
      <c r="E132" t="s">
        <v>16</v>
      </c>
      <c r="F132" t="s">
        <v>1116</v>
      </c>
    </row>
    <row r="133" spans="1:13" x14ac:dyDescent="0.3">
      <c r="A133">
        <v>243</v>
      </c>
      <c r="B133" t="s">
        <v>284</v>
      </c>
      <c r="C133" t="s">
        <v>126</v>
      </c>
      <c r="D133" t="s">
        <v>285</v>
      </c>
      <c r="E133" t="s">
        <v>16</v>
      </c>
      <c r="F133" t="s">
        <v>1116</v>
      </c>
    </row>
    <row r="134" spans="1:13" x14ac:dyDescent="0.3">
      <c r="A134">
        <v>244</v>
      </c>
      <c r="B134" t="s">
        <v>286</v>
      </c>
      <c r="C134" t="s">
        <v>126</v>
      </c>
      <c r="D134" t="s">
        <v>287</v>
      </c>
      <c r="E134" t="s">
        <v>16</v>
      </c>
      <c r="F134" t="s">
        <v>1116</v>
      </c>
    </row>
    <row r="135" spans="1:13" x14ac:dyDescent="0.3">
      <c r="A135">
        <v>245</v>
      </c>
      <c r="B135" t="s">
        <v>288</v>
      </c>
      <c r="C135" t="s">
        <v>126</v>
      </c>
      <c r="D135" t="s">
        <v>289</v>
      </c>
      <c r="E135" t="s">
        <v>16</v>
      </c>
      <c r="F135" t="s">
        <v>1116</v>
      </c>
    </row>
    <row r="136" spans="1:13" x14ac:dyDescent="0.3">
      <c r="A136">
        <v>246</v>
      </c>
      <c r="B136" t="s">
        <v>290</v>
      </c>
      <c r="C136" t="s">
        <v>14</v>
      </c>
      <c r="D136" t="s">
        <v>291</v>
      </c>
      <c r="E136" t="s">
        <v>16</v>
      </c>
      <c r="F136" t="s">
        <v>1116</v>
      </c>
    </row>
    <row r="137" spans="1:13" x14ac:dyDescent="0.3">
      <c r="A137">
        <v>247</v>
      </c>
      <c r="B137" t="s">
        <v>292</v>
      </c>
      <c r="C137" t="s">
        <v>126</v>
      </c>
      <c r="D137" t="s">
        <v>293</v>
      </c>
      <c r="E137" t="s">
        <v>16</v>
      </c>
      <c r="F137" t="s">
        <v>194</v>
      </c>
      <c r="G137">
        <v>10</v>
      </c>
      <c r="H137">
        <v>0</v>
      </c>
      <c r="I137">
        <v>0</v>
      </c>
      <c r="J137">
        <v>0</v>
      </c>
      <c r="K137">
        <v>0</v>
      </c>
    </row>
    <row r="138" spans="1:13" x14ac:dyDescent="0.3">
      <c r="A138">
        <v>248</v>
      </c>
      <c r="B138" t="s">
        <v>294</v>
      </c>
      <c r="C138" t="s">
        <v>126</v>
      </c>
      <c r="D138" t="s">
        <v>295</v>
      </c>
      <c r="E138" t="s">
        <v>16</v>
      </c>
      <c r="F138" t="s">
        <v>1116</v>
      </c>
    </row>
    <row r="139" spans="1:13" x14ac:dyDescent="0.3">
      <c r="A139">
        <v>249</v>
      </c>
      <c r="B139" t="s">
        <v>296</v>
      </c>
      <c r="C139" t="s">
        <v>14</v>
      </c>
      <c r="D139" t="s">
        <v>297</v>
      </c>
      <c r="E139" t="s">
        <v>16</v>
      </c>
      <c r="F139" t="s">
        <v>199</v>
      </c>
      <c r="G139">
        <v>200</v>
      </c>
      <c r="H139">
        <v>10</v>
      </c>
      <c r="I139">
        <v>200</v>
      </c>
      <c r="J139">
        <v>20</v>
      </c>
      <c r="K139">
        <v>15</v>
      </c>
      <c r="L139">
        <v>5</v>
      </c>
      <c r="M139">
        <v>20</v>
      </c>
    </row>
    <row r="140" spans="1:13" x14ac:dyDescent="0.3">
      <c r="A140">
        <v>250</v>
      </c>
      <c r="B140" t="s">
        <v>298</v>
      </c>
      <c r="C140" t="s">
        <v>14</v>
      </c>
      <c r="D140" t="s">
        <v>299</v>
      </c>
      <c r="E140" t="s">
        <v>16</v>
      </c>
      <c r="F140" t="s">
        <v>1116</v>
      </c>
    </row>
  </sheetData>
  <sheetProtection selectLockedCells="1" autoFilter="0" pivotTables="0" selectUnlockedCells="1"/>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ED15-35B8-4334-AB31-34AEE24554FC}">
  <sheetPr codeName="Sheet33">
    <tabColor rgb="FFF2F0F5"/>
  </sheetPr>
  <dimension ref="A1:AG140"/>
  <sheetViews>
    <sheetView topLeftCell="A2" zoomScale="90" zoomScaleNormal="90" workbookViewId="0">
      <selection activeCell="B24" sqref="B24:B122"/>
    </sheetView>
  </sheetViews>
  <sheetFormatPr defaultRowHeight="14.4" x14ac:dyDescent="0.3"/>
  <cols>
    <col min="1" max="1" width="35.44140625" bestFit="1" customWidth="1"/>
    <col min="2" max="3" width="35.44140625" customWidth="1"/>
    <col min="4" max="4" width="21.6640625" bestFit="1" customWidth="1"/>
    <col min="5" max="5" width="20.33203125" customWidth="1"/>
    <col min="7" max="7" width="16.109375" bestFit="1" customWidth="1"/>
    <col min="8" max="8" width="16.109375" customWidth="1"/>
    <col min="9" max="9" width="29.21875" bestFit="1" customWidth="1"/>
    <col min="10" max="10" width="15.77734375" bestFit="1" customWidth="1"/>
    <col min="11" max="11" width="11.33203125" bestFit="1" customWidth="1"/>
    <col min="12" max="12" width="13.33203125" bestFit="1" customWidth="1"/>
    <col min="13" max="13" width="17.5546875" bestFit="1" customWidth="1"/>
    <col min="14" max="14" width="12.6640625" bestFit="1" customWidth="1"/>
    <col min="15" max="15" width="14.6640625" bestFit="1" customWidth="1"/>
    <col min="16" max="16" width="22.21875" bestFit="1" customWidth="1"/>
    <col min="17" max="17" width="17.88671875" bestFit="1" customWidth="1"/>
    <col min="18" max="18" width="19.88671875" bestFit="1" customWidth="1"/>
    <col min="19" max="19" width="30.88671875" bestFit="1" customWidth="1"/>
    <col min="20" max="20" width="36.6640625" bestFit="1" customWidth="1"/>
    <col min="21" max="21" width="36" bestFit="1" customWidth="1"/>
    <col min="22" max="22" width="21" bestFit="1" customWidth="1"/>
    <col min="23" max="23" width="23.109375" bestFit="1" customWidth="1"/>
    <col min="24" max="24" width="25" bestFit="1" customWidth="1"/>
    <col min="25" max="25" width="24.88671875" bestFit="1" customWidth="1"/>
    <col min="26" max="26" width="39.109375" bestFit="1" customWidth="1"/>
    <col min="27" max="27" width="42" bestFit="1" customWidth="1"/>
    <col min="28" max="28" width="40" bestFit="1" customWidth="1"/>
    <col min="29" max="29" width="41.21875" bestFit="1" customWidth="1"/>
    <col min="30" max="30" width="37.77734375" bestFit="1" customWidth="1"/>
    <col min="31" max="31" width="27.21875" bestFit="1" customWidth="1"/>
    <col min="32" max="32" width="22.6640625" bestFit="1" customWidth="1"/>
    <col min="33" max="33" width="7.5546875" bestFit="1" customWidth="1"/>
  </cols>
  <sheetData>
    <row r="1" spans="1:33" x14ac:dyDescent="0.3">
      <c r="A1" s="6" t="s">
        <v>1</v>
      </c>
      <c r="B1" t="s">
        <v>1125</v>
      </c>
      <c r="C1" t="s">
        <v>1126</v>
      </c>
      <c r="D1" t="s">
        <v>1148</v>
      </c>
      <c r="E1" t="s">
        <v>1149</v>
      </c>
      <c r="F1" t="s">
        <v>1150</v>
      </c>
      <c r="G1" t="s">
        <v>1151</v>
      </c>
      <c r="H1" t="s">
        <v>1152</v>
      </c>
      <c r="I1" t="s">
        <v>1153</v>
      </c>
      <c r="J1" t="s">
        <v>1127</v>
      </c>
      <c r="K1" t="s">
        <v>1128</v>
      </c>
      <c r="L1" t="s">
        <v>1129</v>
      </c>
      <c r="M1" t="s">
        <v>1130</v>
      </c>
      <c r="N1" t="s">
        <v>1131</v>
      </c>
      <c r="O1" t="s">
        <v>1132</v>
      </c>
      <c r="P1" t="s">
        <v>1138</v>
      </c>
      <c r="Q1" t="s">
        <v>1139</v>
      </c>
      <c r="R1" t="s">
        <v>1141</v>
      </c>
      <c r="S1" t="s">
        <v>1154</v>
      </c>
      <c r="T1" t="s">
        <v>1155</v>
      </c>
      <c r="U1" t="s">
        <v>1156</v>
      </c>
      <c r="V1" t="s">
        <v>1157</v>
      </c>
      <c r="W1" t="s">
        <v>1158</v>
      </c>
      <c r="X1" t="s">
        <v>1159</v>
      </c>
      <c r="Y1" t="s">
        <v>1160</v>
      </c>
      <c r="Z1" t="s">
        <v>1162</v>
      </c>
      <c r="AA1" t="s">
        <v>1163</v>
      </c>
      <c r="AB1" t="s">
        <v>1164</v>
      </c>
      <c r="AC1" t="s">
        <v>1165</v>
      </c>
      <c r="AD1" t="s">
        <v>1166</v>
      </c>
      <c r="AE1" t="s">
        <v>1173</v>
      </c>
      <c r="AF1" t="s">
        <v>1161</v>
      </c>
      <c r="AG1" t="s">
        <v>17956</v>
      </c>
    </row>
    <row r="2" spans="1:33" x14ac:dyDescent="0.3">
      <c r="A2" t="str">
        <f>General2023[[#This Row],[organisation_name]]</f>
        <v>Break-even</v>
      </c>
      <c r="B2" t="str">
        <f>IF(General2023[[#This Row],[sector]]= "",VLOOKUP(Data2023[[#This Row],[organisation_name]],'Response Rate sheet'!A:D,3,FALSE),General2023[[#This Row],[sector]])</f>
        <v>Culture</v>
      </c>
      <c r="C2" t="str">
        <f>General2023[[#This Row],[organisation_type]]</f>
        <v>association</v>
      </c>
      <c r="D2">
        <f>IF(ISBLANK(General2023[[#This Row],[number_of_members]]),"N/A",VLOOKUP(A2,General2023[[organisation_name]:[number_of_international_committee_board_members_not_eea]],6,FALSE))</f>
        <v>85</v>
      </c>
      <c r="E2">
        <f>IF(ISBLANK(General2023[[#This Row],[number_of_committee_board_members]]),"N/A",VLOOKUP(A2,General2023!B:M,10,FALSE))</f>
        <v>30</v>
      </c>
      <c r="F2">
        <f>IFERROR(Data2023[[#This Row],[Number of members]]-Data2023[[#This Row],[Number of active members]], "N/A")</f>
        <v>55</v>
      </c>
      <c r="G2">
        <f>IFERROR(Data2023[[#This Row],[Number of active members]]/Data2023[[#This Row],[Number of members]], "N/A")</f>
        <v>0.35294117647058826</v>
      </c>
      <c r="H2">
        <f>IFERROR(1-Data2023[[#This Row],[Percentage active members]],"N/A")</f>
        <v>0.64705882352941169</v>
      </c>
      <c r="I2" t="str">
        <f>IF(Data2023[[#This Row],[Number of members]]=0,"N/A",IF(Data2023[[#This Row],[Number of members]]&lt;50," A. 1 - 50 ",IF(Data2023[[#This Row],[Number of members]]&lt;100, "B. 50 - 100", IF(Data2023[[#This Row],[Number of members]]&lt;400, "C. 100 - 400", IF(Data2023[[#This Row],[Number of members]]&lt;1000,"D. 400 - 1000", "E. 1000 +")))))</f>
        <v>B. 50 - 100</v>
      </c>
      <c r="J2">
        <f>IF(ISBLANK(General2023[[#This Row],[number_of_international_members_not_eea]]),"N/A",VLOOKUP(A2,General2023[[organisation_name]:[number_of_international_committee_board_members_not_eea]],9,FALSE))</f>
        <v>32</v>
      </c>
      <c r="K2">
        <f>IF(ISBLANK(General2023[[#This Row],[number_of_international_members_eea]]),"N/A",VLOOKUP(A2,General2023[[organisation_name]:[number_of_international_committee_board_members_not_eea]],8,FALSE))</f>
        <v>15</v>
      </c>
      <c r="L2">
        <f>IFERROR(IF(Data2023[[#This Row],[Number of members]]-Data2023[[#This Row],[Non-EEA Total]]-Data2023[[#This Row],[EEA total]]&lt;1,"N/A", Data2023[[#This Row],[Number of members]]-Data2023[[#This Row],[Non-EEA Total]]-Data2023[[#This Row],[EEA total]]),"N/A")</f>
        <v>38</v>
      </c>
      <c r="M2">
        <f>VLOOKUP(A2,General2023[[organisation_name]:[number_of_international_committee_board_members_not_eea]],12,FALSE)</f>
        <v>6</v>
      </c>
      <c r="N2">
        <f>VLOOKUP(A2,General2023[[organisation_name]:[number_of_international_committee_board_members_not_eea]],11,FALSE)</f>
        <v>14</v>
      </c>
      <c r="O2">
        <f>IFERROR(IF(Data2023[[#This Row],[Number of active members]]-Data2023[[#This Row],[Non-EEA Active ]]-Data2023[[#This Row],[EEA Active]]&lt;1,"N/A", Data2023[[#This Row],[Number of active members]]-Data2023[[#This Row],[Non-EEA Active ]]-Data2023[[#This Row],[EEA Active]]),"N/A")</f>
        <v>10</v>
      </c>
      <c r="P2">
        <f>IFERROR(Data2023[[#This Row],[Non-EEA Active ]]/Data2023[[#This Row],[Number of active members]],"N/A")</f>
        <v>0.2</v>
      </c>
      <c r="Q2">
        <f>IFERROR(Data2023[[#This Row],[EEA Active]]/Data2023[[#This Row],[EEA total]], "N/A")</f>
        <v>0.93333333333333335</v>
      </c>
      <c r="R2">
        <f>IFERROR(Data2023[[#This Row],[Dutch Active]]/Data2023[[#This Row],[Dutch total]],"N/A")</f>
        <v>0.26315789473684209</v>
      </c>
      <c r="S2" t="str">
        <f>IFERROR(IF(Data2023[[#This Row],[Number of members]]=Data2023[[#This Row],[Non-EEA Total]]+Data2023[[#This Row],[EEA total]]+Data2023[[#This Row],[Dutch total]],"T","F"),"F")</f>
        <v>T</v>
      </c>
      <c r="T2" t="str">
        <f>IFERROR(IF(Data2023[[#This Row],[Number of active members]]=Data2023[[#This Row],[Non-EEA Active ]]+Data2023[[#This Row],[EEA Active]]+Data2023[[#This Row],[Dutch Active]],"T","F"),"F")</f>
        <v>T</v>
      </c>
      <c r="U2" t="str">
        <f>IFERROR(IF(Data2023[[#This Row],[Number of members]]-Data2023[[#This Row],[Non-EEA Active ]]-Data2023[[#This Row],[EEA Active]]-Data2023[[#This Row],[Dutch Active]]=Data2023[[#This Row],[Number of  inactive members]],"T","F"),"F")</f>
        <v>T</v>
      </c>
      <c r="V2" t="str">
        <f>IF(Data2023[[#This Row],[EEA Active]]&lt;=Data2023[[#This Row],[EEA total]],"T","F")</f>
        <v>T</v>
      </c>
      <c r="W2" t="str">
        <f>IF(Data2023[[#This Row],[Dutch Active]]&lt;=Data2023[[#This Row],[Dutch total]],"T","F")</f>
        <v>T</v>
      </c>
      <c r="X2" t="str">
        <f>IF(Data2023[[#This Row],[Non-EEA Active ]]&lt;=Data2023[[#This Row],[Non-EEA Total]],"T","F")</f>
        <v>T</v>
      </c>
      <c r="Y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2">
        <f>IFERROR(VLOOKUP(Data2023[[#This Row],[organisation_name]],'Division Study Year Committees'!$A$1:$L$108,2,FALSE),"N/A")</f>
        <v>0</v>
      </c>
      <c r="AA2">
        <f>IFERROR(VLOOKUP(Data2023[[#This Row],[organisation_name]],'Division Study Year Committees'!$A$1:$L$108,3,FALSE),"N/A")</f>
        <v>0</v>
      </c>
      <c r="AB2">
        <f>IFERROR(VLOOKUP(Data2023[[#This Row],[organisation_name]],'Division Study Year Committees'!$A$1:$L$108,4,FALSE),"N/A")</f>
        <v>0</v>
      </c>
      <c r="AC2">
        <f>IFERROR(VLOOKUP(Data2023[[#This Row],[organisation_name]],'Division Study Year Committees'!$A$1:$L$108,5,FALSE), "N/A")</f>
        <v>0</v>
      </c>
      <c r="AD2">
        <f>IFERROR(VLOOKUP(Data2023[[#This Row],[organisation_name]],'Division Study Year Committees'!$A$1:$L$108,6,FALSE), "N/A")</f>
        <v>0</v>
      </c>
      <c r="AE2">
        <f>SUM(Data2023[[#This Row],[Number of first year comittee members]:[Number of 4+ year comittee members]])</f>
        <v>0</v>
      </c>
      <c r="AF2">
        <f>COUNTIF('Committee2022'!D:D,Data2023[[#This Row],[organisation_name]])</f>
        <v>7</v>
      </c>
      <c r="AG2">
        <v>2023</v>
      </c>
    </row>
    <row r="3" spans="1:33" x14ac:dyDescent="0.3">
      <c r="A3" t="str">
        <f>General2023[[#This Row],[organisation_name]]</f>
        <v>DAV Kronos</v>
      </c>
      <c r="B3" t="str">
        <f>IF(General2023[[#This Row],[sector]]= "",VLOOKUP(Data2023[[#This Row],[organisation_name]],'Response Rate sheet'!A:D,3,FALSE),General2023[[#This Row],[sector]])</f>
        <v>Sports</v>
      </c>
      <c r="C3" t="str">
        <f>General2023[[#This Row],[organisation_type]]</f>
        <v>association</v>
      </c>
      <c r="D3">
        <f>IF(ISBLANK(General2023[[#This Row],[number_of_members]]),"N/A",VLOOKUP(A3,General2023[[organisation_name]:[number_of_international_committee_board_members_not_eea]],6,FALSE))</f>
        <v>102</v>
      </c>
      <c r="E3">
        <f>IF(ISBLANK(General2023[[#This Row],[number_of_committee_board_members]]),"N/A",VLOOKUP(A3,General2023!B:M,10,FALSE))</f>
        <v>5</v>
      </c>
      <c r="F3">
        <f>IFERROR(Data2023[[#This Row],[Number of members]]-Data2023[[#This Row],[Number of active members]], "N/A")</f>
        <v>97</v>
      </c>
      <c r="G3">
        <f>IFERROR(Data2023[[#This Row],[Number of active members]]/Data2023[[#This Row],[Number of members]], "N/A")</f>
        <v>4.9019607843137254E-2</v>
      </c>
      <c r="H3">
        <f>IFERROR(1-Data2023[[#This Row],[Percentage active members]],"N/A")</f>
        <v>0.9509803921568627</v>
      </c>
      <c r="I3" t="str">
        <f>IF(Data2023[[#This Row],[Number of members]]=0,"N/A",IF(Data2023[[#This Row],[Number of members]]&lt;50," A. 1 - 50 ",IF(Data2023[[#This Row],[Number of members]]&lt;100, "B. 50 - 100", IF(Data2023[[#This Row],[Number of members]]&lt;400, "C. 100 - 400", IF(Data2023[[#This Row],[Number of members]]&lt;1000,"D. 400 - 1000", "E. 1000 +")))))</f>
        <v>C. 100 - 400</v>
      </c>
      <c r="J3">
        <f>IF(ISBLANK(General2023[[#This Row],[number_of_international_members_not_eea]]),"N/A",VLOOKUP(A3,General2023[[organisation_name]:[number_of_international_committee_board_members_not_eea]],9,FALSE))</f>
        <v>45</v>
      </c>
      <c r="K3">
        <f>IF(ISBLANK(General2023[[#This Row],[number_of_international_members_eea]]),"N/A",VLOOKUP(A3,General2023[[organisation_name]:[number_of_international_committee_board_members_not_eea]],8,FALSE))</f>
        <v>1</v>
      </c>
      <c r="L3">
        <f>IFERROR(IF(Data2023[[#This Row],[Number of members]]-Data2023[[#This Row],[Non-EEA Total]]-Data2023[[#This Row],[EEA total]]&lt;1,"N/A", Data2023[[#This Row],[Number of members]]-Data2023[[#This Row],[Non-EEA Total]]-Data2023[[#This Row],[EEA total]]),"N/A")</f>
        <v>56</v>
      </c>
      <c r="M3">
        <f>VLOOKUP(A3,General2023[[organisation_name]:[number_of_international_committee_board_members_not_eea]],12,FALSE)</f>
        <v>1</v>
      </c>
      <c r="N3">
        <f>VLOOKUP(A3,General2023[[organisation_name]:[number_of_international_committee_board_members_not_eea]],11,FALSE)</f>
        <v>4</v>
      </c>
      <c r="O3" t="str">
        <f>IFERROR(IF(Data2023[[#This Row],[Number of active members]]-Data2023[[#This Row],[Non-EEA Active ]]-Data2023[[#This Row],[EEA Active]]&lt;1,"N/A", Data2023[[#This Row],[Number of active members]]-Data2023[[#This Row],[Non-EEA Active ]]-Data2023[[#This Row],[EEA Active]]),"N/A")</f>
        <v>N/A</v>
      </c>
      <c r="P3">
        <f>IFERROR(Data2023[[#This Row],[Non-EEA Active ]]/Data2023[[#This Row],[Number of active members]],"N/A")</f>
        <v>0.2</v>
      </c>
      <c r="Q3">
        <f>IFERROR(Data2023[[#This Row],[EEA Active]]/Data2023[[#This Row],[EEA total]], "N/A")</f>
        <v>4</v>
      </c>
      <c r="R3" t="str">
        <f>IFERROR(Data2023[[#This Row],[Dutch Active]]/Data2023[[#This Row],[Dutch total]],"N/A")</f>
        <v>N/A</v>
      </c>
      <c r="S3" t="str">
        <f>IFERROR(IF(Data2023[[#This Row],[Number of members]]=Data2023[[#This Row],[Non-EEA Total]]+Data2023[[#This Row],[EEA total]]+Data2023[[#This Row],[Dutch total]],"T","F"),"F")</f>
        <v>T</v>
      </c>
      <c r="T3" t="str">
        <f>IFERROR(IF(Data2023[[#This Row],[Number of active members]]=Data2023[[#This Row],[Non-EEA Active ]]+Data2023[[#This Row],[EEA Active]]+Data2023[[#This Row],[Dutch Active]],"T","F"),"F")</f>
        <v>F</v>
      </c>
      <c r="U3" t="str">
        <f>IFERROR(IF(Data2023[[#This Row],[Number of members]]-Data2023[[#This Row],[Non-EEA Active ]]-Data2023[[#This Row],[EEA Active]]-Data2023[[#This Row],[Dutch Active]]=Data2023[[#This Row],[Number of  inactive members]],"T","F"),"F")</f>
        <v>F</v>
      </c>
      <c r="V3" t="str">
        <f>IF(Data2023[[#This Row],[EEA Active]]&lt;=Data2023[[#This Row],[EEA total]],"T","F")</f>
        <v>F</v>
      </c>
      <c r="W3" t="str">
        <f>IF(Data2023[[#This Row],[Dutch Active]]&lt;=Data2023[[#This Row],[Dutch total]],"T","F")</f>
        <v>F</v>
      </c>
      <c r="X3" t="str">
        <f>IF(Data2023[[#This Row],[Non-EEA Active ]]&lt;=Data2023[[#This Row],[Non-EEA Total]],"T","F")</f>
        <v>T</v>
      </c>
      <c r="Y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
        <f>IFERROR(VLOOKUP(Data2023[[#This Row],[organisation_name]],'Division Study Year Committees'!$A$1:$L$108,2,FALSE),"N/A")</f>
        <v>14</v>
      </c>
      <c r="AA3">
        <f>IFERROR(VLOOKUP(Data2023[[#This Row],[organisation_name]],'Division Study Year Committees'!$A$1:$L$108,3,FALSE),"N/A")</f>
        <v>16</v>
      </c>
      <c r="AB3">
        <f>IFERROR(VLOOKUP(Data2023[[#This Row],[organisation_name]],'Division Study Year Committees'!$A$1:$L$108,4,FALSE),"N/A")</f>
        <v>18</v>
      </c>
      <c r="AC3">
        <f>IFERROR(VLOOKUP(Data2023[[#This Row],[organisation_name]],'Division Study Year Committees'!$A$1:$L$108,5,FALSE), "N/A")</f>
        <v>7</v>
      </c>
      <c r="AD3">
        <f>IFERROR(VLOOKUP(Data2023[[#This Row],[organisation_name]],'Division Study Year Committees'!$A$1:$L$108,6,FALSE), "N/A")</f>
        <v>13</v>
      </c>
      <c r="AE3">
        <f>SUM(Data2023[[#This Row],[Number of first year comittee members]:[Number of 4+ year comittee members]])</f>
        <v>68</v>
      </c>
      <c r="AF3">
        <f>COUNTIF('Committee2022'!D:D,Data2023[[#This Row],[organisation_name]])</f>
        <v>0</v>
      </c>
      <c r="AG3">
        <v>2023</v>
      </c>
    </row>
    <row r="4" spans="1:33" x14ac:dyDescent="0.3">
      <c r="A4" t="str">
        <f>General2023[[#This Row],[organisation_name]]</f>
        <v>DBV Arriba</v>
      </c>
      <c r="B4" t="str">
        <f>IF(General2023[[#This Row],[sector]]= "",VLOOKUP(Data2023[[#This Row],[organisation_name]],'Response Rate sheet'!A:D,3,FALSE),General2023[[#This Row],[sector]])</f>
        <v>Sports</v>
      </c>
      <c r="C4" t="str">
        <f>General2023[[#This Row],[organisation_type]]</f>
        <v>association</v>
      </c>
      <c r="D4">
        <f>IF(ISBLANK(General2023[[#This Row],[number_of_members]]),"N/A",VLOOKUP(A4,General2023[[organisation_name]:[number_of_international_committee_board_members_not_eea]],6,FALSE))</f>
        <v>106</v>
      </c>
      <c r="E4">
        <f>IF(ISBLANK(General2023[[#This Row],[number_of_committee_board_members]]),"N/A",VLOOKUP(A4,General2023!B:M,10,FALSE))</f>
        <v>5</v>
      </c>
      <c r="F4">
        <f>IFERROR(Data2023[[#This Row],[Number of members]]-Data2023[[#This Row],[Number of active members]], "N/A")</f>
        <v>101</v>
      </c>
      <c r="G4">
        <f>IFERROR(Data2023[[#This Row],[Number of active members]]/Data2023[[#This Row],[Number of members]], "N/A")</f>
        <v>4.716981132075472E-2</v>
      </c>
      <c r="H4">
        <f>IFERROR(1-Data2023[[#This Row],[Percentage active members]],"N/A")</f>
        <v>0.95283018867924529</v>
      </c>
      <c r="I4" t="str">
        <f>IF(Data2023[[#This Row],[Number of members]]=0,"N/A",IF(Data2023[[#This Row],[Number of members]]&lt;50," A. 1 - 50 ",IF(Data2023[[#This Row],[Number of members]]&lt;100, "B. 50 - 100", IF(Data2023[[#This Row],[Number of members]]&lt;400, "C. 100 - 400", IF(Data2023[[#This Row],[Number of members]]&lt;1000,"D. 400 - 1000", "E. 1000 +")))))</f>
        <v>C. 100 - 400</v>
      </c>
      <c r="J4">
        <f>IF(ISBLANK(General2023[[#This Row],[number_of_international_members_not_eea]]),"N/A",VLOOKUP(A4,General2023[[organisation_name]:[number_of_international_committee_board_members_not_eea]],9,FALSE))</f>
        <v>33</v>
      </c>
      <c r="K4">
        <f>IF(ISBLANK(General2023[[#This Row],[number_of_international_members_eea]]),"N/A",VLOOKUP(A4,General2023[[organisation_name]:[number_of_international_committee_board_members_not_eea]],8,FALSE))</f>
        <v>10</v>
      </c>
      <c r="L4">
        <f>IFERROR(IF(Data2023[[#This Row],[Number of members]]-Data2023[[#This Row],[Non-EEA Total]]-Data2023[[#This Row],[EEA total]]&lt;1,"N/A", Data2023[[#This Row],[Number of members]]-Data2023[[#This Row],[Non-EEA Total]]-Data2023[[#This Row],[EEA total]]),"N/A")</f>
        <v>63</v>
      </c>
      <c r="M4">
        <f>VLOOKUP(A4,General2023[[organisation_name]:[number_of_international_committee_board_members_not_eea]],12,FALSE)</f>
        <v>1</v>
      </c>
      <c r="N4">
        <f>VLOOKUP(A4,General2023[[organisation_name]:[number_of_international_committee_board_members_not_eea]],11,FALSE)</f>
        <v>10</v>
      </c>
      <c r="O4" t="str">
        <f>IFERROR(IF(Data2023[[#This Row],[Number of active members]]-Data2023[[#This Row],[Non-EEA Active ]]-Data2023[[#This Row],[EEA Active]]&lt;1,"N/A", Data2023[[#This Row],[Number of active members]]-Data2023[[#This Row],[Non-EEA Active ]]-Data2023[[#This Row],[EEA Active]]),"N/A")</f>
        <v>N/A</v>
      </c>
      <c r="P4">
        <f>IFERROR(Data2023[[#This Row],[Non-EEA Active ]]/Data2023[[#This Row],[Number of active members]],"N/A")</f>
        <v>0.2</v>
      </c>
      <c r="Q4">
        <f>IFERROR(Data2023[[#This Row],[EEA Active]]/Data2023[[#This Row],[EEA total]], "N/A")</f>
        <v>1</v>
      </c>
      <c r="R4" t="str">
        <f>IFERROR(Data2023[[#This Row],[Dutch Active]]/Data2023[[#This Row],[Dutch total]],"N/A")</f>
        <v>N/A</v>
      </c>
      <c r="S4" t="str">
        <f>IFERROR(IF(Data2023[[#This Row],[Number of members]]=Data2023[[#This Row],[Non-EEA Total]]+Data2023[[#This Row],[EEA total]]+Data2023[[#This Row],[Dutch total]],"T","F"),"F")</f>
        <v>T</v>
      </c>
      <c r="T4" t="str">
        <f>IFERROR(IF(Data2023[[#This Row],[Number of active members]]=Data2023[[#This Row],[Non-EEA Active ]]+Data2023[[#This Row],[EEA Active]]+Data2023[[#This Row],[Dutch Active]],"T","F"),"F")</f>
        <v>F</v>
      </c>
      <c r="U4" t="str">
        <f>IFERROR(IF(Data2023[[#This Row],[Number of members]]-Data2023[[#This Row],[Non-EEA Active ]]-Data2023[[#This Row],[EEA Active]]-Data2023[[#This Row],[Dutch Active]]=Data2023[[#This Row],[Number of  inactive members]],"T","F"),"F")</f>
        <v>F</v>
      </c>
      <c r="V4" t="str">
        <f>IF(Data2023[[#This Row],[EEA Active]]&lt;=Data2023[[#This Row],[EEA total]],"T","F")</f>
        <v>T</v>
      </c>
      <c r="W4" t="str">
        <f>IF(Data2023[[#This Row],[Dutch Active]]&lt;=Data2023[[#This Row],[Dutch total]],"T","F")</f>
        <v>F</v>
      </c>
      <c r="X4" t="str">
        <f>IF(Data2023[[#This Row],[Non-EEA Active ]]&lt;=Data2023[[#This Row],[Non-EEA Total]],"T","F")</f>
        <v>T</v>
      </c>
      <c r="Y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 t="str">
        <f>IFERROR(VLOOKUP(Data2023[[#This Row],[organisation_name]],'Division Study Year Committees'!$A$1:$L$108,2,FALSE),"N/A")</f>
        <v>N/A</v>
      </c>
      <c r="AA4" t="str">
        <f>IFERROR(VLOOKUP(Data2023[[#This Row],[organisation_name]],'Division Study Year Committees'!$A$1:$L$108,3,FALSE),"N/A")</f>
        <v>N/A</v>
      </c>
      <c r="AB4" t="str">
        <f>IFERROR(VLOOKUP(Data2023[[#This Row],[organisation_name]],'Division Study Year Committees'!$A$1:$L$108,4,FALSE),"N/A")</f>
        <v>N/A</v>
      </c>
      <c r="AC4" t="str">
        <f>IFERROR(VLOOKUP(Data2023[[#This Row],[organisation_name]],'Division Study Year Committees'!$A$1:$L$108,5,FALSE), "N/A")</f>
        <v>N/A</v>
      </c>
      <c r="AD4" t="str">
        <f>IFERROR(VLOOKUP(Data2023[[#This Row],[organisation_name]],'Division Study Year Committees'!$A$1:$L$108,6,FALSE), "N/A")</f>
        <v>N/A</v>
      </c>
      <c r="AE4">
        <f>SUM(Data2023[[#This Row],[Number of first year comittee members]:[Number of 4+ year comittee members]])</f>
        <v>0</v>
      </c>
      <c r="AF4">
        <f>COUNTIF('Committee2022'!D:D,Data2023[[#This Row],[organisation_name]])</f>
        <v>0</v>
      </c>
      <c r="AG4">
        <v>2023</v>
      </c>
    </row>
    <row r="5" spans="1:33" x14ac:dyDescent="0.3">
      <c r="A5" t="str">
        <f>General2023[[#This Row],[organisation_name]]</f>
        <v>DSTV Aloha</v>
      </c>
      <c r="B5" t="str">
        <f>IF(General2023[[#This Row],[sector]]= "",VLOOKUP(Data2023[[#This Row],[organisation_name]],'Response Rate sheet'!A:D,3,FALSE),General2023[[#This Row],[sector]])</f>
        <v>Sports</v>
      </c>
      <c r="C5" t="str">
        <f>General2023[[#This Row],[organisation_type]]</f>
        <v>association</v>
      </c>
      <c r="D5">
        <f>IF(ISBLANK(General2023[[#This Row],[number_of_members]]),"N/A",VLOOKUP(A5,General2023[[organisation_name]:[number_of_international_committee_board_members_not_eea]],6,FALSE))</f>
        <v>72</v>
      </c>
      <c r="E5">
        <f>IF(ISBLANK(General2023[[#This Row],[number_of_committee_board_members]]),"N/A",VLOOKUP(A5,General2023!B:M,10,FALSE))</f>
        <v>10</v>
      </c>
      <c r="F5">
        <f>IFERROR(Data2023[[#This Row],[Number of members]]-Data2023[[#This Row],[Number of active members]], "N/A")</f>
        <v>62</v>
      </c>
      <c r="G5">
        <f>IFERROR(Data2023[[#This Row],[Number of active members]]/Data2023[[#This Row],[Number of members]], "N/A")</f>
        <v>0.1388888888888889</v>
      </c>
      <c r="H5">
        <f>IFERROR(1-Data2023[[#This Row],[Percentage active members]],"N/A")</f>
        <v>0.86111111111111116</v>
      </c>
      <c r="I5" t="str">
        <f>IF(Data2023[[#This Row],[Number of members]]=0,"N/A",IF(Data2023[[#This Row],[Number of members]]&lt;50," A. 1 - 50 ",IF(Data2023[[#This Row],[Number of members]]&lt;100, "B. 50 - 100", IF(Data2023[[#This Row],[Number of members]]&lt;400, "C. 100 - 400", IF(Data2023[[#This Row],[Number of members]]&lt;1000,"D. 400 - 1000", "E. 1000 +")))))</f>
        <v>B. 50 - 100</v>
      </c>
      <c r="J5">
        <f>IF(ISBLANK(General2023[[#This Row],[number_of_international_members_not_eea]]),"N/A",VLOOKUP(A5,General2023[[organisation_name]:[number_of_international_committee_board_members_not_eea]],9,FALSE))</f>
        <v>29</v>
      </c>
      <c r="K5">
        <f>IF(ISBLANK(General2023[[#This Row],[number_of_international_members_eea]]),"N/A",VLOOKUP(A5,General2023[[organisation_name]:[number_of_international_committee_board_members_not_eea]],8,FALSE))</f>
        <v>2</v>
      </c>
      <c r="L5">
        <f>IFERROR(IF(Data2023[[#This Row],[Number of members]]-Data2023[[#This Row],[Non-EEA Total]]-Data2023[[#This Row],[EEA total]]&lt;1,"N/A", Data2023[[#This Row],[Number of members]]-Data2023[[#This Row],[Non-EEA Total]]-Data2023[[#This Row],[EEA total]]),"N/A")</f>
        <v>41</v>
      </c>
      <c r="M5">
        <f>VLOOKUP(A5,General2023[[organisation_name]:[number_of_international_committee_board_members_not_eea]],12,FALSE)</f>
        <v>0</v>
      </c>
      <c r="N5">
        <f>VLOOKUP(A5,General2023[[organisation_name]:[number_of_international_committee_board_members_not_eea]],11,FALSE)</f>
        <v>1</v>
      </c>
      <c r="O5">
        <f>IFERROR(IF(Data2023[[#This Row],[Number of active members]]-Data2023[[#This Row],[Non-EEA Active ]]-Data2023[[#This Row],[EEA Active]]&lt;1,"N/A", Data2023[[#This Row],[Number of active members]]-Data2023[[#This Row],[Non-EEA Active ]]-Data2023[[#This Row],[EEA Active]]),"N/A")</f>
        <v>9</v>
      </c>
      <c r="P5">
        <f>IFERROR(Data2023[[#This Row],[Non-EEA Active ]]/Data2023[[#This Row],[Number of active members]],"N/A")</f>
        <v>0</v>
      </c>
      <c r="Q5">
        <f>IFERROR(Data2023[[#This Row],[EEA Active]]/Data2023[[#This Row],[EEA total]], "N/A")</f>
        <v>0.5</v>
      </c>
      <c r="R5">
        <f>IFERROR(Data2023[[#This Row],[Dutch Active]]/Data2023[[#This Row],[Dutch total]],"N/A")</f>
        <v>0.21951219512195122</v>
      </c>
      <c r="S5" t="str">
        <f>IFERROR(IF(Data2023[[#This Row],[Number of members]]=Data2023[[#This Row],[Non-EEA Total]]+Data2023[[#This Row],[EEA total]]+Data2023[[#This Row],[Dutch total]],"T","F"),"F")</f>
        <v>T</v>
      </c>
      <c r="T5" t="str">
        <f>IFERROR(IF(Data2023[[#This Row],[Number of active members]]=Data2023[[#This Row],[Non-EEA Active ]]+Data2023[[#This Row],[EEA Active]]+Data2023[[#This Row],[Dutch Active]],"T","F"),"F")</f>
        <v>T</v>
      </c>
      <c r="U5" t="str">
        <f>IFERROR(IF(Data2023[[#This Row],[Number of members]]-Data2023[[#This Row],[Non-EEA Active ]]-Data2023[[#This Row],[EEA Active]]-Data2023[[#This Row],[Dutch Active]]=Data2023[[#This Row],[Number of  inactive members]],"T","F"),"F")</f>
        <v>T</v>
      </c>
      <c r="V5" t="str">
        <f>IF(Data2023[[#This Row],[EEA Active]]&lt;=Data2023[[#This Row],[EEA total]],"T","F")</f>
        <v>T</v>
      </c>
      <c r="W5" t="str">
        <f>IF(Data2023[[#This Row],[Dutch Active]]&lt;=Data2023[[#This Row],[Dutch total]],"T","F")</f>
        <v>T</v>
      </c>
      <c r="X5" t="str">
        <f>IF(Data2023[[#This Row],[Non-EEA Active ]]&lt;=Data2023[[#This Row],[Non-EEA Total]],"T","F")</f>
        <v>T</v>
      </c>
      <c r="Y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
        <f>IFERROR(VLOOKUP(Data2023[[#This Row],[organisation_name]],'Division Study Year Committees'!$A$1:$L$108,2,FALSE),"N/A")</f>
        <v>1</v>
      </c>
      <c r="AA5">
        <f>IFERROR(VLOOKUP(Data2023[[#This Row],[organisation_name]],'Division Study Year Committees'!$A$1:$L$108,3,FALSE),"N/A")</f>
        <v>1</v>
      </c>
      <c r="AB5">
        <f>IFERROR(VLOOKUP(Data2023[[#This Row],[organisation_name]],'Division Study Year Committees'!$A$1:$L$108,4,FALSE),"N/A")</f>
        <v>0</v>
      </c>
      <c r="AC5">
        <f>IFERROR(VLOOKUP(Data2023[[#This Row],[organisation_name]],'Division Study Year Committees'!$A$1:$L$108,5,FALSE), "N/A")</f>
        <v>9</v>
      </c>
      <c r="AD5">
        <f>IFERROR(VLOOKUP(Data2023[[#This Row],[organisation_name]],'Division Study Year Committees'!$A$1:$L$108,6,FALSE), "N/A")</f>
        <v>24</v>
      </c>
      <c r="AE5">
        <f>SUM(Data2023[[#This Row],[Number of first year comittee members]:[Number of 4+ year comittee members]])</f>
        <v>35</v>
      </c>
      <c r="AF5">
        <f>COUNTIF('Committee2022'!D:D,Data2023[[#This Row],[organisation_name]])</f>
        <v>14</v>
      </c>
      <c r="AG5">
        <v>2023</v>
      </c>
    </row>
    <row r="6" spans="1:33" x14ac:dyDescent="0.3">
      <c r="A6" t="str">
        <f>General2023[[#This Row],[organisation_name]]</f>
        <v>DSV de Skeuvel</v>
      </c>
      <c r="B6" t="str">
        <f>IF(General2023[[#This Row],[sector]]= "",VLOOKUP(Data2023[[#This Row],[organisation_name]],'Response Rate sheet'!A:D,3,FALSE),General2023[[#This Row],[sector]])</f>
        <v>Sports</v>
      </c>
      <c r="C6" t="str">
        <f>General2023[[#This Row],[organisation_type]]</f>
        <v>association</v>
      </c>
      <c r="D6">
        <f>IF(ISBLANK(General2023[[#This Row],[number_of_members]]),"N/A",VLOOKUP(A6,General2023[[organisation_name]:[number_of_international_committee_board_members_not_eea]],6,FALSE))</f>
        <v>240</v>
      </c>
      <c r="E6">
        <f>IF(ISBLANK(General2023[[#This Row],[number_of_committee_board_members]]),"N/A",VLOOKUP(A6,General2023!B:M,10,FALSE))</f>
        <v>75</v>
      </c>
      <c r="F6">
        <f>IFERROR(Data2023[[#This Row],[Number of members]]-Data2023[[#This Row],[Number of active members]], "N/A")</f>
        <v>165</v>
      </c>
      <c r="G6">
        <f>IFERROR(Data2023[[#This Row],[Number of active members]]/Data2023[[#This Row],[Number of members]], "N/A")</f>
        <v>0.3125</v>
      </c>
      <c r="H6">
        <f>IFERROR(1-Data2023[[#This Row],[Percentage active members]],"N/A")</f>
        <v>0.6875</v>
      </c>
      <c r="I6" t="str">
        <f>IF(Data2023[[#This Row],[Number of members]]=0,"N/A",IF(Data2023[[#This Row],[Number of members]]&lt;50," A. 1 - 50 ",IF(Data2023[[#This Row],[Number of members]]&lt;100, "B. 50 - 100", IF(Data2023[[#This Row],[Number of members]]&lt;400, "C. 100 - 400", IF(Data2023[[#This Row],[Number of members]]&lt;1000,"D. 400 - 1000", "E. 1000 +")))))</f>
        <v>C. 100 - 400</v>
      </c>
      <c r="J6">
        <f>IF(ISBLANK(General2023[[#This Row],[number_of_international_members_not_eea]]),"N/A",VLOOKUP(A6,General2023[[organisation_name]:[number_of_international_committee_board_members_not_eea]],9,FALSE))</f>
        <v>75</v>
      </c>
      <c r="K6">
        <f>IF(ISBLANK(General2023[[#This Row],[number_of_international_members_eea]]),"N/A",VLOOKUP(A6,General2023[[organisation_name]:[number_of_international_committee_board_members_not_eea]],8,FALSE))</f>
        <v>5</v>
      </c>
      <c r="L6">
        <f>IFERROR(IF(Data2023[[#This Row],[Number of members]]-Data2023[[#This Row],[Non-EEA Total]]-Data2023[[#This Row],[EEA total]]&lt;1,"N/A", Data2023[[#This Row],[Number of members]]-Data2023[[#This Row],[Non-EEA Total]]-Data2023[[#This Row],[EEA total]]),"N/A")</f>
        <v>160</v>
      </c>
      <c r="M6">
        <f>VLOOKUP(A6,General2023[[organisation_name]:[number_of_international_committee_board_members_not_eea]],12,FALSE)</f>
        <v>0</v>
      </c>
      <c r="N6">
        <f>VLOOKUP(A6,General2023[[organisation_name]:[number_of_international_committee_board_members_not_eea]],11,FALSE)</f>
        <v>1</v>
      </c>
      <c r="O6">
        <f>IFERROR(IF(Data2023[[#This Row],[Number of active members]]-Data2023[[#This Row],[Non-EEA Active ]]-Data2023[[#This Row],[EEA Active]]&lt;1,"N/A", Data2023[[#This Row],[Number of active members]]-Data2023[[#This Row],[Non-EEA Active ]]-Data2023[[#This Row],[EEA Active]]),"N/A")</f>
        <v>74</v>
      </c>
      <c r="P6">
        <f>IFERROR(Data2023[[#This Row],[Non-EEA Active ]]/Data2023[[#This Row],[Number of active members]],"N/A")</f>
        <v>0</v>
      </c>
      <c r="Q6">
        <f>IFERROR(Data2023[[#This Row],[EEA Active]]/Data2023[[#This Row],[EEA total]], "N/A")</f>
        <v>0.2</v>
      </c>
      <c r="R6">
        <f>IFERROR(Data2023[[#This Row],[Dutch Active]]/Data2023[[#This Row],[Dutch total]],"N/A")</f>
        <v>0.46250000000000002</v>
      </c>
      <c r="S6" t="str">
        <f>IFERROR(IF(Data2023[[#This Row],[Number of members]]=Data2023[[#This Row],[Non-EEA Total]]+Data2023[[#This Row],[EEA total]]+Data2023[[#This Row],[Dutch total]],"T","F"),"F")</f>
        <v>T</v>
      </c>
      <c r="T6" t="str">
        <f>IFERROR(IF(Data2023[[#This Row],[Number of active members]]=Data2023[[#This Row],[Non-EEA Active ]]+Data2023[[#This Row],[EEA Active]]+Data2023[[#This Row],[Dutch Active]],"T","F"),"F")</f>
        <v>T</v>
      </c>
      <c r="U6" t="str">
        <f>IFERROR(IF(Data2023[[#This Row],[Number of members]]-Data2023[[#This Row],[Non-EEA Active ]]-Data2023[[#This Row],[EEA Active]]-Data2023[[#This Row],[Dutch Active]]=Data2023[[#This Row],[Number of  inactive members]],"T","F"),"F")</f>
        <v>T</v>
      </c>
      <c r="V6" t="str">
        <f>IF(Data2023[[#This Row],[EEA Active]]&lt;=Data2023[[#This Row],[EEA total]],"T","F")</f>
        <v>T</v>
      </c>
      <c r="W6" t="str">
        <f>IF(Data2023[[#This Row],[Dutch Active]]&lt;=Data2023[[#This Row],[Dutch total]],"T","F")</f>
        <v>T</v>
      </c>
      <c r="X6" t="str">
        <f>IF(Data2023[[#This Row],[Non-EEA Active ]]&lt;=Data2023[[#This Row],[Non-EEA Total]],"T","F")</f>
        <v>T</v>
      </c>
      <c r="Y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
        <f>IFERROR(VLOOKUP(Data2023[[#This Row],[organisation_name]],'Division Study Year Committees'!$A$1:$L$108,2,FALSE),"N/A")</f>
        <v>0</v>
      </c>
      <c r="AA6">
        <f>IFERROR(VLOOKUP(Data2023[[#This Row],[organisation_name]],'Division Study Year Committees'!$A$1:$L$108,3,FALSE),"N/A")</f>
        <v>0</v>
      </c>
      <c r="AB6">
        <f>IFERROR(VLOOKUP(Data2023[[#This Row],[organisation_name]],'Division Study Year Committees'!$A$1:$L$108,4,FALSE),"N/A")</f>
        <v>0</v>
      </c>
      <c r="AC6">
        <f>IFERROR(VLOOKUP(Data2023[[#This Row],[organisation_name]],'Division Study Year Committees'!$A$1:$L$108,5,FALSE), "N/A")</f>
        <v>0</v>
      </c>
      <c r="AD6">
        <f>IFERROR(VLOOKUP(Data2023[[#This Row],[organisation_name]],'Division Study Year Committees'!$A$1:$L$108,6,FALSE), "N/A")</f>
        <v>0</v>
      </c>
      <c r="AE6">
        <f>SUM(Data2023[[#This Row],[Number of first year comittee members]:[Number of 4+ year comittee members]])</f>
        <v>0</v>
      </c>
      <c r="AF6">
        <f>COUNTIF('Committee2022'!D:D,Data2023[[#This Row],[organisation_name]])</f>
        <v>28</v>
      </c>
      <c r="AG6">
        <v>2023</v>
      </c>
    </row>
    <row r="7" spans="1:33" x14ac:dyDescent="0.3">
      <c r="A7" t="str">
        <f>General2023[[#This Row],[organisation_name]]</f>
        <v>DTTV Thibats</v>
      </c>
      <c r="B7" t="str">
        <f>IF(General2023[[#This Row],[sector]]= "",VLOOKUP(Data2023[[#This Row],[organisation_name]],'Response Rate sheet'!A:D,3,FALSE),General2023[[#This Row],[sector]])</f>
        <v>Sports</v>
      </c>
      <c r="C7" t="str">
        <f>General2023[[#This Row],[organisation_type]]</f>
        <v>association</v>
      </c>
      <c r="D7">
        <f>IF(ISBLANK(General2023[[#This Row],[number_of_members]]),"N/A",VLOOKUP(A7,General2023[[organisation_name]:[number_of_international_committee_board_members_not_eea]],6,FALSE))</f>
        <v>29</v>
      </c>
      <c r="E7">
        <f>IF(ISBLANK(General2023[[#This Row],[number_of_committee_board_members]]),"N/A",VLOOKUP(A7,General2023!B:M,10,FALSE))</f>
        <v>25</v>
      </c>
      <c r="F7">
        <f>IFERROR(Data2023[[#This Row],[Number of members]]-Data2023[[#This Row],[Number of active members]], "N/A")</f>
        <v>4</v>
      </c>
      <c r="G7">
        <f>IFERROR(Data2023[[#This Row],[Number of active members]]/Data2023[[#This Row],[Number of members]], "N/A")</f>
        <v>0.86206896551724133</v>
      </c>
      <c r="H7">
        <f>IFERROR(1-Data2023[[#This Row],[Percentage active members]],"N/A")</f>
        <v>0.13793103448275867</v>
      </c>
      <c r="I7"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7">
        <f>IF(ISBLANK(General2023[[#This Row],[number_of_international_members_not_eea]]),"N/A",VLOOKUP(A7,General2023[[organisation_name]:[number_of_international_committee_board_members_not_eea]],9,FALSE))</f>
        <v>5</v>
      </c>
      <c r="K7">
        <f>IF(ISBLANK(General2023[[#This Row],[number_of_international_members_eea]]),"N/A",VLOOKUP(A7,General2023[[organisation_name]:[number_of_international_committee_board_members_not_eea]],8,FALSE))</f>
        <v>6</v>
      </c>
      <c r="L7">
        <f>IFERROR(IF(Data2023[[#This Row],[Number of members]]-Data2023[[#This Row],[Non-EEA Total]]-Data2023[[#This Row],[EEA total]]&lt;1,"N/A", Data2023[[#This Row],[Number of members]]-Data2023[[#This Row],[Non-EEA Total]]-Data2023[[#This Row],[EEA total]]),"N/A")</f>
        <v>18</v>
      </c>
      <c r="M7">
        <f>VLOOKUP(A7,General2023[[organisation_name]:[number_of_international_committee_board_members_not_eea]],12,FALSE)</f>
        <v>0</v>
      </c>
      <c r="N7">
        <f>VLOOKUP(A7,General2023[[organisation_name]:[number_of_international_committee_board_members_not_eea]],11,FALSE)</f>
        <v>1</v>
      </c>
      <c r="O7">
        <f>IFERROR(IF(Data2023[[#This Row],[Number of active members]]-Data2023[[#This Row],[Non-EEA Active ]]-Data2023[[#This Row],[EEA Active]]&lt;1,"N/A", Data2023[[#This Row],[Number of active members]]-Data2023[[#This Row],[Non-EEA Active ]]-Data2023[[#This Row],[EEA Active]]),"N/A")</f>
        <v>24</v>
      </c>
      <c r="P7">
        <f>IFERROR(Data2023[[#This Row],[Non-EEA Active ]]/Data2023[[#This Row],[Number of active members]],"N/A")</f>
        <v>0</v>
      </c>
      <c r="Q7">
        <f>IFERROR(Data2023[[#This Row],[EEA Active]]/Data2023[[#This Row],[EEA total]], "N/A")</f>
        <v>0.16666666666666666</v>
      </c>
      <c r="R7">
        <f>IFERROR(Data2023[[#This Row],[Dutch Active]]/Data2023[[#This Row],[Dutch total]],"N/A")</f>
        <v>1.3333333333333333</v>
      </c>
      <c r="S7" t="str">
        <f>IFERROR(IF(Data2023[[#This Row],[Number of members]]=Data2023[[#This Row],[Non-EEA Total]]+Data2023[[#This Row],[EEA total]]+Data2023[[#This Row],[Dutch total]],"T","F"),"F")</f>
        <v>T</v>
      </c>
      <c r="T7" t="str">
        <f>IFERROR(IF(Data2023[[#This Row],[Number of active members]]=Data2023[[#This Row],[Non-EEA Active ]]+Data2023[[#This Row],[EEA Active]]+Data2023[[#This Row],[Dutch Active]],"T","F"),"F")</f>
        <v>T</v>
      </c>
      <c r="U7" t="str">
        <f>IFERROR(IF(Data2023[[#This Row],[Number of members]]-Data2023[[#This Row],[Non-EEA Active ]]-Data2023[[#This Row],[EEA Active]]-Data2023[[#This Row],[Dutch Active]]=Data2023[[#This Row],[Number of  inactive members]],"T","F"),"F")</f>
        <v>T</v>
      </c>
      <c r="V7" t="str">
        <f>IF(Data2023[[#This Row],[EEA Active]]&lt;=Data2023[[#This Row],[EEA total]],"T","F")</f>
        <v>T</v>
      </c>
      <c r="W7" t="str">
        <f>IF(Data2023[[#This Row],[Dutch Active]]&lt;=Data2023[[#This Row],[Dutch total]],"T","F")</f>
        <v>F</v>
      </c>
      <c r="X7" t="str">
        <f>IF(Data2023[[#This Row],[Non-EEA Active ]]&lt;=Data2023[[#This Row],[Non-EEA Total]],"T","F")</f>
        <v>T</v>
      </c>
      <c r="Y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
        <f>IFERROR(VLOOKUP(Data2023[[#This Row],[organisation_name]],'Division Study Year Committees'!$A$1:$L$108,2,FALSE),"N/A")</f>
        <v>1</v>
      </c>
      <c r="AA7">
        <f>IFERROR(VLOOKUP(Data2023[[#This Row],[organisation_name]],'Division Study Year Committees'!$A$1:$L$108,3,FALSE),"N/A")</f>
        <v>0</v>
      </c>
      <c r="AB7">
        <f>IFERROR(VLOOKUP(Data2023[[#This Row],[organisation_name]],'Division Study Year Committees'!$A$1:$L$108,4,FALSE),"N/A")</f>
        <v>1</v>
      </c>
      <c r="AC7">
        <f>IFERROR(VLOOKUP(Data2023[[#This Row],[organisation_name]],'Division Study Year Committees'!$A$1:$L$108,5,FALSE), "N/A")</f>
        <v>3</v>
      </c>
      <c r="AD7">
        <f>IFERROR(VLOOKUP(Data2023[[#This Row],[organisation_name]],'Division Study Year Committees'!$A$1:$L$108,6,FALSE), "N/A")</f>
        <v>15</v>
      </c>
      <c r="AE7">
        <f>SUM(Data2023[[#This Row],[Number of first year comittee members]:[Number of 4+ year comittee members]])</f>
        <v>20</v>
      </c>
      <c r="AF7">
        <f>COUNTIF('Committee2022'!D:D,Data2023[[#This Row],[organisation_name]])</f>
        <v>6</v>
      </c>
      <c r="AG7">
        <v>2023</v>
      </c>
    </row>
    <row r="8" spans="1:33" x14ac:dyDescent="0.3">
      <c r="A8" t="str">
        <f>General2023[[#This Row],[organisation_name]]</f>
        <v>DWV Hardboard</v>
      </c>
      <c r="B8" t="str">
        <f>IF(General2023[[#This Row],[sector]]= "",VLOOKUP(Data2023[[#This Row],[organisation_name]],'Response Rate sheet'!A:D,3,FALSE),General2023[[#This Row],[sector]])</f>
        <v>Sports</v>
      </c>
      <c r="C8" t="str">
        <f>General2023[[#This Row],[organisation_type]]</f>
        <v>association</v>
      </c>
      <c r="D8">
        <f>IF(ISBLANK(General2023[[#This Row],[number_of_members]]),"N/A",VLOOKUP(A8,General2023[[organisation_name]:[number_of_international_committee_board_members_not_eea]],6,FALSE))</f>
        <v>170</v>
      </c>
      <c r="E8">
        <f>IF(ISBLANK(General2023[[#This Row],[number_of_committee_board_members]]),"N/A",VLOOKUP(A8,General2023!B:M,10,FALSE))</f>
        <v>50</v>
      </c>
      <c r="F8">
        <f>IFERROR(Data2023[[#This Row],[Number of members]]-Data2023[[#This Row],[Number of active members]], "N/A")</f>
        <v>120</v>
      </c>
      <c r="G8">
        <f>IFERROR(Data2023[[#This Row],[Number of active members]]/Data2023[[#This Row],[Number of members]], "N/A")</f>
        <v>0.29411764705882354</v>
      </c>
      <c r="H8">
        <f>IFERROR(1-Data2023[[#This Row],[Percentage active members]],"N/A")</f>
        <v>0.70588235294117641</v>
      </c>
      <c r="I8" t="str">
        <f>IF(Data2023[[#This Row],[Number of members]]=0,"N/A",IF(Data2023[[#This Row],[Number of members]]&lt;50," A. 1 - 50 ",IF(Data2023[[#This Row],[Number of members]]&lt;100, "B. 50 - 100", IF(Data2023[[#This Row],[Number of members]]&lt;400, "C. 100 - 400", IF(Data2023[[#This Row],[Number of members]]&lt;1000,"D. 400 - 1000", "E. 1000 +")))))</f>
        <v>C. 100 - 400</v>
      </c>
      <c r="J8">
        <f>IF(ISBLANK(General2023[[#This Row],[number_of_international_members_not_eea]]),"N/A",VLOOKUP(A8,General2023[[organisation_name]:[number_of_international_committee_board_members_not_eea]],9,FALSE))</f>
        <v>40</v>
      </c>
      <c r="K8">
        <f>IF(ISBLANK(General2023[[#This Row],[number_of_international_members_eea]]),"N/A",VLOOKUP(A8,General2023[[organisation_name]:[number_of_international_committee_board_members_not_eea]],8,FALSE))</f>
        <v>8</v>
      </c>
      <c r="L8">
        <f>IFERROR(IF(Data2023[[#This Row],[Number of members]]-Data2023[[#This Row],[Non-EEA Total]]-Data2023[[#This Row],[EEA total]]&lt;1,"N/A", Data2023[[#This Row],[Number of members]]-Data2023[[#This Row],[Non-EEA Total]]-Data2023[[#This Row],[EEA total]]),"N/A")</f>
        <v>122</v>
      </c>
      <c r="M8">
        <f>VLOOKUP(A8,General2023[[organisation_name]:[number_of_international_committee_board_members_not_eea]],12,FALSE)</f>
        <v>3</v>
      </c>
      <c r="N8">
        <f>VLOOKUP(A8,General2023[[organisation_name]:[number_of_international_committee_board_members_not_eea]],11,FALSE)</f>
        <v>7</v>
      </c>
      <c r="O8">
        <f>IFERROR(IF(Data2023[[#This Row],[Number of active members]]-Data2023[[#This Row],[Non-EEA Active ]]-Data2023[[#This Row],[EEA Active]]&lt;1,"N/A", Data2023[[#This Row],[Number of active members]]-Data2023[[#This Row],[Non-EEA Active ]]-Data2023[[#This Row],[EEA Active]]),"N/A")</f>
        <v>40</v>
      </c>
      <c r="P8">
        <f>IFERROR(Data2023[[#This Row],[Non-EEA Active ]]/Data2023[[#This Row],[Number of active members]],"N/A")</f>
        <v>0.06</v>
      </c>
      <c r="Q8">
        <f>IFERROR(Data2023[[#This Row],[EEA Active]]/Data2023[[#This Row],[EEA total]], "N/A")</f>
        <v>0.875</v>
      </c>
      <c r="R8">
        <f>IFERROR(Data2023[[#This Row],[Dutch Active]]/Data2023[[#This Row],[Dutch total]],"N/A")</f>
        <v>0.32786885245901637</v>
      </c>
      <c r="S8" t="str">
        <f>IFERROR(IF(Data2023[[#This Row],[Number of members]]=Data2023[[#This Row],[Non-EEA Total]]+Data2023[[#This Row],[EEA total]]+Data2023[[#This Row],[Dutch total]],"T","F"),"F")</f>
        <v>T</v>
      </c>
      <c r="T8" t="str">
        <f>IFERROR(IF(Data2023[[#This Row],[Number of active members]]=Data2023[[#This Row],[Non-EEA Active ]]+Data2023[[#This Row],[EEA Active]]+Data2023[[#This Row],[Dutch Active]],"T","F"),"F")</f>
        <v>T</v>
      </c>
      <c r="U8" t="str">
        <f>IFERROR(IF(Data2023[[#This Row],[Number of members]]-Data2023[[#This Row],[Non-EEA Active ]]-Data2023[[#This Row],[EEA Active]]-Data2023[[#This Row],[Dutch Active]]=Data2023[[#This Row],[Number of  inactive members]],"T","F"),"F")</f>
        <v>T</v>
      </c>
      <c r="V8" t="str">
        <f>IF(Data2023[[#This Row],[EEA Active]]&lt;=Data2023[[#This Row],[EEA total]],"T","F")</f>
        <v>T</v>
      </c>
      <c r="W8" t="str">
        <f>IF(Data2023[[#This Row],[Dutch Active]]&lt;=Data2023[[#This Row],[Dutch total]],"T","F")</f>
        <v>T</v>
      </c>
      <c r="X8" t="str">
        <f>IF(Data2023[[#This Row],[Non-EEA Active ]]&lt;=Data2023[[#This Row],[Non-EEA Total]],"T","F")</f>
        <v>T</v>
      </c>
      <c r="Y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
        <f>IFERROR(VLOOKUP(Data2023[[#This Row],[organisation_name]],'Division Study Year Committees'!$A$1:$L$108,2,FALSE),"N/A")</f>
        <v>0</v>
      </c>
      <c r="AA8">
        <f>IFERROR(VLOOKUP(Data2023[[#This Row],[organisation_name]],'Division Study Year Committees'!$A$1:$L$108,3,FALSE),"N/A")</f>
        <v>0</v>
      </c>
      <c r="AB8">
        <f>IFERROR(VLOOKUP(Data2023[[#This Row],[organisation_name]],'Division Study Year Committees'!$A$1:$L$108,4,FALSE),"N/A")</f>
        <v>0</v>
      </c>
      <c r="AC8">
        <f>IFERROR(VLOOKUP(Data2023[[#This Row],[organisation_name]],'Division Study Year Committees'!$A$1:$L$108,5,FALSE), "N/A")</f>
        <v>0</v>
      </c>
      <c r="AD8">
        <f>IFERROR(VLOOKUP(Data2023[[#This Row],[organisation_name]],'Division Study Year Committees'!$A$1:$L$108,6,FALSE), "N/A")</f>
        <v>0</v>
      </c>
      <c r="AE8">
        <f>SUM(Data2023[[#This Row],[Number of first year comittee members]:[Number of 4+ year comittee members]])</f>
        <v>0</v>
      </c>
      <c r="AF8">
        <f>COUNTIF('Committee2022'!D:D,Data2023[[#This Row],[organisation_name]])</f>
        <v>18</v>
      </c>
      <c r="AG8">
        <v>2023</v>
      </c>
    </row>
    <row r="9" spans="1:33" x14ac:dyDescent="0.3">
      <c r="A9" t="str">
        <f>General2023[[#This Row],[organisation_name]]</f>
        <v>DWV Klein Verzet</v>
      </c>
      <c r="B9" t="str">
        <f>IF(General2023[[#This Row],[sector]]= "",VLOOKUP(Data2023[[#This Row],[organisation_name]],'Response Rate sheet'!A:D,3,FALSE),General2023[[#This Row],[sector]])</f>
        <v>Sports</v>
      </c>
      <c r="C9" t="str">
        <f>General2023[[#This Row],[organisation_type]]</f>
        <v>association</v>
      </c>
      <c r="D9">
        <f>IF(ISBLANK(General2023[[#This Row],[number_of_members]]),"N/A",VLOOKUP(A9,General2023[[organisation_name]:[number_of_international_committee_board_members_not_eea]],6,FALSE))</f>
        <v>78</v>
      </c>
      <c r="E9">
        <f>IF(ISBLANK(General2023[[#This Row],[number_of_committee_board_members]]),"N/A",VLOOKUP(A9,General2023!B:M,10,FALSE))</f>
        <v>10</v>
      </c>
      <c r="F9">
        <f>IFERROR(Data2023[[#This Row],[Number of members]]-Data2023[[#This Row],[Number of active members]], "N/A")</f>
        <v>68</v>
      </c>
      <c r="G9">
        <f>IFERROR(Data2023[[#This Row],[Number of active members]]/Data2023[[#This Row],[Number of members]], "N/A")</f>
        <v>0.12820512820512819</v>
      </c>
      <c r="H9">
        <f>IFERROR(1-Data2023[[#This Row],[Percentage active members]],"N/A")</f>
        <v>0.87179487179487181</v>
      </c>
      <c r="I9" t="str">
        <f>IF(Data2023[[#This Row],[Number of members]]=0,"N/A",IF(Data2023[[#This Row],[Number of members]]&lt;50," A. 1 - 50 ",IF(Data2023[[#This Row],[Number of members]]&lt;100, "B. 50 - 100", IF(Data2023[[#This Row],[Number of members]]&lt;400, "C. 100 - 400", IF(Data2023[[#This Row],[Number of members]]&lt;1000,"D. 400 - 1000", "E. 1000 +")))))</f>
        <v>B. 50 - 100</v>
      </c>
      <c r="J9">
        <f>IF(ISBLANK(General2023[[#This Row],[number_of_international_members_not_eea]]),"N/A",VLOOKUP(A9,General2023[[organisation_name]:[number_of_international_committee_board_members_not_eea]],9,FALSE))</f>
        <v>32</v>
      </c>
      <c r="K9">
        <f>IF(ISBLANK(General2023[[#This Row],[number_of_international_members_eea]]),"N/A",VLOOKUP(A9,General2023[[organisation_name]:[number_of_international_committee_board_members_not_eea]],8,FALSE))</f>
        <v>4</v>
      </c>
      <c r="L9">
        <f>IFERROR(IF(Data2023[[#This Row],[Number of members]]-Data2023[[#This Row],[Non-EEA Total]]-Data2023[[#This Row],[EEA total]]&lt;1,"N/A", Data2023[[#This Row],[Number of members]]-Data2023[[#This Row],[Non-EEA Total]]-Data2023[[#This Row],[EEA total]]),"N/A")</f>
        <v>42</v>
      </c>
      <c r="M9">
        <f>VLOOKUP(A9,General2023[[organisation_name]:[number_of_international_committee_board_members_not_eea]],12,FALSE)</f>
        <v>0</v>
      </c>
      <c r="N9">
        <f>VLOOKUP(A9,General2023[[organisation_name]:[number_of_international_committee_board_members_not_eea]],11,FALSE)</f>
        <v>2</v>
      </c>
      <c r="O9">
        <f>IFERROR(IF(Data2023[[#This Row],[Number of active members]]-Data2023[[#This Row],[Non-EEA Active ]]-Data2023[[#This Row],[EEA Active]]&lt;1,"N/A", Data2023[[#This Row],[Number of active members]]-Data2023[[#This Row],[Non-EEA Active ]]-Data2023[[#This Row],[EEA Active]]),"N/A")</f>
        <v>8</v>
      </c>
      <c r="P9">
        <f>IFERROR(Data2023[[#This Row],[Non-EEA Active ]]/Data2023[[#This Row],[Number of active members]],"N/A")</f>
        <v>0</v>
      </c>
      <c r="Q9">
        <f>IFERROR(Data2023[[#This Row],[EEA Active]]/Data2023[[#This Row],[EEA total]], "N/A")</f>
        <v>0.5</v>
      </c>
      <c r="R9">
        <f>IFERROR(Data2023[[#This Row],[Dutch Active]]/Data2023[[#This Row],[Dutch total]],"N/A")</f>
        <v>0.19047619047619047</v>
      </c>
      <c r="S9" t="str">
        <f>IFERROR(IF(Data2023[[#This Row],[Number of members]]=Data2023[[#This Row],[Non-EEA Total]]+Data2023[[#This Row],[EEA total]]+Data2023[[#This Row],[Dutch total]],"T","F"),"F")</f>
        <v>T</v>
      </c>
      <c r="T9" t="str">
        <f>IFERROR(IF(Data2023[[#This Row],[Number of active members]]=Data2023[[#This Row],[Non-EEA Active ]]+Data2023[[#This Row],[EEA Active]]+Data2023[[#This Row],[Dutch Active]],"T","F"),"F")</f>
        <v>T</v>
      </c>
      <c r="U9" t="str">
        <f>IFERROR(IF(Data2023[[#This Row],[Number of members]]-Data2023[[#This Row],[Non-EEA Active ]]-Data2023[[#This Row],[EEA Active]]-Data2023[[#This Row],[Dutch Active]]=Data2023[[#This Row],[Number of  inactive members]],"T","F"),"F")</f>
        <v>T</v>
      </c>
      <c r="V9" t="str">
        <f>IF(Data2023[[#This Row],[EEA Active]]&lt;=Data2023[[#This Row],[EEA total]],"T","F")</f>
        <v>T</v>
      </c>
      <c r="W9" t="str">
        <f>IF(Data2023[[#This Row],[Dutch Active]]&lt;=Data2023[[#This Row],[Dutch total]],"T","F")</f>
        <v>T</v>
      </c>
      <c r="X9" t="str">
        <f>IF(Data2023[[#This Row],[Non-EEA Active ]]&lt;=Data2023[[#This Row],[Non-EEA Total]],"T","F")</f>
        <v>T</v>
      </c>
      <c r="Y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9" t="str">
        <f>IFERROR(VLOOKUP(Data2023[[#This Row],[organisation_name]],'Division Study Year Committees'!$A$1:$L$108,2,FALSE),"N/A")</f>
        <v>N/A</v>
      </c>
      <c r="AA9" t="str">
        <f>IFERROR(VLOOKUP(Data2023[[#This Row],[organisation_name]],'Division Study Year Committees'!$A$1:$L$108,3,FALSE),"N/A")</f>
        <v>N/A</v>
      </c>
      <c r="AB9" t="str">
        <f>IFERROR(VLOOKUP(Data2023[[#This Row],[organisation_name]],'Division Study Year Committees'!$A$1:$L$108,4,FALSE),"N/A")</f>
        <v>N/A</v>
      </c>
      <c r="AC9" t="str">
        <f>IFERROR(VLOOKUP(Data2023[[#This Row],[organisation_name]],'Division Study Year Committees'!$A$1:$L$108,5,FALSE), "N/A")</f>
        <v>N/A</v>
      </c>
      <c r="AD9" t="str">
        <f>IFERROR(VLOOKUP(Data2023[[#This Row],[organisation_name]],'Division Study Year Committees'!$A$1:$L$108,6,FALSE), "N/A")</f>
        <v>N/A</v>
      </c>
      <c r="AE9">
        <f>SUM(Data2023[[#This Row],[Number of first year comittee members]:[Number of 4+ year comittee members]])</f>
        <v>0</v>
      </c>
      <c r="AF9">
        <f>COUNTIF('Committee2022'!D:D,Data2023[[#This Row],[organisation_name]])</f>
        <v>14</v>
      </c>
      <c r="AG9">
        <v>2023</v>
      </c>
    </row>
    <row r="10" spans="1:33" x14ac:dyDescent="0.3">
      <c r="A10" t="str">
        <f>General2023[[#This Row],[organisation_name]]</f>
        <v>DBV DIOK</v>
      </c>
      <c r="B10" t="str">
        <f>IF(General2023[[#This Row],[sector]]= "",VLOOKUP(Data2023[[#This Row],[organisation_name]],'Response Rate sheet'!A:D,3,FALSE),General2023[[#This Row],[sector]])</f>
        <v>Sports</v>
      </c>
      <c r="C10" t="str">
        <f>General2023[[#This Row],[organisation_type]]</f>
        <v>association</v>
      </c>
      <c r="D10">
        <f>IF(ISBLANK(General2023[[#This Row],[number_of_members]]),"N/A",VLOOKUP(A10,General2023[[organisation_name]:[number_of_international_committee_board_members_not_eea]],6,FALSE))</f>
        <v>106</v>
      </c>
      <c r="E10">
        <f>IF(ISBLANK(General2023[[#This Row],[number_of_committee_board_members]]),"N/A",VLOOKUP(A10,General2023!B:M,10,FALSE))</f>
        <v>7</v>
      </c>
      <c r="F10">
        <f>IFERROR(Data2023[[#This Row],[Number of members]]-Data2023[[#This Row],[Number of active members]], "N/A")</f>
        <v>99</v>
      </c>
      <c r="G10">
        <f>IFERROR(Data2023[[#This Row],[Number of active members]]/Data2023[[#This Row],[Number of members]], "N/A")</f>
        <v>6.6037735849056603E-2</v>
      </c>
      <c r="H10">
        <f>IFERROR(1-Data2023[[#This Row],[Percentage active members]],"N/A")</f>
        <v>0.93396226415094341</v>
      </c>
      <c r="I10" t="str">
        <f>IF(Data2023[[#This Row],[Number of members]]=0,"N/A",IF(Data2023[[#This Row],[Number of members]]&lt;50," A. 1 - 50 ",IF(Data2023[[#This Row],[Number of members]]&lt;100, "B. 50 - 100", IF(Data2023[[#This Row],[Number of members]]&lt;400, "C. 100 - 400", IF(Data2023[[#This Row],[Number of members]]&lt;1000,"D. 400 - 1000", "E. 1000 +")))))</f>
        <v>C. 100 - 400</v>
      </c>
      <c r="J10">
        <f>IF(ISBLANK(General2023[[#This Row],[number_of_international_members_not_eea]]),"N/A",VLOOKUP(A10,General2023[[organisation_name]:[number_of_international_committee_board_members_not_eea]],9,FALSE))</f>
        <v>24</v>
      </c>
      <c r="K10">
        <f>IF(ISBLANK(General2023[[#This Row],[number_of_international_members_eea]]),"N/A",VLOOKUP(A10,General2023[[organisation_name]:[number_of_international_committee_board_members_not_eea]],8,FALSE))</f>
        <v>31</v>
      </c>
      <c r="L10">
        <f>IFERROR(IF(Data2023[[#This Row],[Number of members]]-Data2023[[#This Row],[Non-EEA Total]]-Data2023[[#This Row],[EEA total]]&lt;1,"N/A", Data2023[[#This Row],[Number of members]]-Data2023[[#This Row],[Non-EEA Total]]-Data2023[[#This Row],[EEA total]]),"N/A")</f>
        <v>51</v>
      </c>
      <c r="M10">
        <f>VLOOKUP(A10,General2023[[organisation_name]:[number_of_international_committee_board_members_not_eea]],12,FALSE)</f>
        <v>6</v>
      </c>
      <c r="N10">
        <f>VLOOKUP(A10,General2023[[organisation_name]:[number_of_international_committee_board_members_not_eea]],11,FALSE)</f>
        <v>3</v>
      </c>
      <c r="O10" t="str">
        <f>IFERROR(IF(Data2023[[#This Row],[Number of active members]]-Data2023[[#This Row],[Non-EEA Active ]]-Data2023[[#This Row],[EEA Active]]&lt;1,"N/A", Data2023[[#This Row],[Number of active members]]-Data2023[[#This Row],[Non-EEA Active ]]-Data2023[[#This Row],[EEA Active]]),"N/A")</f>
        <v>N/A</v>
      </c>
      <c r="P10">
        <f>IFERROR(Data2023[[#This Row],[Non-EEA Active ]]/Data2023[[#This Row],[Number of active members]],"N/A")</f>
        <v>0.8571428571428571</v>
      </c>
      <c r="Q10">
        <f>IFERROR(Data2023[[#This Row],[EEA Active]]/Data2023[[#This Row],[EEA total]], "N/A")</f>
        <v>9.6774193548387094E-2</v>
      </c>
      <c r="R10" t="str">
        <f>IFERROR(Data2023[[#This Row],[Dutch Active]]/Data2023[[#This Row],[Dutch total]],"N/A")</f>
        <v>N/A</v>
      </c>
      <c r="S10" t="str">
        <f>IFERROR(IF(Data2023[[#This Row],[Number of members]]=Data2023[[#This Row],[Non-EEA Total]]+Data2023[[#This Row],[EEA total]]+Data2023[[#This Row],[Dutch total]],"T","F"),"F")</f>
        <v>T</v>
      </c>
      <c r="T10" t="str">
        <f>IFERROR(IF(Data2023[[#This Row],[Number of active members]]=Data2023[[#This Row],[Non-EEA Active ]]+Data2023[[#This Row],[EEA Active]]+Data2023[[#This Row],[Dutch Active]],"T","F"),"F")</f>
        <v>F</v>
      </c>
      <c r="U10" t="str">
        <f>IFERROR(IF(Data2023[[#This Row],[Number of members]]-Data2023[[#This Row],[Non-EEA Active ]]-Data2023[[#This Row],[EEA Active]]-Data2023[[#This Row],[Dutch Active]]=Data2023[[#This Row],[Number of  inactive members]],"T","F"),"F")</f>
        <v>F</v>
      </c>
      <c r="V10" t="str">
        <f>IF(Data2023[[#This Row],[EEA Active]]&lt;=Data2023[[#This Row],[EEA total]],"T","F")</f>
        <v>T</v>
      </c>
      <c r="W10" t="str">
        <f>IF(Data2023[[#This Row],[Dutch Active]]&lt;=Data2023[[#This Row],[Dutch total]],"T","F")</f>
        <v>F</v>
      </c>
      <c r="X10" t="str">
        <f>IF(Data2023[[#This Row],[Non-EEA Active ]]&lt;=Data2023[[#This Row],[Non-EEA Total]],"T","F")</f>
        <v>T</v>
      </c>
      <c r="Y1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 t="str">
        <f>IFERROR(VLOOKUP(Data2023[[#This Row],[organisation_name]],'Division Study Year Committees'!$A$1:$L$108,2,FALSE),"N/A")</f>
        <v>N/A</v>
      </c>
      <c r="AA10" t="str">
        <f>IFERROR(VLOOKUP(Data2023[[#This Row],[organisation_name]],'Division Study Year Committees'!$A$1:$L$108,3,FALSE),"N/A")</f>
        <v>N/A</v>
      </c>
      <c r="AB10" t="str">
        <f>IFERROR(VLOOKUP(Data2023[[#This Row],[organisation_name]],'Division Study Year Committees'!$A$1:$L$108,4,FALSE),"N/A")</f>
        <v>N/A</v>
      </c>
      <c r="AC10" t="str">
        <f>IFERROR(VLOOKUP(Data2023[[#This Row],[organisation_name]],'Division Study Year Committees'!$A$1:$L$108,5,FALSE), "N/A")</f>
        <v>N/A</v>
      </c>
      <c r="AD10" t="str">
        <f>IFERROR(VLOOKUP(Data2023[[#This Row],[organisation_name]],'Division Study Year Committees'!$A$1:$L$108,6,FALSE), "N/A")</f>
        <v>N/A</v>
      </c>
      <c r="AE10">
        <f>SUM(Data2023[[#This Row],[Number of first year comittee members]:[Number of 4+ year comittee members]])</f>
        <v>0</v>
      </c>
      <c r="AF10">
        <f>COUNTIF('Committee2022'!D:D,Data2023[[#This Row],[organisation_name]])</f>
        <v>0</v>
      </c>
      <c r="AG10">
        <v>2023</v>
      </c>
    </row>
    <row r="11" spans="1:33" x14ac:dyDescent="0.3">
      <c r="A11" t="str">
        <f>General2023[[#This Row],[organisation_name]]</f>
        <v>DBV de Stretchers</v>
      </c>
      <c r="B11" t="str">
        <f>IF(General2023[[#This Row],[sector]]= "",VLOOKUP(Data2023[[#This Row],[organisation_name]],'Response Rate sheet'!A:D,3,FALSE),General2023[[#This Row],[sector]])</f>
        <v>Sports</v>
      </c>
      <c r="C11" t="str">
        <f>General2023[[#This Row],[organisation_type]]</f>
        <v>association</v>
      </c>
      <c r="D11">
        <f>IF(ISBLANK(General2023[[#This Row],[number_of_members]]),"N/A",VLOOKUP(A11,General2023[[organisation_name]:[number_of_international_committee_board_members_not_eea]],6,FALSE))</f>
        <v>42</v>
      </c>
      <c r="E11">
        <f>IF(ISBLANK(General2023[[#This Row],[number_of_committee_board_members]]),"N/A",VLOOKUP(A11,General2023!B:M,10,FALSE))</f>
        <v>8</v>
      </c>
      <c r="F11">
        <f>IFERROR(Data2023[[#This Row],[Number of members]]-Data2023[[#This Row],[Number of active members]], "N/A")</f>
        <v>34</v>
      </c>
      <c r="G11">
        <f>IFERROR(Data2023[[#This Row],[Number of active members]]/Data2023[[#This Row],[Number of members]], "N/A")</f>
        <v>0.19047619047619047</v>
      </c>
      <c r="H11">
        <f>IFERROR(1-Data2023[[#This Row],[Percentage active members]],"N/A")</f>
        <v>0.80952380952380953</v>
      </c>
      <c r="I11"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1">
        <f>IF(ISBLANK(General2023[[#This Row],[number_of_international_members_not_eea]]),"N/A",VLOOKUP(A11,General2023[[organisation_name]:[number_of_international_committee_board_members_not_eea]],9,FALSE))</f>
        <v>14</v>
      </c>
      <c r="K11">
        <f>IF(ISBLANK(General2023[[#This Row],[number_of_international_members_eea]]),"N/A",VLOOKUP(A11,General2023[[organisation_name]:[number_of_international_committee_board_members_not_eea]],8,FALSE))</f>
        <v>0</v>
      </c>
      <c r="L11">
        <f>IFERROR(IF(Data2023[[#This Row],[Number of members]]-Data2023[[#This Row],[Non-EEA Total]]-Data2023[[#This Row],[EEA total]]&lt;1,"N/A", Data2023[[#This Row],[Number of members]]-Data2023[[#This Row],[Non-EEA Total]]-Data2023[[#This Row],[EEA total]]),"N/A")</f>
        <v>28</v>
      </c>
      <c r="M11">
        <f>VLOOKUP(A11,General2023[[organisation_name]:[number_of_international_committee_board_members_not_eea]],12,FALSE)</f>
        <v>0</v>
      </c>
      <c r="N11">
        <f>VLOOKUP(A11,General2023[[organisation_name]:[number_of_international_committee_board_members_not_eea]],11,FALSE)</f>
        <v>1</v>
      </c>
      <c r="O11">
        <f>IFERROR(IF(Data2023[[#This Row],[Number of active members]]-Data2023[[#This Row],[Non-EEA Active ]]-Data2023[[#This Row],[EEA Active]]&lt;1,"N/A", Data2023[[#This Row],[Number of active members]]-Data2023[[#This Row],[Non-EEA Active ]]-Data2023[[#This Row],[EEA Active]]),"N/A")</f>
        <v>7</v>
      </c>
      <c r="P11">
        <f>IFERROR(Data2023[[#This Row],[Non-EEA Active ]]/Data2023[[#This Row],[Number of active members]],"N/A")</f>
        <v>0</v>
      </c>
      <c r="Q11" t="str">
        <f>IFERROR(Data2023[[#This Row],[EEA Active]]/Data2023[[#This Row],[EEA total]], "N/A")</f>
        <v>N/A</v>
      </c>
      <c r="R11">
        <f>IFERROR(Data2023[[#This Row],[Dutch Active]]/Data2023[[#This Row],[Dutch total]],"N/A")</f>
        <v>0.25</v>
      </c>
      <c r="S11" t="str">
        <f>IFERROR(IF(Data2023[[#This Row],[Number of members]]=Data2023[[#This Row],[Non-EEA Total]]+Data2023[[#This Row],[EEA total]]+Data2023[[#This Row],[Dutch total]],"T","F"),"F")</f>
        <v>T</v>
      </c>
      <c r="T11" t="str">
        <f>IFERROR(IF(Data2023[[#This Row],[Number of active members]]=Data2023[[#This Row],[Non-EEA Active ]]+Data2023[[#This Row],[EEA Active]]+Data2023[[#This Row],[Dutch Active]],"T","F"),"F")</f>
        <v>T</v>
      </c>
      <c r="U11" t="str">
        <f>IFERROR(IF(Data2023[[#This Row],[Number of members]]-Data2023[[#This Row],[Non-EEA Active ]]-Data2023[[#This Row],[EEA Active]]-Data2023[[#This Row],[Dutch Active]]=Data2023[[#This Row],[Number of  inactive members]],"T","F"),"F")</f>
        <v>T</v>
      </c>
      <c r="V11" t="str">
        <f>IF(Data2023[[#This Row],[EEA Active]]&lt;=Data2023[[#This Row],[EEA total]],"T","F")</f>
        <v>F</v>
      </c>
      <c r="W11" t="str">
        <f>IF(Data2023[[#This Row],[Dutch Active]]&lt;=Data2023[[#This Row],[Dutch total]],"T","F")</f>
        <v>T</v>
      </c>
      <c r="X11" t="str">
        <f>IF(Data2023[[#This Row],[Non-EEA Active ]]&lt;=Data2023[[#This Row],[Non-EEA Total]],"T","F")</f>
        <v>T</v>
      </c>
      <c r="Y1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
        <f>IFERROR(VLOOKUP(Data2023[[#This Row],[organisation_name]],'Division Study Year Committees'!$A$1:$L$108,2,FALSE),"N/A")</f>
        <v>2</v>
      </c>
      <c r="AA11">
        <f>IFERROR(VLOOKUP(Data2023[[#This Row],[organisation_name]],'Division Study Year Committees'!$A$1:$L$108,3,FALSE),"N/A")</f>
        <v>2</v>
      </c>
      <c r="AB11">
        <f>IFERROR(VLOOKUP(Data2023[[#This Row],[organisation_name]],'Division Study Year Committees'!$A$1:$L$108,4,FALSE),"N/A")</f>
        <v>2</v>
      </c>
      <c r="AC11">
        <f>IFERROR(VLOOKUP(Data2023[[#This Row],[organisation_name]],'Division Study Year Committees'!$A$1:$L$108,5,FALSE), "N/A")</f>
        <v>3</v>
      </c>
      <c r="AD11">
        <f>IFERROR(VLOOKUP(Data2023[[#This Row],[organisation_name]],'Division Study Year Committees'!$A$1:$L$108,6,FALSE), "N/A")</f>
        <v>16</v>
      </c>
      <c r="AE11">
        <f>SUM(Data2023[[#This Row],[Number of first year comittee members]:[Number of 4+ year comittee members]])</f>
        <v>25</v>
      </c>
      <c r="AF11">
        <f>COUNTIF('Committee2022'!D:D,Data2023[[#This Row],[organisation_name]])</f>
        <v>6</v>
      </c>
      <c r="AG11">
        <v>2023</v>
      </c>
    </row>
    <row r="12" spans="1:33" x14ac:dyDescent="0.3">
      <c r="A12" t="str">
        <f>General2023[[#This Row],[organisation_name]]</f>
        <v>DHC Drienerlo</v>
      </c>
      <c r="B12" t="str">
        <f>IF(General2023[[#This Row],[sector]]= "",VLOOKUP(Data2023[[#This Row],[organisation_name]],'Response Rate sheet'!A:D,3,FALSE),General2023[[#This Row],[sector]])</f>
        <v>Sports</v>
      </c>
      <c r="C12" t="str">
        <f>General2023[[#This Row],[organisation_type]]</f>
        <v>association</v>
      </c>
      <c r="D12">
        <f>IF(ISBLANK(General2023[[#This Row],[number_of_members]]),"N/A",VLOOKUP(A12,General2023[[organisation_name]:[number_of_international_committee_board_members_not_eea]],6,FALSE))</f>
        <v>223</v>
      </c>
      <c r="E12">
        <f>IF(ISBLANK(General2023[[#This Row],[number_of_committee_board_members]]),"N/A",VLOOKUP(A12,General2023!B:M,10,FALSE))</f>
        <v>80</v>
      </c>
      <c r="F12">
        <f>IFERROR(Data2023[[#This Row],[Number of members]]-Data2023[[#This Row],[Number of active members]], "N/A")</f>
        <v>143</v>
      </c>
      <c r="G12">
        <f>IFERROR(Data2023[[#This Row],[Number of active members]]/Data2023[[#This Row],[Number of members]], "N/A")</f>
        <v>0.35874439461883406</v>
      </c>
      <c r="H12">
        <f>IFERROR(1-Data2023[[#This Row],[Percentage active members]],"N/A")</f>
        <v>0.64125560538116599</v>
      </c>
      <c r="I12" t="str">
        <f>IF(Data2023[[#This Row],[Number of members]]=0,"N/A",IF(Data2023[[#This Row],[Number of members]]&lt;50," A. 1 - 50 ",IF(Data2023[[#This Row],[Number of members]]&lt;100, "B. 50 - 100", IF(Data2023[[#This Row],[Number of members]]&lt;400, "C. 100 - 400", IF(Data2023[[#This Row],[Number of members]]&lt;1000,"D. 400 - 1000", "E. 1000 +")))))</f>
        <v>C. 100 - 400</v>
      </c>
      <c r="J12">
        <f>IF(ISBLANK(General2023[[#This Row],[number_of_international_members_not_eea]]),"N/A",VLOOKUP(A12,General2023[[organisation_name]:[number_of_international_committee_board_members_not_eea]],9,FALSE))</f>
        <v>65</v>
      </c>
      <c r="K12">
        <f>IF(ISBLANK(General2023[[#This Row],[number_of_international_members_eea]]),"N/A",VLOOKUP(A12,General2023[[organisation_name]:[number_of_international_committee_board_members_not_eea]],8,FALSE))</f>
        <v>1</v>
      </c>
      <c r="L12">
        <f>IFERROR(IF(Data2023[[#This Row],[Number of members]]-Data2023[[#This Row],[Non-EEA Total]]-Data2023[[#This Row],[EEA total]]&lt;1,"N/A", Data2023[[#This Row],[Number of members]]-Data2023[[#This Row],[Non-EEA Total]]-Data2023[[#This Row],[EEA total]]),"N/A")</f>
        <v>157</v>
      </c>
      <c r="M12">
        <f>VLOOKUP(A12,General2023[[organisation_name]:[number_of_international_committee_board_members_not_eea]],12,FALSE)</f>
        <v>1</v>
      </c>
      <c r="N12">
        <f>VLOOKUP(A12,General2023[[organisation_name]:[number_of_international_committee_board_members_not_eea]],11,FALSE)</f>
        <v>0</v>
      </c>
      <c r="O12">
        <f>IFERROR(IF(Data2023[[#This Row],[Number of active members]]-Data2023[[#This Row],[Non-EEA Active ]]-Data2023[[#This Row],[EEA Active]]&lt;1,"N/A", Data2023[[#This Row],[Number of active members]]-Data2023[[#This Row],[Non-EEA Active ]]-Data2023[[#This Row],[EEA Active]]),"N/A")</f>
        <v>79</v>
      </c>
      <c r="P12">
        <f>IFERROR(Data2023[[#This Row],[Non-EEA Active ]]/Data2023[[#This Row],[Number of active members]],"N/A")</f>
        <v>1.2500000000000001E-2</v>
      </c>
      <c r="Q12">
        <f>IFERROR(Data2023[[#This Row],[EEA Active]]/Data2023[[#This Row],[EEA total]], "N/A")</f>
        <v>0</v>
      </c>
      <c r="R12">
        <f>IFERROR(Data2023[[#This Row],[Dutch Active]]/Data2023[[#This Row],[Dutch total]],"N/A")</f>
        <v>0.50318471337579618</v>
      </c>
      <c r="S12" t="str">
        <f>IFERROR(IF(Data2023[[#This Row],[Number of members]]=Data2023[[#This Row],[Non-EEA Total]]+Data2023[[#This Row],[EEA total]]+Data2023[[#This Row],[Dutch total]],"T","F"),"F")</f>
        <v>T</v>
      </c>
      <c r="T12" t="str">
        <f>IFERROR(IF(Data2023[[#This Row],[Number of active members]]=Data2023[[#This Row],[Non-EEA Active ]]+Data2023[[#This Row],[EEA Active]]+Data2023[[#This Row],[Dutch Active]],"T","F"),"F")</f>
        <v>T</v>
      </c>
      <c r="U12" t="str">
        <f>IFERROR(IF(Data2023[[#This Row],[Number of members]]-Data2023[[#This Row],[Non-EEA Active ]]-Data2023[[#This Row],[EEA Active]]-Data2023[[#This Row],[Dutch Active]]=Data2023[[#This Row],[Number of  inactive members]],"T","F"),"F")</f>
        <v>T</v>
      </c>
      <c r="V12" t="str">
        <f>IF(Data2023[[#This Row],[EEA Active]]&lt;=Data2023[[#This Row],[EEA total]],"T","F")</f>
        <v>T</v>
      </c>
      <c r="W12" t="str">
        <f>IF(Data2023[[#This Row],[Dutch Active]]&lt;=Data2023[[#This Row],[Dutch total]],"T","F")</f>
        <v>T</v>
      </c>
      <c r="X12" t="str">
        <f>IF(Data2023[[#This Row],[Non-EEA Active ]]&lt;=Data2023[[#This Row],[Non-EEA Total]],"T","F")</f>
        <v>T</v>
      </c>
      <c r="Y1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2">
        <f>IFERROR(VLOOKUP(Data2023[[#This Row],[organisation_name]],'Division Study Year Committees'!$A$1:$L$108,2,FALSE),"N/A")</f>
        <v>22</v>
      </c>
      <c r="AA12">
        <f>IFERROR(VLOOKUP(Data2023[[#This Row],[organisation_name]],'Division Study Year Committees'!$A$1:$L$108,3,FALSE),"N/A")</f>
        <v>25</v>
      </c>
      <c r="AB12">
        <f>IFERROR(VLOOKUP(Data2023[[#This Row],[organisation_name]],'Division Study Year Committees'!$A$1:$L$108,4,FALSE),"N/A")</f>
        <v>38</v>
      </c>
      <c r="AC12">
        <f>IFERROR(VLOOKUP(Data2023[[#This Row],[organisation_name]],'Division Study Year Committees'!$A$1:$L$108,5,FALSE), "N/A")</f>
        <v>19</v>
      </c>
      <c r="AD12">
        <f>IFERROR(VLOOKUP(Data2023[[#This Row],[organisation_name]],'Division Study Year Committees'!$A$1:$L$108,6,FALSE), "N/A")</f>
        <v>42</v>
      </c>
      <c r="AE12">
        <f>SUM(Data2023[[#This Row],[Number of first year comittee members]:[Number of 4+ year comittee members]])</f>
        <v>146</v>
      </c>
      <c r="AF12">
        <f>COUNTIF('Committee2022'!D:D,Data2023[[#This Row],[organisation_name]])</f>
        <v>18</v>
      </c>
      <c r="AG12">
        <v>2023</v>
      </c>
    </row>
    <row r="13" spans="1:33" x14ac:dyDescent="0.3">
      <c r="A13" t="str">
        <f>General2023[[#This Row],[organisation_name]]</f>
        <v>DKV Euros</v>
      </c>
      <c r="B13" t="str">
        <f>IF(General2023[[#This Row],[sector]]= "",VLOOKUP(Data2023[[#This Row],[organisation_name]],'Response Rate sheet'!A:D,3,FALSE),General2023[[#This Row],[sector]])</f>
        <v>Sports</v>
      </c>
      <c r="C13" t="str">
        <f>General2023[[#This Row],[organisation_type]]</f>
        <v>association</v>
      </c>
      <c r="D13" t="str">
        <f>IF(ISBLANK(General2023[[#This Row],[number_of_members]]),"N/A",VLOOKUP(A13,General2023[[organisation_name]:[number_of_international_committee_board_members_not_eea]],6,FALSE))</f>
        <v>N/A</v>
      </c>
      <c r="E13" t="str">
        <f>IF(ISBLANK(General2023[[#This Row],[number_of_committee_board_members]]),"N/A",VLOOKUP(A13,General2023!B:M,10,FALSE))</f>
        <v>N/A</v>
      </c>
      <c r="F13" t="str">
        <f>IFERROR(Data2023[[#This Row],[Number of members]]-Data2023[[#This Row],[Number of active members]], "N/A")</f>
        <v>N/A</v>
      </c>
      <c r="G13" t="str">
        <f>IFERROR(Data2023[[#This Row],[Number of active members]]/Data2023[[#This Row],[Number of members]], "N/A")</f>
        <v>N/A</v>
      </c>
      <c r="H13" t="str">
        <f>IFERROR(1-Data2023[[#This Row],[Percentage active members]],"N/A")</f>
        <v>N/A</v>
      </c>
      <c r="I13" t="str">
        <f>IF(Data2023[[#This Row],[Number of members]]=0,"N/A",IF(Data2023[[#This Row],[Number of members]]&lt;50," A. 1 - 50 ",IF(Data2023[[#This Row],[Number of members]]&lt;100, "B. 50 - 100", IF(Data2023[[#This Row],[Number of members]]&lt;400, "C. 100 - 400", IF(Data2023[[#This Row],[Number of members]]&lt;1000,"D. 400 - 1000", "E. 1000 +")))))</f>
        <v>E. 1000 +</v>
      </c>
      <c r="J13" t="str">
        <f>IF(ISBLANK(General2023[[#This Row],[number_of_international_members_not_eea]]),"N/A",VLOOKUP(A13,General2023[[organisation_name]:[number_of_international_committee_board_members_not_eea]],9,FALSE))</f>
        <v>N/A</v>
      </c>
      <c r="K13" t="str">
        <f>IF(ISBLANK(General2023[[#This Row],[number_of_international_members_eea]]),"N/A",VLOOKUP(A13,General2023[[organisation_name]:[number_of_international_committee_board_members_not_eea]],8,FALSE))</f>
        <v>N/A</v>
      </c>
      <c r="L13" t="str">
        <f>IFERROR(IF(Data2023[[#This Row],[Number of members]]-Data2023[[#This Row],[Non-EEA Total]]-Data2023[[#This Row],[EEA total]]&lt;1,"N/A", Data2023[[#This Row],[Number of members]]-Data2023[[#This Row],[Non-EEA Total]]-Data2023[[#This Row],[EEA total]]),"N/A")</f>
        <v>N/A</v>
      </c>
      <c r="M13">
        <f>VLOOKUP(A13,General2023[[organisation_name]:[number_of_international_committee_board_members_not_eea]],12,FALSE)</f>
        <v>0</v>
      </c>
      <c r="N13">
        <f>VLOOKUP(A13,General2023[[organisation_name]:[number_of_international_committee_board_members_not_eea]],11,FALSE)</f>
        <v>0</v>
      </c>
      <c r="O13" t="str">
        <f>IFERROR(IF(Data2023[[#This Row],[Number of active members]]-Data2023[[#This Row],[Non-EEA Active ]]-Data2023[[#This Row],[EEA Active]]&lt;1,"N/A", Data2023[[#This Row],[Number of active members]]-Data2023[[#This Row],[Non-EEA Active ]]-Data2023[[#This Row],[EEA Active]]),"N/A")</f>
        <v>N/A</v>
      </c>
      <c r="P13" t="str">
        <f>IFERROR(Data2023[[#This Row],[Non-EEA Active ]]/Data2023[[#This Row],[Number of active members]],"N/A")</f>
        <v>N/A</v>
      </c>
      <c r="Q13" t="str">
        <f>IFERROR(Data2023[[#This Row],[EEA Active]]/Data2023[[#This Row],[EEA total]], "N/A")</f>
        <v>N/A</v>
      </c>
      <c r="R13" t="str">
        <f>IFERROR(Data2023[[#This Row],[Dutch Active]]/Data2023[[#This Row],[Dutch total]],"N/A")</f>
        <v>N/A</v>
      </c>
      <c r="S13" t="str">
        <f>IFERROR(IF(Data2023[[#This Row],[Number of members]]=Data2023[[#This Row],[Non-EEA Total]]+Data2023[[#This Row],[EEA total]]+Data2023[[#This Row],[Dutch total]],"T","F"),"F")</f>
        <v>F</v>
      </c>
      <c r="T13" t="str">
        <f>IFERROR(IF(Data2023[[#This Row],[Number of active members]]=Data2023[[#This Row],[Non-EEA Active ]]+Data2023[[#This Row],[EEA Active]]+Data2023[[#This Row],[Dutch Active]],"T","F"),"F")</f>
        <v>F</v>
      </c>
      <c r="U13" t="str">
        <f>IFERROR(IF(Data2023[[#This Row],[Number of members]]-Data2023[[#This Row],[Non-EEA Active ]]-Data2023[[#This Row],[EEA Active]]-Data2023[[#This Row],[Dutch Active]]=Data2023[[#This Row],[Number of  inactive members]],"T","F"),"F")</f>
        <v>F</v>
      </c>
      <c r="V13" t="str">
        <f>IF(Data2023[[#This Row],[EEA Active]]&lt;=Data2023[[#This Row],[EEA total]],"T","F")</f>
        <v>T</v>
      </c>
      <c r="W13" t="str">
        <f>IF(Data2023[[#This Row],[Dutch Active]]&lt;=Data2023[[#This Row],[Dutch total]],"T","F")</f>
        <v>T</v>
      </c>
      <c r="X13" t="str">
        <f>IF(Data2023[[#This Row],[Non-EEA Active ]]&lt;=Data2023[[#This Row],[Non-EEA Total]],"T","F")</f>
        <v>T</v>
      </c>
      <c r="Y1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 t="str">
        <f>IFERROR(VLOOKUP(Data2023[[#This Row],[organisation_name]],'Division Study Year Committees'!$A$1:$L$108,2,FALSE),"N/A")</f>
        <v>N/A</v>
      </c>
      <c r="AA13" t="str">
        <f>IFERROR(VLOOKUP(Data2023[[#This Row],[organisation_name]],'Division Study Year Committees'!$A$1:$L$108,3,FALSE),"N/A")</f>
        <v>N/A</v>
      </c>
      <c r="AB13" t="str">
        <f>IFERROR(VLOOKUP(Data2023[[#This Row],[organisation_name]],'Division Study Year Committees'!$A$1:$L$108,4,FALSE),"N/A")</f>
        <v>N/A</v>
      </c>
      <c r="AC13" t="str">
        <f>IFERROR(VLOOKUP(Data2023[[#This Row],[organisation_name]],'Division Study Year Committees'!$A$1:$L$108,5,FALSE), "N/A")</f>
        <v>N/A</v>
      </c>
      <c r="AD13" t="str">
        <f>IFERROR(VLOOKUP(Data2023[[#This Row],[organisation_name]],'Division Study Year Committees'!$A$1:$L$108,6,FALSE), "N/A")</f>
        <v>N/A</v>
      </c>
      <c r="AE13">
        <f>SUM(Data2023[[#This Row],[Number of first year comittee members]:[Number of 4+ year comittee members]])</f>
        <v>0</v>
      </c>
      <c r="AF13">
        <f>COUNTIF('Committee2022'!D:D,Data2023[[#This Row],[organisation_name]])</f>
        <v>0</v>
      </c>
      <c r="AG13">
        <v>2023</v>
      </c>
    </row>
    <row r="14" spans="1:33" x14ac:dyDescent="0.3">
      <c r="A14" t="str">
        <f>General2023[[#This Row],[organisation_name]]</f>
        <v>DRV Euros</v>
      </c>
      <c r="B14" t="str">
        <f>IF(General2023[[#This Row],[sector]]= "",VLOOKUP(Data2023[[#This Row],[organisation_name]],'Response Rate sheet'!A:D,3,FALSE),General2023[[#This Row],[sector]])</f>
        <v>Sports</v>
      </c>
      <c r="C14" t="str">
        <f>General2023[[#This Row],[organisation_type]]</f>
        <v>association</v>
      </c>
      <c r="D14">
        <f>IF(ISBLANK(General2023[[#This Row],[number_of_members]]),"N/A",VLOOKUP(A14,General2023[[organisation_name]:[number_of_international_committee_board_members_not_eea]],6,FALSE))</f>
        <v>353</v>
      </c>
      <c r="E14">
        <f>IF(ISBLANK(General2023[[#This Row],[number_of_committee_board_members]]),"N/A",VLOOKUP(A14,General2023!B:M,10,FALSE))</f>
        <v>10</v>
      </c>
      <c r="F14">
        <f>IFERROR(Data2023[[#This Row],[Number of members]]-Data2023[[#This Row],[Number of active members]], "N/A")</f>
        <v>343</v>
      </c>
      <c r="G14">
        <f>IFERROR(Data2023[[#This Row],[Number of active members]]/Data2023[[#This Row],[Number of members]], "N/A")</f>
        <v>2.8328611898016998E-2</v>
      </c>
      <c r="H14">
        <f>IFERROR(1-Data2023[[#This Row],[Percentage active members]],"N/A")</f>
        <v>0.97167138810198295</v>
      </c>
      <c r="I14" t="str">
        <f>IF(Data2023[[#This Row],[Number of members]]=0,"N/A",IF(Data2023[[#This Row],[Number of members]]&lt;50," A. 1 - 50 ",IF(Data2023[[#This Row],[Number of members]]&lt;100, "B. 50 - 100", IF(Data2023[[#This Row],[Number of members]]&lt;400, "C. 100 - 400", IF(Data2023[[#This Row],[Number of members]]&lt;1000,"D. 400 - 1000", "E. 1000 +")))))</f>
        <v>C. 100 - 400</v>
      </c>
      <c r="J14">
        <f>IF(ISBLANK(General2023[[#This Row],[number_of_international_members_not_eea]]),"N/A",VLOOKUP(A14,General2023[[organisation_name]:[number_of_international_committee_board_members_not_eea]],9,FALSE))</f>
        <v>194</v>
      </c>
      <c r="K14">
        <f>IF(ISBLANK(General2023[[#This Row],[number_of_international_members_eea]]),"N/A",VLOOKUP(A14,General2023[[organisation_name]:[number_of_international_committee_board_members_not_eea]],8,FALSE))</f>
        <v>0</v>
      </c>
      <c r="L14">
        <f>IFERROR(IF(Data2023[[#This Row],[Number of members]]-Data2023[[#This Row],[Non-EEA Total]]-Data2023[[#This Row],[EEA total]]&lt;1,"N/A", Data2023[[#This Row],[Number of members]]-Data2023[[#This Row],[Non-EEA Total]]-Data2023[[#This Row],[EEA total]]),"N/A")</f>
        <v>159</v>
      </c>
      <c r="M14">
        <f>VLOOKUP(A14,General2023[[organisation_name]:[number_of_international_committee_board_members_not_eea]],12,FALSE)</f>
        <v>0</v>
      </c>
      <c r="N14">
        <f>VLOOKUP(A14,General2023[[organisation_name]:[number_of_international_committee_board_members_not_eea]],11,FALSE)</f>
        <v>4</v>
      </c>
      <c r="O14">
        <f>IFERROR(IF(Data2023[[#This Row],[Number of active members]]-Data2023[[#This Row],[Non-EEA Active ]]-Data2023[[#This Row],[EEA Active]]&lt;1,"N/A", Data2023[[#This Row],[Number of active members]]-Data2023[[#This Row],[Non-EEA Active ]]-Data2023[[#This Row],[EEA Active]]),"N/A")</f>
        <v>6</v>
      </c>
      <c r="P14">
        <f>IFERROR(Data2023[[#This Row],[Non-EEA Active ]]/Data2023[[#This Row],[Number of active members]],"N/A")</f>
        <v>0</v>
      </c>
      <c r="Q14" t="str">
        <f>IFERROR(Data2023[[#This Row],[EEA Active]]/Data2023[[#This Row],[EEA total]], "N/A")</f>
        <v>N/A</v>
      </c>
      <c r="R14">
        <f>IFERROR(Data2023[[#This Row],[Dutch Active]]/Data2023[[#This Row],[Dutch total]],"N/A")</f>
        <v>3.7735849056603772E-2</v>
      </c>
      <c r="S14" t="str">
        <f>IFERROR(IF(Data2023[[#This Row],[Number of members]]=Data2023[[#This Row],[Non-EEA Total]]+Data2023[[#This Row],[EEA total]]+Data2023[[#This Row],[Dutch total]],"T","F"),"F")</f>
        <v>T</v>
      </c>
      <c r="T14" t="str">
        <f>IFERROR(IF(Data2023[[#This Row],[Number of active members]]=Data2023[[#This Row],[Non-EEA Active ]]+Data2023[[#This Row],[EEA Active]]+Data2023[[#This Row],[Dutch Active]],"T","F"),"F")</f>
        <v>T</v>
      </c>
      <c r="U14" t="str">
        <f>IFERROR(IF(Data2023[[#This Row],[Number of members]]-Data2023[[#This Row],[Non-EEA Active ]]-Data2023[[#This Row],[EEA Active]]-Data2023[[#This Row],[Dutch Active]]=Data2023[[#This Row],[Number of  inactive members]],"T","F"),"F")</f>
        <v>T</v>
      </c>
      <c r="V14" t="str">
        <f>IF(Data2023[[#This Row],[EEA Active]]&lt;=Data2023[[#This Row],[EEA total]],"T","F")</f>
        <v>F</v>
      </c>
      <c r="W14" t="str">
        <f>IF(Data2023[[#This Row],[Dutch Active]]&lt;=Data2023[[#This Row],[Dutch total]],"T","F")</f>
        <v>T</v>
      </c>
      <c r="X14" t="str">
        <f>IF(Data2023[[#This Row],[Non-EEA Active ]]&lt;=Data2023[[#This Row],[Non-EEA Total]],"T","F")</f>
        <v>T</v>
      </c>
      <c r="Y1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4">
        <f>IFERROR(VLOOKUP(Data2023[[#This Row],[organisation_name]],'Division Study Year Committees'!$A$1:$L$108,2,FALSE),"N/A")</f>
        <v>0</v>
      </c>
      <c r="AA14">
        <f>IFERROR(VLOOKUP(Data2023[[#This Row],[organisation_name]],'Division Study Year Committees'!$A$1:$L$108,3,FALSE),"N/A")</f>
        <v>0</v>
      </c>
      <c r="AB14">
        <f>IFERROR(VLOOKUP(Data2023[[#This Row],[organisation_name]],'Division Study Year Committees'!$A$1:$L$108,4,FALSE),"N/A")</f>
        <v>0</v>
      </c>
      <c r="AC14">
        <f>IFERROR(VLOOKUP(Data2023[[#This Row],[organisation_name]],'Division Study Year Committees'!$A$1:$L$108,5,FALSE), "N/A")</f>
        <v>0</v>
      </c>
      <c r="AD14">
        <f>IFERROR(VLOOKUP(Data2023[[#This Row],[organisation_name]],'Division Study Year Committees'!$A$1:$L$108,6,FALSE), "N/A")</f>
        <v>0</v>
      </c>
      <c r="AE14">
        <f>SUM(Data2023[[#This Row],[Number of first year comittee members]:[Number of 4+ year comittee members]])</f>
        <v>0</v>
      </c>
      <c r="AF14">
        <f>COUNTIF('Committee2022'!D:D,Data2023[[#This Row],[organisation_name]])</f>
        <v>39</v>
      </c>
      <c r="AG14">
        <v>2023</v>
      </c>
    </row>
    <row r="15" spans="1:33" x14ac:dyDescent="0.3">
      <c r="A15" t="str">
        <f>General2023[[#This Row],[organisation_name]]</f>
        <v>DRV Hippocampus</v>
      </c>
      <c r="B15" t="str">
        <f>IF(General2023[[#This Row],[sector]]= "",VLOOKUP(Data2023[[#This Row],[organisation_name]],'Response Rate sheet'!A:D,3,FALSE),General2023[[#This Row],[sector]])</f>
        <v>Sports</v>
      </c>
      <c r="C15" t="str">
        <f>General2023[[#This Row],[organisation_type]]</f>
        <v>association</v>
      </c>
      <c r="D15">
        <f>IF(ISBLANK(General2023[[#This Row],[number_of_members]]),"N/A",VLOOKUP(A15,General2023[[organisation_name]:[number_of_international_committee_board_members_not_eea]],6,FALSE))</f>
        <v>60</v>
      </c>
      <c r="E15">
        <f>IF(ISBLANK(General2023[[#This Row],[number_of_committee_board_members]]),"N/A",VLOOKUP(A15,General2023!B:M,10,FALSE))</f>
        <v>10</v>
      </c>
      <c r="F15">
        <f>IFERROR(Data2023[[#This Row],[Number of members]]-Data2023[[#This Row],[Number of active members]], "N/A")</f>
        <v>50</v>
      </c>
      <c r="G15">
        <f>IFERROR(Data2023[[#This Row],[Number of active members]]/Data2023[[#This Row],[Number of members]], "N/A")</f>
        <v>0.16666666666666666</v>
      </c>
      <c r="H15">
        <f>IFERROR(1-Data2023[[#This Row],[Percentage active members]],"N/A")</f>
        <v>0.83333333333333337</v>
      </c>
      <c r="I15" t="str">
        <f>IF(Data2023[[#This Row],[Number of members]]=0,"N/A",IF(Data2023[[#This Row],[Number of members]]&lt;50," A. 1 - 50 ",IF(Data2023[[#This Row],[Number of members]]&lt;100, "B. 50 - 100", IF(Data2023[[#This Row],[Number of members]]&lt;400, "C. 100 - 400", IF(Data2023[[#This Row],[Number of members]]&lt;1000,"D. 400 - 1000", "E. 1000 +")))))</f>
        <v>B. 50 - 100</v>
      </c>
      <c r="J15">
        <f>IF(ISBLANK(General2023[[#This Row],[number_of_international_members_not_eea]]),"N/A",VLOOKUP(A15,General2023[[organisation_name]:[number_of_international_committee_board_members_not_eea]],9,FALSE))</f>
        <v>20</v>
      </c>
      <c r="K15">
        <f>IF(ISBLANK(General2023[[#This Row],[number_of_international_members_eea]]),"N/A",VLOOKUP(A15,General2023[[organisation_name]:[number_of_international_committee_board_members_not_eea]],8,FALSE))</f>
        <v>10</v>
      </c>
      <c r="L15">
        <f>IFERROR(IF(Data2023[[#This Row],[Number of members]]-Data2023[[#This Row],[Non-EEA Total]]-Data2023[[#This Row],[EEA total]]&lt;1,"N/A", Data2023[[#This Row],[Number of members]]-Data2023[[#This Row],[Non-EEA Total]]-Data2023[[#This Row],[EEA total]]),"N/A")</f>
        <v>30</v>
      </c>
      <c r="M15">
        <f>VLOOKUP(A15,General2023[[organisation_name]:[number_of_international_committee_board_members_not_eea]],12,FALSE)</f>
        <v>5</v>
      </c>
      <c r="N15">
        <f>VLOOKUP(A15,General2023[[organisation_name]:[number_of_international_committee_board_members_not_eea]],11,FALSE)</f>
        <v>5</v>
      </c>
      <c r="O15" t="str">
        <f>IFERROR(IF(Data2023[[#This Row],[Number of active members]]-Data2023[[#This Row],[Non-EEA Active ]]-Data2023[[#This Row],[EEA Active]]&lt;1,"N/A", Data2023[[#This Row],[Number of active members]]-Data2023[[#This Row],[Non-EEA Active ]]-Data2023[[#This Row],[EEA Active]]),"N/A")</f>
        <v>N/A</v>
      </c>
      <c r="P15">
        <f>IFERROR(Data2023[[#This Row],[Non-EEA Active ]]/Data2023[[#This Row],[Number of active members]],"N/A")</f>
        <v>0.5</v>
      </c>
      <c r="Q15">
        <f>IFERROR(Data2023[[#This Row],[EEA Active]]/Data2023[[#This Row],[EEA total]], "N/A")</f>
        <v>0.5</v>
      </c>
      <c r="R15" t="str">
        <f>IFERROR(Data2023[[#This Row],[Dutch Active]]/Data2023[[#This Row],[Dutch total]],"N/A")</f>
        <v>N/A</v>
      </c>
      <c r="S15" t="str">
        <f>IFERROR(IF(Data2023[[#This Row],[Number of members]]=Data2023[[#This Row],[Non-EEA Total]]+Data2023[[#This Row],[EEA total]]+Data2023[[#This Row],[Dutch total]],"T","F"),"F")</f>
        <v>T</v>
      </c>
      <c r="T15" t="str">
        <f>IFERROR(IF(Data2023[[#This Row],[Number of active members]]=Data2023[[#This Row],[Non-EEA Active ]]+Data2023[[#This Row],[EEA Active]]+Data2023[[#This Row],[Dutch Active]],"T","F"),"F")</f>
        <v>F</v>
      </c>
      <c r="U15" t="str">
        <f>IFERROR(IF(Data2023[[#This Row],[Number of members]]-Data2023[[#This Row],[Non-EEA Active ]]-Data2023[[#This Row],[EEA Active]]-Data2023[[#This Row],[Dutch Active]]=Data2023[[#This Row],[Number of  inactive members]],"T","F"),"F")</f>
        <v>F</v>
      </c>
      <c r="V15" t="str">
        <f>IF(Data2023[[#This Row],[EEA Active]]&lt;=Data2023[[#This Row],[EEA total]],"T","F")</f>
        <v>T</v>
      </c>
      <c r="W15" t="str">
        <f>IF(Data2023[[#This Row],[Dutch Active]]&lt;=Data2023[[#This Row],[Dutch total]],"T","F")</f>
        <v>F</v>
      </c>
      <c r="X15" t="str">
        <f>IF(Data2023[[#This Row],[Non-EEA Active ]]&lt;=Data2023[[#This Row],[Non-EEA Total]],"T","F")</f>
        <v>T</v>
      </c>
      <c r="Y1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5" t="str">
        <f>IFERROR(VLOOKUP(Data2023[[#This Row],[organisation_name]],'Division Study Year Committees'!$A$1:$L$108,2,FALSE),"N/A")</f>
        <v>N/A</v>
      </c>
      <c r="AA15" t="str">
        <f>IFERROR(VLOOKUP(Data2023[[#This Row],[organisation_name]],'Division Study Year Committees'!$A$1:$L$108,3,FALSE),"N/A")</f>
        <v>N/A</v>
      </c>
      <c r="AB15" t="str">
        <f>IFERROR(VLOOKUP(Data2023[[#This Row],[organisation_name]],'Division Study Year Committees'!$A$1:$L$108,4,FALSE),"N/A")</f>
        <v>N/A</v>
      </c>
      <c r="AC15" t="str">
        <f>IFERROR(VLOOKUP(Data2023[[#This Row],[organisation_name]],'Division Study Year Committees'!$A$1:$L$108,5,FALSE), "N/A")</f>
        <v>N/A</v>
      </c>
      <c r="AD15" t="str">
        <f>IFERROR(VLOOKUP(Data2023[[#This Row],[organisation_name]],'Division Study Year Committees'!$A$1:$L$108,6,FALSE), "N/A")</f>
        <v>N/A</v>
      </c>
      <c r="AE15">
        <f>SUM(Data2023[[#This Row],[Number of first year comittee members]:[Number of 4+ year comittee members]])</f>
        <v>0</v>
      </c>
      <c r="AF15">
        <f>COUNTIF('Committee2022'!D:D,Data2023[[#This Row],[organisation_name]])</f>
        <v>8</v>
      </c>
      <c r="AG15">
        <v>2023</v>
      </c>
    </row>
    <row r="16" spans="1:33" x14ac:dyDescent="0.3">
      <c r="A16" t="str">
        <f>General2023[[#This Row],[organisation_name]]</f>
        <v>DSSV Tartaros</v>
      </c>
      <c r="B16" t="str">
        <f>IF(General2023[[#This Row],[sector]]= "",VLOOKUP(Data2023[[#This Row],[organisation_name]],'Response Rate sheet'!A:D,3,FALSE),General2023[[#This Row],[sector]])</f>
        <v>Sports</v>
      </c>
      <c r="C16" t="str">
        <f>General2023[[#This Row],[organisation_type]]</f>
        <v>association</v>
      </c>
      <c r="D16">
        <f>IF(ISBLANK(General2023[[#This Row],[number_of_members]]),"N/A",VLOOKUP(A16,General2023[[organisation_name]:[number_of_international_committee_board_members_not_eea]],6,FALSE))</f>
        <v>75</v>
      </c>
      <c r="E16">
        <f>IF(ISBLANK(General2023[[#This Row],[number_of_committee_board_members]]),"N/A",VLOOKUP(A16,General2023!B:M,10,FALSE))</f>
        <v>20</v>
      </c>
      <c r="F16">
        <f>IFERROR(Data2023[[#This Row],[Number of members]]-Data2023[[#This Row],[Number of active members]], "N/A")</f>
        <v>55</v>
      </c>
      <c r="G16">
        <f>IFERROR(Data2023[[#This Row],[Number of active members]]/Data2023[[#This Row],[Number of members]], "N/A")</f>
        <v>0.26666666666666666</v>
      </c>
      <c r="H16">
        <f>IFERROR(1-Data2023[[#This Row],[Percentage active members]],"N/A")</f>
        <v>0.73333333333333339</v>
      </c>
      <c r="I16" t="str">
        <f>IF(Data2023[[#This Row],[Number of members]]=0,"N/A",IF(Data2023[[#This Row],[Number of members]]&lt;50," A. 1 - 50 ",IF(Data2023[[#This Row],[Number of members]]&lt;100, "B. 50 - 100", IF(Data2023[[#This Row],[Number of members]]&lt;400, "C. 100 - 400", IF(Data2023[[#This Row],[Number of members]]&lt;1000,"D. 400 - 1000", "E. 1000 +")))))</f>
        <v>B. 50 - 100</v>
      </c>
      <c r="J16">
        <f>IF(ISBLANK(General2023[[#This Row],[number_of_international_members_not_eea]]),"N/A",VLOOKUP(A16,General2023[[organisation_name]:[number_of_international_committee_board_members_not_eea]],9,FALSE))</f>
        <v>52</v>
      </c>
      <c r="K16">
        <f>IF(ISBLANK(General2023[[#This Row],[number_of_international_members_eea]]),"N/A",VLOOKUP(A16,General2023[[organisation_name]:[number_of_international_committee_board_members_not_eea]],8,FALSE))</f>
        <v>0</v>
      </c>
      <c r="L16">
        <f>IFERROR(IF(Data2023[[#This Row],[Number of members]]-Data2023[[#This Row],[Non-EEA Total]]-Data2023[[#This Row],[EEA total]]&lt;1,"N/A", Data2023[[#This Row],[Number of members]]-Data2023[[#This Row],[Non-EEA Total]]-Data2023[[#This Row],[EEA total]]),"N/A")</f>
        <v>23</v>
      </c>
      <c r="M16">
        <f>VLOOKUP(A16,General2023[[organisation_name]:[number_of_international_committee_board_members_not_eea]],12,FALSE)</f>
        <v>0</v>
      </c>
      <c r="N16">
        <f>VLOOKUP(A16,General2023[[organisation_name]:[number_of_international_committee_board_members_not_eea]],11,FALSE)</f>
        <v>0</v>
      </c>
      <c r="O16">
        <f>IFERROR(IF(Data2023[[#This Row],[Number of active members]]-Data2023[[#This Row],[Non-EEA Active ]]-Data2023[[#This Row],[EEA Active]]&lt;1,"N/A", Data2023[[#This Row],[Number of active members]]-Data2023[[#This Row],[Non-EEA Active ]]-Data2023[[#This Row],[EEA Active]]),"N/A")</f>
        <v>20</v>
      </c>
      <c r="P16">
        <f>IFERROR(Data2023[[#This Row],[Non-EEA Active ]]/Data2023[[#This Row],[Number of active members]],"N/A")</f>
        <v>0</v>
      </c>
      <c r="Q16" t="str">
        <f>IFERROR(Data2023[[#This Row],[EEA Active]]/Data2023[[#This Row],[EEA total]], "N/A")</f>
        <v>N/A</v>
      </c>
      <c r="R16">
        <f>IFERROR(Data2023[[#This Row],[Dutch Active]]/Data2023[[#This Row],[Dutch total]],"N/A")</f>
        <v>0.86956521739130432</v>
      </c>
      <c r="S16" t="str">
        <f>IFERROR(IF(Data2023[[#This Row],[Number of members]]=Data2023[[#This Row],[Non-EEA Total]]+Data2023[[#This Row],[EEA total]]+Data2023[[#This Row],[Dutch total]],"T","F"),"F")</f>
        <v>T</v>
      </c>
      <c r="T16" t="str">
        <f>IFERROR(IF(Data2023[[#This Row],[Number of active members]]=Data2023[[#This Row],[Non-EEA Active ]]+Data2023[[#This Row],[EEA Active]]+Data2023[[#This Row],[Dutch Active]],"T","F"),"F")</f>
        <v>T</v>
      </c>
      <c r="U16" t="str">
        <f>IFERROR(IF(Data2023[[#This Row],[Number of members]]-Data2023[[#This Row],[Non-EEA Active ]]-Data2023[[#This Row],[EEA Active]]-Data2023[[#This Row],[Dutch Active]]=Data2023[[#This Row],[Number of  inactive members]],"T","F"),"F")</f>
        <v>T</v>
      </c>
      <c r="V16" t="str">
        <f>IF(Data2023[[#This Row],[EEA Active]]&lt;=Data2023[[#This Row],[EEA total]],"T","F")</f>
        <v>T</v>
      </c>
      <c r="W16" t="str">
        <f>IF(Data2023[[#This Row],[Dutch Active]]&lt;=Data2023[[#This Row],[Dutch total]],"T","F")</f>
        <v>T</v>
      </c>
      <c r="X16" t="str">
        <f>IF(Data2023[[#This Row],[Non-EEA Active ]]&lt;=Data2023[[#This Row],[Non-EEA Total]],"T","F")</f>
        <v>T</v>
      </c>
      <c r="Y1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6" t="str">
        <f>IFERROR(VLOOKUP(Data2023[[#This Row],[organisation_name]],'Division Study Year Committees'!$A$1:$L$108,2,FALSE),"N/A")</f>
        <v>N/A</v>
      </c>
      <c r="AA16" t="str">
        <f>IFERROR(VLOOKUP(Data2023[[#This Row],[organisation_name]],'Division Study Year Committees'!$A$1:$L$108,3,FALSE),"N/A")</f>
        <v>N/A</v>
      </c>
      <c r="AB16" t="str">
        <f>IFERROR(VLOOKUP(Data2023[[#This Row],[organisation_name]],'Division Study Year Committees'!$A$1:$L$108,4,FALSE),"N/A")</f>
        <v>N/A</v>
      </c>
      <c r="AC16" t="str">
        <f>IFERROR(VLOOKUP(Data2023[[#This Row],[organisation_name]],'Division Study Year Committees'!$A$1:$L$108,5,FALSE), "N/A")</f>
        <v>N/A</v>
      </c>
      <c r="AD16" t="str">
        <f>IFERROR(VLOOKUP(Data2023[[#This Row],[organisation_name]],'Division Study Year Committees'!$A$1:$L$108,6,FALSE), "N/A")</f>
        <v>N/A</v>
      </c>
      <c r="AE16">
        <f>SUM(Data2023[[#This Row],[Number of first year comittee members]:[Number of 4+ year comittee members]])</f>
        <v>0</v>
      </c>
      <c r="AF16">
        <f>COUNTIF('Committee2022'!D:D,Data2023[[#This Row],[organisation_name]])</f>
        <v>16</v>
      </c>
      <c r="AG16">
        <v>2023</v>
      </c>
    </row>
    <row r="17" spans="1:33" x14ac:dyDescent="0.3">
      <c r="A17" t="str">
        <f>General2023[[#This Row],[organisation_name]]</f>
        <v>DZV Euros</v>
      </c>
      <c r="B17" t="str">
        <f>IF(General2023[[#This Row],[sector]]= "",VLOOKUP(Data2023[[#This Row],[organisation_name]],'Response Rate sheet'!A:D,3,FALSE),General2023[[#This Row],[sector]])</f>
        <v>Sports</v>
      </c>
      <c r="C17" t="str">
        <f>General2023[[#This Row],[organisation_type]]</f>
        <v>association</v>
      </c>
      <c r="D17">
        <f>IF(ISBLANK(General2023[[#This Row],[number_of_members]]),"N/A",VLOOKUP(A17,General2023[[organisation_name]:[number_of_international_committee_board_members_not_eea]],6,FALSE))</f>
        <v>62</v>
      </c>
      <c r="E17">
        <f>IF(ISBLANK(General2023[[#This Row],[number_of_committee_board_members]]),"N/A",VLOOKUP(A17,General2023!B:M,10,FALSE))</f>
        <v>4</v>
      </c>
      <c r="F17">
        <f>IFERROR(Data2023[[#This Row],[Number of members]]-Data2023[[#This Row],[Number of active members]], "N/A")</f>
        <v>58</v>
      </c>
      <c r="G17">
        <f>IFERROR(Data2023[[#This Row],[Number of active members]]/Data2023[[#This Row],[Number of members]], "N/A")</f>
        <v>6.4516129032258063E-2</v>
      </c>
      <c r="H17">
        <f>IFERROR(1-Data2023[[#This Row],[Percentage active members]],"N/A")</f>
        <v>0.93548387096774199</v>
      </c>
      <c r="I17" t="str">
        <f>IF(Data2023[[#This Row],[Number of members]]=0,"N/A",IF(Data2023[[#This Row],[Number of members]]&lt;50," A. 1 - 50 ",IF(Data2023[[#This Row],[Number of members]]&lt;100, "B. 50 - 100", IF(Data2023[[#This Row],[Number of members]]&lt;400, "C. 100 - 400", IF(Data2023[[#This Row],[Number of members]]&lt;1000,"D. 400 - 1000", "E. 1000 +")))))</f>
        <v>B. 50 - 100</v>
      </c>
      <c r="J17">
        <f>IF(ISBLANK(General2023[[#This Row],[number_of_international_members_not_eea]]),"N/A",VLOOKUP(A17,General2023[[organisation_name]:[number_of_international_committee_board_members_not_eea]],9,FALSE))</f>
        <v>45</v>
      </c>
      <c r="K17">
        <f>IF(ISBLANK(General2023[[#This Row],[number_of_international_members_eea]]),"N/A",VLOOKUP(A17,General2023[[organisation_name]:[number_of_international_committee_board_members_not_eea]],8,FALSE))</f>
        <v>0</v>
      </c>
      <c r="L17">
        <f>IFERROR(IF(Data2023[[#This Row],[Number of members]]-Data2023[[#This Row],[Non-EEA Total]]-Data2023[[#This Row],[EEA total]]&lt;1,"N/A", Data2023[[#This Row],[Number of members]]-Data2023[[#This Row],[Non-EEA Total]]-Data2023[[#This Row],[EEA total]]),"N/A")</f>
        <v>17</v>
      </c>
      <c r="M17">
        <f>VLOOKUP(A17,General2023[[organisation_name]:[number_of_international_committee_board_members_not_eea]],12,FALSE)</f>
        <v>0</v>
      </c>
      <c r="N17">
        <f>VLOOKUP(A17,General2023[[organisation_name]:[number_of_international_committee_board_members_not_eea]],11,FALSE)</f>
        <v>4</v>
      </c>
      <c r="O17" t="str">
        <f>IFERROR(IF(Data2023[[#This Row],[Number of active members]]-Data2023[[#This Row],[Non-EEA Active ]]-Data2023[[#This Row],[EEA Active]]&lt;1,"N/A", Data2023[[#This Row],[Number of active members]]-Data2023[[#This Row],[Non-EEA Active ]]-Data2023[[#This Row],[EEA Active]]),"N/A")</f>
        <v>N/A</v>
      </c>
      <c r="P17">
        <f>IFERROR(Data2023[[#This Row],[Non-EEA Active ]]/Data2023[[#This Row],[Number of active members]],"N/A")</f>
        <v>0</v>
      </c>
      <c r="Q17" t="str">
        <f>IFERROR(Data2023[[#This Row],[EEA Active]]/Data2023[[#This Row],[EEA total]], "N/A")</f>
        <v>N/A</v>
      </c>
      <c r="R17" t="str">
        <f>IFERROR(Data2023[[#This Row],[Dutch Active]]/Data2023[[#This Row],[Dutch total]],"N/A")</f>
        <v>N/A</v>
      </c>
      <c r="S17" t="str">
        <f>IFERROR(IF(Data2023[[#This Row],[Number of members]]=Data2023[[#This Row],[Non-EEA Total]]+Data2023[[#This Row],[EEA total]]+Data2023[[#This Row],[Dutch total]],"T","F"),"F")</f>
        <v>T</v>
      </c>
      <c r="T17" t="str">
        <f>IFERROR(IF(Data2023[[#This Row],[Number of active members]]=Data2023[[#This Row],[Non-EEA Active ]]+Data2023[[#This Row],[EEA Active]]+Data2023[[#This Row],[Dutch Active]],"T","F"),"F")</f>
        <v>F</v>
      </c>
      <c r="U17" t="str">
        <f>IFERROR(IF(Data2023[[#This Row],[Number of members]]-Data2023[[#This Row],[Non-EEA Active ]]-Data2023[[#This Row],[EEA Active]]-Data2023[[#This Row],[Dutch Active]]=Data2023[[#This Row],[Number of  inactive members]],"T","F"),"F")</f>
        <v>F</v>
      </c>
      <c r="V17" t="str">
        <f>IF(Data2023[[#This Row],[EEA Active]]&lt;=Data2023[[#This Row],[EEA total]],"T","F")</f>
        <v>F</v>
      </c>
      <c r="W17" t="str">
        <f>IF(Data2023[[#This Row],[Dutch Active]]&lt;=Data2023[[#This Row],[Dutch total]],"T","F")</f>
        <v>F</v>
      </c>
      <c r="X17" t="str">
        <f>IF(Data2023[[#This Row],[Non-EEA Active ]]&lt;=Data2023[[#This Row],[Non-EEA Total]],"T","F")</f>
        <v>T</v>
      </c>
      <c r="Y1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7">
        <f>IFERROR(VLOOKUP(Data2023[[#This Row],[organisation_name]],'Division Study Year Committees'!$A$1:$L$108,2,FALSE),"N/A")</f>
        <v>7</v>
      </c>
      <c r="AA17">
        <f>IFERROR(VLOOKUP(Data2023[[#This Row],[organisation_name]],'Division Study Year Committees'!$A$1:$L$108,3,FALSE),"N/A")</f>
        <v>11</v>
      </c>
      <c r="AB17">
        <f>IFERROR(VLOOKUP(Data2023[[#This Row],[organisation_name]],'Division Study Year Committees'!$A$1:$L$108,4,FALSE),"N/A")</f>
        <v>22</v>
      </c>
      <c r="AC17">
        <f>IFERROR(VLOOKUP(Data2023[[#This Row],[organisation_name]],'Division Study Year Committees'!$A$1:$L$108,5,FALSE), "N/A")</f>
        <v>9</v>
      </c>
      <c r="AD17">
        <f>IFERROR(VLOOKUP(Data2023[[#This Row],[organisation_name]],'Division Study Year Committees'!$A$1:$L$108,6,FALSE), "N/A")</f>
        <v>0</v>
      </c>
      <c r="AE17">
        <f>SUM(Data2023[[#This Row],[Number of first year comittee members]:[Number of 4+ year comittee members]])</f>
        <v>49</v>
      </c>
      <c r="AF17">
        <f>COUNTIF('Committee2022'!D:D,Data2023[[#This Row],[organisation_name]])</f>
        <v>15</v>
      </c>
      <c r="AG17">
        <v>2023</v>
      </c>
    </row>
    <row r="18" spans="1:33" x14ac:dyDescent="0.3">
      <c r="A18" t="str">
        <f>General2023[[#This Row],[organisation_name]]</f>
        <v>EEEHV Cabezota</v>
      </c>
      <c r="B18" t="str">
        <f>IF(General2023[[#This Row],[sector]]= "",VLOOKUP(Data2023[[#This Row],[organisation_name]],'Response Rate sheet'!A:D,3,FALSE),General2023[[#This Row],[sector]])</f>
        <v>Sports</v>
      </c>
      <c r="C18" t="str">
        <f>General2023[[#This Row],[organisation_type]]</f>
        <v>association</v>
      </c>
      <c r="D18">
        <f>IF(ISBLANK(General2023[[#This Row],[number_of_members]]),"N/A",VLOOKUP(A18,General2023[[organisation_name]:[number_of_international_committee_board_members_not_eea]],6,FALSE))</f>
        <v>50</v>
      </c>
      <c r="E18">
        <f>IF(ISBLANK(General2023[[#This Row],[number_of_committee_board_members]]),"N/A",VLOOKUP(A18,General2023!B:M,10,FALSE))</f>
        <v>10</v>
      </c>
      <c r="F18">
        <f>IFERROR(Data2023[[#This Row],[Number of members]]-Data2023[[#This Row],[Number of active members]], "N/A")</f>
        <v>40</v>
      </c>
      <c r="G18">
        <f>IFERROR(Data2023[[#This Row],[Number of active members]]/Data2023[[#This Row],[Number of members]], "N/A")</f>
        <v>0.2</v>
      </c>
      <c r="H18">
        <f>IFERROR(1-Data2023[[#This Row],[Percentage active members]],"N/A")</f>
        <v>0.8</v>
      </c>
      <c r="I18" t="str">
        <f>IF(Data2023[[#This Row],[Number of members]]=0,"N/A",IF(Data2023[[#This Row],[Number of members]]&lt;50," A. 1 - 50 ",IF(Data2023[[#This Row],[Number of members]]&lt;100, "B. 50 - 100", IF(Data2023[[#This Row],[Number of members]]&lt;400, "C. 100 - 400", IF(Data2023[[#This Row],[Number of members]]&lt;1000,"D. 400 - 1000", "E. 1000 +")))))</f>
        <v>B. 50 - 100</v>
      </c>
      <c r="J18">
        <f>IF(ISBLANK(General2023[[#This Row],[number_of_international_members_not_eea]]),"N/A",VLOOKUP(A18,General2023[[organisation_name]:[number_of_international_committee_board_members_not_eea]],9,FALSE))</f>
        <v>28</v>
      </c>
      <c r="K18">
        <f>IF(ISBLANK(General2023[[#This Row],[number_of_international_members_eea]]),"N/A",VLOOKUP(A18,General2023[[organisation_name]:[number_of_international_committee_board_members_not_eea]],8,FALSE))</f>
        <v>0</v>
      </c>
      <c r="L18">
        <f>IFERROR(IF(Data2023[[#This Row],[Number of members]]-Data2023[[#This Row],[Non-EEA Total]]-Data2023[[#This Row],[EEA total]]&lt;1,"N/A", Data2023[[#This Row],[Number of members]]-Data2023[[#This Row],[Non-EEA Total]]-Data2023[[#This Row],[EEA total]]),"N/A")</f>
        <v>22</v>
      </c>
      <c r="M18">
        <f>VLOOKUP(A18,General2023[[organisation_name]:[number_of_international_committee_board_members_not_eea]],12,FALSE)</f>
        <v>0</v>
      </c>
      <c r="N18">
        <f>VLOOKUP(A18,General2023[[organisation_name]:[number_of_international_committee_board_members_not_eea]],11,FALSE)</f>
        <v>4</v>
      </c>
      <c r="O18">
        <f>IFERROR(IF(Data2023[[#This Row],[Number of active members]]-Data2023[[#This Row],[Non-EEA Active ]]-Data2023[[#This Row],[EEA Active]]&lt;1,"N/A", Data2023[[#This Row],[Number of active members]]-Data2023[[#This Row],[Non-EEA Active ]]-Data2023[[#This Row],[EEA Active]]),"N/A")</f>
        <v>6</v>
      </c>
      <c r="P18">
        <f>IFERROR(Data2023[[#This Row],[Non-EEA Active ]]/Data2023[[#This Row],[Number of active members]],"N/A")</f>
        <v>0</v>
      </c>
      <c r="Q18" t="str">
        <f>IFERROR(Data2023[[#This Row],[EEA Active]]/Data2023[[#This Row],[EEA total]], "N/A")</f>
        <v>N/A</v>
      </c>
      <c r="R18">
        <f>IFERROR(Data2023[[#This Row],[Dutch Active]]/Data2023[[#This Row],[Dutch total]],"N/A")</f>
        <v>0.27272727272727271</v>
      </c>
      <c r="S18" t="str">
        <f>IFERROR(IF(Data2023[[#This Row],[Number of members]]=Data2023[[#This Row],[Non-EEA Total]]+Data2023[[#This Row],[EEA total]]+Data2023[[#This Row],[Dutch total]],"T","F"),"F")</f>
        <v>T</v>
      </c>
      <c r="T18" t="str">
        <f>IFERROR(IF(Data2023[[#This Row],[Number of active members]]=Data2023[[#This Row],[Non-EEA Active ]]+Data2023[[#This Row],[EEA Active]]+Data2023[[#This Row],[Dutch Active]],"T","F"),"F")</f>
        <v>T</v>
      </c>
      <c r="U18" t="str">
        <f>IFERROR(IF(Data2023[[#This Row],[Number of members]]-Data2023[[#This Row],[Non-EEA Active ]]-Data2023[[#This Row],[EEA Active]]-Data2023[[#This Row],[Dutch Active]]=Data2023[[#This Row],[Number of  inactive members]],"T","F"),"F")</f>
        <v>T</v>
      </c>
      <c r="V18" t="str">
        <f>IF(Data2023[[#This Row],[EEA Active]]&lt;=Data2023[[#This Row],[EEA total]],"T","F")</f>
        <v>F</v>
      </c>
      <c r="W18" t="str">
        <f>IF(Data2023[[#This Row],[Dutch Active]]&lt;=Data2023[[#This Row],[Dutch total]],"T","F")</f>
        <v>T</v>
      </c>
      <c r="X18" t="str">
        <f>IF(Data2023[[#This Row],[Non-EEA Active ]]&lt;=Data2023[[#This Row],[Non-EEA Total]],"T","F")</f>
        <v>T</v>
      </c>
      <c r="Y1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8">
        <f>IFERROR(VLOOKUP(Data2023[[#This Row],[organisation_name]],'Division Study Year Committees'!$A$1:$L$108,2,FALSE),"N/A")</f>
        <v>3</v>
      </c>
      <c r="AA18">
        <f>IFERROR(VLOOKUP(Data2023[[#This Row],[organisation_name]],'Division Study Year Committees'!$A$1:$L$108,3,FALSE),"N/A")</f>
        <v>7</v>
      </c>
      <c r="AB18">
        <f>IFERROR(VLOOKUP(Data2023[[#This Row],[organisation_name]],'Division Study Year Committees'!$A$1:$L$108,4,FALSE),"N/A")</f>
        <v>7</v>
      </c>
      <c r="AC18">
        <f>IFERROR(VLOOKUP(Data2023[[#This Row],[organisation_name]],'Division Study Year Committees'!$A$1:$L$108,5,FALSE), "N/A")</f>
        <v>6</v>
      </c>
      <c r="AD18">
        <f>IFERROR(VLOOKUP(Data2023[[#This Row],[organisation_name]],'Division Study Year Committees'!$A$1:$L$108,6,FALSE), "N/A")</f>
        <v>5</v>
      </c>
      <c r="AE18">
        <f>SUM(Data2023[[#This Row],[Number of first year comittee members]:[Number of 4+ year comittee members]])</f>
        <v>28</v>
      </c>
      <c r="AF18">
        <f>COUNTIF('Committee2022'!D:D,Data2023[[#This Row],[organisation_name]])</f>
        <v>13</v>
      </c>
      <c r="AG18">
        <v>2023</v>
      </c>
    </row>
    <row r="19" spans="1:33" x14ac:dyDescent="0.3">
      <c r="A19" t="str">
        <f>General2023[[#This Row],[organisation_name]]</f>
        <v>ESBV Buitenwesten</v>
      </c>
      <c r="B19" t="str">
        <f>IF(General2023[[#This Row],[sector]]= "",VLOOKUP(Data2023[[#This Row],[organisation_name]],'Response Rate sheet'!A:D,3,FALSE),General2023[[#This Row],[sector]])</f>
        <v>Sports</v>
      </c>
      <c r="C19" t="str">
        <f>General2023[[#This Row],[organisation_type]]</f>
        <v>association</v>
      </c>
      <c r="D19">
        <f>IF(ISBLANK(General2023[[#This Row],[number_of_members]]),"N/A",VLOOKUP(A19,General2023[[organisation_name]:[number_of_international_committee_board_members_not_eea]],6,FALSE))</f>
        <v>100</v>
      </c>
      <c r="E19">
        <f>IF(ISBLANK(General2023[[#This Row],[number_of_committee_board_members]]),"N/A",VLOOKUP(A19,General2023!B:M,10,FALSE))</f>
        <v>30</v>
      </c>
      <c r="F19">
        <f>IFERROR(Data2023[[#This Row],[Number of members]]-Data2023[[#This Row],[Number of active members]], "N/A")</f>
        <v>70</v>
      </c>
      <c r="G19">
        <f>IFERROR(Data2023[[#This Row],[Number of active members]]/Data2023[[#This Row],[Number of members]], "N/A")</f>
        <v>0.3</v>
      </c>
      <c r="H19">
        <f>IFERROR(1-Data2023[[#This Row],[Percentage active members]],"N/A")</f>
        <v>0.7</v>
      </c>
      <c r="I19" t="str">
        <f>IF(Data2023[[#This Row],[Number of members]]=0,"N/A",IF(Data2023[[#This Row],[Number of members]]&lt;50," A. 1 - 50 ",IF(Data2023[[#This Row],[Number of members]]&lt;100, "B. 50 - 100", IF(Data2023[[#This Row],[Number of members]]&lt;400, "C. 100 - 400", IF(Data2023[[#This Row],[Number of members]]&lt;1000,"D. 400 - 1000", "E. 1000 +")))))</f>
        <v>C. 100 - 400</v>
      </c>
      <c r="J19">
        <f>IF(ISBLANK(General2023[[#This Row],[number_of_international_members_not_eea]]),"N/A",VLOOKUP(A19,General2023[[organisation_name]:[number_of_international_committee_board_members_not_eea]],9,FALSE))</f>
        <v>15</v>
      </c>
      <c r="K19">
        <f>IF(ISBLANK(General2023[[#This Row],[number_of_international_members_eea]]),"N/A",VLOOKUP(A19,General2023[[organisation_name]:[number_of_international_committee_board_members_not_eea]],8,FALSE))</f>
        <v>10</v>
      </c>
      <c r="L19">
        <f>IFERROR(IF(Data2023[[#This Row],[Number of members]]-Data2023[[#This Row],[Non-EEA Total]]-Data2023[[#This Row],[EEA total]]&lt;1,"N/A", Data2023[[#This Row],[Number of members]]-Data2023[[#This Row],[Non-EEA Total]]-Data2023[[#This Row],[EEA total]]),"N/A")</f>
        <v>75</v>
      </c>
      <c r="M19">
        <f>VLOOKUP(A19,General2023[[organisation_name]:[number_of_international_committee_board_members_not_eea]],12,FALSE)</f>
        <v>2</v>
      </c>
      <c r="N19">
        <f>VLOOKUP(A19,General2023[[organisation_name]:[number_of_international_committee_board_members_not_eea]],11,FALSE)</f>
        <v>8</v>
      </c>
      <c r="O19">
        <f>IFERROR(IF(Data2023[[#This Row],[Number of active members]]-Data2023[[#This Row],[Non-EEA Active ]]-Data2023[[#This Row],[EEA Active]]&lt;1,"N/A", Data2023[[#This Row],[Number of active members]]-Data2023[[#This Row],[Non-EEA Active ]]-Data2023[[#This Row],[EEA Active]]),"N/A")</f>
        <v>20</v>
      </c>
      <c r="P19">
        <f>IFERROR(Data2023[[#This Row],[Non-EEA Active ]]/Data2023[[#This Row],[Number of active members]],"N/A")</f>
        <v>6.6666666666666666E-2</v>
      </c>
      <c r="Q19">
        <f>IFERROR(Data2023[[#This Row],[EEA Active]]/Data2023[[#This Row],[EEA total]], "N/A")</f>
        <v>0.8</v>
      </c>
      <c r="R19">
        <f>IFERROR(Data2023[[#This Row],[Dutch Active]]/Data2023[[#This Row],[Dutch total]],"N/A")</f>
        <v>0.26666666666666666</v>
      </c>
      <c r="S19" t="str">
        <f>IFERROR(IF(Data2023[[#This Row],[Number of members]]=Data2023[[#This Row],[Non-EEA Total]]+Data2023[[#This Row],[EEA total]]+Data2023[[#This Row],[Dutch total]],"T","F"),"F")</f>
        <v>T</v>
      </c>
      <c r="T19" t="str">
        <f>IFERROR(IF(Data2023[[#This Row],[Number of active members]]=Data2023[[#This Row],[Non-EEA Active ]]+Data2023[[#This Row],[EEA Active]]+Data2023[[#This Row],[Dutch Active]],"T","F"),"F")</f>
        <v>T</v>
      </c>
      <c r="U19" t="str">
        <f>IFERROR(IF(Data2023[[#This Row],[Number of members]]-Data2023[[#This Row],[Non-EEA Active ]]-Data2023[[#This Row],[EEA Active]]-Data2023[[#This Row],[Dutch Active]]=Data2023[[#This Row],[Number of  inactive members]],"T","F"),"F")</f>
        <v>T</v>
      </c>
      <c r="V19" t="str">
        <f>IF(Data2023[[#This Row],[EEA Active]]&lt;=Data2023[[#This Row],[EEA total]],"T","F")</f>
        <v>T</v>
      </c>
      <c r="W19" t="str">
        <f>IF(Data2023[[#This Row],[Dutch Active]]&lt;=Data2023[[#This Row],[Dutch total]],"T","F")</f>
        <v>T</v>
      </c>
      <c r="X19" t="str">
        <f>IF(Data2023[[#This Row],[Non-EEA Active ]]&lt;=Data2023[[#This Row],[Non-EEA Total]],"T","F")</f>
        <v>T</v>
      </c>
      <c r="Y1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9">
        <f>IFERROR(VLOOKUP(Data2023[[#This Row],[organisation_name]],'Division Study Year Committees'!$A$1:$L$108,2,FALSE),"N/A")</f>
        <v>2</v>
      </c>
      <c r="AA19">
        <f>IFERROR(VLOOKUP(Data2023[[#This Row],[organisation_name]],'Division Study Year Committees'!$A$1:$L$108,3,FALSE),"N/A")</f>
        <v>2</v>
      </c>
      <c r="AB19">
        <f>IFERROR(VLOOKUP(Data2023[[#This Row],[organisation_name]],'Division Study Year Committees'!$A$1:$L$108,4,FALSE),"N/A")</f>
        <v>4</v>
      </c>
      <c r="AC19">
        <f>IFERROR(VLOOKUP(Data2023[[#This Row],[organisation_name]],'Division Study Year Committees'!$A$1:$L$108,5,FALSE), "N/A")</f>
        <v>2</v>
      </c>
      <c r="AD19">
        <f>IFERROR(VLOOKUP(Data2023[[#This Row],[organisation_name]],'Division Study Year Committees'!$A$1:$L$108,6,FALSE), "N/A")</f>
        <v>5</v>
      </c>
      <c r="AE19">
        <f>SUM(Data2023[[#This Row],[Number of first year comittee members]:[Number of 4+ year comittee members]])</f>
        <v>15</v>
      </c>
      <c r="AF19">
        <f>COUNTIF('Committee2022'!D:D,Data2023[[#This Row],[organisation_name]])</f>
        <v>8</v>
      </c>
      <c r="AG19">
        <v>2023</v>
      </c>
    </row>
    <row r="20" spans="1:33" x14ac:dyDescent="0.3">
      <c r="A20" t="str">
        <f>General2023[[#This Row],[organisation_name]]</f>
        <v>HSV High-Tech-Hitters</v>
      </c>
      <c r="B20" t="str">
        <f>IF(General2023[[#This Row],[sector]]= "",VLOOKUP(Data2023[[#This Row],[organisation_name]],'Response Rate sheet'!A:D,3,FALSE),General2023[[#This Row],[sector]])</f>
        <v>Sports</v>
      </c>
      <c r="C20" t="str">
        <f>General2023[[#This Row],[organisation_type]]</f>
        <v>association</v>
      </c>
      <c r="D20">
        <f>IF(ISBLANK(General2023[[#This Row],[number_of_members]]),"N/A",VLOOKUP(A20,General2023[[organisation_name]:[number_of_international_committee_board_members_not_eea]],6,FALSE))</f>
        <v>52</v>
      </c>
      <c r="E20">
        <f>IF(ISBLANK(General2023[[#This Row],[number_of_committee_board_members]]),"N/A",VLOOKUP(A20,General2023!B:M,10,FALSE))</f>
        <v>7</v>
      </c>
      <c r="F20">
        <f>IFERROR(Data2023[[#This Row],[Number of members]]-Data2023[[#This Row],[Number of active members]], "N/A")</f>
        <v>45</v>
      </c>
      <c r="G20">
        <f>IFERROR(Data2023[[#This Row],[Number of active members]]/Data2023[[#This Row],[Number of members]], "N/A")</f>
        <v>0.13461538461538461</v>
      </c>
      <c r="H20">
        <f>IFERROR(1-Data2023[[#This Row],[Percentage active members]],"N/A")</f>
        <v>0.86538461538461542</v>
      </c>
      <c r="I20" t="str">
        <f>IF(Data2023[[#This Row],[Number of members]]=0,"N/A",IF(Data2023[[#This Row],[Number of members]]&lt;50," A. 1 - 50 ",IF(Data2023[[#This Row],[Number of members]]&lt;100, "B. 50 - 100", IF(Data2023[[#This Row],[Number of members]]&lt;400, "C. 100 - 400", IF(Data2023[[#This Row],[Number of members]]&lt;1000,"D. 400 - 1000", "E. 1000 +")))))</f>
        <v>B. 50 - 100</v>
      </c>
      <c r="J20">
        <f>IF(ISBLANK(General2023[[#This Row],[number_of_international_members_not_eea]]),"N/A",VLOOKUP(A20,General2023[[organisation_name]:[number_of_international_committee_board_members_not_eea]],9,FALSE))</f>
        <v>25</v>
      </c>
      <c r="K20">
        <f>IF(ISBLANK(General2023[[#This Row],[number_of_international_members_eea]]),"N/A",VLOOKUP(A20,General2023[[organisation_name]:[number_of_international_committee_board_members_not_eea]],8,FALSE))</f>
        <v>0</v>
      </c>
      <c r="L20">
        <f>IFERROR(IF(Data2023[[#This Row],[Number of members]]-Data2023[[#This Row],[Non-EEA Total]]-Data2023[[#This Row],[EEA total]]&lt;1,"N/A", Data2023[[#This Row],[Number of members]]-Data2023[[#This Row],[Non-EEA Total]]-Data2023[[#This Row],[EEA total]]),"N/A")</f>
        <v>27</v>
      </c>
      <c r="M20">
        <f>VLOOKUP(A20,General2023[[organisation_name]:[number_of_international_committee_board_members_not_eea]],12,FALSE)</f>
        <v>0</v>
      </c>
      <c r="N20">
        <f>VLOOKUP(A20,General2023[[organisation_name]:[number_of_international_committee_board_members_not_eea]],11,FALSE)</f>
        <v>3</v>
      </c>
      <c r="O20">
        <f>IFERROR(IF(Data2023[[#This Row],[Number of active members]]-Data2023[[#This Row],[Non-EEA Active ]]-Data2023[[#This Row],[EEA Active]]&lt;1,"N/A", Data2023[[#This Row],[Number of active members]]-Data2023[[#This Row],[Non-EEA Active ]]-Data2023[[#This Row],[EEA Active]]),"N/A")</f>
        <v>4</v>
      </c>
      <c r="P20">
        <f>IFERROR(Data2023[[#This Row],[Non-EEA Active ]]/Data2023[[#This Row],[Number of active members]],"N/A")</f>
        <v>0</v>
      </c>
      <c r="Q20" t="str">
        <f>IFERROR(Data2023[[#This Row],[EEA Active]]/Data2023[[#This Row],[EEA total]], "N/A")</f>
        <v>N/A</v>
      </c>
      <c r="R20">
        <f>IFERROR(Data2023[[#This Row],[Dutch Active]]/Data2023[[#This Row],[Dutch total]],"N/A")</f>
        <v>0.14814814814814814</v>
      </c>
      <c r="S20" t="str">
        <f>IFERROR(IF(Data2023[[#This Row],[Number of members]]=Data2023[[#This Row],[Non-EEA Total]]+Data2023[[#This Row],[EEA total]]+Data2023[[#This Row],[Dutch total]],"T","F"),"F")</f>
        <v>T</v>
      </c>
      <c r="T20" t="str">
        <f>IFERROR(IF(Data2023[[#This Row],[Number of active members]]=Data2023[[#This Row],[Non-EEA Active ]]+Data2023[[#This Row],[EEA Active]]+Data2023[[#This Row],[Dutch Active]],"T","F"),"F")</f>
        <v>T</v>
      </c>
      <c r="U20" t="str">
        <f>IFERROR(IF(Data2023[[#This Row],[Number of members]]-Data2023[[#This Row],[Non-EEA Active ]]-Data2023[[#This Row],[EEA Active]]-Data2023[[#This Row],[Dutch Active]]=Data2023[[#This Row],[Number of  inactive members]],"T","F"),"F")</f>
        <v>T</v>
      </c>
      <c r="V20" t="str">
        <f>IF(Data2023[[#This Row],[EEA Active]]&lt;=Data2023[[#This Row],[EEA total]],"T","F")</f>
        <v>F</v>
      </c>
      <c r="W20" t="str">
        <f>IF(Data2023[[#This Row],[Dutch Active]]&lt;=Data2023[[#This Row],[Dutch total]],"T","F")</f>
        <v>T</v>
      </c>
      <c r="X20" t="str">
        <f>IF(Data2023[[#This Row],[Non-EEA Active ]]&lt;=Data2023[[#This Row],[Non-EEA Total]],"T","F")</f>
        <v>T</v>
      </c>
      <c r="Y2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0">
        <f>IFERROR(VLOOKUP(Data2023[[#This Row],[organisation_name]],'Division Study Year Committees'!$A$1:$L$108,2,FALSE),"N/A")</f>
        <v>0</v>
      </c>
      <c r="AA20">
        <f>IFERROR(VLOOKUP(Data2023[[#This Row],[organisation_name]],'Division Study Year Committees'!$A$1:$L$108,3,FALSE),"N/A")</f>
        <v>0</v>
      </c>
      <c r="AB20">
        <f>IFERROR(VLOOKUP(Data2023[[#This Row],[organisation_name]],'Division Study Year Committees'!$A$1:$L$108,4,FALSE),"N/A")</f>
        <v>8</v>
      </c>
      <c r="AC20">
        <f>IFERROR(VLOOKUP(Data2023[[#This Row],[organisation_name]],'Division Study Year Committees'!$A$1:$L$108,5,FALSE), "N/A")</f>
        <v>1</v>
      </c>
      <c r="AD20">
        <f>IFERROR(VLOOKUP(Data2023[[#This Row],[organisation_name]],'Division Study Year Committees'!$A$1:$L$108,6,FALSE), "N/A")</f>
        <v>2</v>
      </c>
      <c r="AE20">
        <f>SUM(Data2023[[#This Row],[Number of first year comittee members]:[Number of 4+ year comittee members]])</f>
        <v>11</v>
      </c>
      <c r="AF20">
        <f>COUNTIF('Committee2022'!D:D,Data2023[[#This Row],[organisation_name]])</f>
        <v>12</v>
      </c>
      <c r="AG20">
        <v>2023</v>
      </c>
    </row>
    <row r="21" spans="1:33" x14ac:dyDescent="0.3">
      <c r="A21" t="str">
        <f>General2023[[#This Row],[organisation_name]]</f>
        <v>Linea Recta</v>
      </c>
      <c r="B21" t="str">
        <f>IF(General2023[[#This Row],[sector]]= "",VLOOKUP(Data2023[[#This Row],[organisation_name]],'Response Rate sheet'!A:D,3,FALSE),General2023[[#This Row],[sector]])</f>
        <v>Sports</v>
      </c>
      <c r="C21" t="str">
        <f>General2023[[#This Row],[organisation_type]]</f>
        <v>association</v>
      </c>
      <c r="D21">
        <f>IF(ISBLANK(General2023[[#This Row],[number_of_members]]),"N/A",VLOOKUP(A21,General2023[[organisation_name]:[number_of_international_committee_board_members_not_eea]],6,FALSE))</f>
        <v>68</v>
      </c>
      <c r="E21">
        <f>IF(ISBLANK(General2023[[#This Row],[number_of_committee_board_members]]),"N/A",VLOOKUP(A21,General2023!B:M,10,FALSE))</f>
        <v>5</v>
      </c>
      <c r="F21">
        <f>IFERROR(Data2023[[#This Row],[Number of members]]-Data2023[[#This Row],[Number of active members]], "N/A")</f>
        <v>63</v>
      </c>
      <c r="G21">
        <f>IFERROR(Data2023[[#This Row],[Number of active members]]/Data2023[[#This Row],[Number of members]], "N/A")</f>
        <v>7.3529411764705885E-2</v>
      </c>
      <c r="H21">
        <f>IFERROR(1-Data2023[[#This Row],[Percentage active members]],"N/A")</f>
        <v>0.92647058823529416</v>
      </c>
      <c r="I21" t="str">
        <f>IF(Data2023[[#This Row],[Number of members]]=0,"N/A",IF(Data2023[[#This Row],[Number of members]]&lt;50," A. 1 - 50 ",IF(Data2023[[#This Row],[Number of members]]&lt;100, "B. 50 - 100", IF(Data2023[[#This Row],[Number of members]]&lt;400, "C. 100 - 400", IF(Data2023[[#This Row],[Number of members]]&lt;1000,"D. 400 - 1000", "E. 1000 +")))))</f>
        <v>B. 50 - 100</v>
      </c>
      <c r="J21">
        <f>IF(ISBLANK(General2023[[#This Row],[number_of_international_members_not_eea]]),"N/A",VLOOKUP(A21,General2023[[organisation_name]:[number_of_international_committee_board_members_not_eea]],9,FALSE))</f>
        <v>40</v>
      </c>
      <c r="K21">
        <f>IF(ISBLANK(General2023[[#This Row],[number_of_international_members_eea]]),"N/A",VLOOKUP(A21,General2023[[organisation_name]:[number_of_international_committee_board_members_not_eea]],8,FALSE))</f>
        <v>1</v>
      </c>
      <c r="L21">
        <f>IFERROR(IF(Data2023[[#This Row],[Number of members]]-Data2023[[#This Row],[Non-EEA Total]]-Data2023[[#This Row],[EEA total]]&lt;1,"N/A", Data2023[[#This Row],[Number of members]]-Data2023[[#This Row],[Non-EEA Total]]-Data2023[[#This Row],[EEA total]]),"N/A")</f>
        <v>27</v>
      </c>
      <c r="M21">
        <f>VLOOKUP(A21,General2023[[organisation_name]:[number_of_international_committee_board_members_not_eea]],12,FALSE)</f>
        <v>1</v>
      </c>
      <c r="N21">
        <f>VLOOKUP(A21,General2023[[organisation_name]:[number_of_international_committee_board_members_not_eea]],11,FALSE)</f>
        <v>7</v>
      </c>
      <c r="O21" t="str">
        <f>IFERROR(IF(Data2023[[#This Row],[Number of active members]]-Data2023[[#This Row],[Non-EEA Active ]]-Data2023[[#This Row],[EEA Active]]&lt;1,"N/A", Data2023[[#This Row],[Number of active members]]-Data2023[[#This Row],[Non-EEA Active ]]-Data2023[[#This Row],[EEA Active]]),"N/A")</f>
        <v>N/A</v>
      </c>
      <c r="P21">
        <f>IFERROR(Data2023[[#This Row],[Non-EEA Active ]]/Data2023[[#This Row],[Number of active members]],"N/A")</f>
        <v>0.2</v>
      </c>
      <c r="Q21">
        <f>IFERROR(Data2023[[#This Row],[EEA Active]]/Data2023[[#This Row],[EEA total]], "N/A")</f>
        <v>7</v>
      </c>
      <c r="R21" t="str">
        <f>IFERROR(Data2023[[#This Row],[Dutch Active]]/Data2023[[#This Row],[Dutch total]],"N/A")</f>
        <v>N/A</v>
      </c>
      <c r="S21" t="str">
        <f>IFERROR(IF(Data2023[[#This Row],[Number of members]]=Data2023[[#This Row],[Non-EEA Total]]+Data2023[[#This Row],[EEA total]]+Data2023[[#This Row],[Dutch total]],"T","F"),"F")</f>
        <v>T</v>
      </c>
      <c r="T21" t="str">
        <f>IFERROR(IF(Data2023[[#This Row],[Number of active members]]=Data2023[[#This Row],[Non-EEA Active ]]+Data2023[[#This Row],[EEA Active]]+Data2023[[#This Row],[Dutch Active]],"T","F"),"F")</f>
        <v>F</v>
      </c>
      <c r="U21" t="str">
        <f>IFERROR(IF(Data2023[[#This Row],[Number of members]]-Data2023[[#This Row],[Non-EEA Active ]]-Data2023[[#This Row],[EEA Active]]-Data2023[[#This Row],[Dutch Active]]=Data2023[[#This Row],[Number of  inactive members]],"T","F"),"F")</f>
        <v>F</v>
      </c>
      <c r="V21" t="str">
        <f>IF(Data2023[[#This Row],[EEA Active]]&lt;=Data2023[[#This Row],[EEA total]],"T","F")</f>
        <v>F</v>
      </c>
      <c r="W21" t="str">
        <f>IF(Data2023[[#This Row],[Dutch Active]]&lt;=Data2023[[#This Row],[Dutch total]],"T","F")</f>
        <v>F</v>
      </c>
      <c r="X21" t="str">
        <f>IF(Data2023[[#This Row],[Non-EEA Active ]]&lt;=Data2023[[#This Row],[Non-EEA Total]],"T","F")</f>
        <v>T</v>
      </c>
      <c r="Y2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1">
        <f>IFERROR(VLOOKUP(Data2023[[#This Row],[organisation_name]],'Division Study Year Committees'!$A$1:$L$108,2,FALSE),"N/A")</f>
        <v>0</v>
      </c>
      <c r="AA21">
        <f>IFERROR(VLOOKUP(Data2023[[#This Row],[organisation_name]],'Division Study Year Committees'!$A$1:$L$108,3,FALSE),"N/A")</f>
        <v>6</v>
      </c>
      <c r="AB21">
        <f>IFERROR(VLOOKUP(Data2023[[#This Row],[organisation_name]],'Division Study Year Committees'!$A$1:$L$108,4,FALSE),"N/A")</f>
        <v>12</v>
      </c>
      <c r="AC21">
        <f>IFERROR(VLOOKUP(Data2023[[#This Row],[organisation_name]],'Division Study Year Committees'!$A$1:$L$108,5,FALSE), "N/A")</f>
        <v>4</v>
      </c>
      <c r="AD21">
        <f>IFERROR(VLOOKUP(Data2023[[#This Row],[organisation_name]],'Division Study Year Committees'!$A$1:$L$108,6,FALSE), "N/A")</f>
        <v>9</v>
      </c>
      <c r="AE21">
        <f>SUM(Data2023[[#This Row],[Number of first year comittee members]:[Number of 4+ year comittee members]])</f>
        <v>31</v>
      </c>
      <c r="AF21">
        <f>COUNTIF('Committee2022'!D:D,Data2023[[#This Row],[organisation_name]])</f>
        <v>15</v>
      </c>
      <c r="AG21">
        <v>2023</v>
      </c>
    </row>
    <row r="22" spans="1:33" x14ac:dyDescent="0.3">
      <c r="A22" t="str">
        <f>General2023[[#This Row],[organisation_name]]</f>
        <v>Messed Up</v>
      </c>
      <c r="B22" t="str">
        <f>IF(General2023[[#This Row],[sector]]= "",VLOOKUP(Data2023[[#This Row],[organisation_name]],'Response Rate sheet'!A:D,3,FALSE),General2023[[#This Row],[sector]])</f>
        <v>Sports</v>
      </c>
      <c r="C22" t="str">
        <f>General2023[[#This Row],[organisation_type]]</f>
        <v>association</v>
      </c>
      <c r="D22">
        <f>IF(ISBLANK(General2023[[#This Row],[number_of_members]]),"N/A",VLOOKUP(A22,General2023[[organisation_name]:[number_of_international_committee_board_members_not_eea]],6,FALSE))</f>
        <v>37</v>
      </c>
      <c r="E22">
        <f>IF(ISBLANK(General2023[[#This Row],[number_of_committee_board_members]]),"N/A",VLOOKUP(A22,General2023!B:M,10,FALSE))</f>
        <v>3</v>
      </c>
      <c r="F22">
        <f>IFERROR(Data2023[[#This Row],[Number of members]]-Data2023[[#This Row],[Number of active members]], "N/A")</f>
        <v>34</v>
      </c>
      <c r="G22">
        <f>IFERROR(Data2023[[#This Row],[Number of active members]]/Data2023[[#This Row],[Number of members]], "N/A")</f>
        <v>8.1081081081081086E-2</v>
      </c>
      <c r="H22">
        <f>IFERROR(1-Data2023[[#This Row],[Percentage active members]],"N/A")</f>
        <v>0.91891891891891886</v>
      </c>
      <c r="I22"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22">
        <f>IF(ISBLANK(General2023[[#This Row],[number_of_international_members_not_eea]]),"N/A",VLOOKUP(A22,General2023[[organisation_name]:[number_of_international_committee_board_members_not_eea]],9,FALSE))</f>
        <v>17</v>
      </c>
      <c r="K22">
        <f>IF(ISBLANK(General2023[[#This Row],[number_of_international_members_eea]]),"N/A",VLOOKUP(A22,General2023[[organisation_name]:[number_of_international_committee_board_members_not_eea]],8,FALSE))</f>
        <v>1</v>
      </c>
      <c r="L22">
        <f>IFERROR(IF(Data2023[[#This Row],[Number of members]]-Data2023[[#This Row],[Non-EEA Total]]-Data2023[[#This Row],[EEA total]]&lt;1,"N/A", Data2023[[#This Row],[Number of members]]-Data2023[[#This Row],[Non-EEA Total]]-Data2023[[#This Row],[EEA total]]),"N/A")</f>
        <v>19</v>
      </c>
      <c r="M22">
        <f>VLOOKUP(A22,General2023[[organisation_name]:[number_of_international_committee_board_members_not_eea]],12,FALSE)</f>
        <v>1</v>
      </c>
      <c r="N22">
        <f>VLOOKUP(A22,General2023[[organisation_name]:[number_of_international_committee_board_members_not_eea]],11,FALSE)</f>
        <v>4</v>
      </c>
      <c r="O22" t="str">
        <f>IFERROR(IF(Data2023[[#This Row],[Number of active members]]-Data2023[[#This Row],[Non-EEA Active ]]-Data2023[[#This Row],[EEA Active]]&lt;1,"N/A", Data2023[[#This Row],[Number of active members]]-Data2023[[#This Row],[Non-EEA Active ]]-Data2023[[#This Row],[EEA Active]]),"N/A")</f>
        <v>N/A</v>
      </c>
      <c r="P22">
        <f>IFERROR(Data2023[[#This Row],[Non-EEA Active ]]/Data2023[[#This Row],[Number of active members]],"N/A")</f>
        <v>0.33333333333333331</v>
      </c>
      <c r="Q22">
        <f>IFERROR(Data2023[[#This Row],[EEA Active]]/Data2023[[#This Row],[EEA total]], "N/A")</f>
        <v>4</v>
      </c>
      <c r="R22" t="str">
        <f>IFERROR(Data2023[[#This Row],[Dutch Active]]/Data2023[[#This Row],[Dutch total]],"N/A")</f>
        <v>N/A</v>
      </c>
      <c r="S22" t="str">
        <f>IFERROR(IF(Data2023[[#This Row],[Number of members]]=Data2023[[#This Row],[Non-EEA Total]]+Data2023[[#This Row],[EEA total]]+Data2023[[#This Row],[Dutch total]],"T","F"),"F")</f>
        <v>T</v>
      </c>
      <c r="T22" t="str">
        <f>IFERROR(IF(Data2023[[#This Row],[Number of active members]]=Data2023[[#This Row],[Non-EEA Active ]]+Data2023[[#This Row],[EEA Active]]+Data2023[[#This Row],[Dutch Active]],"T","F"),"F")</f>
        <v>F</v>
      </c>
      <c r="U22" t="str">
        <f>IFERROR(IF(Data2023[[#This Row],[Number of members]]-Data2023[[#This Row],[Non-EEA Active ]]-Data2023[[#This Row],[EEA Active]]-Data2023[[#This Row],[Dutch Active]]=Data2023[[#This Row],[Number of  inactive members]],"T","F"),"F")</f>
        <v>F</v>
      </c>
      <c r="V22" t="str">
        <f>IF(Data2023[[#This Row],[EEA Active]]&lt;=Data2023[[#This Row],[EEA total]],"T","F")</f>
        <v>F</v>
      </c>
      <c r="W22" t="str">
        <f>IF(Data2023[[#This Row],[Dutch Active]]&lt;=Data2023[[#This Row],[Dutch total]],"T","F")</f>
        <v>F</v>
      </c>
      <c r="X22" t="str">
        <f>IF(Data2023[[#This Row],[Non-EEA Active ]]&lt;=Data2023[[#This Row],[Non-EEA Total]],"T","F")</f>
        <v>T</v>
      </c>
      <c r="Y2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2" t="str">
        <f>IFERROR(VLOOKUP(Data2023[[#This Row],[organisation_name]],'Division Study Year Committees'!$A$1:$L$108,2,FALSE),"N/A")</f>
        <v>N/A</v>
      </c>
      <c r="AA22" t="str">
        <f>IFERROR(VLOOKUP(Data2023[[#This Row],[organisation_name]],'Division Study Year Committees'!$A$1:$L$108,3,FALSE),"N/A")</f>
        <v>N/A</v>
      </c>
      <c r="AB22" t="str">
        <f>IFERROR(VLOOKUP(Data2023[[#This Row],[organisation_name]],'Division Study Year Committees'!$A$1:$L$108,4,FALSE),"N/A")</f>
        <v>N/A</v>
      </c>
      <c r="AC22" t="str">
        <f>IFERROR(VLOOKUP(Data2023[[#This Row],[organisation_name]],'Division Study Year Committees'!$A$1:$L$108,5,FALSE), "N/A")</f>
        <v>N/A</v>
      </c>
      <c r="AD22" t="str">
        <f>IFERROR(VLOOKUP(Data2023[[#This Row],[organisation_name]],'Division Study Year Committees'!$A$1:$L$108,6,FALSE), "N/A")</f>
        <v>N/A</v>
      </c>
      <c r="AE22">
        <f>SUM(Data2023[[#This Row],[Number of first year comittee members]:[Number of 4+ year comittee members]])</f>
        <v>0</v>
      </c>
      <c r="AF22">
        <f>COUNTIF('Committee2022'!D:D,Data2023[[#This Row],[organisation_name]])</f>
        <v>6</v>
      </c>
      <c r="AG22">
        <v>2023</v>
      </c>
    </row>
    <row r="23" spans="1:33" x14ac:dyDescent="0.3">
      <c r="A23" t="str">
        <f>General2023[[#This Row],[organisation_name]]</f>
        <v>Motor Sport Groep</v>
      </c>
      <c r="B23" t="str">
        <f>IF(General2023[[#This Row],[sector]]= "",VLOOKUP(Data2023[[#This Row],[organisation_name]],'Response Rate sheet'!A:D,3,FALSE),General2023[[#This Row],[sector]])</f>
        <v>Sports</v>
      </c>
      <c r="C23" t="str">
        <f>General2023[[#This Row],[organisation_type]]</f>
        <v>association</v>
      </c>
      <c r="D23">
        <f>IF(ISBLANK(General2023[[#This Row],[number_of_members]]),"N/A",VLOOKUP(A23,General2023[[organisation_name]:[number_of_international_committee_board_members_not_eea]],6,FALSE))</f>
        <v>74</v>
      </c>
      <c r="E23">
        <f>IF(ISBLANK(General2023[[#This Row],[number_of_committee_board_members]]),"N/A",VLOOKUP(A23,General2023!B:M,10,FALSE))</f>
        <v>20</v>
      </c>
      <c r="F23">
        <f>IFERROR(Data2023[[#This Row],[Number of members]]-Data2023[[#This Row],[Number of active members]], "N/A")</f>
        <v>54</v>
      </c>
      <c r="G23">
        <f>IFERROR(Data2023[[#This Row],[Number of active members]]/Data2023[[#This Row],[Number of members]], "N/A")</f>
        <v>0.27027027027027029</v>
      </c>
      <c r="H23">
        <f>IFERROR(1-Data2023[[#This Row],[Percentage active members]],"N/A")</f>
        <v>0.72972972972972971</v>
      </c>
      <c r="I23" t="str">
        <f>IF(Data2023[[#This Row],[Number of members]]=0,"N/A",IF(Data2023[[#This Row],[Number of members]]&lt;50," A. 1 - 50 ",IF(Data2023[[#This Row],[Number of members]]&lt;100, "B. 50 - 100", IF(Data2023[[#This Row],[Number of members]]&lt;400, "C. 100 - 400", IF(Data2023[[#This Row],[Number of members]]&lt;1000,"D. 400 - 1000", "E. 1000 +")))))</f>
        <v>B. 50 - 100</v>
      </c>
      <c r="J23">
        <f>IF(ISBLANK(General2023[[#This Row],[number_of_international_members_not_eea]]),"N/A",VLOOKUP(A23,General2023[[organisation_name]:[number_of_international_committee_board_members_not_eea]],9,FALSE))</f>
        <v>15</v>
      </c>
      <c r="K23">
        <f>IF(ISBLANK(General2023[[#This Row],[number_of_international_members_eea]]),"N/A",VLOOKUP(A23,General2023[[organisation_name]:[number_of_international_committee_board_members_not_eea]],8,FALSE))</f>
        <v>1</v>
      </c>
      <c r="L23">
        <f>IFERROR(IF(Data2023[[#This Row],[Number of members]]-Data2023[[#This Row],[Non-EEA Total]]-Data2023[[#This Row],[EEA total]]&lt;1,"N/A", Data2023[[#This Row],[Number of members]]-Data2023[[#This Row],[Non-EEA Total]]-Data2023[[#This Row],[EEA total]]),"N/A")</f>
        <v>58</v>
      </c>
      <c r="M23">
        <f>VLOOKUP(A23,General2023[[organisation_name]:[number_of_international_committee_board_members_not_eea]],12,FALSE)</f>
        <v>0</v>
      </c>
      <c r="N23">
        <f>VLOOKUP(A23,General2023[[organisation_name]:[number_of_international_committee_board_members_not_eea]],11,FALSE)</f>
        <v>2</v>
      </c>
      <c r="O23">
        <f>IFERROR(IF(Data2023[[#This Row],[Number of active members]]-Data2023[[#This Row],[Non-EEA Active ]]-Data2023[[#This Row],[EEA Active]]&lt;1,"N/A", Data2023[[#This Row],[Number of active members]]-Data2023[[#This Row],[Non-EEA Active ]]-Data2023[[#This Row],[EEA Active]]),"N/A")</f>
        <v>18</v>
      </c>
      <c r="P23">
        <f>IFERROR(Data2023[[#This Row],[Non-EEA Active ]]/Data2023[[#This Row],[Number of active members]],"N/A")</f>
        <v>0</v>
      </c>
      <c r="Q23">
        <f>IFERROR(Data2023[[#This Row],[EEA Active]]/Data2023[[#This Row],[EEA total]], "N/A")</f>
        <v>2</v>
      </c>
      <c r="R23">
        <f>IFERROR(Data2023[[#This Row],[Dutch Active]]/Data2023[[#This Row],[Dutch total]],"N/A")</f>
        <v>0.31034482758620691</v>
      </c>
      <c r="S23" t="str">
        <f>IFERROR(IF(Data2023[[#This Row],[Number of members]]=Data2023[[#This Row],[Non-EEA Total]]+Data2023[[#This Row],[EEA total]]+Data2023[[#This Row],[Dutch total]],"T","F"),"F")</f>
        <v>T</v>
      </c>
      <c r="T23" t="str">
        <f>IFERROR(IF(Data2023[[#This Row],[Number of active members]]=Data2023[[#This Row],[Non-EEA Active ]]+Data2023[[#This Row],[EEA Active]]+Data2023[[#This Row],[Dutch Active]],"T","F"),"F")</f>
        <v>T</v>
      </c>
      <c r="U23" t="str">
        <f>IFERROR(IF(Data2023[[#This Row],[Number of members]]-Data2023[[#This Row],[Non-EEA Active ]]-Data2023[[#This Row],[EEA Active]]-Data2023[[#This Row],[Dutch Active]]=Data2023[[#This Row],[Number of  inactive members]],"T","F"),"F")</f>
        <v>T</v>
      </c>
      <c r="V23" t="str">
        <f>IF(Data2023[[#This Row],[EEA Active]]&lt;=Data2023[[#This Row],[EEA total]],"T","F")</f>
        <v>F</v>
      </c>
      <c r="W23" t="str">
        <f>IF(Data2023[[#This Row],[Dutch Active]]&lt;=Data2023[[#This Row],[Dutch total]],"T","F")</f>
        <v>T</v>
      </c>
      <c r="X23" t="str">
        <f>IF(Data2023[[#This Row],[Non-EEA Active ]]&lt;=Data2023[[#This Row],[Non-EEA Total]],"T","F")</f>
        <v>T</v>
      </c>
      <c r="Y2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3" t="str">
        <f>IFERROR(VLOOKUP(Data2023[[#This Row],[organisation_name]],'Division Study Year Committees'!$A$1:$L$108,2,FALSE),"N/A")</f>
        <v>N/A</v>
      </c>
      <c r="AA23" t="str">
        <f>IFERROR(VLOOKUP(Data2023[[#This Row],[organisation_name]],'Division Study Year Committees'!$A$1:$L$108,3,FALSE),"N/A")</f>
        <v>N/A</v>
      </c>
      <c r="AB23" t="str">
        <f>IFERROR(VLOOKUP(Data2023[[#This Row],[organisation_name]],'Division Study Year Committees'!$A$1:$L$108,4,FALSE),"N/A")</f>
        <v>N/A</v>
      </c>
      <c r="AC23" t="str">
        <f>IFERROR(VLOOKUP(Data2023[[#This Row],[organisation_name]],'Division Study Year Committees'!$A$1:$L$108,5,FALSE), "N/A")</f>
        <v>N/A</v>
      </c>
      <c r="AD23" t="str">
        <f>IFERROR(VLOOKUP(Data2023[[#This Row],[organisation_name]],'Division Study Year Committees'!$A$1:$L$108,6,FALSE), "N/A")</f>
        <v>N/A</v>
      </c>
      <c r="AE23">
        <f>SUM(Data2023[[#This Row],[Number of first year comittee members]:[Number of 4+ year comittee members]])</f>
        <v>0</v>
      </c>
      <c r="AF23">
        <f>COUNTIF('Committee2022'!D:D,Data2023[[#This Row],[organisation_name]])</f>
        <v>6</v>
      </c>
      <c r="AG23">
        <v>2023</v>
      </c>
    </row>
    <row r="24" spans="1:33" x14ac:dyDescent="0.3">
      <c r="A24" t="str">
        <f>General2023[[#This Row],[organisation_name]]</f>
        <v>SKV Vakgericht</v>
      </c>
      <c r="B24" t="str">
        <f>IF(General2023[[#This Row],[sector]]= "",VLOOKUP(Data2023[[#This Row],[organisation_name]],'Response Rate sheet'!A:D,3,FALSE),General2023[[#This Row],[sector]])</f>
        <v>Sports</v>
      </c>
      <c r="C24" t="str">
        <f>General2023[[#This Row],[organisation_type]]</f>
        <v>association</v>
      </c>
      <c r="D24">
        <f>IF(ISBLANK(General2023[[#This Row],[number_of_members]]),"N/A",VLOOKUP(A24,General2023[[organisation_name]:[number_of_international_committee_board_members_not_eea]],6,FALSE))</f>
        <v>57</v>
      </c>
      <c r="E24">
        <f>IF(ISBLANK(General2023[[#This Row],[number_of_committee_board_members]]),"N/A",VLOOKUP(A24,General2023!B:M,10,FALSE))</f>
        <v>5</v>
      </c>
      <c r="F24">
        <f>IFERROR(Data2023[[#This Row],[Number of members]]-Data2023[[#This Row],[Number of active members]], "N/A")</f>
        <v>52</v>
      </c>
      <c r="G24">
        <f>IFERROR(Data2023[[#This Row],[Number of active members]]/Data2023[[#This Row],[Number of members]], "N/A")</f>
        <v>8.771929824561403E-2</v>
      </c>
      <c r="H24">
        <f>IFERROR(1-Data2023[[#This Row],[Percentage active members]],"N/A")</f>
        <v>0.91228070175438591</v>
      </c>
      <c r="I24" t="str">
        <f>IF(Data2023[[#This Row],[Number of members]]=0,"N/A",IF(Data2023[[#This Row],[Number of members]]&lt;50," A. 1 - 50 ",IF(Data2023[[#This Row],[Number of members]]&lt;100, "B. 50 - 100", IF(Data2023[[#This Row],[Number of members]]&lt;400, "C. 100 - 400", IF(Data2023[[#This Row],[Number of members]]&lt;1000,"D. 400 - 1000", "E. 1000 +")))))</f>
        <v>B. 50 - 100</v>
      </c>
      <c r="J24">
        <f>IF(ISBLANK(General2023[[#This Row],[number_of_international_members_not_eea]]),"N/A",VLOOKUP(A24,General2023[[organisation_name]:[number_of_international_committee_board_members_not_eea]],9,FALSE))</f>
        <v>40</v>
      </c>
      <c r="K24">
        <f>IF(ISBLANK(General2023[[#This Row],[number_of_international_members_eea]]),"N/A",VLOOKUP(A24,General2023[[organisation_name]:[number_of_international_committee_board_members_not_eea]],8,FALSE))</f>
        <v>0</v>
      </c>
      <c r="L24">
        <f>IFERROR(IF(Data2023[[#This Row],[Number of members]]-Data2023[[#This Row],[Non-EEA Total]]-Data2023[[#This Row],[EEA total]]&lt;1,"N/A", Data2023[[#This Row],[Number of members]]-Data2023[[#This Row],[Non-EEA Total]]-Data2023[[#This Row],[EEA total]]),"N/A")</f>
        <v>17</v>
      </c>
      <c r="M24">
        <f>VLOOKUP(A24,General2023[[organisation_name]:[number_of_international_committee_board_members_not_eea]],12,FALSE)</f>
        <v>0</v>
      </c>
      <c r="N24">
        <f>VLOOKUP(A24,General2023[[organisation_name]:[number_of_international_committee_board_members_not_eea]],11,FALSE)</f>
        <v>0</v>
      </c>
      <c r="O24">
        <f>IFERROR(IF(Data2023[[#This Row],[Number of active members]]-Data2023[[#This Row],[Non-EEA Active ]]-Data2023[[#This Row],[EEA Active]]&lt;1,"N/A", Data2023[[#This Row],[Number of active members]]-Data2023[[#This Row],[Non-EEA Active ]]-Data2023[[#This Row],[EEA Active]]),"N/A")</f>
        <v>5</v>
      </c>
      <c r="P24">
        <f>IFERROR(Data2023[[#This Row],[Non-EEA Active ]]/Data2023[[#This Row],[Number of active members]],"N/A")</f>
        <v>0</v>
      </c>
      <c r="Q24" t="str">
        <f>IFERROR(Data2023[[#This Row],[EEA Active]]/Data2023[[#This Row],[EEA total]], "N/A")</f>
        <v>N/A</v>
      </c>
      <c r="R24">
        <f>IFERROR(Data2023[[#This Row],[Dutch Active]]/Data2023[[#This Row],[Dutch total]],"N/A")</f>
        <v>0.29411764705882354</v>
      </c>
      <c r="S24" t="str">
        <f>IFERROR(IF(Data2023[[#This Row],[Number of members]]=Data2023[[#This Row],[Non-EEA Total]]+Data2023[[#This Row],[EEA total]]+Data2023[[#This Row],[Dutch total]],"T","F"),"F")</f>
        <v>T</v>
      </c>
      <c r="T24" t="str">
        <f>IFERROR(IF(Data2023[[#This Row],[Number of active members]]=Data2023[[#This Row],[Non-EEA Active ]]+Data2023[[#This Row],[EEA Active]]+Data2023[[#This Row],[Dutch Active]],"T","F"),"F")</f>
        <v>T</v>
      </c>
      <c r="U24" t="str">
        <f>IFERROR(IF(Data2023[[#This Row],[Number of members]]-Data2023[[#This Row],[Non-EEA Active ]]-Data2023[[#This Row],[EEA Active]]-Data2023[[#This Row],[Dutch Active]]=Data2023[[#This Row],[Number of  inactive members]],"T","F"),"F")</f>
        <v>T</v>
      </c>
      <c r="V24" t="str">
        <f>IF(Data2023[[#This Row],[EEA Active]]&lt;=Data2023[[#This Row],[EEA total]],"T","F")</f>
        <v>T</v>
      </c>
      <c r="W24" t="str">
        <f>IF(Data2023[[#This Row],[Dutch Active]]&lt;=Data2023[[#This Row],[Dutch total]],"T","F")</f>
        <v>T</v>
      </c>
      <c r="X24" t="str">
        <f>IF(Data2023[[#This Row],[Non-EEA Active ]]&lt;=Data2023[[#This Row],[Non-EEA Total]],"T","F")</f>
        <v>T</v>
      </c>
      <c r="Y24"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24">
        <f>IFERROR(VLOOKUP(Data2023[[#This Row],[organisation_name]],'Division Study Year Committees'!$A$1:$L$108,2,FALSE),"N/A")</f>
        <v>4</v>
      </c>
      <c r="AA24">
        <f>IFERROR(VLOOKUP(Data2023[[#This Row],[organisation_name]],'Division Study Year Committees'!$A$1:$L$108,3,FALSE),"N/A")</f>
        <v>4</v>
      </c>
      <c r="AB24">
        <f>IFERROR(VLOOKUP(Data2023[[#This Row],[organisation_name]],'Division Study Year Committees'!$A$1:$L$108,4,FALSE),"N/A")</f>
        <v>6</v>
      </c>
      <c r="AC24">
        <f>IFERROR(VLOOKUP(Data2023[[#This Row],[organisation_name]],'Division Study Year Committees'!$A$1:$L$108,5,FALSE), "N/A")</f>
        <v>5</v>
      </c>
      <c r="AD24">
        <f>IFERROR(VLOOKUP(Data2023[[#This Row],[organisation_name]],'Division Study Year Committees'!$A$1:$L$108,6,FALSE), "N/A")</f>
        <v>12</v>
      </c>
      <c r="AE24">
        <f>SUM(Data2023[[#This Row],[Number of first year comittee members]:[Number of 4+ year comittee members]])</f>
        <v>31</v>
      </c>
      <c r="AF24">
        <f>COUNTIF('Committee2022'!D:D,Data2023[[#This Row],[organisation_name]])</f>
        <v>16</v>
      </c>
      <c r="AG24">
        <v>2023</v>
      </c>
    </row>
    <row r="25" spans="1:33" x14ac:dyDescent="0.3">
      <c r="A25" t="str">
        <f>General2023[[#This Row],[organisation_name]]</f>
        <v>SHBV Sagittarius</v>
      </c>
      <c r="B25" t="str">
        <f>IF(General2023[[#This Row],[sector]]= "",VLOOKUP(Data2023[[#This Row],[organisation_name]],'Response Rate sheet'!A:D,3,FALSE),General2023[[#This Row],[sector]])</f>
        <v>Sports</v>
      </c>
      <c r="C25" t="str">
        <f>General2023[[#This Row],[organisation_type]]</f>
        <v>association</v>
      </c>
      <c r="D25">
        <f>IF(ISBLANK(General2023[[#This Row],[number_of_members]]),"N/A",VLOOKUP(A25,General2023[[organisation_name]:[number_of_international_committee_board_members_not_eea]],6,FALSE))</f>
        <v>59</v>
      </c>
      <c r="E25">
        <f>IF(ISBLANK(General2023[[#This Row],[number_of_committee_board_members]]),"N/A",VLOOKUP(A25,General2023!B:M,10,FALSE))</f>
        <v>16</v>
      </c>
      <c r="F25">
        <f>IFERROR(Data2023[[#This Row],[Number of members]]-Data2023[[#This Row],[Number of active members]], "N/A")</f>
        <v>43</v>
      </c>
      <c r="G25">
        <f>IFERROR(Data2023[[#This Row],[Number of active members]]/Data2023[[#This Row],[Number of members]], "N/A")</f>
        <v>0.2711864406779661</v>
      </c>
      <c r="H25">
        <f>IFERROR(1-Data2023[[#This Row],[Percentage active members]],"N/A")</f>
        <v>0.72881355932203395</v>
      </c>
      <c r="I25" t="str">
        <f>IF(Data2023[[#This Row],[Number of members]]=0,"N/A",IF(Data2023[[#This Row],[Number of members]]&lt;50," A. 1 - 50 ",IF(Data2023[[#This Row],[Number of members]]&lt;100, "B. 50 - 100", IF(Data2023[[#This Row],[Number of members]]&lt;400, "C. 100 - 400", IF(Data2023[[#This Row],[Number of members]]&lt;1000,"D. 400 - 1000", "E. 1000 +")))))</f>
        <v>B. 50 - 100</v>
      </c>
      <c r="J25">
        <f>IF(ISBLANK(General2023[[#This Row],[number_of_international_members_not_eea]]),"N/A",VLOOKUP(A25,General2023[[organisation_name]:[number_of_international_committee_board_members_not_eea]],9,FALSE))</f>
        <v>16</v>
      </c>
      <c r="K25">
        <f>IF(ISBLANK(General2023[[#This Row],[number_of_international_members_eea]]),"N/A",VLOOKUP(A25,General2023[[organisation_name]:[number_of_international_committee_board_members_not_eea]],8,FALSE))</f>
        <v>8</v>
      </c>
      <c r="L25">
        <f>IFERROR(IF(Data2023[[#This Row],[Number of members]]-Data2023[[#This Row],[Non-EEA Total]]-Data2023[[#This Row],[EEA total]]&lt;1,"N/A", Data2023[[#This Row],[Number of members]]-Data2023[[#This Row],[Non-EEA Total]]-Data2023[[#This Row],[EEA total]]),"N/A")</f>
        <v>35</v>
      </c>
      <c r="M25">
        <f>VLOOKUP(A25,General2023[[organisation_name]:[number_of_international_committee_board_members_not_eea]],12,FALSE)</f>
        <v>1</v>
      </c>
      <c r="N25">
        <f>VLOOKUP(A25,General2023[[organisation_name]:[number_of_international_committee_board_members_not_eea]],11,FALSE)</f>
        <v>0</v>
      </c>
      <c r="O25">
        <f>IFERROR(IF(Data2023[[#This Row],[Number of active members]]-Data2023[[#This Row],[Non-EEA Active ]]-Data2023[[#This Row],[EEA Active]]&lt;1,"N/A", Data2023[[#This Row],[Number of active members]]-Data2023[[#This Row],[Non-EEA Active ]]-Data2023[[#This Row],[EEA Active]]),"N/A")</f>
        <v>15</v>
      </c>
      <c r="P25">
        <f>IFERROR(Data2023[[#This Row],[Non-EEA Active ]]/Data2023[[#This Row],[Number of active members]],"N/A")</f>
        <v>6.25E-2</v>
      </c>
      <c r="Q25">
        <f>IFERROR(Data2023[[#This Row],[EEA Active]]/Data2023[[#This Row],[EEA total]], "N/A")</f>
        <v>0</v>
      </c>
      <c r="R25">
        <f>IFERROR(Data2023[[#This Row],[Dutch Active]]/Data2023[[#This Row],[Dutch total]],"N/A")</f>
        <v>0.42857142857142855</v>
      </c>
      <c r="S25" t="str">
        <f>IFERROR(IF(Data2023[[#This Row],[Number of members]]=Data2023[[#This Row],[Non-EEA Total]]+Data2023[[#This Row],[EEA total]]+Data2023[[#This Row],[Dutch total]],"T","F"),"F")</f>
        <v>T</v>
      </c>
      <c r="T25" t="str">
        <f>IFERROR(IF(Data2023[[#This Row],[Number of active members]]=Data2023[[#This Row],[Non-EEA Active ]]+Data2023[[#This Row],[EEA Active]]+Data2023[[#This Row],[Dutch Active]],"T","F"),"F")</f>
        <v>T</v>
      </c>
      <c r="U25" t="str">
        <f>IFERROR(IF(Data2023[[#This Row],[Number of members]]-Data2023[[#This Row],[Non-EEA Active ]]-Data2023[[#This Row],[EEA Active]]-Data2023[[#This Row],[Dutch Active]]=Data2023[[#This Row],[Number of  inactive members]],"T","F"),"F")</f>
        <v>T</v>
      </c>
      <c r="V25" t="str">
        <f>IF(Data2023[[#This Row],[EEA Active]]&lt;=Data2023[[#This Row],[EEA total]],"T","F")</f>
        <v>T</v>
      </c>
      <c r="W25" t="str">
        <f>IF(Data2023[[#This Row],[Dutch Active]]&lt;=Data2023[[#This Row],[Dutch total]],"T","F")</f>
        <v>T</v>
      </c>
      <c r="X25" t="str">
        <f>IF(Data2023[[#This Row],[Non-EEA Active ]]&lt;=Data2023[[#This Row],[Non-EEA Total]],"T","F")</f>
        <v>T</v>
      </c>
      <c r="Y2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25">
        <f>IFERROR(VLOOKUP(Data2023[[#This Row],[organisation_name]],'Division Study Year Committees'!$A$1:$L$108,2,FALSE),"N/A")</f>
        <v>0</v>
      </c>
      <c r="AA25">
        <f>IFERROR(VLOOKUP(Data2023[[#This Row],[organisation_name]],'Division Study Year Committees'!$A$1:$L$108,3,FALSE),"N/A")</f>
        <v>0</v>
      </c>
      <c r="AB25">
        <f>IFERROR(VLOOKUP(Data2023[[#This Row],[organisation_name]],'Division Study Year Committees'!$A$1:$L$108,4,FALSE),"N/A")</f>
        <v>0</v>
      </c>
      <c r="AC25">
        <f>IFERROR(VLOOKUP(Data2023[[#This Row],[organisation_name]],'Division Study Year Committees'!$A$1:$L$108,5,FALSE), "N/A")</f>
        <v>0</v>
      </c>
      <c r="AD25">
        <f>IFERROR(VLOOKUP(Data2023[[#This Row],[organisation_name]],'Division Study Year Committees'!$A$1:$L$108,6,FALSE), "N/A")</f>
        <v>0</v>
      </c>
      <c r="AE25">
        <f>SUM(Data2023[[#This Row],[Number of first year comittee members]:[Number of 4+ year comittee members]])</f>
        <v>0</v>
      </c>
      <c r="AF25">
        <f>COUNTIF('Committee2022'!D:D,Data2023[[#This Row],[organisation_name]])</f>
        <v>8</v>
      </c>
      <c r="AG25">
        <v>2023</v>
      </c>
    </row>
    <row r="26" spans="1:33" x14ac:dyDescent="0.3">
      <c r="A26" t="str">
        <f>General2023[[#This Row],[organisation_name]]</f>
        <v>ADSKV Slagvaardig</v>
      </c>
      <c r="B26" t="str">
        <f>IF(General2023[[#This Row],[sector]]= "",VLOOKUP(Data2023[[#This Row],[organisation_name]],'Response Rate sheet'!A:D,3,FALSE),General2023[[#This Row],[sector]])</f>
        <v>Sports</v>
      </c>
      <c r="C26" t="str">
        <f>General2023[[#This Row],[organisation_type]]</f>
        <v>association</v>
      </c>
      <c r="D26" t="str">
        <f>IF(ISBLANK(General2023[[#This Row],[number_of_members]]),"N/A",VLOOKUP(A26,General2023[[organisation_name]:[number_of_international_committee_board_members_not_eea]],6,FALSE))</f>
        <v>N/A</v>
      </c>
      <c r="E26" t="str">
        <f>IF(ISBLANK(General2023[[#This Row],[number_of_committee_board_members]]),"N/A",VLOOKUP(A26,General2023!B:M,10,FALSE))</f>
        <v>N/A</v>
      </c>
      <c r="F26" t="str">
        <f>IFERROR(Data2023[[#This Row],[Number of members]]-Data2023[[#This Row],[Number of active members]], "N/A")</f>
        <v>N/A</v>
      </c>
      <c r="G26" t="str">
        <f>IFERROR(Data2023[[#This Row],[Number of active members]]/Data2023[[#This Row],[Number of members]], "N/A")</f>
        <v>N/A</v>
      </c>
      <c r="H26" t="str">
        <f>IFERROR(1-Data2023[[#This Row],[Percentage active members]],"N/A")</f>
        <v>N/A</v>
      </c>
      <c r="I26" t="str">
        <f>IF(Data2023[[#This Row],[Number of members]]=0,"N/A",IF(Data2023[[#This Row],[Number of members]]&lt;50," A. 1 - 50 ",IF(Data2023[[#This Row],[Number of members]]&lt;100, "B. 50 - 100", IF(Data2023[[#This Row],[Number of members]]&lt;400, "C. 100 - 400", IF(Data2023[[#This Row],[Number of members]]&lt;1000,"D. 400 - 1000", "E. 1000 +")))))</f>
        <v>E. 1000 +</v>
      </c>
      <c r="J26" t="str">
        <f>IF(ISBLANK(General2023[[#This Row],[number_of_international_members_not_eea]]),"N/A",VLOOKUP(A26,General2023[[organisation_name]:[number_of_international_committee_board_members_not_eea]],9,FALSE))</f>
        <v>N/A</v>
      </c>
      <c r="K26" t="str">
        <f>IF(ISBLANK(General2023[[#This Row],[number_of_international_members_eea]]),"N/A",VLOOKUP(A26,General2023[[organisation_name]:[number_of_international_committee_board_members_not_eea]],8,FALSE))</f>
        <v>N/A</v>
      </c>
      <c r="L26" t="str">
        <f>IFERROR(IF(Data2023[[#This Row],[Number of members]]-Data2023[[#This Row],[Non-EEA Total]]-Data2023[[#This Row],[EEA total]]&lt;1,"N/A", Data2023[[#This Row],[Number of members]]-Data2023[[#This Row],[Non-EEA Total]]-Data2023[[#This Row],[EEA total]]),"N/A")</f>
        <v>N/A</v>
      </c>
      <c r="M26">
        <f>VLOOKUP(A26,General2023[[organisation_name]:[number_of_international_committee_board_members_not_eea]],12,FALSE)</f>
        <v>0</v>
      </c>
      <c r="N26">
        <f>VLOOKUP(A26,General2023[[organisation_name]:[number_of_international_committee_board_members_not_eea]],11,FALSE)</f>
        <v>0</v>
      </c>
      <c r="O26" t="str">
        <f>IFERROR(IF(Data2023[[#This Row],[Number of active members]]-Data2023[[#This Row],[Non-EEA Active ]]-Data2023[[#This Row],[EEA Active]]&lt;1,"N/A", Data2023[[#This Row],[Number of active members]]-Data2023[[#This Row],[Non-EEA Active ]]-Data2023[[#This Row],[EEA Active]]),"N/A")</f>
        <v>N/A</v>
      </c>
      <c r="P26" t="str">
        <f>IFERROR(Data2023[[#This Row],[Non-EEA Active ]]/Data2023[[#This Row],[Number of active members]],"N/A")</f>
        <v>N/A</v>
      </c>
      <c r="Q26" t="str">
        <f>IFERROR(Data2023[[#This Row],[EEA Active]]/Data2023[[#This Row],[EEA total]], "N/A")</f>
        <v>N/A</v>
      </c>
      <c r="R26" t="str">
        <f>IFERROR(Data2023[[#This Row],[Dutch Active]]/Data2023[[#This Row],[Dutch total]],"N/A")</f>
        <v>N/A</v>
      </c>
      <c r="S26" t="str">
        <f>IFERROR(IF(Data2023[[#This Row],[Number of members]]=Data2023[[#This Row],[Non-EEA Total]]+Data2023[[#This Row],[EEA total]]+Data2023[[#This Row],[Dutch total]],"T","F"),"F")</f>
        <v>F</v>
      </c>
      <c r="T26" t="str">
        <f>IFERROR(IF(Data2023[[#This Row],[Number of active members]]=Data2023[[#This Row],[Non-EEA Active ]]+Data2023[[#This Row],[EEA Active]]+Data2023[[#This Row],[Dutch Active]],"T","F"),"F")</f>
        <v>F</v>
      </c>
      <c r="U26" t="str">
        <f>IFERROR(IF(Data2023[[#This Row],[Number of members]]-Data2023[[#This Row],[Non-EEA Active ]]-Data2023[[#This Row],[EEA Active]]-Data2023[[#This Row],[Dutch Active]]=Data2023[[#This Row],[Number of  inactive members]],"T","F"),"F")</f>
        <v>F</v>
      </c>
      <c r="V26" t="str">
        <f>IF(Data2023[[#This Row],[EEA Active]]&lt;=Data2023[[#This Row],[EEA total]],"T","F")</f>
        <v>T</v>
      </c>
      <c r="W26" t="str">
        <f>IF(Data2023[[#This Row],[Dutch Active]]&lt;=Data2023[[#This Row],[Dutch total]],"T","F")</f>
        <v>T</v>
      </c>
      <c r="X26" t="str">
        <f>IF(Data2023[[#This Row],[Non-EEA Active ]]&lt;=Data2023[[#This Row],[Non-EEA Total]],"T","F")</f>
        <v>T</v>
      </c>
      <c r="Y2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6" t="str">
        <f>IFERROR(VLOOKUP(Data2023[[#This Row],[organisation_name]],'Division Study Year Committees'!$A$1:$L$108,2,FALSE),"N/A")</f>
        <v>N/A</v>
      </c>
      <c r="AA26" t="str">
        <f>IFERROR(VLOOKUP(Data2023[[#This Row],[organisation_name]],'Division Study Year Committees'!$A$1:$L$108,3,FALSE),"N/A")</f>
        <v>N/A</v>
      </c>
      <c r="AB26" t="str">
        <f>IFERROR(VLOOKUP(Data2023[[#This Row],[organisation_name]],'Division Study Year Committees'!$A$1:$L$108,4,FALSE),"N/A")</f>
        <v>N/A</v>
      </c>
      <c r="AC26" t="str">
        <f>IFERROR(VLOOKUP(Data2023[[#This Row],[organisation_name]],'Division Study Year Committees'!$A$1:$L$108,5,FALSE), "N/A")</f>
        <v>N/A</v>
      </c>
      <c r="AD26" t="str">
        <f>IFERROR(VLOOKUP(Data2023[[#This Row],[organisation_name]],'Division Study Year Committees'!$A$1:$L$108,6,FALSE), "N/A")</f>
        <v>N/A</v>
      </c>
      <c r="AE26">
        <f>SUM(Data2023[[#This Row],[Number of first year comittee members]:[Number of 4+ year comittee members]])</f>
        <v>0</v>
      </c>
      <c r="AF26">
        <f>COUNTIF('Committee2022'!D:D,Data2023[[#This Row],[organisation_name]])</f>
        <v>0</v>
      </c>
      <c r="AG26">
        <v>2023</v>
      </c>
    </row>
    <row r="27" spans="1:33" x14ac:dyDescent="0.3">
      <c r="A27" t="str">
        <f>General2023[[#This Row],[organisation_name]]</f>
        <v>SYHV The Slapping Studs</v>
      </c>
      <c r="B27" t="str">
        <f>IF(General2023[[#This Row],[sector]]= "",VLOOKUP(Data2023[[#This Row],[organisation_name]],'Response Rate sheet'!A:D,3,FALSE),General2023[[#This Row],[sector]])</f>
        <v>Sports</v>
      </c>
      <c r="C27" t="str">
        <f>General2023[[#This Row],[organisation_type]]</f>
        <v>association</v>
      </c>
      <c r="D27">
        <f>IF(ISBLANK(General2023[[#This Row],[number_of_members]]),"N/A",VLOOKUP(A27,General2023[[organisation_name]:[number_of_international_committee_board_members_not_eea]],6,FALSE))</f>
        <v>55</v>
      </c>
      <c r="E27">
        <f>IF(ISBLANK(General2023[[#This Row],[number_of_committee_board_members]]),"N/A",VLOOKUP(A27,General2023!B:M,10,FALSE))</f>
        <v>0</v>
      </c>
      <c r="F27">
        <f>IFERROR(Data2023[[#This Row],[Number of members]]-Data2023[[#This Row],[Number of active members]], "N/A")</f>
        <v>55</v>
      </c>
      <c r="G27">
        <f>IFERROR(Data2023[[#This Row],[Number of active members]]/Data2023[[#This Row],[Number of members]], "N/A")</f>
        <v>0</v>
      </c>
      <c r="H27">
        <f>IFERROR(1-Data2023[[#This Row],[Percentage active members]],"N/A")</f>
        <v>1</v>
      </c>
      <c r="I27" t="str">
        <f>IF(Data2023[[#This Row],[Number of members]]=0,"N/A",IF(Data2023[[#This Row],[Number of members]]&lt;50," A. 1 - 50 ",IF(Data2023[[#This Row],[Number of members]]&lt;100, "B. 50 - 100", IF(Data2023[[#This Row],[Number of members]]&lt;400, "C. 100 - 400", IF(Data2023[[#This Row],[Number of members]]&lt;1000,"D. 400 - 1000", "E. 1000 +")))))</f>
        <v>B. 50 - 100</v>
      </c>
      <c r="J27">
        <f>IF(ISBLANK(General2023[[#This Row],[number_of_international_members_not_eea]]),"N/A",VLOOKUP(A27,General2023[[organisation_name]:[number_of_international_committee_board_members_not_eea]],9,FALSE))</f>
        <v>4</v>
      </c>
      <c r="K27">
        <f>IF(ISBLANK(General2023[[#This Row],[number_of_international_members_eea]]),"N/A",VLOOKUP(A27,General2023[[organisation_name]:[number_of_international_committee_board_members_not_eea]],8,FALSE))</f>
        <v>5</v>
      </c>
      <c r="L27">
        <f>IFERROR(IF(Data2023[[#This Row],[Number of members]]-Data2023[[#This Row],[Non-EEA Total]]-Data2023[[#This Row],[EEA total]]&lt;1,"N/A", Data2023[[#This Row],[Number of members]]-Data2023[[#This Row],[Non-EEA Total]]-Data2023[[#This Row],[EEA total]]),"N/A")</f>
        <v>46</v>
      </c>
      <c r="M27">
        <f>VLOOKUP(A27,General2023[[organisation_name]:[number_of_international_committee_board_members_not_eea]],12,FALSE)</f>
        <v>2</v>
      </c>
      <c r="N27">
        <f>VLOOKUP(A27,General2023[[organisation_name]:[number_of_international_committee_board_members_not_eea]],11,FALSE)</f>
        <v>1</v>
      </c>
      <c r="O27" t="str">
        <f>IFERROR(IF(Data2023[[#This Row],[Number of active members]]-Data2023[[#This Row],[Non-EEA Active ]]-Data2023[[#This Row],[EEA Active]]&lt;1,"N/A", Data2023[[#This Row],[Number of active members]]-Data2023[[#This Row],[Non-EEA Active ]]-Data2023[[#This Row],[EEA Active]]),"N/A")</f>
        <v>N/A</v>
      </c>
      <c r="P27" t="str">
        <f>IFERROR(Data2023[[#This Row],[Non-EEA Active ]]/Data2023[[#This Row],[Number of active members]],"N/A")</f>
        <v>N/A</v>
      </c>
      <c r="Q27">
        <f>IFERROR(Data2023[[#This Row],[EEA Active]]/Data2023[[#This Row],[EEA total]], "N/A")</f>
        <v>0.2</v>
      </c>
      <c r="R27" t="str">
        <f>IFERROR(Data2023[[#This Row],[Dutch Active]]/Data2023[[#This Row],[Dutch total]],"N/A")</f>
        <v>N/A</v>
      </c>
      <c r="S27" t="str">
        <f>IFERROR(IF(Data2023[[#This Row],[Number of members]]=Data2023[[#This Row],[Non-EEA Total]]+Data2023[[#This Row],[EEA total]]+Data2023[[#This Row],[Dutch total]],"T","F"),"F")</f>
        <v>T</v>
      </c>
      <c r="T27" t="str">
        <f>IFERROR(IF(Data2023[[#This Row],[Number of active members]]=Data2023[[#This Row],[Non-EEA Active ]]+Data2023[[#This Row],[EEA Active]]+Data2023[[#This Row],[Dutch Active]],"T","F"),"F")</f>
        <v>F</v>
      </c>
      <c r="U27" t="str">
        <f>IFERROR(IF(Data2023[[#This Row],[Number of members]]-Data2023[[#This Row],[Non-EEA Active ]]-Data2023[[#This Row],[EEA Active]]-Data2023[[#This Row],[Dutch Active]]=Data2023[[#This Row],[Number of  inactive members]],"T","F"),"F")</f>
        <v>F</v>
      </c>
      <c r="V27" t="str">
        <f>IF(Data2023[[#This Row],[EEA Active]]&lt;=Data2023[[#This Row],[EEA total]],"T","F")</f>
        <v>T</v>
      </c>
      <c r="W27" t="str">
        <f>IF(Data2023[[#This Row],[Dutch Active]]&lt;=Data2023[[#This Row],[Dutch total]],"T","F")</f>
        <v>F</v>
      </c>
      <c r="X27" t="str">
        <f>IF(Data2023[[#This Row],[Non-EEA Active ]]&lt;=Data2023[[#This Row],[Non-EEA Total]],"T","F")</f>
        <v>T</v>
      </c>
      <c r="Y2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7" t="str">
        <f>IFERROR(VLOOKUP(Data2023[[#This Row],[organisation_name]],'Division Study Year Committees'!$A$1:$L$108,2,FALSE),"N/A")</f>
        <v>N/A</v>
      </c>
      <c r="AA27" t="str">
        <f>IFERROR(VLOOKUP(Data2023[[#This Row],[organisation_name]],'Division Study Year Committees'!$A$1:$L$108,3,FALSE),"N/A")</f>
        <v>N/A</v>
      </c>
      <c r="AB27" t="str">
        <f>IFERROR(VLOOKUP(Data2023[[#This Row],[organisation_name]],'Division Study Year Committees'!$A$1:$L$108,4,FALSE),"N/A")</f>
        <v>N/A</v>
      </c>
      <c r="AC27" t="str">
        <f>IFERROR(VLOOKUP(Data2023[[#This Row],[organisation_name]],'Division Study Year Committees'!$A$1:$L$108,5,FALSE), "N/A")</f>
        <v>N/A</v>
      </c>
      <c r="AD27" t="str">
        <f>IFERROR(VLOOKUP(Data2023[[#This Row],[organisation_name]],'Division Study Year Committees'!$A$1:$L$108,6,FALSE), "N/A")</f>
        <v>N/A</v>
      </c>
      <c r="AE27">
        <f>SUM(Data2023[[#This Row],[Number of first year comittee members]:[Number of 4+ year comittee members]])</f>
        <v>0</v>
      </c>
      <c r="AF27">
        <f>COUNTIF('Committee2022'!D:D,Data2023[[#This Row],[organisation_name]])</f>
        <v>6</v>
      </c>
      <c r="AG27">
        <v>2023</v>
      </c>
    </row>
    <row r="28" spans="1:33" x14ac:dyDescent="0.3">
      <c r="A28" t="str">
        <f>General2023[[#This Row],[organisation_name]]</f>
        <v>TC Ludica</v>
      </c>
      <c r="B28" t="str">
        <f>IF(General2023[[#This Row],[sector]]= "",VLOOKUP(Data2023[[#This Row],[organisation_name]],'Response Rate sheet'!A:D,3,FALSE),General2023[[#This Row],[sector]])</f>
        <v>Sports</v>
      </c>
      <c r="C28" t="str">
        <f>General2023[[#This Row],[organisation_type]]</f>
        <v>association</v>
      </c>
      <c r="D28">
        <f>IF(ISBLANK(General2023[[#This Row],[number_of_members]]),"N/A",VLOOKUP(A28,General2023[[organisation_name]:[number_of_international_committee_board_members_not_eea]],6,FALSE))</f>
        <v>560</v>
      </c>
      <c r="E28">
        <f>IF(ISBLANK(General2023[[#This Row],[number_of_committee_board_members]]),"N/A",VLOOKUP(A28,General2023!B:M,10,FALSE))</f>
        <v>250</v>
      </c>
      <c r="F28">
        <f>IFERROR(Data2023[[#This Row],[Number of members]]-Data2023[[#This Row],[Number of active members]], "N/A")</f>
        <v>310</v>
      </c>
      <c r="G28">
        <f>IFERROR(Data2023[[#This Row],[Number of active members]]/Data2023[[#This Row],[Number of members]], "N/A")</f>
        <v>0.44642857142857145</v>
      </c>
      <c r="H28">
        <f>IFERROR(1-Data2023[[#This Row],[Percentage active members]],"N/A")</f>
        <v>0.5535714285714286</v>
      </c>
      <c r="I28" t="str">
        <f>IF(Data2023[[#This Row],[Number of members]]=0,"N/A",IF(Data2023[[#This Row],[Number of members]]&lt;50," A. 1 - 50 ",IF(Data2023[[#This Row],[Number of members]]&lt;100, "B. 50 - 100", IF(Data2023[[#This Row],[Number of members]]&lt;400, "C. 100 - 400", IF(Data2023[[#This Row],[Number of members]]&lt;1000,"D. 400 - 1000", "E. 1000 +")))))</f>
        <v>D. 400 - 1000</v>
      </c>
      <c r="J28">
        <f>IF(ISBLANK(General2023[[#This Row],[number_of_international_members_not_eea]]),"N/A",VLOOKUP(A28,General2023[[organisation_name]:[number_of_international_committee_board_members_not_eea]],9,FALSE))</f>
        <v>100</v>
      </c>
      <c r="K28">
        <f>IF(ISBLANK(General2023[[#This Row],[number_of_international_members_eea]]),"N/A",VLOOKUP(A28,General2023[[organisation_name]:[number_of_international_committee_board_members_not_eea]],8,FALSE))</f>
        <v>25</v>
      </c>
      <c r="L28">
        <f>IFERROR(IF(Data2023[[#This Row],[Number of members]]-Data2023[[#This Row],[Non-EEA Total]]-Data2023[[#This Row],[EEA total]]&lt;1,"N/A", Data2023[[#This Row],[Number of members]]-Data2023[[#This Row],[Non-EEA Total]]-Data2023[[#This Row],[EEA total]]),"N/A")</f>
        <v>435</v>
      </c>
      <c r="M28">
        <f>VLOOKUP(A28,General2023[[organisation_name]:[number_of_international_committee_board_members_not_eea]],12,FALSE)</f>
        <v>0</v>
      </c>
      <c r="N28">
        <f>VLOOKUP(A28,General2023[[organisation_name]:[number_of_international_committee_board_members_not_eea]],11,FALSE)</f>
        <v>5</v>
      </c>
      <c r="O28">
        <f>IFERROR(IF(Data2023[[#This Row],[Number of active members]]-Data2023[[#This Row],[Non-EEA Active ]]-Data2023[[#This Row],[EEA Active]]&lt;1,"N/A", Data2023[[#This Row],[Number of active members]]-Data2023[[#This Row],[Non-EEA Active ]]-Data2023[[#This Row],[EEA Active]]),"N/A")</f>
        <v>245</v>
      </c>
      <c r="P28">
        <f>IFERROR(Data2023[[#This Row],[Non-EEA Active ]]/Data2023[[#This Row],[Number of active members]],"N/A")</f>
        <v>0</v>
      </c>
      <c r="Q28">
        <f>IFERROR(Data2023[[#This Row],[EEA Active]]/Data2023[[#This Row],[EEA total]], "N/A")</f>
        <v>0.2</v>
      </c>
      <c r="R28">
        <f>IFERROR(Data2023[[#This Row],[Dutch Active]]/Data2023[[#This Row],[Dutch total]],"N/A")</f>
        <v>0.56321839080459768</v>
      </c>
      <c r="S28" t="str">
        <f>IFERROR(IF(Data2023[[#This Row],[Number of members]]=Data2023[[#This Row],[Non-EEA Total]]+Data2023[[#This Row],[EEA total]]+Data2023[[#This Row],[Dutch total]],"T","F"),"F")</f>
        <v>T</v>
      </c>
      <c r="T28" t="str">
        <f>IFERROR(IF(Data2023[[#This Row],[Number of active members]]=Data2023[[#This Row],[Non-EEA Active ]]+Data2023[[#This Row],[EEA Active]]+Data2023[[#This Row],[Dutch Active]],"T","F"),"F")</f>
        <v>T</v>
      </c>
      <c r="U28" t="str">
        <f>IFERROR(IF(Data2023[[#This Row],[Number of members]]-Data2023[[#This Row],[Non-EEA Active ]]-Data2023[[#This Row],[EEA Active]]-Data2023[[#This Row],[Dutch Active]]=Data2023[[#This Row],[Number of  inactive members]],"T","F"),"F")</f>
        <v>T</v>
      </c>
      <c r="V28" t="str">
        <f>IF(Data2023[[#This Row],[EEA Active]]&lt;=Data2023[[#This Row],[EEA total]],"T","F")</f>
        <v>T</v>
      </c>
      <c r="W28" t="str">
        <f>IF(Data2023[[#This Row],[Dutch Active]]&lt;=Data2023[[#This Row],[Dutch total]],"T","F")</f>
        <v>T</v>
      </c>
      <c r="X28" t="str">
        <f>IF(Data2023[[#This Row],[Non-EEA Active ]]&lt;=Data2023[[#This Row],[Non-EEA Total]],"T","F")</f>
        <v>T</v>
      </c>
      <c r="Y2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28" t="str">
        <f>IFERROR(VLOOKUP(Data2023[[#This Row],[organisation_name]],'Division Study Year Committees'!$A$1:$L$108,2,FALSE),"N/A")</f>
        <v>N/A</v>
      </c>
      <c r="AA28" t="str">
        <f>IFERROR(VLOOKUP(Data2023[[#This Row],[organisation_name]],'Division Study Year Committees'!$A$1:$L$108,3,FALSE),"N/A")</f>
        <v>N/A</v>
      </c>
      <c r="AB28" t="str">
        <f>IFERROR(VLOOKUP(Data2023[[#This Row],[organisation_name]],'Division Study Year Committees'!$A$1:$L$108,4,FALSE),"N/A")</f>
        <v>N/A</v>
      </c>
      <c r="AC28" t="str">
        <f>IFERROR(VLOOKUP(Data2023[[#This Row],[organisation_name]],'Division Study Year Committees'!$A$1:$L$108,5,FALSE), "N/A")</f>
        <v>N/A</v>
      </c>
      <c r="AD28" t="str">
        <f>IFERROR(VLOOKUP(Data2023[[#This Row],[organisation_name]],'Division Study Year Committees'!$A$1:$L$108,6,FALSE), "N/A")</f>
        <v>N/A</v>
      </c>
      <c r="AE28">
        <f>SUM(Data2023[[#This Row],[Number of first year comittee members]:[Number of 4+ year comittee members]])</f>
        <v>0</v>
      </c>
      <c r="AF28">
        <f>COUNTIF('Committee2022'!D:D,Data2023[[#This Row],[organisation_name]])</f>
        <v>22</v>
      </c>
      <c r="AG28">
        <v>2023</v>
      </c>
    </row>
    <row r="29" spans="1:33" x14ac:dyDescent="0.3">
      <c r="A29" t="str">
        <f>General2023[[#This Row],[organisation_name]]</f>
        <v>TSAC</v>
      </c>
      <c r="B29" t="str">
        <f>IF(General2023[[#This Row],[sector]]= "",VLOOKUP(Data2023[[#This Row],[organisation_name]],'Response Rate sheet'!A:D,3,FALSE),General2023[[#This Row],[sector]])</f>
        <v>Sports</v>
      </c>
      <c r="C29" t="str">
        <f>General2023[[#This Row],[organisation_type]]</f>
        <v>association</v>
      </c>
      <c r="D29">
        <f>IF(ISBLANK(General2023[[#This Row],[number_of_members]]),"N/A",VLOOKUP(A29,General2023[[organisation_name]:[number_of_international_committee_board_members_not_eea]],6,FALSE))</f>
        <v>175</v>
      </c>
      <c r="E29">
        <f>IF(ISBLANK(General2023[[#This Row],[number_of_committee_board_members]]),"N/A",VLOOKUP(A29,General2023!B:M,10,FALSE))</f>
        <v>11</v>
      </c>
      <c r="F29">
        <f>IFERROR(Data2023[[#This Row],[Number of members]]-Data2023[[#This Row],[Number of active members]], "N/A")</f>
        <v>164</v>
      </c>
      <c r="G29">
        <f>IFERROR(Data2023[[#This Row],[Number of active members]]/Data2023[[#This Row],[Number of members]], "N/A")</f>
        <v>6.2857142857142861E-2</v>
      </c>
      <c r="H29">
        <f>IFERROR(1-Data2023[[#This Row],[Percentage active members]],"N/A")</f>
        <v>0.93714285714285717</v>
      </c>
      <c r="I29" t="str">
        <f>IF(Data2023[[#This Row],[Number of members]]=0,"N/A",IF(Data2023[[#This Row],[Number of members]]&lt;50," A. 1 - 50 ",IF(Data2023[[#This Row],[Number of members]]&lt;100, "B. 50 - 100", IF(Data2023[[#This Row],[Number of members]]&lt;400, "C. 100 - 400", IF(Data2023[[#This Row],[Number of members]]&lt;1000,"D. 400 - 1000", "E. 1000 +")))))</f>
        <v>C. 100 - 400</v>
      </c>
      <c r="J29">
        <f>IF(ISBLANK(General2023[[#This Row],[number_of_international_members_not_eea]]),"N/A",VLOOKUP(A29,General2023[[organisation_name]:[number_of_international_committee_board_members_not_eea]],9,FALSE))</f>
        <v>40</v>
      </c>
      <c r="K29">
        <f>IF(ISBLANK(General2023[[#This Row],[number_of_international_members_eea]]),"N/A",VLOOKUP(A29,General2023[[organisation_name]:[number_of_international_committee_board_members_not_eea]],8,FALSE))</f>
        <v>45</v>
      </c>
      <c r="L29">
        <f>IFERROR(IF(Data2023[[#This Row],[Number of members]]-Data2023[[#This Row],[Non-EEA Total]]-Data2023[[#This Row],[EEA total]]&lt;1,"N/A", Data2023[[#This Row],[Number of members]]-Data2023[[#This Row],[Non-EEA Total]]-Data2023[[#This Row],[EEA total]]),"N/A")</f>
        <v>90</v>
      </c>
      <c r="M29">
        <f>VLOOKUP(A29,General2023[[organisation_name]:[number_of_international_committee_board_members_not_eea]],12,FALSE)</f>
        <v>5</v>
      </c>
      <c r="N29">
        <f>VLOOKUP(A29,General2023[[organisation_name]:[number_of_international_committee_board_members_not_eea]],11,FALSE)</f>
        <v>20</v>
      </c>
      <c r="O29" t="str">
        <f>IFERROR(IF(Data2023[[#This Row],[Number of active members]]-Data2023[[#This Row],[Non-EEA Active ]]-Data2023[[#This Row],[EEA Active]]&lt;1,"N/A", Data2023[[#This Row],[Number of active members]]-Data2023[[#This Row],[Non-EEA Active ]]-Data2023[[#This Row],[EEA Active]]),"N/A")</f>
        <v>N/A</v>
      </c>
      <c r="P29">
        <f>IFERROR(Data2023[[#This Row],[Non-EEA Active ]]/Data2023[[#This Row],[Number of active members]],"N/A")</f>
        <v>0.45454545454545453</v>
      </c>
      <c r="Q29">
        <f>IFERROR(Data2023[[#This Row],[EEA Active]]/Data2023[[#This Row],[EEA total]], "N/A")</f>
        <v>0.44444444444444442</v>
      </c>
      <c r="R29" t="str">
        <f>IFERROR(Data2023[[#This Row],[Dutch Active]]/Data2023[[#This Row],[Dutch total]],"N/A")</f>
        <v>N/A</v>
      </c>
      <c r="S29" t="str">
        <f>IFERROR(IF(Data2023[[#This Row],[Number of members]]=Data2023[[#This Row],[Non-EEA Total]]+Data2023[[#This Row],[EEA total]]+Data2023[[#This Row],[Dutch total]],"T","F"),"F")</f>
        <v>T</v>
      </c>
      <c r="T29" t="str">
        <f>IFERROR(IF(Data2023[[#This Row],[Number of active members]]=Data2023[[#This Row],[Non-EEA Active ]]+Data2023[[#This Row],[EEA Active]]+Data2023[[#This Row],[Dutch Active]],"T","F"),"F")</f>
        <v>F</v>
      </c>
      <c r="U29" t="str">
        <f>IFERROR(IF(Data2023[[#This Row],[Number of members]]-Data2023[[#This Row],[Non-EEA Active ]]-Data2023[[#This Row],[EEA Active]]-Data2023[[#This Row],[Dutch Active]]=Data2023[[#This Row],[Number of  inactive members]],"T","F"),"F")</f>
        <v>F</v>
      </c>
      <c r="V29" t="str">
        <f>IF(Data2023[[#This Row],[EEA Active]]&lt;=Data2023[[#This Row],[EEA total]],"T","F")</f>
        <v>T</v>
      </c>
      <c r="W29" t="str">
        <f>IF(Data2023[[#This Row],[Dutch Active]]&lt;=Data2023[[#This Row],[Dutch total]],"T","F")</f>
        <v>F</v>
      </c>
      <c r="X29" t="str">
        <f>IF(Data2023[[#This Row],[Non-EEA Active ]]&lt;=Data2023[[#This Row],[Non-EEA Total]],"T","F")</f>
        <v>T</v>
      </c>
      <c r="Y2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29">
        <f>IFERROR(VLOOKUP(Data2023[[#This Row],[organisation_name]],'Division Study Year Committees'!$A$1:$L$108,2,FALSE),"N/A")</f>
        <v>7</v>
      </c>
      <c r="AA29">
        <f>IFERROR(VLOOKUP(Data2023[[#This Row],[organisation_name]],'Division Study Year Committees'!$A$1:$L$108,3,FALSE),"N/A")</f>
        <v>7</v>
      </c>
      <c r="AB29">
        <f>IFERROR(VLOOKUP(Data2023[[#This Row],[organisation_name]],'Division Study Year Committees'!$A$1:$L$108,4,FALSE),"N/A")</f>
        <v>19</v>
      </c>
      <c r="AC29">
        <f>IFERROR(VLOOKUP(Data2023[[#This Row],[organisation_name]],'Division Study Year Committees'!$A$1:$L$108,5,FALSE), "N/A")</f>
        <v>7</v>
      </c>
      <c r="AD29">
        <f>IFERROR(VLOOKUP(Data2023[[#This Row],[organisation_name]],'Division Study Year Committees'!$A$1:$L$108,6,FALSE), "N/A")</f>
        <v>24</v>
      </c>
      <c r="AE29">
        <f>SUM(Data2023[[#This Row],[Number of first year comittee members]:[Number of 4+ year comittee members]])</f>
        <v>64</v>
      </c>
      <c r="AF29">
        <f>COUNTIF('Committee2022'!D:D,Data2023[[#This Row],[organisation_name]])</f>
        <v>11</v>
      </c>
      <c r="AG29">
        <v>2023</v>
      </c>
    </row>
    <row r="30" spans="1:33" x14ac:dyDescent="0.3">
      <c r="A30" t="str">
        <f>General2023[[#This Row],[organisation_name]]</f>
        <v>VAS Arashi</v>
      </c>
      <c r="B30" t="str">
        <f>IF(General2023[[#This Row],[sector]]= "",VLOOKUP(Data2023[[#This Row],[organisation_name]],'Response Rate sheet'!A:D,3,FALSE),General2023[[#This Row],[sector]])</f>
        <v>Sports</v>
      </c>
      <c r="C30" t="str">
        <f>General2023[[#This Row],[organisation_type]]</f>
        <v>association</v>
      </c>
      <c r="D30">
        <f>IF(ISBLANK(General2023[[#This Row],[number_of_members]]),"N/A",VLOOKUP(A30,General2023[[organisation_name]:[number_of_international_committee_board_members_not_eea]],6,FALSE))</f>
        <v>122</v>
      </c>
      <c r="E30">
        <f>IF(ISBLANK(General2023[[#This Row],[number_of_committee_board_members]]),"N/A",VLOOKUP(A30,General2023!B:M,10,FALSE))</f>
        <v>20</v>
      </c>
      <c r="F30">
        <f>IFERROR(Data2023[[#This Row],[Number of members]]-Data2023[[#This Row],[Number of active members]], "N/A")</f>
        <v>102</v>
      </c>
      <c r="G30">
        <f>IFERROR(Data2023[[#This Row],[Number of active members]]/Data2023[[#This Row],[Number of members]], "N/A")</f>
        <v>0.16393442622950818</v>
      </c>
      <c r="H30">
        <f>IFERROR(1-Data2023[[#This Row],[Percentage active members]],"N/A")</f>
        <v>0.83606557377049184</v>
      </c>
      <c r="I30" t="str">
        <f>IF(Data2023[[#This Row],[Number of members]]=0,"N/A",IF(Data2023[[#This Row],[Number of members]]&lt;50," A. 1 - 50 ",IF(Data2023[[#This Row],[Number of members]]&lt;100, "B. 50 - 100", IF(Data2023[[#This Row],[Number of members]]&lt;400, "C. 100 - 400", IF(Data2023[[#This Row],[Number of members]]&lt;1000,"D. 400 - 1000", "E. 1000 +")))))</f>
        <v>C. 100 - 400</v>
      </c>
      <c r="J30">
        <f>IF(ISBLANK(General2023[[#This Row],[number_of_international_members_not_eea]]),"N/A",VLOOKUP(A30,General2023[[organisation_name]:[number_of_international_committee_board_members_not_eea]],9,FALSE))</f>
        <v>30</v>
      </c>
      <c r="K30">
        <f>IF(ISBLANK(General2023[[#This Row],[number_of_international_members_eea]]),"N/A",VLOOKUP(A30,General2023[[organisation_name]:[number_of_international_committee_board_members_not_eea]],8,FALSE))</f>
        <v>2</v>
      </c>
      <c r="L30">
        <f>IFERROR(IF(Data2023[[#This Row],[Number of members]]-Data2023[[#This Row],[Non-EEA Total]]-Data2023[[#This Row],[EEA total]]&lt;1,"N/A", Data2023[[#This Row],[Number of members]]-Data2023[[#This Row],[Non-EEA Total]]-Data2023[[#This Row],[EEA total]]),"N/A")</f>
        <v>90</v>
      </c>
      <c r="M30">
        <f>VLOOKUP(A30,General2023[[organisation_name]:[number_of_international_committee_board_members_not_eea]],12,FALSE)</f>
        <v>0</v>
      </c>
      <c r="N30">
        <f>VLOOKUP(A30,General2023[[organisation_name]:[number_of_international_committee_board_members_not_eea]],11,FALSE)</f>
        <v>10</v>
      </c>
      <c r="O30">
        <f>IFERROR(IF(Data2023[[#This Row],[Number of active members]]-Data2023[[#This Row],[Non-EEA Active ]]-Data2023[[#This Row],[EEA Active]]&lt;1,"N/A", Data2023[[#This Row],[Number of active members]]-Data2023[[#This Row],[Non-EEA Active ]]-Data2023[[#This Row],[EEA Active]]),"N/A")</f>
        <v>10</v>
      </c>
      <c r="P30">
        <f>IFERROR(Data2023[[#This Row],[Non-EEA Active ]]/Data2023[[#This Row],[Number of active members]],"N/A")</f>
        <v>0</v>
      </c>
      <c r="Q30">
        <f>IFERROR(Data2023[[#This Row],[EEA Active]]/Data2023[[#This Row],[EEA total]], "N/A")</f>
        <v>5</v>
      </c>
      <c r="R30">
        <f>IFERROR(Data2023[[#This Row],[Dutch Active]]/Data2023[[#This Row],[Dutch total]],"N/A")</f>
        <v>0.1111111111111111</v>
      </c>
      <c r="S30" t="str">
        <f>IFERROR(IF(Data2023[[#This Row],[Number of members]]=Data2023[[#This Row],[Non-EEA Total]]+Data2023[[#This Row],[EEA total]]+Data2023[[#This Row],[Dutch total]],"T","F"),"F")</f>
        <v>T</v>
      </c>
      <c r="T30" t="str">
        <f>IFERROR(IF(Data2023[[#This Row],[Number of active members]]=Data2023[[#This Row],[Non-EEA Active ]]+Data2023[[#This Row],[EEA Active]]+Data2023[[#This Row],[Dutch Active]],"T","F"),"F")</f>
        <v>T</v>
      </c>
      <c r="U30" t="str">
        <f>IFERROR(IF(Data2023[[#This Row],[Number of members]]-Data2023[[#This Row],[Non-EEA Active ]]-Data2023[[#This Row],[EEA Active]]-Data2023[[#This Row],[Dutch Active]]=Data2023[[#This Row],[Number of  inactive members]],"T","F"),"F")</f>
        <v>T</v>
      </c>
      <c r="V30" t="str">
        <f>IF(Data2023[[#This Row],[EEA Active]]&lt;=Data2023[[#This Row],[EEA total]],"T","F")</f>
        <v>F</v>
      </c>
      <c r="W30" t="str">
        <f>IF(Data2023[[#This Row],[Dutch Active]]&lt;=Data2023[[#This Row],[Dutch total]],"T","F")</f>
        <v>T</v>
      </c>
      <c r="X30" t="str">
        <f>IF(Data2023[[#This Row],[Non-EEA Active ]]&lt;=Data2023[[#This Row],[Non-EEA Total]],"T","F")</f>
        <v>T</v>
      </c>
      <c r="Y3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0">
        <f>IFERROR(VLOOKUP(Data2023[[#This Row],[organisation_name]],'Division Study Year Committees'!$A$1:$L$108,2,FALSE),"N/A")</f>
        <v>3</v>
      </c>
      <c r="AA30">
        <f>IFERROR(VLOOKUP(Data2023[[#This Row],[organisation_name]],'Division Study Year Committees'!$A$1:$L$108,3,FALSE),"N/A")</f>
        <v>2</v>
      </c>
      <c r="AB30">
        <f>IFERROR(VLOOKUP(Data2023[[#This Row],[organisation_name]],'Division Study Year Committees'!$A$1:$L$108,4,FALSE),"N/A")</f>
        <v>1</v>
      </c>
      <c r="AC30">
        <f>IFERROR(VLOOKUP(Data2023[[#This Row],[organisation_name]],'Division Study Year Committees'!$A$1:$L$108,5,FALSE), "N/A")</f>
        <v>3</v>
      </c>
      <c r="AD30">
        <f>IFERROR(VLOOKUP(Data2023[[#This Row],[organisation_name]],'Division Study Year Committees'!$A$1:$L$108,6,FALSE), "N/A")</f>
        <v>10</v>
      </c>
      <c r="AE30">
        <f>SUM(Data2023[[#This Row],[Number of first year comittee members]:[Number of 4+ year comittee members]])</f>
        <v>19</v>
      </c>
      <c r="AF30">
        <f>COUNTIF('Committee2022'!D:D,Data2023[[#This Row],[organisation_name]])</f>
        <v>10</v>
      </c>
      <c r="AG30">
        <v>2023</v>
      </c>
    </row>
    <row r="31" spans="1:33" x14ac:dyDescent="0.3">
      <c r="A31" t="str">
        <f>General2023[[#This Row],[organisation_name]]</f>
        <v>VV Drienerlo</v>
      </c>
      <c r="B31" t="str">
        <f>IF(General2023[[#This Row],[sector]]= "",VLOOKUP(Data2023[[#This Row],[organisation_name]],'Response Rate sheet'!A:D,3,FALSE),General2023[[#This Row],[sector]])</f>
        <v>Sports</v>
      </c>
      <c r="C31" t="str">
        <f>General2023[[#This Row],[organisation_type]]</f>
        <v>association</v>
      </c>
      <c r="D31">
        <f>IF(ISBLANK(General2023[[#This Row],[number_of_members]]),"N/A",VLOOKUP(A31,General2023[[organisation_name]:[number_of_international_committee_board_members_not_eea]],6,FALSE))</f>
        <v>380</v>
      </c>
      <c r="E31">
        <f>IF(ISBLANK(General2023[[#This Row],[number_of_committee_board_members]]),"N/A",VLOOKUP(A31,General2023!B:M,10,FALSE))</f>
        <v>100</v>
      </c>
      <c r="F31">
        <f>IFERROR(Data2023[[#This Row],[Number of members]]-Data2023[[#This Row],[Number of active members]], "N/A")</f>
        <v>280</v>
      </c>
      <c r="G31">
        <f>IFERROR(Data2023[[#This Row],[Number of active members]]/Data2023[[#This Row],[Number of members]], "N/A")</f>
        <v>0.26315789473684209</v>
      </c>
      <c r="H31">
        <f>IFERROR(1-Data2023[[#This Row],[Percentage active members]],"N/A")</f>
        <v>0.73684210526315796</v>
      </c>
      <c r="I31" t="str">
        <f>IF(Data2023[[#This Row],[Number of members]]=0,"N/A",IF(Data2023[[#This Row],[Number of members]]&lt;50," A. 1 - 50 ",IF(Data2023[[#This Row],[Number of members]]&lt;100, "B. 50 - 100", IF(Data2023[[#This Row],[Number of members]]&lt;400, "C. 100 - 400", IF(Data2023[[#This Row],[Number of members]]&lt;1000,"D. 400 - 1000", "E. 1000 +")))))</f>
        <v>C. 100 - 400</v>
      </c>
      <c r="J31">
        <f>IF(ISBLANK(General2023[[#This Row],[number_of_international_members_not_eea]]),"N/A",VLOOKUP(A31,General2023[[organisation_name]:[number_of_international_committee_board_members_not_eea]],9,FALSE))</f>
        <v>50</v>
      </c>
      <c r="K31">
        <f>IF(ISBLANK(General2023[[#This Row],[number_of_international_members_eea]]),"N/A",VLOOKUP(A31,General2023[[organisation_name]:[number_of_international_committee_board_members_not_eea]],8,FALSE))</f>
        <v>30</v>
      </c>
      <c r="L31">
        <f>IFERROR(IF(Data2023[[#This Row],[Number of members]]-Data2023[[#This Row],[Non-EEA Total]]-Data2023[[#This Row],[EEA total]]&lt;1,"N/A", Data2023[[#This Row],[Number of members]]-Data2023[[#This Row],[Non-EEA Total]]-Data2023[[#This Row],[EEA total]]),"N/A")</f>
        <v>300</v>
      </c>
      <c r="M31">
        <f>VLOOKUP(A31,General2023[[organisation_name]:[number_of_international_committee_board_members_not_eea]],12,FALSE)</f>
        <v>0</v>
      </c>
      <c r="N31">
        <f>VLOOKUP(A31,General2023[[organisation_name]:[number_of_international_committee_board_members_not_eea]],11,FALSE)</f>
        <v>10</v>
      </c>
      <c r="O31">
        <f>IFERROR(IF(Data2023[[#This Row],[Number of active members]]-Data2023[[#This Row],[Non-EEA Active ]]-Data2023[[#This Row],[EEA Active]]&lt;1,"N/A", Data2023[[#This Row],[Number of active members]]-Data2023[[#This Row],[Non-EEA Active ]]-Data2023[[#This Row],[EEA Active]]),"N/A")</f>
        <v>90</v>
      </c>
      <c r="P31">
        <f>IFERROR(Data2023[[#This Row],[Non-EEA Active ]]/Data2023[[#This Row],[Number of active members]],"N/A")</f>
        <v>0</v>
      </c>
      <c r="Q31">
        <f>IFERROR(Data2023[[#This Row],[EEA Active]]/Data2023[[#This Row],[EEA total]], "N/A")</f>
        <v>0.33333333333333331</v>
      </c>
      <c r="R31">
        <f>IFERROR(Data2023[[#This Row],[Dutch Active]]/Data2023[[#This Row],[Dutch total]],"N/A")</f>
        <v>0.3</v>
      </c>
      <c r="S31" t="str">
        <f>IFERROR(IF(Data2023[[#This Row],[Number of members]]=Data2023[[#This Row],[Non-EEA Total]]+Data2023[[#This Row],[EEA total]]+Data2023[[#This Row],[Dutch total]],"T","F"),"F")</f>
        <v>T</v>
      </c>
      <c r="T31" t="str">
        <f>IFERROR(IF(Data2023[[#This Row],[Number of active members]]=Data2023[[#This Row],[Non-EEA Active ]]+Data2023[[#This Row],[EEA Active]]+Data2023[[#This Row],[Dutch Active]],"T","F"),"F")</f>
        <v>T</v>
      </c>
      <c r="U31" t="str">
        <f>IFERROR(IF(Data2023[[#This Row],[Number of members]]-Data2023[[#This Row],[Non-EEA Active ]]-Data2023[[#This Row],[EEA Active]]-Data2023[[#This Row],[Dutch Active]]=Data2023[[#This Row],[Number of  inactive members]],"T","F"),"F")</f>
        <v>T</v>
      </c>
      <c r="V31" t="str">
        <f>IF(Data2023[[#This Row],[EEA Active]]&lt;=Data2023[[#This Row],[EEA total]],"T","F")</f>
        <v>T</v>
      </c>
      <c r="W31" t="str">
        <f>IF(Data2023[[#This Row],[Dutch Active]]&lt;=Data2023[[#This Row],[Dutch total]],"T","F")</f>
        <v>T</v>
      </c>
      <c r="X31" t="str">
        <f>IF(Data2023[[#This Row],[Non-EEA Active ]]&lt;=Data2023[[#This Row],[Non-EEA Total]],"T","F")</f>
        <v>T</v>
      </c>
      <c r="Y31"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31">
        <f>IFERROR(VLOOKUP(Data2023[[#This Row],[organisation_name]],'Division Study Year Committees'!$A$1:$L$108,2,FALSE),"N/A")</f>
        <v>4</v>
      </c>
      <c r="AA31">
        <f>IFERROR(VLOOKUP(Data2023[[#This Row],[organisation_name]],'Division Study Year Committees'!$A$1:$L$108,3,FALSE),"N/A")</f>
        <v>6</v>
      </c>
      <c r="AB31">
        <f>IFERROR(VLOOKUP(Data2023[[#This Row],[organisation_name]],'Division Study Year Committees'!$A$1:$L$108,4,FALSE),"N/A")</f>
        <v>12</v>
      </c>
      <c r="AC31">
        <f>IFERROR(VLOOKUP(Data2023[[#This Row],[organisation_name]],'Division Study Year Committees'!$A$1:$L$108,5,FALSE), "N/A")</f>
        <v>6</v>
      </c>
      <c r="AD31">
        <f>IFERROR(VLOOKUP(Data2023[[#This Row],[organisation_name]],'Division Study Year Committees'!$A$1:$L$108,6,FALSE), "N/A")</f>
        <v>1</v>
      </c>
      <c r="AE31">
        <f>SUM(Data2023[[#This Row],[Number of first year comittee members]:[Number of 4+ year comittee members]])</f>
        <v>29</v>
      </c>
      <c r="AF31">
        <f>COUNTIF('Committee2022'!D:D,Data2023[[#This Row],[organisation_name]])</f>
        <v>14</v>
      </c>
      <c r="AG31">
        <v>2023</v>
      </c>
    </row>
    <row r="32" spans="1:33" x14ac:dyDescent="0.3">
      <c r="A32" t="str">
        <f>General2023[[#This Row],[organisation_name]]</f>
        <v>VV Harambee</v>
      </c>
      <c r="B32" t="str">
        <f>IF(General2023[[#This Row],[sector]]= "",VLOOKUP(Data2023[[#This Row],[organisation_name]],'Response Rate sheet'!A:D,3,FALSE),General2023[[#This Row],[sector]])</f>
        <v>Sports</v>
      </c>
      <c r="C32" t="str">
        <f>General2023[[#This Row],[organisation_type]]</f>
        <v>association</v>
      </c>
      <c r="D32">
        <f>IF(ISBLANK(General2023[[#This Row],[number_of_members]]),"N/A",VLOOKUP(A32,General2023[[organisation_name]:[number_of_international_committee_board_members_not_eea]],6,FALSE))</f>
        <v>420</v>
      </c>
      <c r="E32">
        <f>IF(ISBLANK(General2023[[#This Row],[number_of_committee_board_members]]),"N/A",VLOOKUP(A32,General2023!B:M,10,FALSE))</f>
        <v>50</v>
      </c>
      <c r="F32">
        <f>IFERROR(Data2023[[#This Row],[Number of members]]-Data2023[[#This Row],[Number of active members]], "N/A")</f>
        <v>370</v>
      </c>
      <c r="G32">
        <f>IFERROR(Data2023[[#This Row],[Number of active members]]/Data2023[[#This Row],[Number of members]], "N/A")</f>
        <v>0.11904761904761904</v>
      </c>
      <c r="H32">
        <f>IFERROR(1-Data2023[[#This Row],[Percentage active members]],"N/A")</f>
        <v>0.88095238095238093</v>
      </c>
      <c r="I32" t="str">
        <f>IF(Data2023[[#This Row],[Number of members]]=0,"N/A",IF(Data2023[[#This Row],[Number of members]]&lt;50," A. 1 - 50 ",IF(Data2023[[#This Row],[Number of members]]&lt;100, "B. 50 - 100", IF(Data2023[[#This Row],[Number of members]]&lt;400, "C. 100 - 400", IF(Data2023[[#This Row],[Number of members]]&lt;1000,"D. 400 - 1000", "E. 1000 +")))))</f>
        <v>D. 400 - 1000</v>
      </c>
      <c r="J32">
        <f>IF(ISBLANK(General2023[[#This Row],[number_of_international_members_not_eea]]),"N/A",VLOOKUP(A32,General2023[[organisation_name]:[number_of_international_committee_board_members_not_eea]],9,FALSE))</f>
        <v>100</v>
      </c>
      <c r="K32">
        <f>IF(ISBLANK(General2023[[#This Row],[number_of_international_members_eea]]),"N/A",VLOOKUP(A32,General2023[[organisation_name]:[number_of_international_committee_board_members_not_eea]],8,FALSE))</f>
        <v>20</v>
      </c>
      <c r="L32">
        <f>IFERROR(IF(Data2023[[#This Row],[Number of members]]-Data2023[[#This Row],[Non-EEA Total]]-Data2023[[#This Row],[EEA total]]&lt;1,"N/A", Data2023[[#This Row],[Number of members]]-Data2023[[#This Row],[Non-EEA Total]]-Data2023[[#This Row],[EEA total]]),"N/A")</f>
        <v>300</v>
      </c>
      <c r="M32">
        <f>VLOOKUP(A32,General2023[[organisation_name]:[number_of_international_committee_board_members_not_eea]],12,FALSE)</f>
        <v>5</v>
      </c>
      <c r="N32">
        <f>VLOOKUP(A32,General2023[[organisation_name]:[number_of_international_committee_board_members_not_eea]],11,FALSE)</f>
        <v>10</v>
      </c>
      <c r="O32">
        <f>IFERROR(IF(Data2023[[#This Row],[Number of active members]]-Data2023[[#This Row],[Non-EEA Active ]]-Data2023[[#This Row],[EEA Active]]&lt;1,"N/A", Data2023[[#This Row],[Number of active members]]-Data2023[[#This Row],[Non-EEA Active ]]-Data2023[[#This Row],[EEA Active]]),"N/A")</f>
        <v>35</v>
      </c>
      <c r="P32">
        <f>IFERROR(Data2023[[#This Row],[Non-EEA Active ]]/Data2023[[#This Row],[Number of active members]],"N/A")</f>
        <v>0.1</v>
      </c>
      <c r="Q32">
        <f>IFERROR(Data2023[[#This Row],[EEA Active]]/Data2023[[#This Row],[EEA total]], "N/A")</f>
        <v>0.5</v>
      </c>
      <c r="R32">
        <f>IFERROR(Data2023[[#This Row],[Dutch Active]]/Data2023[[#This Row],[Dutch total]],"N/A")</f>
        <v>0.11666666666666667</v>
      </c>
      <c r="S32" t="str">
        <f>IFERROR(IF(Data2023[[#This Row],[Number of members]]=Data2023[[#This Row],[Non-EEA Total]]+Data2023[[#This Row],[EEA total]]+Data2023[[#This Row],[Dutch total]],"T","F"),"F")</f>
        <v>T</v>
      </c>
      <c r="T32" t="str">
        <f>IFERROR(IF(Data2023[[#This Row],[Number of active members]]=Data2023[[#This Row],[Non-EEA Active ]]+Data2023[[#This Row],[EEA Active]]+Data2023[[#This Row],[Dutch Active]],"T","F"),"F")</f>
        <v>T</v>
      </c>
      <c r="U32" t="str">
        <f>IFERROR(IF(Data2023[[#This Row],[Number of members]]-Data2023[[#This Row],[Non-EEA Active ]]-Data2023[[#This Row],[EEA Active]]-Data2023[[#This Row],[Dutch Active]]=Data2023[[#This Row],[Number of  inactive members]],"T","F"),"F")</f>
        <v>T</v>
      </c>
      <c r="V32" t="str">
        <f>IF(Data2023[[#This Row],[EEA Active]]&lt;=Data2023[[#This Row],[EEA total]],"T","F")</f>
        <v>T</v>
      </c>
      <c r="W32" t="str">
        <f>IF(Data2023[[#This Row],[Dutch Active]]&lt;=Data2023[[#This Row],[Dutch total]],"T","F")</f>
        <v>T</v>
      </c>
      <c r="X32" t="str">
        <f>IF(Data2023[[#This Row],[Non-EEA Active ]]&lt;=Data2023[[#This Row],[Non-EEA Total]],"T","F")</f>
        <v>T</v>
      </c>
      <c r="Y3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32">
        <f>IFERROR(VLOOKUP(Data2023[[#This Row],[organisation_name]],'Division Study Year Committees'!$A$1:$L$108,2,FALSE),"N/A")</f>
        <v>12</v>
      </c>
      <c r="AA32">
        <f>IFERROR(VLOOKUP(Data2023[[#This Row],[organisation_name]],'Division Study Year Committees'!$A$1:$L$108,3,FALSE),"N/A")</f>
        <v>11</v>
      </c>
      <c r="AB32">
        <f>IFERROR(VLOOKUP(Data2023[[#This Row],[organisation_name]],'Division Study Year Committees'!$A$1:$L$108,4,FALSE),"N/A")</f>
        <v>12</v>
      </c>
      <c r="AC32">
        <f>IFERROR(VLOOKUP(Data2023[[#This Row],[organisation_name]],'Division Study Year Committees'!$A$1:$L$108,5,FALSE), "N/A")</f>
        <v>13</v>
      </c>
      <c r="AD32">
        <f>IFERROR(VLOOKUP(Data2023[[#This Row],[organisation_name]],'Division Study Year Committees'!$A$1:$L$108,6,FALSE), "N/A")</f>
        <v>8</v>
      </c>
      <c r="AE32">
        <f>SUM(Data2023[[#This Row],[Number of first year comittee members]:[Number of 4+ year comittee members]])</f>
        <v>56</v>
      </c>
      <c r="AF32">
        <f>COUNTIF('Committee2022'!D:D,Data2023[[#This Row],[organisation_name]])</f>
        <v>0</v>
      </c>
      <c r="AG32">
        <v>2023</v>
      </c>
    </row>
    <row r="33" spans="1:33" x14ac:dyDescent="0.3">
      <c r="A33" t="str">
        <f>General2023[[#This Row],[organisation_name]]</f>
        <v>ZPV Piranha</v>
      </c>
      <c r="B33" t="str">
        <f>IF(General2023[[#This Row],[sector]]= "",VLOOKUP(Data2023[[#This Row],[organisation_name]],'Response Rate sheet'!A:D,3,FALSE),General2023[[#This Row],[sector]])</f>
        <v>Sports</v>
      </c>
      <c r="C33" t="str">
        <f>General2023[[#This Row],[organisation_type]]</f>
        <v>association</v>
      </c>
      <c r="D33">
        <f>IF(ISBLANK(General2023[[#This Row],[number_of_members]]),"N/A",VLOOKUP(A33,General2023[[organisation_name]:[number_of_international_committee_board_members_not_eea]],6,FALSE))</f>
        <v>280</v>
      </c>
      <c r="E33">
        <f>IF(ISBLANK(General2023[[#This Row],[number_of_committee_board_members]]),"N/A",VLOOKUP(A33,General2023!B:M,10,FALSE))</f>
        <v>50</v>
      </c>
      <c r="F33">
        <f>IFERROR(Data2023[[#This Row],[Number of members]]-Data2023[[#This Row],[Number of active members]], "N/A")</f>
        <v>230</v>
      </c>
      <c r="G33">
        <f>IFERROR(Data2023[[#This Row],[Number of active members]]/Data2023[[#This Row],[Number of members]], "N/A")</f>
        <v>0.17857142857142858</v>
      </c>
      <c r="H33">
        <f>IFERROR(1-Data2023[[#This Row],[Percentage active members]],"N/A")</f>
        <v>0.8214285714285714</v>
      </c>
      <c r="I33" t="str">
        <f>IF(Data2023[[#This Row],[Number of members]]=0,"N/A",IF(Data2023[[#This Row],[Number of members]]&lt;50," A. 1 - 50 ",IF(Data2023[[#This Row],[Number of members]]&lt;100, "B. 50 - 100", IF(Data2023[[#This Row],[Number of members]]&lt;400, "C. 100 - 400", IF(Data2023[[#This Row],[Number of members]]&lt;1000,"D. 400 - 1000", "E. 1000 +")))))</f>
        <v>C. 100 - 400</v>
      </c>
      <c r="J33">
        <f>IF(ISBLANK(General2023[[#This Row],[number_of_international_members_not_eea]]),"N/A",VLOOKUP(A33,General2023[[organisation_name]:[number_of_international_committee_board_members_not_eea]],9,FALSE))</f>
        <v>108</v>
      </c>
      <c r="K33">
        <f>IF(ISBLANK(General2023[[#This Row],[number_of_international_members_eea]]),"N/A",VLOOKUP(A33,General2023[[organisation_name]:[number_of_international_committee_board_members_not_eea]],8,FALSE))</f>
        <v>10</v>
      </c>
      <c r="L33">
        <f>IFERROR(IF(Data2023[[#This Row],[Number of members]]-Data2023[[#This Row],[Non-EEA Total]]-Data2023[[#This Row],[EEA total]]&lt;1,"N/A", Data2023[[#This Row],[Number of members]]-Data2023[[#This Row],[Non-EEA Total]]-Data2023[[#This Row],[EEA total]]),"N/A")</f>
        <v>162</v>
      </c>
      <c r="M33">
        <f>VLOOKUP(A33,General2023[[organisation_name]:[number_of_international_committee_board_members_not_eea]],12,FALSE)</f>
        <v>1</v>
      </c>
      <c r="N33">
        <f>VLOOKUP(A33,General2023[[organisation_name]:[number_of_international_committee_board_members_not_eea]],11,FALSE)</f>
        <v>7</v>
      </c>
      <c r="O33">
        <f>IFERROR(IF(Data2023[[#This Row],[Number of active members]]-Data2023[[#This Row],[Non-EEA Active ]]-Data2023[[#This Row],[EEA Active]]&lt;1,"N/A", Data2023[[#This Row],[Number of active members]]-Data2023[[#This Row],[Non-EEA Active ]]-Data2023[[#This Row],[EEA Active]]),"N/A")</f>
        <v>42</v>
      </c>
      <c r="P33">
        <f>IFERROR(Data2023[[#This Row],[Non-EEA Active ]]/Data2023[[#This Row],[Number of active members]],"N/A")</f>
        <v>0.02</v>
      </c>
      <c r="Q33">
        <f>IFERROR(Data2023[[#This Row],[EEA Active]]/Data2023[[#This Row],[EEA total]], "N/A")</f>
        <v>0.7</v>
      </c>
      <c r="R33">
        <f>IFERROR(Data2023[[#This Row],[Dutch Active]]/Data2023[[#This Row],[Dutch total]],"N/A")</f>
        <v>0.25925925925925924</v>
      </c>
      <c r="S33" t="str">
        <f>IFERROR(IF(Data2023[[#This Row],[Number of members]]=Data2023[[#This Row],[Non-EEA Total]]+Data2023[[#This Row],[EEA total]]+Data2023[[#This Row],[Dutch total]],"T","F"),"F")</f>
        <v>T</v>
      </c>
      <c r="T33" t="str">
        <f>IFERROR(IF(Data2023[[#This Row],[Number of active members]]=Data2023[[#This Row],[Non-EEA Active ]]+Data2023[[#This Row],[EEA Active]]+Data2023[[#This Row],[Dutch Active]],"T","F"),"F")</f>
        <v>T</v>
      </c>
      <c r="U33" t="str">
        <f>IFERROR(IF(Data2023[[#This Row],[Number of members]]-Data2023[[#This Row],[Non-EEA Active ]]-Data2023[[#This Row],[EEA Active]]-Data2023[[#This Row],[Dutch Active]]=Data2023[[#This Row],[Number of  inactive members]],"T","F"),"F")</f>
        <v>T</v>
      </c>
      <c r="V33" t="str">
        <f>IF(Data2023[[#This Row],[EEA Active]]&lt;=Data2023[[#This Row],[EEA total]],"T","F")</f>
        <v>T</v>
      </c>
      <c r="W33" t="str">
        <f>IF(Data2023[[#This Row],[Dutch Active]]&lt;=Data2023[[#This Row],[Dutch total]],"T","F")</f>
        <v>T</v>
      </c>
      <c r="X33" t="str">
        <f>IF(Data2023[[#This Row],[Non-EEA Active ]]&lt;=Data2023[[#This Row],[Non-EEA Total]],"T","F")</f>
        <v>T</v>
      </c>
      <c r="Y33"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33">
        <f>IFERROR(VLOOKUP(Data2023[[#This Row],[organisation_name]],'Division Study Year Committees'!$A$1:$L$108,2,FALSE),"N/A")</f>
        <v>1</v>
      </c>
      <c r="AA33">
        <f>IFERROR(VLOOKUP(Data2023[[#This Row],[organisation_name]],'Division Study Year Committees'!$A$1:$L$108,3,FALSE),"N/A")</f>
        <v>2</v>
      </c>
      <c r="AB33">
        <f>IFERROR(VLOOKUP(Data2023[[#This Row],[organisation_name]],'Division Study Year Committees'!$A$1:$L$108,4,FALSE),"N/A")</f>
        <v>1</v>
      </c>
      <c r="AC33">
        <f>IFERROR(VLOOKUP(Data2023[[#This Row],[organisation_name]],'Division Study Year Committees'!$A$1:$L$108,5,FALSE), "N/A")</f>
        <v>1</v>
      </c>
      <c r="AD33">
        <f>IFERROR(VLOOKUP(Data2023[[#This Row],[organisation_name]],'Division Study Year Committees'!$A$1:$L$108,6,FALSE), "N/A")</f>
        <v>0</v>
      </c>
      <c r="AE33">
        <f>SUM(Data2023[[#This Row],[Number of first year comittee members]:[Number of 4+ year comittee members]])</f>
        <v>5</v>
      </c>
      <c r="AF33">
        <f>COUNTIF('Committee2022'!D:D,Data2023[[#This Row],[organisation_name]])</f>
        <v>22</v>
      </c>
      <c r="AG33">
        <v>2023</v>
      </c>
    </row>
    <row r="34" spans="1:33" x14ac:dyDescent="0.3">
      <c r="A34" t="str">
        <f>General2023[[#This Row],[organisation_name]]</f>
        <v>Twentse Thestrals</v>
      </c>
      <c r="B34" t="str">
        <f>IF(General2023[[#This Row],[sector]]= "",VLOOKUP(Data2023[[#This Row],[organisation_name]],'Response Rate sheet'!A:D,3,FALSE),General2023[[#This Row],[sector]])</f>
        <v>Sports</v>
      </c>
      <c r="C34" t="str">
        <f>General2023[[#This Row],[organisation_type]]</f>
        <v>association</v>
      </c>
      <c r="D34" t="str">
        <f>IF(ISBLANK(General2023[[#This Row],[number_of_members]]),"N/A",VLOOKUP(A34,General2023[[organisation_name]:[number_of_international_committee_board_members_not_eea]],6,FALSE))</f>
        <v>N/A</v>
      </c>
      <c r="E34" t="str">
        <f>IF(ISBLANK(General2023[[#This Row],[number_of_committee_board_members]]),"N/A",VLOOKUP(A34,General2023!B:M,10,FALSE))</f>
        <v>N/A</v>
      </c>
      <c r="F34" t="str">
        <f>IFERROR(Data2023[[#This Row],[Number of members]]-Data2023[[#This Row],[Number of active members]], "N/A")</f>
        <v>N/A</v>
      </c>
      <c r="G34" t="str">
        <f>IFERROR(Data2023[[#This Row],[Number of active members]]/Data2023[[#This Row],[Number of members]], "N/A")</f>
        <v>N/A</v>
      </c>
      <c r="H34" t="str">
        <f>IFERROR(1-Data2023[[#This Row],[Percentage active members]],"N/A")</f>
        <v>N/A</v>
      </c>
      <c r="I34" t="str">
        <f>IF(Data2023[[#This Row],[Number of members]]=0,"N/A",IF(Data2023[[#This Row],[Number of members]]&lt;50," A. 1 - 50 ",IF(Data2023[[#This Row],[Number of members]]&lt;100, "B. 50 - 100", IF(Data2023[[#This Row],[Number of members]]&lt;400, "C. 100 - 400", IF(Data2023[[#This Row],[Number of members]]&lt;1000,"D. 400 - 1000", "E. 1000 +")))))</f>
        <v>E. 1000 +</v>
      </c>
      <c r="J34" t="str">
        <f>IF(ISBLANK(General2023[[#This Row],[number_of_international_members_not_eea]]),"N/A",VLOOKUP(A34,General2023[[organisation_name]:[number_of_international_committee_board_members_not_eea]],9,FALSE))</f>
        <v>N/A</v>
      </c>
      <c r="K34" t="str">
        <f>IF(ISBLANK(General2023[[#This Row],[number_of_international_members_eea]]),"N/A",VLOOKUP(A34,General2023[[organisation_name]:[number_of_international_committee_board_members_not_eea]],8,FALSE))</f>
        <v>N/A</v>
      </c>
      <c r="L34" t="str">
        <f>IFERROR(IF(Data2023[[#This Row],[Number of members]]-Data2023[[#This Row],[Non-EEA Total]]-Data2023[[#This Row],[EEA total]]&lt;1,"N/A", Data2023[[#This Row],[Number of members]]-Data2023[[#This Row],[Non-EEA Total]]-Data2023[[#This Row],[EEA total]]),"N/A")</f>
        <v>N/A</v>
      </c>
      <c r="M34">
        <f>VLOOKUP(A34,General2023[[organisation_name]:[number_of_international_committee_board_members_not_eea]],12,FALSE)</f>
        <v>0</v>
      </c>
      <c r="N34">
        <f>VLOOKUP(A34,General2023[[organisation_name]:[number_of_international_committee_board_members_not_eea]],11,FALSE)</f>
        <v>0</v>
      </c>
      <c r="O34" t="str">
        <f>IFERROR(IF(Data2023[[#This Row],[Number of active members]]-Data2023[[#This Row],[Non-EEA Active ]]-Data2023[[#This Row],[EEA Active]]&lt;1,"N/A", Data2023[[#This Row],[Number of active members]]-Data2023[[#This Row],[Non-EEA Active ]]-Data2023[[#This Row],[EEA Active]]),"N/A")</f>
        <v>N/A</v>
      </c>
      <c r="P34" t="str">
        <f>IFERROR(Data2023[[#This Row],[Non-EEA Active ]]/Data2023[[#This Row],[Number of active members]],"N/A")</f>
        <v>N/A</v>
      </c>
      <c r="Q34" t="str">
        <f>IFERROR(Data2023[[#This Row],[EEA Active]]/Data2023[[#This Row],[EEA total]], "N/A")</f>
        <v>N/A</v>
      </c>
      <c r="R34" t="str">
        <f>IFERROR(Data2023[[#This Row],[Dutch Active]]/Data2023[[#This Row],[Dutch total]],"N/A")</f>
        <v>N/A</v>
      </c>
      <c r="S34" t="str">
        <f>IFERROR(IF(Data2023[[#This Row],[Number of members]]=Data2023[[#This Row],[Non-EEA Total]]+Data2023[[#This Row],[EEA total]]+Data2023[[#This Row],[Dutch total]],"T","F"),"F")</f>
        <v>F</v>
      </c>
      <c r="T34" t="str">
        <f>IFERROR(IF(Data2023[[#This Row],[Number of active members]]=Data2023[[#This Row],[Non-EEA Active ]]+Data2023[[#This Row],[EEA Active]]+Data2023[[#This Row],[Dutch Active]],"T","F"),"F")</f>
        <v>F</v>
      </c>
      <c r="U34" t="str">
        <f>IFERROR(IF(Data2023[[#This Row],[Number of members]]-Data2023[[#This Row],[Non-EEA Active ]]-Data2023[[#This Row],[EEA Active]]-Data2023[[#This Row],[Dutch Active]]=Data2023[[#This Row],[Number of  inactive members]],"T","F"),"F")</f>
        <v>F</v>
      </c>
      <c r="V34" t="str">
        <f>IF(Data2023[[#This Row],[EEA Active]]&lt;=Data2023[[#This Row],[EEA total]],"T","F")</f>
        <v>T</v>
      </c>
      <c r="W34" t="str">
        <f>IF(Data2023[[#This Row],[Dutch Active]]&lt;=Data2023[[#This Row],[Dutch total]],"T","F")</f>
        <v>T</v>
      </c>
      <c r="X34" t="str">
        <f>IF(Data2023[[#This Row],[Non-EEA Active ]]&lt;=Data2023[[#This Row],[Non-EEA Total]],"T","F")</f>
        <v>T</v>
      </c>
      <c r="Y3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4" t="str">
        <f>IFERROR(VLOOKUP(Data2023[[#This Row],[organisation_name]],'Division Study Year Committees'!$A$1:$L$108,2,FALSE),"N/A")</f>
        <v>N/A</v>
      </c>
      <c r="AA34" t="str">
        <f>IFERROR(VLOOKUP(Data2023[[#This Row],[organisation_name]],'Division Study Year Committees'!$A$1:$L$108,3,FALSE),"N/A")</f>
        <v>N/A</v>
      </c>
      <c r="AB34" t="str">
        <f>IFERROR(VLOOKUP(Data2023[[#This Row],[organisation_name]],'Division Study Year Committees'!$A$1:$L$108,4,FALSE),"N/A")</f>
        <v>N/A</v>
      </c>
      <c r="AC34" t="str">
        <f>IFERROR(VLOOKUP(Data2023[[#This Row],[organisation_name]],'Division Study Year Committees'!$A$1:$L$108,5,FALSE), "N/A")</f>
        <v>N/A</v>
      </c>
      <c r="AD34" t="str">
        <f>IFERROR(VLOOKUP(Data2023[[#This Row],[organisation_name]],'Division Study Year Committees'!$A$1:$L$108,6,FALSE), "N/A")</f>
        <v>N/A</v>
      </c>
      <c r="AE34">
        <f>SUM(Data2023[[#This Row],[Number of first year comittee members]:[Number of 4+ year comittee members]])</f>
        <v>0</v>
      </c>
      <c r="AF34">
        <f>COUNTIF('Committee2022'!D:D,Data2023[[#This Row],[organisation_name]])</f>
        <v>0</v>
      </c>
      <c r="AG34">
        <v>2023</v>
      </c>
    </row>
    <row r="35" spans="1:33" x14ac:dyDescent="0.3">
      <c r="A35" t="str">
        <f>General2023[[#This Row],[organisation_name]]</f>
        <v>Primo Ballerino</v>
      </c>
      <c r="B35" t="str">
        <f>IF(General2023[[#This Row],[sector]]= "",VLOOKUP(Data2023[[#This Row],[organisation_name]],'Response Rate sheet'!A:D,3,FALSE),General2023[[#This Row],[sector]])</f>
        <v>Culture</v>
      </c>
      <c r="C35" t="str">
        <f>General2023[[#This Row],[organisation_type]]</f>
        <v>association</v>
      </c>
      <c r="D35">
        <f>IF(ISBLANK(General2023[[#This Row],[number_of_members]]),"N/A",VLOOKUP(A35,General2023[[organisation_name]:[number_of_international_committee_board_members_not_eea]],6,FALSE))</f>
        <v>55</v>
      </c>
      <c r="E35">
        <f>IF(ISBLANK(General2023[[#This Row],[number_of_committee_board_members]]),"N/A",VLOOKUP(A35,General2023!B:M,10,FALSE))</f>
        <v>30</v>
      </c>
      <c r="F35">
        <f>IFERROR(Data2023[[#This Row],[Number of members]]-Data2023[[#This Row],[Number of active members]], "N/A")</f>
        <v>25</v>
      </c>
      <c r="G35">
        <f>IFERROR(Data2023[[#This Row],[Number of active members]]/Data2023[[#This Row],[Number of members]], "N/A")</f>
        <v>0.54545454545454541</v>
      </c>
      <c r="H35">
        <f>IFERROR(1-Data2023[[#This Row],[Percentage active members]],"N/A")</f>
        <v>0.45454545454545459</v>
      </c>
      <c r="I35" t="str">
        <f>IF(Data2023[[#This Row],[Number of members]]=0,"N/A",IF(Data2023[[#This Row],[Number of members]]&lt;50," A. 1 - 50 ",IF(Data2023[[#This Row],[Number of members]]&lt;100, "B. 50 - 100", IF(Data2023[[#This Row],[Number of members]]&lt;400, "C. 100 - 400", IF(Data2023[[#This Row],[Number of members]]&lt;1000,"D. 400 - 1000", "E. 1000 +")))))</f>
        <v>B. 50 - 100</v>
      </c>
      <c r="J35">
        <f>IF(ISBLANK(General2023[[#This Row],[number_of_international_members_not_eea]]),"N/A",VLOOKUP(A35,General2023[[organisation_name]:[number_of_international_committee_board_members_not_eea]],9,FALSE))</f>
        <v>18</v>
      </c>
      <c r="K35">
        <f>IF(ISBLANK(General2023[[#This Row],[number_of_international_members_eea]]),"N/A",VLOOKUP(A35,General2023[[organisation_name]:[number_of_international_committee_board_members_not_eea]],8,FALSE))</f>
        <v>7</v>
      </c>
      <c r="L35">
        <f>IFERROR(IF(Data2023[[#This Row],[Number of members]]-Data2023[[#This Row],[Non-EEA Total]]-Data2023[[#This Row],[EEA total]]&lt;1,"N/A", Data2023[[#This Row],[Number of members]]-Data2023[[#This Row],[Non-EEA Total]]-Data2023[[#This Row],[EEA total]]),"N/A")</f>
        <v>30</v>
      </c>
      <c r="M35">
        <f>VLOOKUP(A35,General2023[[organisation_name]:[number_of_international_committee_board_members_not_eea]],12,FALSE)</f>
        <v>2</v>
      </c>
      <c r="N35">
        <f>VLOOKUP(A35,General2023[[organisation_name]:[number_of_international_committee_board_members_not_eea]],11,FALSE)</f>
        <v>3</v>
      </c>
      <c r="O35">
        <f>IFERROR(IF(Data2023[[#This Row],[Number of active members]]-Data2023[[#This Row],[Non-EEA Active ]]-Data2023[[#This Row],[EEA Active]]&lt;1,"N/A", Data2023[[#This Row],[Number of active members]]-Data2023[[#This Row],[Non-EEA Active ]]-Data2023[[#This Row],[EEA Active]]),"N/A")</f>
        <v>25</v>
      </c>
      <c r="P35">
        <f>IFERROR(Data2023[[#This Row],[Non-EEA Active ]]/Data2023[[#This Row],[Number of active members]],"N/A")</f>
        <v>6.6666666666666666E-2</v>
      </c>
      <c r="Q35">
        <f>IFERROR(Data2023[[#This Row],[EEA Active]]/Data2023[[#This Row],[EEA total]], "N/A")</f>
        <v>0.42857142857142855</v>
      </c>
      <c r="R35">
        <f>IFERROR(Data2023[[#This Row],[Dutch Active]]/Data2023[[#This Row],[Dutch total]],"N/A")</f>
        <v>0.83333333333333337</v>
      </c>
      <c r="S35" t="str">
        <f>IFERROR(IF(Data2023[[#This Row],[Number of members]]=Data2023[[#This Row],[Non-EEA Total]]+Data2023[[#This Row],[EEA total]]+Data2023[[#This Row],[Dutch total]],"T","F"),"F")</f>
        <v>T</v>
      </c>
      <c r="T35" t="str">
        <f>IFERROR(IF(Data2023[[#This Row],[Number of active members]]=Data2023[[#This Row],[Non-EEA Active ]]+Data2023[[#This Row],[EEA Active]]+Data2023[[#This Row],[Dutch Active]],"T","F"),"F")</f>
        <v>T</v>
      </c>
      <c r="U35" t="str">
        <f>IFERROR(IF(Data2023[[#This Row],[Number of members]]-Data2023[[#This Row],[Non-EEA Active ]]-Data2023[[#This Row],[EEA Active]]-Data2023[[#This Row],[Dutch Active]]=Data2023[[#This Row],[Number of  inactive members]],"T","F"),"F")</f>
        <v>T</v>
      </c>
      <c r="V35" t="str">
        <f>IF(Data2023[[#This Row],[EEA Active]]&lt;=Data2023[[#This Row],[EEA total]],"T","F")</f>
        <v>T</v>
      </c>
      <c r="W35" t="str">
        <f>IF(Data2023[[#This Row],[Dutch Active]]&lt;=Data2023[[#This Row],[Dutch total]],"T","F")</f>
        <v>T</v>
      </c>
      <c r="X35" t="str">
        <f>IF(Data2023[[#This Row],[Non-EEA Active ]]&lt;=Data2023[[#This Row],[Non-EEA Total]],"T","F")</f>
        <v>T</v>
      </c>
      <c r="Y3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35">
        <f>IFERROR(VLOOKUP(Data2023[[#This Row],[organisation_name]],'Division Study Year Committees'!$A$1:$L$108,2,FALSE),"N/A")</f>
        <v>0</v>
      </c>
      <c r="AA35">
        <f>IFERROR(VLOOKUP(Data2023[[#This Row],[organisation_name]],'Division Study Year Committees'!$A$1:$L$108,3,FALSE),"N/A")</f>
        <v>0</v>
      </c>
      <c r="AB35">
        <f>IFERROR(VLOOKUP(Data2023[[#This Row],[organisation_name]],'Division Study Year Committees'!$A$1:$L$108,4,FALSE),"N/A")</f>
        <v>1</v>
      </c>
      <c r="AC35">
        <f>IFERROR(VLOOKUP(Data2023[[#This Row],[organisation_name]],'Division Study Year Committees'!$A$1:$L$108,5,FALSE), "N/A")</f>
        <v>1</v>
      </c>
      <c r="AD35">
        <f>IFERROR(VLOOKUP(Data2023[[#This Row],[organisation_name]],'Division Study Year Committees'!$A$1:$L$108,6,FALSE), "N/A")</f>
        <v>1</v>
      </c>
      <c r="AE35">
        <f>SUM(Data2023[[#This Row],[Number of first year comittee members]:[Number of 4+ year comittee members]])</f>
        <v>3</v>
      </c>
      <c r="AF35">
        <f>COUNTIF('Committee2022'!D:D,Data2023[[#This Row],[organisation_name]])</f>
        <v>8</v>
      </c>
      <c r="AG35">
        <v>2023</v>
      </c>
    </row>
    <row r="36" spans="1:33" x14ac:dyDescent="0.3">
      <c r="A36" t="str">
        <f>General2023[[#This Row],[organisation_name]]</f>
        <v>Phoenix Lacrosse</v>
      </c>
      <c r="B36" t="str">
        <f>IF(General2023[[#This Row],[sector]]= "",VLOOKUP(Data2023[[#This Row],[organisation_name]],'Response Rate sheet'!A:D,3,FALSE),General2023[[#This Row],[sector]])</f>
        <v>Sports</v>
      </c>
      <c r="C36" t="str">
        <f>General2023[[#This Row],[organisation_type]]</f>
        <v>association</v>
      </c>
      <c r="D36">
        <f>IF(ISBLANK(General2023[[#This Row],[number_of_members]]),"N/A",VLOOKUP(A36,General2023[[organisation_name]:[number_of_international_committee_board_members_not_eea]],6,FALSE))</f>
        <v>59</v>
      </c>
      <c r="E36">
        <f>IF(ISBLANK(General2023[[#This Row],[number_of_committee_board_members]]),"N/A",VLOOKUP(A36,General2023!B:M,10,FALSE))</f>
        <v>24</v>
      </c>
      <c r="F36">
        <f>IFERROR(Data2023[[#This Row],[Number of members]]-Data2023[[#This Row],[Number of active members]], "N/A")</f>
        <v>35</v>
      </c>
      <c r="G36">
        <f>IFERROR(Data2023[[#This Row],[Number of active members]]/Data2023[[#This Row],[Number of members]], "N/A")</f>
        <v>0.40677966101694918</v>
      </c>
      <c r="H36">
        <f>IFERROR(1-Data2023[[#This Row],[Percentage active members]],"N/A")</f>
        <v>0.59322033898305082</v>
      </c>
      <c r="I36" t="str">
        <f>IF(Data2023[[#This Row],[Number of members]]=0,"N/A",IF(Data2023[[#This Row],[Number of members]]&lt;50," A. 1 - 50 ",IF(Data2023[[#This Row],[Number of members]]&lt;100, "B. 50 - 100", IF(Data2023[[#This Row],[Number of members]]&lt;400, "C. 100 - 400", IF(Data2023[[#This Row],[Number of members]]&lt;1000,"D. 400 - 1000", "E. 1000 +")))))</f>
        <v>B. 50 - 100</v>
      </c>
      <c r="J36">
        <f>IF(ISBLANK(General2023[[#This Row],[number_of_international_members_not_eea]]),"N/A",VLOOKUP(A36,General2023[[organisation_name]:[number_of_international_committee_board_members_not_eea]],9,FALSE))</f>
        <v>35</v>
      </c>
      <c r="K36">
        <f>IF(ISBLANK(General2023[[#This Row],[number_of_international_members_eea]]),"N/A",VLOOKUP(A36,General2023[[organisation_name]:[number_of_international_committee_board_members_not_eea]],8,FALSE))</f>
        <v>0</v>
      </c>
      <c r="L36">
        <f>IFERROR(IF(Data2023[[#This Row],[Number of members]]-Data2023[[#This Row],[Non-EEA Total]]-Data2023[[#This Row],[EEA total]]&lt;1,"N/A", Data2023[[#This Row],[Number of members]]-Data2023[[#This Row],[Non-EEA Total]]-Data2023[[#This Row],[EEA total]]),"N/A")</f>
        <v>24</v>
      </c>
      <c r="M36">
        <f>VLOOKUP(A36,General2023[[organisation_name]:[number_of_international_committee_board_members_not_eea]],12,FALSE)</f>
        <v>0</v>
      </c>
      <c r="N36">
        <f>VLOOKUP(A36,General2023[[organisation_name]:[number_of_international_committee_board_members_not_eea]],11,FALSE)</f>
        <v>2</v>
      </c>
      <c r="O36">
        <f>IFERROR(IF(Data2023[[#This Row],[Number of active members]]-Data2023[[#This Row],[Non-EEA Active ]]-Data2023[[#This Row],[EEA Active]]&lt;1,"N/A", Data2023[[#This Row],[Number of active members]]-Data2023[[#This Row],[Non-EEA Active ]]-Data2023[[#This Row],[EEA Active]]),"N/A")</f>
        <v>22</v>
      </c>
      <c r="P36">
        <f>IFERROR(Data2023[[#This Row],[Non-EEA Active ]]/Data2023[[#This Row],[Number of active members]],"N/A")</f>
        <v>0</v>
      </c>
      <c r="Q36" t="str">
        <f>IFERROR(Data2023[[#This Row],[EEA Active]]/Data2023[[#This Row],[EEA total]], "N/A")</f>
        <v>N/A</v>
      </c>
      <c r="R36">
        <f>IFERROR(Data2023[[#This Row],[Dutch Active]]/Data2023[[#This Row],[Dutch total]],"N/A")</f>
        <v>0.91666666666666663</v>
      </c>
      <c r="S36" t="str">
        <f>IFERROR(IF(Data2023[[#This Row],[Number of members]]=Data2023[[#This Row],[Non-EEA Total]]+Data2023[[#This Row],[EEA total]]+Data2023[[#This Row],[Dutch total]],"T","F"),"F")</f>
        <v>T</v>
      </c>
      <c r="T36" t="str">
        <f>IFERROR(IF(Data2023[[#This Row],[Number of active members]]=Data2023[[#This Row],[Non-EEA Active ]]+Data2023[[#This Row],[EEA Active]]+Data2023[[#This Row],[Dutch Active]],"T","F"),"F")</f>
        <v>T</v>
      </c>
      <c r="U36" t="str">
        <f>IFERROR(IF(Data2023[[#This Row],[Number of members]]-Data2023[[#This Row],[Non-EEA Active ]]-Data2023[[#This Row],[EEA Active]]-Data2023[[#This Row],[Dutch Active]]=Data2023[[#This Row],[Number of  inactive members]],"T","F"),"F")</f>
        <v>T</v>
      </c>
      <c r="V36" t="str">
        <f>IF(Data2023[[#This Row],[EEA Active]]&lt;=Data2023[[#This Row],[EEA total]],"T","F")</f>
        <v>F</v>
      </c>
      <c r="W36" t="str">
        <f>IF(Data2023[[#This Row],[Dutch Active]]&lt;=Data2023[[#This Row],[Dutch total]],"T","F")</f>
        <v>T</v>
      </c>
      <c r="X36" t="str">
        <f>IF(Data2023[[#This Row],[Non-EEA Active ]]&lt;=Data2023[[#This Row],[Non-EEA Total]],"T","F")</f>
        <v>T</v>
      </c>
      <c r="Y3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6" t="str">
        <f>IFERROR(VLOOKUP(Data2023[[#This Row],[organisation_name]],'Division Study Year Committees'!$A$1:$L$108,2,FALSE),"N/A")</f>
        <v>N/A</v>
      </c>
      <c r="AA36" t="str">
        <f>IFERROR(VLOOKUP(Data2023[[#This Row],[organisation_name]],'Division Study Year Committees'!$A$1:$L$108,3,FALSE),"N/A")</f>
        <v>N/A</v>
      </c>
      <c r="AB36" t="str">
        <f>IFERROR(VLOOKUP(Data2023[[#This Row],[organisation_name]],'Division Study Year Committees'!$A$1:$L$108,4,FALSE),"N/A")</f>
        <v>N/A</v>
      </c>
      <c r="AC36" t="str">
        <f>IFERROR(VLOOKUP(Data2023[[#This Row],[organisation_name]],'Division Study Year Committees'!$A$1:$L$108,5,FALSE), "N/A")</f>
        <v>N/A</v>
      </c>
      <c r="AD36" t="str">
        <f>IFERROR(VLOOKUP(Data2023[[#This Row],[organisation_name]],'Division Study Year Committees'!$A$1:$L$108,6,FALSE), "N/A")</f>
        <v>N/A</v>
      </c>
      <c r="AE36">
        <f>SUM(Data2023[[#This Row],[Number of first year comittee members]:[Number of 4+ year comittee members]])</f>
        <v>0</v>
      </c>
      <c r="AF36">
        <f>COUNTIF('Committee2022'!D:D,Data2023[[#This Row],[organisation_name]])</f>
        <v>0</v>
      </c>
      <c r="AG36">
        <v>2023</v>
      </c>
    </row>
    <row r="37" spans="1:33" x14ac:dyDescent="0.3">
      <c r="A37" t="str">
        <f>General2023[[#This Row],[organisation_name]]</f>
        <v>SKV Hercules</v>
      </c>
      <c r="B37" t="str">
        <f>IF(General2023[[#This Row],[sector]]= "",VLOOKUP(Data2023[[#This Row],[organisation_name]],'Response Rate sheet'!A:D,3,FALSE),General2023[[#This Row],[sector]])</f>
        <v>Sports</v>
      </c>
      <c r="C37" t="str">
        <f>General2023[[#This Row],[organisation_type]]</f>
        <v>association</v>
      </c>
      <c r="D37">
        <f>IF(ISBLANK(General2023[[#This Row],[number_of_members]]),"N/A",VLOOKUP(A37,General2023[[organisation_name]:[number_of_international_committee_board_members_not_eea]],6,FALSE))</f>
        <v>65</v>
      </c>
      <c r="E37">
        <f>IF(ISBLANK(General2023[[#This Row],[number_of_committee_board_members]]),"N/A",VLOOKUP(A37,General2023!B:M,10,FALSE))</f>
        <v>40</v>
      </c>
      <c r="F37">
        <f>IFERROR(Data2023[[#This Row],[Number of members]]-Data2023[[#This Row],[Number of active members]], "N/A")</f>
        <v>25</v>
      </c>
      <c r="G37">
        <f>IFERROR(Data2023[[#This Row],[Number of active members]]/Data2023[[#This Row],[Number of members]], "N/A")</f>
        <v>0.61538461538461542</v>
      </c>
      <c r="H37">
        <f>IFERROR(1-Data2023[[#This Row],[Percentage active members]],"N/A")</f>
        <v>0.38461538461538458</v>
      </c>
      <c r="I37" t="str">
        <f>IF(Data2023[[#This Row],[Number of members]]=0,"N/A",IF(Data2023[[#This Row],[Number of members]]&lt;50," A. 1 - 50 ",IF(Data2023[[#This Row],[Number of members]]&lt;100, "B. 50 - 100", IF(Data2023[[#This Row],[Number of members]]&lt;400, "C. 100 - 400", IF(Data2023[[#This Row],[Number of members]]&lt;1000,"D. 400 - 1000", "E. 1000 +")))))</f>
        <v>B. 50 - 100</v>
      </c>
      <c r="J37">
        <f>IF(ISBLANK(General2023[[#This Row],[number_of_international_members_not_eea]]),"N/A",VLOOKUP(A37,General2023[[organisation_name]:[number_of_international_committee_board_members_not_eea]],9,FALSE))</f>
        <v>25</v>
      </c>
      <c r="K37">
        <f>IF(ISBLANK(General2023[[#This Row],[number_of_international_members_eea]]),"N/A",VLOOKUP(A37,General2023[[organisation_name]:[number_of_international_committee_board_members_not_eea]],8,FALSE))</f>
        <v>3</v>
      </c>
      <c r="L37">
        <f>IFERROR(IF(Data2023[[#This Row],[Number of members]]-Data2023[[#This Row],[Non-EEA Total]]-Data2023[[#This Row],[EEA total]]&lt;1,"N/A", Data2023[[#This Row],[Number of members]]-Data2023[[#This Row],[Non-EEA Total]]-Data2023[[#This Row],[EEA total]]),"N/A")</f>
        <v>37</v>
      </c>
      <c r="M37">
        <f>VLOOKUP(A37,General2023[[organisation_name]:[number_of_international_committee_board_members_not_eea]],12,FALSE)</f>
        <v>1</v>
      </c>
      <c r="N37">
        <f>VLOOKUP(A37,General2023[[organisation_name]:[number_of_international_committee_board_members_not_eea]],11,FALSE)</f>
        <v>12</v>
      </c>
      <c r="O37">
        <f>IFERROR(IF(Data2023[[#This Row],[Number of active members]]-Data2023[[#This Row],[Non-EEA Active ]]-Data2023[[#This Row],[EEA Active]]&lt;1,"N/A", Data2023[[#This Row],[Number of active members]]-Data2023[[#This Row],[Non-EEA Active ]]-Data2023[[#This Row],[EEA Active]]),"N/A")</f>
        <v>27</v>
      </c>
      <c r="P37">
        <f>IFERROR(Data2023[[#This Row],[Non-EEA Active ]]/Data2023[[#This Row],[Number of active members]],"N/A")</f>
        <v>2.5000000000000001E-2</v>
      </c>
      <c r="Q37">
        <f>IFERROR(Data2023[[#This Row],[EEA Active]]/Data2023[[#This Row],[EEA total]], "N/A")</f>
        <v>4</v>
      </c>
      <c r="R37">
        <f>IFERROR(Data2023[[#This Row],[Dutch Active]]/Data2023[[#This Row],[Dutch total]],"N/A")</f>
        <v>0.72972972972972971</v>
      </c>
      <c r="S37" t="str">
        <f>IFERROR(IF(Data2023[[#This Row],[Number of members]]=Data2023[[#This Row],[Non-EEA Total]]+Data2023[[#This Row],[EEA total]]+Data2023[[#This Row],[Dutch total]],"T","F"),"F")</f>
        <v>T</v>
      </c>
      <c r="T37" t="str">
        <f>IFERROR(IF(Data2023[[#This Row],[Number of active members]]=Data2023[[#This Row],[Non-EEA Active ]]+Data2023[[#This Row],[EEA Active]]+Data2023[[#This Row],[Dutch Active]],"T","F"),"F")</f>
        <v>T</v>
      </c>
      <c r="U37" t="str">
        <f>IFERROR(IF(Data2023[[#This Row],[Number of members]]-Data2023[[#This Row],[Non-EEA Active ]]-Data2023[[#This Row],[EEA Active]]-Data2023[[#This Row],[Dutch Active]]=Data2023[[#This Row],[Number of  inactive members]],"T","F"),"F")</f>
        <v>T</v>
      </c>
      <c r="V37" t="str">
        <f>IF(Data2023[[#This Row],[EEA Active]]&lt;=Data2023[[#This Row],[EEA total]],"T","F")</f>
        <v>F</v>
      </c>
      <c r="W37" t="str">
        <f>IF(Data2023[[#This Row],[Dutch Active]]&lt;=Data2023[[#This Row],[Dutch total]],"T","F")</f>
        <v>T</v>
      </c>
      <c r="X37" t="str">
        <f>IF(Data2023[[#This Row],[Non-EEA Active ]]&lt;=Data2023[[#This Row],[Non-EEA Total]],"T","F")</f>
        <v>T</v>
      </c>
      <c r="Y3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7" t="str">
        <f>IFERROR(VLOOKUP(Data2023[[#This Row],[organisation_name]],'Division Study Year Committees'!$A$1:$L$108,2,FALSE),"N/A")</f>
        <v>N/A</v>
      </c>
      <c r="AA37" t="str">
        <f>IFERROR(VLOOKUP(Data2023[[#This Row],[organisation_name]],'Division Study Year Committees'!$A$1:$L$108,3,FALSE),"N/A")</f>
        <v>N/A</v>
      </c>
      <c r="AB37" t="str">
        <f>IFERROR(VLOOKUP(Data2023[[#This Row],[organisation_name]],'Division Study Year Committees'!$A$1:$L$108,4,FALSE),"N/A")</f>
        <v>N/A</v>
      </c>
      <c r="AC37" t="str">
        <f>IFERROR(VLOOKUP(Data2023[[#This Row],[organisation_name]],'Division Study Year Committees'!$A$1:$L$108,5,FALSE), "N/A")</f>
        <v>N/A</v>
      </c>
      <c r="AD37" t="str">
        <f>IFERROR(VLOOKUP(Data2023[[#This Row],[organisation_name]],'Division Study Year Committees'!$A$1:$L$108,6,FALSE), "N/A")</f>
        <v>N/A</v>
      </c>
      <c r="AE37">
        <f>SUM(Data2023[[#This Row],[Number of first year comittee members]:[Number of 4+ year comittee members]])</f>
        <v>0</v>
      </c>
      <c r="AF37">
        <f>COUNTIF('Committee2022'!D:D,Data2023[[#This Row],[organisation_name]])</f>
        <v>3</v>
      </c>
      <c r="AG37">
        <v>2023</v>
      </c>
    </row>
    <row r="38" spans="1:33" x14ac:dyDescent="0.3">
      <c r="A38" t="str">
        <f>General2023[[#This Row],[organisation_name]]</f>
        <v>A la Kart</v>
      </c>
      <c r="B38" t="str">
        <f>IF(General2023[[#This Row],[sector]]= "",VLOOKUP(Data2023[[#This Row],[organisation_name]],'Response Rate sheet'!A:D,3,FALSE),General2023[[#This Row],[sector]])</f>
        <v>Sports</v>
      </c>
      <c r="C38" t="str">
        <f>General2023[[#This Row],[organisation_type]]</f>
        <v>association</v>
      </c>
      <c r="D38" t="str">
        <f>IF(ISBLANK(General2023[[#This Row],[number_of_members]]),"N/A",VLOOKUP(A38,General2023[[organisation_name]:[number_of_international_committee_board_members_not_eea]],6,FALSE))</f>
        <v>N/A</v>
      </c>
      <c r="E38" t="str">
        <f>IF(ISBLANK(General2023[[#This Row],[number_of_committee_board_members]]),"N/A",VLOOKUP(A38,General2023!B:M,10,FALSE))</f>
        <v>N/A</v>
      </c>
      <c r="F38" t="str">
        <f>IFERROR(Data2023[[#This Row],[Number of members]]-Data2023[[#This Row],[Number of active members]], "N/A")</f>
        <v>N/A</v>
      </c>
      <c r="G38" t="str">
        <f>IFERROR(Data2023[[#This Row],[Number of active members]]/Data2023[[#This Row],[Number of members]], "N/A")</f>
        <v>N/A</v>
      </c>
      <c r="H38" t="str">
        <f>IFERROR(1-Data2023[[#This Row],[Percentage active members]],"N/A")</f>
        <v>N/A</v>
      </c>
      <c r="I38" t="str">
        <f>IF(Data2023[[#This Row],[Number of members]]=0,"N/A",IF(Data2023[[#This Row],[Number of members]]&lt;50," A. 1 - 50 ",IF(Data2023[[#This Row],[Number of members]]&lt;100, "B. 50 - 100", IF(Data2023[[#This Row],[Number of members]]&lt;400, "C. 100 - 400", IF(Data2023[[#This Row],[Number of members]]&lt;1000,"D. 400 - 1000", "E. 1000 +")))))</f>
        <v>E. 1000 +</v>
      </c>
      <c r="J38" t="str">
        <f>IF(ISBLANK(General2023[[#This Row],[number_of_international_members_not_eea]]),"N/A",VLOOKUP(A38,General2023[[organisation_name]:[number_of_international_committee_board_members_not_eea]],9,FALSE))</f>
        <v>N/A</v>
      </c>
      <c r="K38" t="str">
        <f>IF(ISBLANK(General2023[[#This Row],[number_of_international_members_eea]]),"N/A",VLOOKUP(A38,General2023[[organisation_name]:[number_of_international_committee_board_members_not_eea]],8,FALSE))</f>
        <v>N/A</v>
      </c>
      <c r="L38" t="str">
        <f>IFERROR(IF(Data2023[[#This Row],[Number of members]]-Data2023[[#This Row],[Non-EEA Total]]-Data2023[[#This Row],[EEA total]]&lt;1,"N/A", Data2023[[#This Row],[Number of members]]-Data2023[[#This Row],[Non-EEA Total]]-Data2023[[#This Row],[EEA total]]),"N/A")</f>
        <v>N/A</v>
      </c>
      <c r="M38">
        <f>VLOOKUP(A38,General2023[[organisation_name]:[number_of_international_committee_board_members_not_eea]],12,FALSE)</f>
        <v>0</v>
      </c>
      <c r="N38">
        <f>VLOOKUP(A38,General2023[[organisation_name]:[number_of_international_committee_board_members_not_eea]],11,FALSE)</f>
        <v>0</v>
      </c>
      <c r="O38" t="str">
        <f>IFERROR(IF(Data2023[[#This Row],[Number of active members]]-Data2023[[#This Row],[Non-EEA Active ]]-Data2023[[#This Row],[EEA Active]]&lt;1,"N/A", Data2023[[#This Row],[Number of active members]]-Data2023[[#This Row],[Non-EEA Active ]]-Data2023[[#This Row],[EEA Active]]),"N/A")</f>
        <v>N/A</v>
      </c>
      <c r="P38" t="str">
        <f>IFERROR(Data2023[[#This Row],[Non-EEA Active ]]/Data2023[[#This Row],[Number of active members]],"N/A")</f>
        <v>N/A</v>
      </c>
      <c r="Q38" t="str">
        <f>IFERROR(Data2023[[#This Row],[EEA Active]]/Data2023[[#This Row],[EEA total]], "N/A")</f>
        <v>N/A</v>
      </c>
      <c r="R38" t="str">
        <f>IFERROR(Data2023[[#This Row],[Dutch Active]]/Data2023[[#This Row],[Dutch total]],"N/A")</f>
        <v>N/A</v>
      </c>
      <c r="S38" t="str">
        <f>IFERROR(IF(Data2023[[#This Row],[Number of members]]=Data2023[[#This Row],[Non-EEA Total]]+Data2023[[#This Row],[EEA total]]+Data2023[[#This Row],[Dutch total]],"T","F"),"F")</f>
        <v>F</v>
      </c>
      <c r="T38" t="str">
        <f>IFERROR(IF(Data2023[[#This Row],[Number of active members]]=Data2023[[#This Row],[Non-EEA Active ]]+Data2023[[#This Row],[EEA Active]]+Data2023[[#This Row],[Dutch Active]],"T","F"),"F")</f>
        <v>F</v>
      </c>
      <c r="U38" t="str">
        <f>IFERROR(IF(Data2023[[#This Row],[Number of members]]-Data2023[[#This Row],[Non-EEA Active ]]-Data2023[[#This Row],[EEA Active]]-Data2023[[#This Row],[Dutch Active]]=Data2023[[#This Row],[Number of  inactive members]],"T","F"),"F")</f>
        <v>F</v>
      </c>
      <c r="V38" t="str">
        <f>IF(Data2023[[#This Row],[EEA Active]]&lt;=Data2023[[#This Row],[EEA total]],"T","F")</f>
        <v>T</v>
      </c>
      <c r="W38" t="str">
        <f>IF(Data2023[[#This Row],[Dutch Active]]&lt;=Data2023[[#This Row],[Dutch total]],"T","F")</f>
        <v>T</v>
      </c>
      <c r="X38" t="str">
        <f>IF(Data2023[[#This Row],[Non-EEA Active ]]&lt;=Data2023[[#This Row],[Non-EEA Total]],"T","F")</f>
        <v>T</v>
      </c>
      <c r="Y3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8" t="str">
        <f>IFERROR(VLOOKUP(Data2023[[#This Row],[organisation_name]],'Division Study Year Committees'!$A$1:$L$108,2,FALSE),"N/A")</f>
        <v>N/A</v>
      </c>
      <c r="AA38" t="str">
        <f>IFERROR(VLOOKUP(Data2023[[#This Row],[organisation_name]],'Division Study Year Committees'!$A$1:$L$108,3,FALSE),"N/A")</f>
        <v>N/A</v>
      </c>
      <c r="AB38" t="str">
        <f>IFERROR(VLOOKUP(Data2023[[#This Row],[organisation_name]],'Division Study Year Committees'!$A$1:$L$108,4,FALSE),"N/A")</f>
        <v>N/A</v>
      </c>
      <c r="AC38" t="str">
        <f>IFERROR(VLOOKUP(Data2023[[#This Row],[organisation_name]],'Division Study Year Committees'!$A$1:$L$108,5,FALSE), "N/A")</f>
        <v>N/A</v>
      </c>
      <c r="AD38" t="str">
        <f>IFERROR(VLOOKUP(Data2023[[#This Row],[organisation_name]],'Division Study Year Committees'!$A$1:$L$108,6,FALSE), "N/A")</f>
        <v>N/A</v>
      </c>
      <c r="AE38">
        <f>SUM(Data2023[[#This Row],[Number of first year comittee members]:[Number of 4+ year comittee members]])</f>
        <v>0</v>
      </c>
      <c r="AF38">
        <f>COUNTIF('Committee2022'!D:D,Data2023[[#This Row],[organisation_name]])</f>
        <v>0</v>
      </c>
      <c r="AG38">
        <v>2023</v>
      </c>
    </row>
    <row r="39" spans="1:33" x14ac:dyDescent="0.3">
      <c r="A39" t="str">
        <f>General2023[[#This Row],[organisation_name]]</f>
        <v>BSV de Stoottroepen</v>
      </c>
      <c r="B39" t="str">
        <f>IF(General2023[[#This Row],[sector]]= "",VLOOKUP(Data2023[[#This Row],[organisation_name]],'Response Rate sheet'!A:D,3,FALSE),General2023[[#This Row],[sector]])</f>
        <v>sports</v>
      </c>
      <c r="C39" t="str">
        <f>General2023[[#This Row],[organisation_type]]</f>
        <v>association</v>
      </c>
      <c r="D39" t="str">
        <f>IF(ISBLANK(General2023[[#This Row],[number_of_members]]),"N/A",VLOOKUP(A39,General2023[[organisation_name]:[number_of_international_committee_board_members_not_eea]],6,FALSE))</f>
        <v>N/A</v>
      </c>
      <c r="E39" t="str">
        <f>IF(ISBLANK(General2023[[#This Row],[number_of_committee_board_members]]),"N/A",VLOOKUP(A39,General2023!B:M,10,FALSE))</f>
        <v>N/A</v>
      </c>
      <c r="F39" t="str">
        <f>IFERROR(Data2023[[#This Row],[Number of members]]-Data2023[[#This Row],[Number of active members]], "N/A")</f>
        <v>N/A</v>
      </c>
      <c r="G39" t="str">
        <f>IFERROR(Data2023[[#This Row],[Number of active members]]/Data2023[[#This Row],[Number of members]], "N/A")</f>
        <v>N/A</v>
      </c>
      <c r="H39" t="str">
        <f>IFERROR(1-Data2023[[#This Row],[Percentage active members]],"N/A")</f>
        <v>N/A</v>
      </c>
      <c r="I39" t="str">
        <f>IF(Data2023[[#This Row],[Number of members]]=0,"N/A",IF(Data2023[[#This Row],[Number of members]]&lt;50," A. 1 - 50 ",IF(Data2023[[#This Row],[Number of members]]&lt;100, "B. 50 - 100", IF(Data2023[[#This Row],[Number of members]]&lt;400, "C. 100 - 400", IF(Data2023[[#This Row],[Number of members]]&lt;1000,"D. 400 - 1000", "E. 1000 +")))))</f>
        <v>E. 1000 +</v>
      </c>
      <c r="J39" t="str">
        <f>IF(ISBLANK(General2023[[#This Row],[number_of_international_members_not_eea]]),"N/A",VLOOKUP(A39,General2023[[organisation_name]:[number_of_international_committee_board_members_not_eea]],9,FALSE))</f>
        <v>N/A</v>
      </c>
      <c r="K39" t="str">
        <f>IF(ISBLANK(General2023[[#This Row],[number_of_international_members_eea]]),"N/A",VLOOKUP(A39,General2023[[organisation_name]:[number_of_international_committee_board_members_not_eea]],8,FALSE))</f>
        <v>N/A</v>
      </c>
      <c r="L39" t="str">
        <f>IFERROR(IF(Data2023[[#This Row],[Number of members]]-Data2023[[#This Row],[Non-EEA Total]]-Data2023[[#This Row],[EEA total]]&lt;1,"N/A", Data2023[[#This Row],[Number of members]]-Data2023[[#This Row],[Non-EEA Total]]-Data2023[[#This Row],[EEA total]]),"N/A")</f>
        <v>N/A</v>
      </c>
      <c r="M39">
        <f>VLOOKUP(A39,General2023[[organisation_name]:[number_of_international_committee_board_members_not_eea]],12,FALSE)</f>
        <v>0</v>
      </c>
      <c r="N39">
        <f>VLOOKUP(A39,General2023[[organisation_name]:[number_of_international_committee_board_members_not_eea]],11,FALSE)</f>
        <v>0</v>
      </c>
      <c r="O39" t="str">
        <f>IFERROR(IF(Data2023[[#This Row],[Number of active members]]-Data2023[[#This Row],[Non-EEA Active ]]-Data2023[[#This Row],[EEA Active]]&lt;1,"N/A", Data2023[[#This Row],[Number of active members]]-Data2023[[#This Row],[Non-EEA Active ]]-Data2023[[#This Row],[EEA Active]]),"N/A")</f>
        <v>N/A</v>
      </c>
      <c r="P39" t="str">
        <f>IFERROR(Data2023[[#This Row],[Non-EEA Active ]]/Data2023[[#This Row],[Number of active members]],"N/A")</f>
        <v>N/A</v>
      </c>
      <c r="Q39" t="str">
        <f>IFERROR(Data2023[[#This Row],[EEA Active]]/Data2023[[#This Row],[EEA total]], "N/A")</f>
        <v>N/A</v>
      </c>
      <c r="R39" t="str">
        <f>IFERROR(Data2023[[#This Row],[Dutch Active]]/Data2023[[#This Row],[Dutch total]],"N/A")</f>
        <v>N/A</v>
      </c>
      <c r="S39" t="str">
        <f>IFERROR(IF(Data2023[[#This Row],[Number of members]]=Data2023[[#This Row],[Non-EEA Total]]+Data2023[[#This Row],[EEA total]]+Data2023[[#This Row],[Dutch total]],"T","F"),"F")</f>
        <v>F</v>
      </c>
      <c r="T39" t="str">
        <f>IFERROR(IF(Data2023[[#This Row],[Number of active members]]=Data2023[[#This Row],[Non-EEA Active ]]+Data2023[[#This Row],[EEA Active]]+Data2023[[#This Row],[Dutch Active]],"T","F"),"F")</f>
        <v>F</v>
      </c>
      <c r="U39" t="str">
        <f>IFERROR(IF(Data2023[[#This Row],[Number of members]]-Data2023[[#This Row],[Non-EEA Active ]]-Data2023[[#This Row],[EEA Active]]-Data2023[[#This Row],[Dutch Active]]=Data2023[[#This Row],[Number of  inactive members]],"T","F"),"F")</f>
        <v>F</v>
      </c>
      <c r="V39" t="str">
        <f>IF(Data2023[[#This Row],[EEA Active]]&lt;=Data2023[[#This Row],[EEA total]],"T","F")</f>
        <v>T</v>
      </c>
      <c r="W39" t="str">
        <f>IF(Data2023[[#This Row],[Dutch Active]]&lt;=Data2023[[#This Row],[Dutch total]],"T","F")</f>
        <v>T</v>
      </c>
      <c r="X39" t="str">
        <f>IF(Data2023[[#This Row],[Non-EEA Active ]]&lt;=Data2023[[#This Row],[Non-EEA Total]],"T","F")</f>
        <v>T</v>
      </c>
      <c r="Y3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39" t="str">
        <f>IFERROR(VLOOKUP(Data2023[[#This Row],[organisation_name]],'Division Study Year Committees'!$A$1:$L$108,2,FALSE),"N/A")</f>
        <v>N/A</v>
      </c>
      <c r="AA39" t="str">
        <f>IFERROR(VLOOKUP(Data2023[[#This Row],[organisation_name]],'Division Study Year Committees'!$A$1:$L$108,3,FALSE),"N/A")</f>
        <v>N/A</v>
      </c>
      <c r="AB39" t="str">
        <f>IFERROR(VLOOKUP(Data2023[[#This Row],[organisation_name]],'Division Study Year Committees'!$A$1:$L$108,4,FALSE),"N/A")</f>
        <v>N/A</v>
      </c>
      <c r="AC39" t="str">
        <f>IFERROR(VLOOKUP(Data2023[[#This Row],[organisation_name]],'Division Study Year Committees'!$A$1:$L$108,5,FALSE), "N/A")</f>
        <v>N/A</v>
      </c>
      <c r="AD39" t="str">
        <f>IFERROR(VLOOKUP(Data2023[[#This Row],[organisation_name]],'Division Study Year Committees'!$A$1:$L$108,6,FALSE), "N/A")</f>
        <v>N/A</v>
      </c>
      <c r="AE39">
        <f>SUM(Data2023[[#This Row],[Number of first year comittee members]:[Number of 4+ year comittee members]])</f>
        <v>0</v>
      </c>
      <c r="AF39">
        <f>COUNTIF('Committee2022'!D:D,Data2023[[#This Row],[organisation_name]])</f>
        <v>0</v>
      </c>
      <c r="AG39">
        <v>2023</v>
      </c>
    </row>
    <row r="40" spans="1:33" x14ac:dyDescent="0.3">
      <c r="A40" t="str">
        <f>General2023[[#This Row],[organisation_name]]</f>
        <v>SV Muurvast</v>
      </c>
      <c r="B40" t="str">
        <f>IF(General2023[[#This Row],[sector]]= "",VLOOKUP(Data2023[[#This Row],[organisation_name]],'Response Rate sheet'!A:D,3,FALSE),General2023[[#This Row],[sector]])</f>
        <v>Sports</v>
      </c>
      <c r="C40" t="str">
        <f>General2023[[#This Row],[organisation_type]]</f>
        <v>association</v>
      </c>
      <c r="D40" t="str">
        <f>IF(ISBLANK(General2023[[#This Row],[number_of_members]]),"N/A",VLOOKUP(A40,General2023[[organisation_name]:[number_of_international_committee_board_members_not_eea]],6,FALSE))</f>
        <v>N/A</v>
      </c>
      <c r="E40" t="str">
        <f>IF(ISBLANK(General2023[[#This Row],[number_of_committee_board_members]]),"N/A",VLOOKUP(A40,General2023!B:M,10,FALSE))</f>
        <v>N/A</v>
      </c>
      <c r="F40" t="str">
        <f>IFERROR(Data2023[[#This Row],[Number of members]]-Data2023[[#This Row],[Number of active members]], "N/A")</f>
        <v>N/A</v>
      </c>
      <c r="G40" t="str">
        <f>IFERROR(Data2023[[#This Row],[Number of active members]]/Data2023[[#This Row],[Number of members]], "N/A")</f>
        <v>N/A</v>
      </c>
      <c r="H40" t="str">
        <f>IFERROR(1-Data2023[[#This Row],[Percentage active members]],"N/A")</f>
        <v>N/A</v>
      </c>
      <c r="I40" t="str">
        <f>IF(Data2023[[#This Row],[Number of members]]=0,"N/A",IF(Data2023[[#This Row],[Number of members]]&lt;50," A. 1 - 50 ",IF(Data2023[[#This Row],[Number of members]]&lt;100, "B. 50 - 100", IF(Data2023[[#This Row],[Number of members]]&lt;400, "C. 100 - 400", IF(Data2023[[#This Row],[Number of members]]&lt;1000,"D. 400 - 1000", "E. 1000 +")))))</f>
        <v>E. 1000 +</v>
      </c>
      <c r="J40" t="str">
        <f>IF(ISBLANK(General2023[[#This Row],[number_of_international_members_not_eea]]),"N/A",VLOOKUP(A40,General2023[[organisation_name]:[number_of_international_committee_board_members_not_eea]],9,FALSE))</f>
        <v>N/A</v>
      </c>
      <c r="K40" t="str">
        <f>IF(ISBLANK(General2023[[#This Row],[number_of_international_members_eea]]),"N/A",VLOOKUP(A40,General2023[[organisation_name]:[number_of_international_committee_board_members_not_eea]],8,FALSE))</f>
        <v>N/A</v>
      </c>
      <c r="L40" t="str">
        <f>IFERROR(IF(Data2023[[#This Row],[Number of members]]-Data2023[[#This Row],[Non-EEA Total]]-Data2023[[#This Row],[EEA total]]&lt;1,"N/A", Data2023[[#This Row],[Number of members]]-Data2023[[#This Row],[Non-EEA Total]]-Data2023[[#This Row],[EEA total]]),"N/A")</f>
        <v>N/A</v>
      </c>
      <c r="M40">
        <f>VLOOKUP(A40,General2023[[organisation_name]:[number_of_international_committee_board_members_not_eea]],12,FALSE)</f>
        <v>0</v>
      </c>
      <c r="N40">
        <f>VLOOKUP(A40,General2023[[organisation_name]:[number_of_international_committee_board_members_not_eea]],11,FALSE)</f>
        <v>0</v>
      </c>
      <c r="O40" t="str">
        <f>IFERROR(IF(Data2023[[#This Row],[Number of active members]]-Data2023[[#This Row],[Non-EEA Active ]]-Data2023[[#This Row],[EEA Active]]&lt;1,"N/A", Data2023[[#This Row],[Number of active members]]-Data2023[[#This Row],[Non-EEA Active ]]-Data2023[[#This Row],[EEA Active]]),"N/A")</f>
        <v>N/A</v>
      </c>
      <c r="P40" t="str">
        <f>IFERROR(Data2023[[#This Row],[Non-EEA Active ]]/Data2023[[#This Row],[Number of active members]],"N/A")</f>
        <v>N/A</v>
      </c>
      <c r="Q40" t="str">
        <f>IFERROR(Data2023[[#This Row],[EEA Active]]/Data2023[[#This Row],[EEA total]], "N/A")</f>
        <v>N/A</v>
      </c>
      <c r="R40" t="str">
        <f>IFERROR(Data2023[[#This Row],[Dutch Active]]/Data2023[[#This Row],[Dutch total]],"N/A")</f>
        <v>N/A</v>
      </c>
      <c r="S40" t="str">
        <f>IFERROR(IF(Data2023[[#This Row],[Number of members]]=Data2023[[#This Row],[Non-EEA Total]]+Data2023[[#This Row],[EEA total]]+Data2023[[#This Row],[Dutch total]],"T","F"),"F")</f>
        <v>F</v>
      </c>
      <c r="T40" t="str">
        <f>IFERROR(IF(Data2023[[#This Row],[Number of active members]]=Data2023[[#This Row],[Non-EEA Active ]]+Data2023[[#This Row],[EEA Active]]+Data2023[[#This Row],[Dutch Active]],"T","F"),"F")</f>
        <v>F</v>
      </c>
      <c r="U40" t="str">
        <f>IFERROR(IF(Data2023[[#This Row],[Number of members]]-Data2023[[#This Row],[Non-EEA Active ]]-Data2023[[#This Row],[EEA Active]]-Data2023[[#This Row],[Dutch Active]]=Data2023[[#This Row],[Number of  inactive members]],"T","F"),"F")</f>
        <v>F</v>
      </c>
      <c r="V40" t="str">
        <f>IF(Data2023[[#This Row],[EEA Active]]&lt;=Data2023[[#This Row],[EEA total]],"T","F")</f>
        <v>T</v>
      </c>
      <c r="W40" t="str">
        <f>IF(Data2023[[#This Row],[Dutch Active]]&lt;=Data2023[[#This Row],[Dutch total]],"T","F")</f>
        <v>T</v>
      </c>
      <c r="X40" t="str">
        <f>IF(Data2023[[#This Row],[Non-EEA Active ]]&lt;=Data2023[[#This Row],[Non-EEA Total]],"T","F")</f>
        <v>T</v>
      </c>
      <c r="Y4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0" t="str">
        <f>IFERROR(VLOOKUP(Data2023[[#This Row],[organisation_name]],'Division Study Year Committees'!$A$1:$L$108,2,FALSE),"N/A")</f>
        <v>N/A</v>
      </c>
      <c r="AA40" t="str">
        <f>IFERROR(VLOOKUP(Data2023[[#This Row],[organisation_name]],'Division Study Year Committees'!$A$1:$L$108,3,FALSE),"N/A")</f>
        <v>N/A</v>
      </c>
      <c r="AB40" t="str">
        <f>IFERROR(VLOOKUP(Data2023[[#This Row],[organisation_name]],'Division Study Year Committees'!$A$1:$L$108,4,FALSE),"N/A")</f>
        <v>N/A</v>
      </c>
      <c r="AC40" t="str">
        <f>IFERROR(VLOOKUP(Data2023[[#This Row],[organisation_name]],'Division Study Year Committees'!$A$1:$L$108,5,FALSE), "N/A")</f>
        <v>N/A</v>
      </c>
      <c r="AD40" t="str">
        <f>IFERROR(VLOOKUP(Data2023[[#This Row],[organisation_name]],'Division Study Year Committees'!$A$1:$L$108,6,FALSE), "N/A")</f>
        <v>N/A</v>
      </c>
      <c r="AE40">
        <f>SUM(Data2023[[#This Row],[Number of first year comittee members]:[Number of 4+ year comittee members]])</f>
        <v>0</v>
      </c>
      <c r="AF40">
        <f>COUNTIF('Committee2022'!D:D,Data2023[[#This Row],[organisation_name]])</f>
        <v>0</v>
      </c>
      <c r="AG40">
        <v>2023</v>
      </c>
    </row>
    <row r="41" spans="1:33" x14ac:dyDescent="0.3">
      <c r="A41" t="str">
        <f>General2023[[#This Row],[organisation_name]]</f>
        <v>DKV De Zeeuven Reen</v>
      </c>
      <c r="B41" t="str">
        <f>IF(General2023[[#This Row],[sector]]= "",VLOOKUP(Data2023[[#This Row],[organisation_name]],'Response Rate sheet'!A:D,3,FALSE),General2023[[#This Row],[sector]])</f>
        <v>Sports</v>
      </c>
      <c r="C41" t="str">
        <f>General2023[[#This Row],[organisation_type]]</f>
        <v>association</v>
      </c>
      <c r="D41" t="str">
        <f>IF(ISBLANK(General2023[[#This Row],[number_of_members]]),"N/A",VLOOKUP(A41,General2023[[organisation_name]:[number_of_international_committee_board_members_not_eea]],6,FALSE))</f>
        <v>N/A</v>
      </c>
      <c r="E41" t="str">
        <f>IF(ISBLANK(General2023[[#This Row],[number_of_committee_board_members]]),"N/A",VLOOKUP(A41,General2023!B:M,10,FALSE))</f>
        <v>N/A</v>
      </c>
      <c r="F41" t="str">
        <f>IFERROR(Data2023[[#This Row],[Number of members]]-Data2023[[#This Row],[Number of active members]], "N/A")</f>
        <v>N/A</v>
      </c>
      <c r="G41" t="str">
        <f>IFERROR(Data2023[[#This Row],[Number of active members]]/Data2023[[#This Row],[Number of members]], "N/A")</f>
        <v>N/A</v>
      </c>
      <c r="H41" t="str">
        <f>IFERROR(1-Data2023[[#This Row],[Percentage active members]],"N/A")</f>
        <v>N/A</v>
      </c>
      <c r="I41" t="str">
        <f>IF(Data2023[[#This Row],[Number of members]]=0,"N/A",IF(Data2023[[#This Row],[Number of members]]&lt;50," A. 1 - 50 ",IF(Data2023[[#This Row],[Number of members]]&lt;100, "B. 50 - 100", IF(Data2023[[#This Row],[Number of members]]&lt;400, "C. 100 - 400", IF(Data2023[[#This Row],[Number of members]]&lt;1000,"D. 400 - 1000", "E. 1000 +")))))</f>
        <v>E. 1000 +</v>
      </c>
      <c r="J41" t="str">
        <f>IF(ISBLANK(General2023[[#This Row],[number_of_international_members_not_eea]]),"N/A",VLOOKUP(A41,General2023[[organisation_name]:[number_of_international_committee_board_members_not_eea]],9,FALSE))</f>
        <v>N/A</v>
      </c>
      <c r="K41" t="str">
        <f>IF(ISBLANK(General2023[[#This Row],[number_of_international_members_eea]]),"N/A",VLOOKUP(A41,General2023[[organisation_name]:[number_of_international_committee_board_members_not_eea]],8,FALSE))</f>
        <v>N/A</v>
      </c>
      <c r="L41" t="str">
        <f>IFERROR(IF(Data2023[[#This Row],[Number of members]]-Data2023[[#This Row],[Non-EEA Total]]-Data2023[[#This Row],[EEA total]]&lt;1,"N/A", Data2023[[#This Row],[Number of members]]-Data2023[[#This Row],[Non-EEA Total]]-Data2023[[#This Row],[EEA total]]),"N/A")</f>
        <v>N/A</v>
      </c>
      <c r="M41">
        <f>VLOOKUP(A41,General2023[[organisation_name]:[number_of_international_committee_board_members_not_eea]],12,FALSE)</f>
        <v>0</v>
      </c>
      <c r="N41">
        <f>VLOOKUP(A41,General2023[[organisation_name]:[number_of_international_committee_board_members_not_eea]],11,FALSE)</f>
        <v>0</v>
      </c>
      <c r="O41" t="str">
        <f>IFERROR(IF(Data2023[[#This Row],[Number of active members]]-Data2023[[#This Row],[Non-EEA Active ]]-Data2023[[#This Row],[EEA Active]]&lt;1,"N/A", Data2023[[#This Row],[Number of active members]]-Data2023[[#This Row],[Non-EEA Active ]]-Data2023[[#This Row],[EEA Active]]),"N/A")</f>
        <v>N/A</v>
      </c>
      <c r="P41" t="str">
        <f>IFERROR(Data2023[[#This Row],[Non-EEA Active ]]/Data2023[[#This Row],[Number of active members]],"N/A")</f>
        <v>N/A</v>
      </c>
      <c r="Q41" t="str">
        <f>IFERROR(Data2023[[#This Row],[EEA Active]]/Data2023[[#This Row],[EEA total]], "N/A")</f>
        <v>N/A</v>
      </c>
      <c r="R41" t="str">
        <f>IFERROR(Data2023[[#This Row],[Dutch Active]]/Data2023[[#This Row],[Dutch total]],"N/A")</f>
        <v>N/A</v>
      </c>
      <c r="S41" t="str">
        <f>IFERROR(IF(Data2023[[#This Row],[Number of members]]=Data2023[[#This Row],[Non-EEA Total]]+Data2023[[#This Row],[EEA total]]+Data2023[[#This Row],[Dutch total]],"T","F"),"F")</f>
        <v>F</v>
      </c>
      <c r="T41" t="str">
        <f>IFERROR(IF(Data2023[[#This Row],[Number of active members]]=Data2023[[#This Row],[Non-EEA Active ]]+Data2023[[#This Row],[EEA Active]]+Data2023[[#This Row],[Dutch Active]],"T","F"),"F")</f>
        <v>F</v>
      </c>
      <c r="U41" t="str">
        <f>IFERROR(IF(Data2023[[#This Row],[Number of members]]-Data2023[[#This Row],[Non-EEA Active ]]-Data2023[[#This Row],[EEA Active]]-Data2023[[#This Row],[Dutch Active]]=Data2023[[#This Row],[Number of  inactive members]],"T","F"),"F")</f>
        <v>F</v>
      </c>
      <c r="V41" t="str">
        <f>IF(Data2023[[#This Row],[EEA Active]]&lt;=Data2023[[#This Row],[EEA total]],"T","F")</f>
        <v>T</v>
      </c>
      <c r="W41" t="str">
        <f>IF(Data2023[[#This Row],[Dutch Active]]&lt;=Data2023[[#This Row],[Dutch total]],"T","F")</f>
        <v>T</v>
      </c>
      <c r="X41" t="str">
        <f>IF(Data2023[[#This Row],[Non-EEA Active ]]&lt;=Data2023[[#This Row],[Non-EEA Total]],"T","F")</f>
        <v>T</v>
      </c>
      <c r="Y4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1" t="str">
        <f>IFERROR(VLOOKUP(Data2023[[#This Row],[organisation_name]],'Division Study Year Committees'!$A$1:$L$108,2,FALSE),"N/A")</f>
        <v>N/A</v>
      </c>
      <c r="AA41" t="str">
        <f>IFERROR(VLOOKUP(Data2023[[#This Row],[organisation_name]],'Division Study Year Committees'!$A$1:$L$108,3,FALSE),"N/A")</f>
        <v>N/A</v>
      </c>
      <c r="AB41" t="str">
        <f>IFERROR(VLOOKUP(Data2023[[#This Row],[organisation_name]],'Division Study Year Committees'!$A$1:$L$108,4,FALSE),"N/A")</f>
        <v>N/A</v>
      </c>
      <c r="AC41" t="str">
        <f>IFERROR(VLOOKUP(Data2023[[#This Row],[organisation_name]],'Division Study Year Committees'!$A$1:$L$108,5,FALSE), "N/A")</f>
        <v>N/A</v>
      </c>
      <c r="AD41" t="str">
        <f>IFERROR(VLOOKUP(Data2023[[#This Row],[organisation_name]],'Division Study Year Committees'!$A$1:$L$108,6,FALSE), "N/A")</f>
        <v>N/A</v>
      </c>
      <c r="AE41">
        <f>SUM(Data2023[[#This Row],[Number of first year comittee members]:[Number of 4+ year comittee members]])</f>
        <v>0</v>
      </c>
      <c r="AF41">
        <f>COUNTIF('Committee2022'!D:D,Data2023[[#This Row],[organisation_name]])</f>
        <v>0</v>
      </c>
      <c r="AG41">
        <v>2023</v>
      </c>
    </row>
    <row r="42" spans="1:33" x14ac:dyDescent="0.3">
      <c r="A42" t="str">
        <f>General2023[[#This Row],[organisation_name]]</f>
        <v>BlueShell</v>
      </c>
      <c r="B42" t="str">
        <f>IF(General2023[[#This Row],[sector]]= "",VLOOKUP(Data2023[[#This Row],[organisation_name]],'Response Rate sheet'!A:D,3,FALSE),General2023[[#This Row],[sector]])</f>
        <v>Sports</v>
      </c>
      <c r="C42" t="str">
        <f>General2023[[#This Row],[organisation_type]]</f>
        <v>association</v>
      </c>
      <c r="D42">
        <f>IF(ISBLANK(General2023[[#This Row],[number_of_members]]),"N/A",VLOOKUP(A42,General2023[[organisation_name]:[number_of_international_committee_board_members_not_eea]],6,FALSE))</f>
        <v>180</v>
      </c>
      <c r="E42">
        <f>IF(ISBLANK(General2023[[#This Row],[number_of_committee_board_members]]),"N/A",VLOOKUP(A42,General2023!B:M,10,FALSE))</f>
        <v>30</v>
      </c>
      <c r="F42">
        <f>IFERROR(Data2023[[#This Row],[Number of members]]-Data2023[[#This Row],[Number of active members]], "N/A")</f>
        <v>150</v>
      </c>
      <c r="G42">
        <f>IFERROR(Data2023[[#This Row],[Number of active members]]/Data2023[[#This Row],[Number of members]], "N/A")</f>
        <v>0.16666666666666666</v>
      </c>
      <c r="H42">
        <f>IFERROR(1-Data2023[[#This Row],[Percentage active members]],"N/A")</f>
        <v>0.83333333333333337</v>
      </c>
      <c r="I42" t="str">
        <f>IF(Data2023[[#This Row],[Number of members]]=0,"N/A",IF(Data2023[[#This Row],[Number of members]]&lt;50," A. 1 - 50 ",IF(Data2023[[#This Row],[Number of members]]&lt;100, "B. 50 - 100", IF(Data2023[[#This Row],[Number of members]]&lt;400, "C. 100 - 400", IF(Data2023[[#This Row],[Number of members]]&lt;1000,"D. 400 - 1000", "E. 1000 +")))))</f>
        <v>C. 100 - 400</v>
      </c>
      <c r="J42">
        <f>IF(ISBLANK(General2023[[#This Row],[number_of_international_members_not_eea]]),"N/A",VLOOKUP(A42,General2023[[organisation_name]:[number_of_international_committee_board_members_not_eea]],9,FALSE))</f>
        <v>60</v>
      </c>
      <c r="K42">
        <f>IF(ISBLANK(General2023[[#This Row],[number_of_international_members_eea]]),"N/A",VLOOKUP(A42,General2023[[organisation_name]:[number_of_international_committee_board_members_not_eea]],8,FALSE))</f>
        <v>30</v>
      </c>
      <c r="L42">
        <f>IFERROR(IF(Data2023[[#This Row],[Number of members]]-Data2023[[#This Row],[Non-EEA Total]]-Data2023[[#This Row],[EEA total]]&lt;1,"N/A", Data2023[[#This Row],[Number of members]]-Data2023[[#This Row],[Non-EEA Total]]-Data2023[[#This Row],[EEA total]]),"N/A")</f>
        <v>90</v>
      </c>
      <c r="M42">
        <f>VLOOKUP(A42,General2023[[organisation_name]:[number_of_international_committee_board_members_not_eea]],12,FALSE)</f>
        <v>15</v>
      </c>
      <c r="N42">
        <f>VLOOKUP(A42,General2023[[organisation_name]:[number_of_international_committee_board_members_not_eea]],11,FALSE)</f>
        <v>15</v>
      </c>
      <c r="O42" t="str">
        <f>IFERROR(IF(Data2023[[#This Row],[Number of active members]]-Data2023[[#This Row],[Non-EEA Active ]]-Data2023[[#This Row],[EEA Active]]&lt;1,"N/A", Data2023[[#This Row],[Number of active members]]-Data2023[[#This Row],[Non-EEA Active ]]-Data2023[[#This Row],[EEA Active]]),"N/A")</f>
        <v>N/A</v>
      </c>
      <c r="P42">
        <f>IFERROR(Data2023[[#This Row],[Non-EEA Active ]]/Data2023[[#This Row],[Number of active members]],"N/A")</f>
        <v>0.5</v>
      </c>
      <c r="Q42">
        <f>IFERROR(Data2023[[#This Row],[EEA Active]]/Data2023[[#This Row],[EEA total]], "N/A")</f>
        <v>0.5</v>
      </c>
      <c r="R42" t="str">
        <f>IFERROR(Data2023[[#This Row],[Dutch Active]]/Data2023[[#This Row],[Dutch total]],"N/A")</f>
        <v>N/A</v>
      </c>
      <c r="S42" t="str">
        <f>IFERROR(IF(Data2023[[#This Row],[Number of members]]=Data2023[[#This Row],[Non-EEA Total]]+Data2023[[#This Row],[EEA total]]+Data2023[[#This Row],[Dutch total]],"T","F"),"F")</f>
        <v>T</v>
      </c>
      <c r="T42" t="str">
        <f>IFERROR(IF(Data2023[[#This Row],[Number of active members]]=Data2023[[#This Row],[Non-EEA Active ]]+Data2023[[#This Row],[EEA Active]]+Data2023[[#This Row],[Dutch Active]],"T","F"),"F")</f>
        <v>F</v>
      </c>
      <c r="U42" t="str">
        <f>IFERROR(IF(Data2023[[#This Row],[Number of members]]-Data2023[[#This Row],[Non-EEA Active ]]-Data2023[[#This Row],[EEA Active]]-Data2023[[#This Row],[Dutch Active]]=Data2023[[#This Row],[Number of  inactive members]],"T","F"),"F")</f>
        <v>F</v>
      </c>
      <c r="V42" t="str">
        <f>IF(Data2023[[#This Row],[EEA Active]]&lt;=Data2023[[#This Row],[EEA total]],"T","F")</f>
        <v>T</v>
      </c>
      <c r="W42" t="str">
        <f>IF(Data2023[[#This Row],[Dutch Active]]&lt;=Data2023[[#This Row],[Dutch total]],"T","F")</f>
        <v>F</v>
      </c>
      <c r="X42" t="str">
        <f>IF(Data2023[[#This Row],[Non-EEA Active ]]&lt;=Data2023[[#This Row],[Non-EEA Total]],"T","F")</f>
        <v>T</v>
      </c>
      <c r="Y4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2" t="str">
        <f>IFERROR(VLOOKUP(Data2023[[#This Row],[organisation_name]],'Division Study Year Committees'!$A$1:$L$108,2,FALSE),"N/A")</f>
        <v>N/A</v>
      </c>
      <c r="AA42" t="str">
        <f>IFERROR(VLOOKUP(Data2023[[#This Row],[organisation_name]],'Division Study Year Committees'!$A$1:$L$108,3,FALSE),"N/A")</f>
        <v>N/A</v>
      </c>
      <c r="AB42" t="str">
        <f>IFERROR(VLOOKUP(Data2023[[#This Row],[organisation_name]],'Division Study Year Committees'!$A$1:$L$108,4,FALSE),"N/A")</f>
        <v>N/A</v>
      </c>
      <c r="AC42" t="str">
        <f>IFERROR(VLOOKUP(Data2023[[#This Row],[organisation_name]],'Division Study Year Committees'!$A$1:$L$108,5,FALSE), "N/A")</f>
        <v>N/A</v>
      </c>
      <c r="AD42" t="str">
        <f>IFERROR(VLOOKUP(Data2023[[#This Row],[organisation_name]],'Division Study Year Committees'!$A$1:$L$108,6,FALSE), "N/A")</f>
        <v>N/A</v>
      </c>
      <c r="AE42">
        <f>SUM(Data2023[[#This Row],[Number of first year comittee members]:[Number of 4+ year comittee members]])</f>
        <v>0</v>
      </c>
      <c r="AF42">
        <f>COUNTIF('Committee2022'!D:D,Data2023[[#This Row],[organisation_name]])</f>
        <v>16</v>
      </c>
      <c r="AG42">
        <v>2023</v>
      </c>
    </row>
    <row r="43" spans="1:33" x14ac:dyDescent="0.3">
      <c r="A43" t="str">
        <f>General2023[[#This Row],[organisation_name]]</f>
        <v>4 happy feet</v>
      </c>
      <c r="B43" t="str">
        <f>IF(General2023[[#This Row],[sector]]= "",VLOOKUP(Data2023[[#This Row],[organisation_name]],'Response Rate sheet'!A:D,3,FALSE),General2023[[#This Row],[sector]])</f>
        <v>Culture</v>
      </c>
      <c r="C43" t="str">
        <f>General2023[[#This Row],[organisation_type]]</f>
        <v>association</v>
      </c>
      <c r="D43">
        <f>IF(ISBLANK(General2023[[#This Row],[number_of_members]]),"N/A",VLOOKUP(A43,General2023[[organisation_name]:[number_of_international_committee_board_members_not_eea]],6,FALSE))</f>
        <v>252</v>
      </c>
      <c r="E43">
        <f>IF(ISBLANK(General2023[[#This Row],[number_of_committee_board_members]]),"N/A",VLOOKUP(A43,General2023!B:M,10,FALSE))</f>
        <v>40</v>
      </c>
      <c r="F43">
        <f>IFERROR(Data2023[[#This Row],[Number of members]]-Data2023[[#This Row],[Number of active members]], "N/A")</f>
        <v>212</v>
      </c>
      <c r="G43">
        <f>IFERROR(Data2023[[#This Row],[Number of active members]]/Data2023[[#This Row],[Number of members]], "N/A")</f>
        <v>0.15873015873015872</v>
      </c>
      <c r="H43">
        <f>IFERROR(1-Data2023[[#This Row],[Percentage active members]],"N/A")</f>
        <v>0.84126984126984128</v>
      </c>
      <c r="I43" t="str">
        <f>IF(Data2023[[#This Row],[Number of members]]=0,"N/A",IF(Data2023[[#This Row],[Number of members]]&lt;50," A. 1 - 50 ",IF(Data2023[[#This Row],[Number of members]]&lt;100, "B. 50 - 100", IF(Data2023[[#This Row],[Number of members]]&lt;400, "C. 100 - 400", IF(Data2023[[#This Row],[Number of members]]&lt;1000,"D. 400 - 1000", "E. 1000 +")))))</f>
        <v>C. 100 - 400</v>
      </c>
      <c r="J43">
        <f>IF(ISBLANK(General2023[[#This Row],[number_of_international_members_not_eea]]),"N/A",VLOOKUP(A43,General2023[[organisation_name]:[number_of_international_committee_board_members_not_eea]],9,FALSE))</f>
        <v>45</v>
      </c>
      <c r="K43">
        <f>IF(ISBLANK(General2023[[#This Row],[number_of_international_members_eea]]),"N/A",VLOOKUP(A43,General2023[[organisation_name]:[number_of_international_committee_board_members_not_eea]],8,FALSE))</f>
        <v>10</v>
      </c>
      <c r="L43">
        <f>IFERROR(IF(Data2023[[#This Row],[Number of members]]-Data2023[[#This Row],[Non-EEA Total]]-Data2023[[#This Row],[EEA total]]&lt;1,"N/A", Data2023[[#This Row],[Number of members]]-Data2023[[#This Row],[Non-EEA Total]]-Data2023[[#This Row],[EEA total]]),"N/A")</f>
        <v>197</v>
      </c>
      <c r="M43">
        <f>VLOOKUP(A43,General2023[[organisation_name]:[number_of_international_committee_board_members_not_eea]],12,FALSE)</f>
        <v>0</v>
      </c>
      <c r="N43">
        <f>VLOOKUP(A43,General2023[[organisation_name]:[number_of_international_committee_board_members_not_eea]],11,FALSE)</f>
        <v>5</v>
      </c>
      <c r="O43">
        <f>IFERROR(IF(Data2023[[#This Row],[Number of active members]]-Data2023[[#This Row],[Non-EEA Active ]]-Data2023[[#This Row],[EEA Active]]&lt;1,"N/A", Data2023[[#This Row],[Number of active members]]-Data2023[[#This Row],[Non-EEA Active ]]-Data2023[[#This Row],[EEA Active]]),"N/A")</f>
        <v>35</v>
      </c>
      <c r="P43">
        <f>IFERROR(Data2023[[#This Row],[Non-EEA Active ]]/Data2023[[#This Row],[Number of active members]],"N/A")</f>
        <v>0</v>
      </c>
      <c r="Q43">
        <f>IFERROR(Data2023[[#This Row],[EEA Active]]/Data2023[[#This Row],[EEA total]], "N/A")</f>
        <v>0.5</v>
      </c>
      <c r="R43">
        <f>IFERROR(Data2023[[#This Row],[Dutch Active]]/Data2023[[#This Row],[Dutch total]],"N/A")</f>
        <v>0.17766497461928935</v>
      </c>
      <c r="S43" t="str">
        <f>IFERROR(IF(Data2023[[#This Row],[Number of members]]=Data2023[[#This Row],[Non-EEA Total]]+Data2023[[#This Row],[EEA total]]+Data2023[[#This Row],[Dutch total]],"T","F"),"F")</f>
        <v>T</v>
      </c>
      <c r="T43" t="str">
        <f>IFERROR(IF(Data2023[[#This Row],[Number of active members]]=Data2023[[#This Row],[Non-EEA Active ]]+Data2023[[#This Row],[EEA Active]]+Data2023[[#This Row],[Dutch Active]],"T","F"),"F")</f>
        <v>T</v>
      </c>
      <c r="U43" t="str">
        <f>IFERROR(IF(Data2023[[#This Row],[Number of members]]-Data2023[[#This Row],[Non-EEA Active ]]-Data2023[[#This Row],[EEA Active]]-Data2023[[#This Row],[Dutch Active]]=Data2023[[#This Row],[Number of  inactive members]],"T","F"),"F")</f>
        <v>T</v>
      </c>
      <c r="V43" t="str">
        <f>IF(Data2023[[#This Row],[EEA Active]]&lt;=Data2023[[#This Row],[EEA total]],"T","F")</f>
        <v>T</v>
      </c>
      <c r="W43" t="str">
        <f>IF(Data2023[[#This Row],[Dutch Active]]&lt;=Data2023[[#This Row],[Dutch total]],"T","F")</f>
        <v>T</v>
      </c>
      <c r="X43" t="str">
        <f>IF(Data2023[[#This Row],[Non-EEA Active ]]&lt;=Data2023[[#This Row],[Non-EEA Total]],"T","F")</f>
        <v>T</v>
      </c>
      <c r="Y43"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43" t="str">
        <f>IFERROR(VLOOKUP(Data2023[[#This Row],[organisation_name]],'Division Study Year Committees'!$A$1:$L$108,2,FALSE),"N/A")</f>
        <v>N/A</v>
      </c>
      <c r="AA43" t="str">
        <f>IFERROR(VLOOKUP(Data2023[[#This Row],[organisation_name]],'Division Study Year Committees'!$A$1:$L$108,3,FALSE),"N/A")</f>
        <v>N/A</v>
      </c>
      <c r="AB43" t="str">
        <f>IFERROR(VLOOKUP(Data2023[[#This Row],[organisation_name]],'Division Study Year Committees'!$A$1:$L$108,4,FALSE),"N/A")</f>
        <v>N/A</v>
      </c>
      <c r="AC43" t="str">
        <f>IFERROR(VLOOKUP(Data2023[[#This Row],[organisation_name]],'Division Study Year Committees'!$A$1:$L$108,5,FALSE), "N/A")</f>
        <v>N/A</v>
      </c>
      <c r="AD43" t="str">
        <f>IFERROR(VLOOKUP(Data2023[[#This Row],[organisation_name]],'Division Study Year Committees'!$A$1:$L$108,6,FALSE), "N/A")</f>
        <v>N/A</v>
      </c>
      <c r="AE43">
        <f>SUM(Data2023[[#This Row],[Number of first year comittee members]:[Number of 4+ year comittee members]])</f>
        <v>0</v>
      </c>
      <c r="AF43">
        <f>COUNTIF('Committee2022'!D:D,Data2023[[#This Row],[organisation_name]])</f>
        <v>17</v>
      </c>
      <c r="AG43">
        <v>2023</v>
      </c>
    </row>
    <row r="44" spans="1:33" x14ac:dyDescent="0.3">
      <c r="A44" t="str">
        <f>General2023[[#This Row],[organisation_name]]</f>
        <v>AFVD Foton</v>
      </c>
      <c r="B44" t="str">
        <f>IF(General2023[[#This Row],[sector]]= "",VLOOKUP(Data2023[[#This Row],[organisation_name]],'Response Rate sheet'!A:D,3,FALSE),General2023[[#This Row],[sector]])</f>
        <v>Culture</v>
      </c>
      <c r="C44" t="str">
        <f>General2023[[#This Row],[organisation_type]]</f>
        <v>association</v>
      </c>
      <c r="D44" t="str">
        <f>IF(ISBLANK(General2023[[#This Row],[number_of_members]]),"N/A",VLOOKUP(A44,General2023[[organisation_name]:[number_of_international_committee_board_members_not_eea]],6,FALSE))</f>
        <v>N/A</v>
      </c>
      <c r="E44" t="str">
        <f>IF(ISBLANK(General2023[[#This Row],[number_of_committee_board_members]]),"N/A",VLOOKUP(A44,General2023!B:M,10,FALSE))</f>
        <v>N/A</v>
      </c>
      <c r="F44" t="str">
        <f>IFERROR(Data2023[[#This Row],[Number of members]]-Data2023[[#This Row],[Number of active members]], "N/A")</f>
        <v>N/A</v>
      </c>
      <c r="G44" t="str">
        <f>IFERROR(Data2023[[#This Row],[Number of active members]]/Data2023[[#This Row],[Number of members]], "N/A")</f>
        <v>N/A</v>
      </c>
      <c r="H44" t="str">
        <f>IFERROR(1-Data2023[[#This Row],[Percentage active members]],"N/A")</f>
        <v>N/A</v>
      </c>
      <c r="I44" t="str">
        <f>IF(Data2023[[#This Row],[Number of members]]=0,"N/A",IF(Data2023[[#This Row],[Number of members]]&lt;50," A. 1 - 50 ",IF(Data2023[[#This Row],[Number of members]]&lt;100, "B. 50 - 100", IF(Data2023[[#This Row],[Number of members]]&lt;400, "C. 100 - 400", IF(Data2023[[#This Row],[Number of members]]&lt;1000,"D. 400 - 1000", "E. 1000 +")))))</f>
        <v>E. 1000 +</v>
      </c>
      <c r="J44" t="str">
        <f>IF(ISBLANK(General2023[[#This Row],[number_of_international_members_not_eea]]),"N/A",VLOOKUP(A44,General2023[[organisation_name]:[number_of_international_committee_board_members_not_eea]],9,FALSE))</f>
        <v>N/A</v>
      </c>
      <c r="K44" t="str">
        <f>IF(ISBLANK(General2023[[#This Row],[number_of_international_members_eea]]),"N/A",VLOOKUP(A44,General2023[[organisation_name]:[number_of_international_committee_board_members_not_eea]],8,FALSE))</f>
        <v>N/A</v>
      </c>
      <c r="L44" t="str">
        <f>IFERROR(IF(Data2023[[#This Row],[Number of members]]-Data2023[[#This Row],[Non-EEA Total]]-Data2023[[#This Row],[EEA total]]&lt;1,"N/A", Data2023[[#This Row],[Number of members]]-Data2023[[#This Row],[Non-EEA Total]]-Data2023[[#This Row],[EEA total]]),"N/A")</f>
        <v>N/A</v>
      </c>
      <c r="M44">
        <f>VLOOKUP(A44,General2023[[organisation_name]:[number_of_international_committee_board_members_not_eea]],12,FALSE)</f>
        <v>0</v>
      </c>
      <c r="N44">
        <f>VLOOKUP(A44,General2023[[organisation_name]:[number_of_international_committee_board_members_not_eea]],11,FALSE)</f>
        <v>0</v>
      </c>
      <c r="O44" t="str">
        <f>IFERROR(IF(Data2023[[#This Row],[Number of active members]]-Data2023[[#This Row],[Non-EEA Active ]]-Data2023[[#This Row],[EEA Active]]&lt;1,"N/A", Data2023[[#This Row],[Number of active members]]-Data2023[[#This Row],[Non-EEA Active ]]-Data2023[[#This Row],[EEA Active]]),"N/A")</f>
        <v>N/A</v>
      </c>
      <c r="P44" t="str">
        <f>IFERROR(Data2023[[#This Row],[Non-EEA Active ]]/Data2023[[#This Row],[Number of active members]],"N/A")</f>
        <v>N/A</v>
      </c>
      <c r="Q44" t="str">
        <f>IFERROR(Data2023[[#This Row],[EEA Active]]/Data2023[[#This Row],[EEA total]], "N/A")</f>
        <v>N/A</v>
      </c>
      <c r="R44" t="str">
        <f>IFERROR(Data2023[[#This Row],[Dutch Active]]/Data2023[[#This Row],[Dutch total]],"N/A")</f>
        <v>N/A</v>
      </c>
      <c r="S44" t="str">
        <f>IFERROR(IF(Data2023[[#This Row],[Number of members]]=Data2023[[#This Row],[Non-EEA Total]]+Data2023[[#This Row],[EEA total]]+Data2023[[#This Row],[Dutch total]],"T","F"),"F")</f>
        <v>F</v>
      </c>
      <c r="T44" t="str">
        <f>IFERROR(IF(Data2023[[#This Row],[Number of active members]]=Data2023[[#This Row],[Non-EEA Active ]]+Data2023[[#This Row],[EEA Active]]+Data2023[[#This Row],[Dutch Active]],"T","F"),"F")</f>
        <v>F</v>
      </c>
      <c r="U44" t="str">
        <f>IFERROR(IF(Data2023[[#This Row],[Number of members]]-Data2023[[#This Row],[Non-EEA Active ]]-Data2023[[#This Row],[EEA Active]]-Data2023[[#This Row],[Dutch Active]]=Data2023[[#This Row],[Number of  inactive members]],"T","F"),"F")</f>
        <v>F</v>
      </c>
      <c r="V44" t="str">
        <f>IF(Data2023[[#This Row],[EEA Active]]&lt;=Data2023[[#This Row],[EEA total]],"T","F")</f>
        <v>T</v>
      </c>
      <c r="W44" t="str">
        <f>IF(Data2023[[#This Row],[Dutch Active]]&lt;=Data2023[[#This Row],[Dutch total]],"T","F")</f>
        <v>T</v>
      </c>
      <c r="X44" t="str">
        <f>IF(Data2023[[#This Row],[Non-EEA Active ]]&lt;=Data2023[[#This Row],[Non-EEA Total]],"T","F")</f>
        <v>T</v>
      </c>
      <c r="Y4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4" t="str">
        <f>IFERROR(VLOOKUP(Data2023[[#This Row],[organisation_name]],'Division Study Year Committees'!$A$1:$L$108,2,FALSE),"N/A")</f>
        <v>N/A</v>
      </c>
      <c r="AA44" t="str">
        <f>IFERROR(VLOOKUP(Data2023[[#This Row],[organisation_name]],'Division Study Year Committees'!$A$1:$L$108,3,FALSE),"N/A")</f>
        <v>N/A</v>
      </c>
      <c r="AB44" t="str">
        <f>IFERROR(VLOOKUP(Data2023[[#This Row],[organisation_name]],'Division Study Year Committees'!$A$1:$L$108,4,FALSE),"N/A")</f>
        <v>N/A</v>
      </c>
      <c r="AC44" t="str">
        <f>IFERROR(VLOOKUP(Data2023[[#This Row],[organisation_name]],'Division Study Year Committees'!$A$1:$L$108,5,FALSE), "N/A")</f>
        <v>N/A</v>
      </c>
      <c r="AD44" t="str">
        <f>IFERROR(VLOOKUP(Data2023[[#This Row],[organisation_name]],'Division Study Year Committees'!$A$1:$L$108,6,FALSE), "N/A")</f>
        <v>N/A</v>
      </c>
      <c r="AE44">
        <f>SUM(Data2023[[#This Row],[Number of first year comittee members]:[Number of 4+ year comittee members]])</f>
        <v>0</v>
      </c>
      <c r="AF44">
        <f>COUNTIF('Committee2022'!D:D,Data2023[[#This Row],[organisation_name]])</f>
        <v>0</v>
      </c>
      <c r="AG44">
        <v>2023</v>
      </c>
    </row>
    <row r="45" spans="1:33" x14ac:dyDescent="0.3">
      <c r="A45" t="str">
        <f>General2023[[#This Row],[organisation_name]]</f>
        <v>Arabesque</v>
      </c>
      <c r="B45" t="str">
        <f>IF(General2023[[#This Row],[sector]]= "",VLOOKUP(Data2023[[#This Row],[organisation_name]],'Response Rate sheet'!A:D,3,FALSE),General2023[[#This Row],[sector]])</f>
        <v>Culture</v>
      </c>
      <c r="C45" t="str">
        <f>General2023[[#This Row],[organisation_type]]</f>
        <v>association</v>
      </c>
      <c r="D45">
        <f>IF(ISBLANK(General2023[[#This Row],[number_of_members]]),"N/A",VLOOKUP(A45,General2023[[organisation_name]:[number_of_international_committee_board_members_not_eea]],6,FALSE))</f>
        <v>28</v>
      </c>
      <c r="E45">
        <f>IF(ISBLANK(General2023[[#This Row],[number_of_committee_board_members]]),"N/A",VLOOKUP(A45,General2023!B:M,10,FALSE))</f>
        <v>6</v>
      </c>
      <c r="F45">
        <f>IFERROR(Data2023[[#This Row],[Number of members]]-Data2023[[#This Row],[Number of active members]], "N/A")</f>
        <v>22</v>
      </c>
      <c r="G45">
        <f>IFERROR(Data2023[[#This Row],[Number of active members]]/Data2023[[#This Row],[Number of members]], "N/A")</f>
        <v>0.21428571428571427</v>
      </c>
      <c r="H45">
        <f>IFERROR(1-Data2023[[#This Row],[Percentage active members]],"N/A")</f>
        <v>0.7857142857142857</v>
      </c>
      <c r="I45"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45">
        <f>IF(ISBLANK(General2023[[#This Row],[number_of_international_members_not_eea]]),"N/A",VLOOKUP(A45,General2023[[organisation_name]:[number_of_international_committee_board_members_not_eea]],9,FALSE))</f>
        <v>6</v>
      </c>
      <c r="K45">
        <f>IF(ISBLANK(General2023[[#This Row],[number_of_international_members_eea]]),"N/A",VLOOKUP(A45,General2023[[organisation_name]:[number_of_international_committee_board_members_not_eea]],8,FALSE))</f>
        <v>4</v>
      </c>
      <c r="L45">
        <f>IFERROR(IF(Data2023[[#This Row],[Number of members]]-Data2023[[#This Row],[Non-EEA Total]]-Data2023[[#This Row],[EEA total]]&lt;1,"N/A", Data2023[[#This Row],[Number of members]]-Data2023[[#This Row],[Non-EEA Total]]-Data2023[[#This Row],[EEA total]]),"N/A")</f>
        <v>18</v>
      </c>
      <c r="M45">
        <f>VLOOKUP(A45,General2023[[organisation_name]:[number_of_international_committee_board_members_not_eea]],12,FALSE)</f>
        <v>1</v>
      </c>
      <c r="N45">
        <f>VLOOKUP(A45,General2023[[organisation_name]:[number_of_international_committee_board_members_not_eea]],11,FALSE)</f>
        <v>3</v>
      </c>
      <c r="O45">
        <f>IFERROR(IF(Data2023[[#This Row],[Number of active members]]-Data2023[[#This Row],[Non-EEA Active ]]-Data2023[[#This Row],[EEA Active]]&lt;1,"N/A", Data2023[[#This Row],[Number of active members]]-Data2023[[#This Row],[Non-EEA Active ]]-Data2023[[#This Row],[EEA Active]]),"N/A")</f>
        <v>2</v>
      </c>
      <c r="P45">
        <f>IFERROR(Data2023[[#This Row],[Non-EEA Active ]]/Data2023[[#This Row],[Number of active members]],"N/A")</f>
        <v>0.16666666666666666</v>
      </c>
      <c r="Q45">
        <f>IFERROR(Data2023[[#This Row],[EEA Active]]/Data2023[[#This Row],[EEA total]], "N/A")</f>
        <v>0.75</v>
      </c>
      <c r="R45">
        <f>IFERROR(Data2023[[#This Row],[Dutch Active]]/Data2023[[#This Row],[Dutch total]],"N/A")</f>
        <v>0.1111111111111111</v>
      </c>
      <c r="S45" t="str">
        <f>IFERROR(IF(Data2023[[#This Row],[Number of members]]=Data2023[[#This Row],[Non-EEA Total]]+Data2023[[#This Row],[EEA total]]+Data2023[[#This Row],[Dutch total]],"T","F"),"F")</f>
        <v>T</v>
      </c>
      <c r="T45" t="str">
        <f>IFERROR(IF(Data2023[[#This Row],[Number of active members]]=Data2023[[#This Row],[Non-EEA Active ]]+Data2023[[#This Row],[EEA Active]]+Data2023[[#This Row],[Dutch Active]],"T","F"),"F")</f>
        <v>T</v>
      </c>
      <c r="U45" t="str">
        <f>IFERROR(IF(Data2023[[#This Row],[Number of members]]-Data2023[[#This Row],[Non-EEA Active ]]-Data2023[[#This Row],[EEA Active]]-Data2023[[#This Row],[Dutch Active]]=Data2023[[#This Row],[Number of  inactive members]],"T","F"),"F")</f>
        <v>T</v>
      </c>
      <c r="V45" t="str">
        <f>IF(Data2023[[#This Row],[EEA Active]]&lt;=Data2023[[#This Row],[EEA total]],"T","F")</f>
        <v>T</v>
      </c>
      <c r="W45" t="str">
        <f>IF(Data2023[[#This Row],[Dutch Active]]&lt;=Data2023[[#This Row],[Dutch total]],"T","F")</f>
        <v>T</v>
      </c>
      <c r="X45" t="str">
        <f>IF(Data2023[[#This Row],[Non-EEA Active ]]&lt;=Data2023[[#This Row],[Non-EEA Total]],"T","F")</f>
        <v>T</v>
      </c>
      <c r="Y4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45">
        <f>IFERROR(VLOOKUP(Data2023[[#This Row],[organisation_name]],'Division Study Year Committees'!$A$1:$L$108,2,FALSE),"N/A")</f>
        <v>0</v>
      </c>
      <c r="AA45">
        <f>IFERROR(VLOOKUP(Data2023[[#This Row],[organisation_name]],'Division Study Year Committees'!$A$1:$L$108,3,FALSE),"N/A")</f>
        <v>0</v>
      </c>
      <c r="AB45">
        <f>IFERROR(VLOOKUP(Data2023[[#This Row],[organisation_name]],'Division Study Year Committees'!$A$1:$L$108,4,FALSE),"N/A")</f>
        <v>5</v>
      </c>
      <c r="AC45">
        <f>IFERROR(VLOOKUP(Data2023[[#This Row],[organisation_name]],'Division Study Year Committees'!$A$1:$L$108,5,FALSE), "N/A")</f>
        <v>4</v>
      </c>
      <c r="AD45">
        <f>IFERROR(VLOOKUP(Data2023[[#This Row],[organisation_name]],'Division Study Year Committees'!$A$1:$L$108,6,FALSE), "N/A")</f>
        <v>2</v>
      </c>
      <c r="AE45">
        <f>SUM(Data2023[[#This Row],[Number of first year comittee members]:[Number of 4+ year comittee members]])</f>
        <v>11</v>
      </c>
      <c r="AF45">
        <f>COUNTIF('Committee2022'!D:D,Data2023[[#This Row],[organisation_name]])</f>
        <v>0</v>
      </c>
      <c r="AG45">
        <v>2023</v>
      </c>
    </row>
    <row r="46" spans="1:33" x14ac:dyDescent="0.3">
      <c r="A46" t="str">
        <f>General2023[[#This Row],[organisation_name]]</f>
        <v>Belletrie Bibliotheek</v>
      </c>
      <c r="B46" t="str">
        <f>IF(General2023[[#This Row],[sector]]= "",VLOOKUP(Data2023[[#This Row],[organisation_name]],'Response Rate sheet'!A:D,3,FALSE),General2023[[#This Row],[sector]])</f>
        <v>Culture</v>
      </c>
      <c r="C46" t="str">
        <f>General2023[[#This Row],[organisation_type]]</f>
        <v>association</v>
      </c>
      <c r="D46">
        <f>IF(ISBLANK(General2023[[#This Row],[number_of_members]]),"N/A",VLOOKUP(A46,General2023[[organisation_name]:[number_of_international_committee_board_members_not_eea]],6,FALSE))</f>
        <v>133</v>
      </c>
      <c r="E46">
        <f>IF(ISBLANK(General2023[[#This Row],[number_of_committee_board_members]]),"N/A",VLOOKUP(A46,General2023!B:M,10,FALSE))</f>
        <v>40</v>
      </c>
      <c r="F46">
        <f>IFERROR(Data2023[[#This Row],[Number of members]]-Data2023[[#This Row],[Number of active members]], "N/A")</f>
        <v>93</v>
      </c>
      <c r="G46">
        <f>IFERROR(Data2023[[#This Row],[Number of active members]]/Data2023[[#This Row],[Number of members]], "N/A")</f>
        <v>0.3007518796992481</v>
      </c>
      <c r="H46">
        <f>IFERROR(1-Data2023[[#This Row],[Percentage active members]],"N/A")</f>
        <v>0.6992481203007519</v>
      </c>
      <c r="I46" t="str">
        <f>IF(Data2023[[#This Row],[Number of members]]=0,"N/A",IF(Data2023[[#This Row],[Number of members]]&lt;50," A. 1 - 50 ",IF(Data2023[[#This Row],[Number of members]]&lt;100, "B. 50 - 100", IF(Data2023[[#This Row],[Number of members]]&lt;400, "C. 100 - 400", IF(Data2023[[#This Row],[Number of members]]&lt;1000,"D. 400 - 1000", "E. 1000 +")))))</f>
        <v>C. 100 - 400</v>
      </c>
      <c r="J46">
        <f>IF(ISBLANK(General2023[[#This Row],[number_of_international_members_not_eea]]),"N/A",VLOOKUP(A46,General2023[[organisation_name]:[number_of_international_committee_board_members_not_eea]],9,FALSE))</f>
        <v>24</v>
      </c>
      <c r="K46">
        <f>IF(ISBLANK(General2023[[#This Row],[number_of_international_members_eea]]),"N/A",VLOOKUP(A46,General2023[[organisation_name]:[number_of_international_committee_board_members_not_eea]],8,FALSE))</f>
        <v>20</v>
      </c>
      <c r="L46">
        <f>IFERROR(IF(Data2023[[#This Row],[Number of members]]-Data2023[[#This Row],[Non-EEA Total]]-Data2023[[#This Row],[EEA total]]&lt;1,"N/A", Data2023[[#This Row],[Number of members]]-Data2023[[#This Row],[Non-EEA Total]]-Data2023[[#This Row],[EEA total]]),"N/A")</f>
        <v>89</v>
      </c>
      <c r="M46">
        <f>VLOOKUP(A46,General2023[[organisation_name]:[number_of_international_committee_board_members_not_eea]],12,FALSE)</f>
        <v>1</v>
      </c>
      <c r="N46">
        <f>VLOOKUP(A46,General2023[[organisation_name]:[number_of_international_committee_board_members_not_eea]],11,FALSE)</f>
        <v>4</v>
      </c>
      <c r="O46">
        <f>IFERROR(IF(Data2023[[#This Row],[Number of active members]]-Data2023[[#This Row],[Non-EEA Active ]]-Data2023[[#This Row],[EEA Active]]&lt;1,"N/A", Data2023[[#This Row],[Number of active members]]-Data2023[[#This Row],[Non-EEA Active ]]-Data2023[[#This Row],[EEA Active]]),"N/A")</f>
        <v>35</v>
      </c>
      <c r="P46">
        <f>IFERROR(Data2023[[#This Row],[Non-EEA Active ]]/Data2023[[#This Row],[Number of active members]],"N/A")</f>
        <v>2.5000000000000001E-2</v>
      </c>
      <c r="Q46">
        <f>IFERROR(Data2023[[#This Row],[EEA Active]]/Data2023[[#This Row],[EEA total]], "N/A")</f>
        <v>0.2</v>
      </c>
      <c r="R46">
        <f>IFERROR(Data2023[[#This Row],[Dutch Active]]/Data2023[[#This Row],[Dutch total]],"N/A")</f>
        <v>0.39325842696629215</v>
      </c>
      <c r="S46" t="str">
        <f>IFERROR(IF(Data2023[[#This Row],[Number of members]]=Data2023[[#This Row],[Non-EEA Total]]+Data2023[[#This Row],[EEA total]]+Data2023[[#This Row],[Dutch total]],"T","F"),"F")</f>
        <v>T</v>
      </c>
      <c r="T46" t="str">
        <f>IFERROR(IF(Data2023[[#This Row],[Number of active members]]=Data2023[[#This Row],[Non-EEA Active ]]+Data2023[[#This Row],[EEA Active]]+Data2023[[#This Row],[Dutch Active]],"T","F"),"F")</f>
        <v>T</v>
      </c>
      <c r="U46" t="str">
        <f>IFERROR(IF(Data2023[[#This Row],[Number of members]]-Data2023[[#This Row],[Non-EEA Active ]]-Data2023[[#This Row],[EEA Active]]-Data2023[[#This Row],[Dutch Active]]=Data2023[[#This Row],[Number of  inactive members]],"T","F"),"F")</f>
        <v>T</v>
      </c>
      <c r="V46" t="str">
        <f>IF(Data2023[[#This Row],[EEA Active]]&lt;=Data2023[[#This Row],[EEA total]],"T","F")</f>
        <v>T</v>
      </c>
      <c r="W46" t="str">
        <f>IF(Data2023[[#This Row],[Dutch Active]]&lt;=Data2023[[#This Row],[Dutch total]],"T","F")</f>
        <v>T</v>
      </c>
      <c r="X46" t="str">
        <f>IF(Data2023[[#This Row],[Non-EEA Active ]]&lt;=Data2023[[#This Row],[Non-EEA Total]],"T","F")</f>
        <v>T</v>
      </c>
      <c r="Y4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46" t="str">
        <f>IFERROR(VLOOKUP(Data2023[[#This Row],[organisation_name]],'Division Study Year Committees'!$A$1:$L$108,2,FALSE),"N/A")</f>
        <v>N/A</v>
      </c>
      <c r="AA46" t="str">
        <f>IFERROR(VLOOKUP(Data2023[[#This Row],[organisation_name]],'Division Study Year Committees'!$A$1:$L$108,3,FALSE),"N/A")</f>
        <v>N/A</v>
      </c>
      <c r="AB46" t="str">
        <f>IFERROR(VLOOKUP(Data2023[[#This Row],[organisation_name]],'Division Study Year Committees'!$A$1:$L$108,4,FALSE),"N/A")</f>
        <v>N/A</v>
      </c>
      <c r="AC46" t="str">
        <f>IFERROR(VLOOKUP(Data2023[[#This Row],[organisation_name]],'Division Study Year Committees'!$A$1:$L$108,5,FALSE), "N/A")</f>
        <v>N/A</v>
      </c>
      <c r="AD46" t="str">
        <f>IFERROR(VLOOKUP(Data2023[[#This Row],[organisation_name]],'Division Study Year Committees'!$A$1:$L$108,6,FALSE), "N/A")</f>
        <v>N/A</v>
      </c>
      <c r="AE46">
        <f>SUM(Data2023[[#This Row],[Number of first year comittee members]:[Number of 4+ year comittee members]])</f>
        <v>0</v>
      </c>
      <c r="AF46">
        <f>COUNTIF('Committee2022'!D:D,Data2023[[#This Row],[organisation_name]])</f>
        <v>12</v>
      </c>
      <c r="AG46">
        <v>2023</v>
      </c>
    </row>
    <row r="47" spans="1:33" x14ac:dyDescent="0.3">
      <c r="A47" t="str">
        <f>General2023[[#This Row],[organisation_name]]</f>
        <v>Contramime</v>
      </c>
      <c r="B47" t="str">
        <f>IF(General2023[[#This Row],[sector]]= "",VLOOKUP(Data2023[[#This Row],[organisation_name]],'Response Rate sheet'!A:D,3,FALSE),General2023[[#This Row],[sector]])</f>
        <v>Culture</v>
      </c>
      <c r="C47" t="str">
        <f>General2023[[#This Row],[organisation_type]]</f>
        <v>association</v>
      </c>
      <c r="D47" t="str">
        <f>IF(ISBLANK(General2023[[#This Row],[number_of_members]]),"N/A",VLOOKUP(A47,General2023[[organisation_name]:[number_of_international_committee_board_members_not_eea]],6,FALSE))</f>
        <v>N/A</v>
      </c>
      <c r="E47" t="str">
        <f>IF(ISBLANK(General2023[[#This Row],[number_of_committee_board_members]]),"N/A",VLOOKUP(A47,General2023!B:M,10,FALSE))</f>
        <v>N/A</v>
      </c>
      <c r="F47" t="str">
        <f>IFERROR(Data2023[[#This Row],[Number of members]]-Data2023[[#This Row],[Number of active members]], "N/A")</f>
        <v>N/A</v>
      </c>
      <c r="G47" t="str">
        <f>IFERROR(Data2023[[#This Row],[Number of active members]]/Data2023[[#This Row],[Number of members]], "N/A")</f>
        <v>N/A</v>
      </c>
      <c r="H47" t="str">
        <f>IFERROR(1-Data2023[[#This Row],[Percentage active members]],"N/A")</f>
        <v>N/A</v>
      </c>
      <c r="I47" t="str">
        <f>IF(Data2023[[#This Row],[Number of members]]=0,"N/A",IF(Data2023[[#This Row],[Number of members]]&lt;50," A. 1 - 50 ",IF(Data2023[[#This Row],[Number of members]]&lt;100, "B. 50 - 100", IF(Data2023[[#This Row],[Number of members]]&lt;400, "C. 100 - 400", IF(Data2023[[#This Row],[Number of members]]&lt;1000,"D. 400 - 1000", "E. 1000 +")))))</f>
        <v>E. 1000 +</v>
      </c>
      <c r="J47" t="str">
        <f>IF(ISBLANK(General2023[[#This Row],[number_of_international_members_not_eea]]),"N/A",VLOOKUP(A47,General2023[[organisation_name]:[number_of_international_committee_board_members_not_eea]],9,FALSE))</f>
        <v>N/A</v>
      </c>
      <c r="K47" t="str">
        <f>IF(ISBLANK(General2023[[#This Row],[number_of_international_members_eea]]),"N/A",VLOOKUP(A47,General2023[[organisation_name]:[number_of_international_committee_board_members_not_eea]],8,FALSE))</f>
        <v>N/A</v>
      </c>
      <c r="L47" t="str">
        <f>IFERROR(IF(Data2023[[#This Row],[Number of members]]-Data2023[[#This Row],[Non-EEA Total]]-Data2023[[#This Row],[EEA total]]&lt;1,"N/A", Data2023[[#This Row],[Number of members]]-Data2023[[#This Row],[Non-EEA Total]]-Data2023[[#This Row],[EEA total]]),"N/A")</f>
        <v>N/A</v>
      </c>
      <c r="M47">
        <f>VLOOKUP(A47,General2023[[organisation_name]:[number_of_international_committee_board_members_not_eea]],12,FALSE)</f>
        <v>0</v>
      </c>
      <c r="N47">
        <f>VLOOKUP(A47,General2023[[organisation_name]:[number_of_international_committee_board_members_not_eea]],11,FALSE)</f>
        <v>0</v>
      </c>
      <c r="O47" t="str">
        <f>IFERROR(IF(Data2023[[#This Row],[Number of active members]]-Data2023[[#This Row],[Non-EEA Active ]]-Data2023[[#This Row],[EEA Active]]&lt;1,"N/A", Data2023[[#This Row],[Number of active members]]-Data2023[[#This Row],[Non-EEA Active ]]-Data2023[[#This Row],[EEA Active]]),"N/A")</f>
        <v>N/A</v>
      </c>
      <c r="P47" t="str">
        <f>IFERROR(Data2023[[#This Row],[Non-EEA Active ]]/Data2023[[#This Row],[Number of active members]],"N/A")</f>
        <v>N/A</v>
      </c>
      <c r="Q47" t="str">
        <f>IFERROR(Data2023[[#This Row],[EEA Active]]/Data2023[[#This Row],[EEA total]], "N/A")</f>
        <v>N/A</v>
      </c>
      <c r="R47" t="str">
        <f>IFERROR(Data2023[[#This Row],[Dutch Active]]/Data2023[[#This Row],[Dutch total]],"N/A")</f>
        <v>N/A</v>
      </c>
      <c r="S47" t="str">
        <f>IFERROR(IF(Data2023[[#This Row],[Number of members]]=Data2023[[#This Row],[Non-EEA Total]]+Data2023[[#This Row],[EEA total]]+Data2023[[#This Row],[Dutch total]],"T","F"),"F")</f>
        <v>F</v>
      </c>
      <c r="T47" t="str">
        <f>IFERROR(IF(Data2023[[#This Row],[Number of active members]]=Data2023[[#This Row],[Non-EEA Active ]]+Data2023[[#This Row],[EEA Active]]+Data2023[[#This Row],[Dutch Active]],"T","F"),"F")</f>
        <v>F</v>
      </c>
      <c r="U47" t="str">
        <f>IFERROR(IF(Data2023[[#This Row],[Number of members]]-Data2023[[#This Row],[Non-EEA Active ]]-Data2023[[#This Row],[EEA Active]]-Data2023[[#This Row],[Dutch Active]]=Data2023[[#This Row],[Number of  inactive members]],"T","F"),"F")</f>
        <v>F</v>
      </c>
      <c r="V47" t="str">
        <f>IF(Data2023[[#This Row],[EEA Active]]&lt;=Data2023[[#This Row],[EEA total]],"T","F")</f>
        <v>T</v>
      </c>
      <c r="W47" t="str">
        <f>IF(Data2023[[#This Row],[Dutch Active]]&lt;=Data2023[[#This Row],[Dutch total]],"T","F")</f>
        <v>T</v>
      </c>
      <c r="X47" t="str">
        <f>IF(Data2023[[#This Row],[Non-EEA Active ]]&lt;=Data2023[[#This Row],[Non-EEA Total]],"T","F")</f>
        <v>T</v>
      </c>
      <c r="Y4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47" t="str">
        <f>IFERROR(VLOOKUP(Data2023[[#This Row],[organisation_name]],'Division Study Year Committees'!$A$1:$L$108,2,FALSE),"N/A")</f>
        <v>N/A</v>
      </c>
      <c r="AA47" t="str">
        <f>IFERROR(VLOOKUP(Data2023[[#This Row],[organisation_name]],'Division Study Year Committees'!$A$1:$L$108,3,FALSE),"N/A")</f>
        <v>N/A</v>
      </c>
      <c r="AB47" t="str">
        <f>IFERROR(VLOOKUP(Data2023[[#This Row],[organisation_name]],'Division Study Year Committees'!$A$1:$L$108,4,FALSE),"N/A")</f>
        <v>N/A</v>
      </c>
      <c r="AC47" t="str">
        <f>IFERROR(VLOOKUP(Data2023[[#This Row],[organisation_name]],'Division Study Year Committees'!$A$1:$L$108,5,FALSE), "N/A")</f>
        <v>N/A</v>
      </c>
      <c r="AD47" t="str">
        <f>IFERROR(VLOOKUP(Data2023[[#This Row],[organisation_name]],'Division Study Year Committees'!$A$1:$L$108,6,FALSE), "N/A")</f>
        <v>N/A</v>
      </c>
      <c r="AE47">
        <f>SUM(Data2023[[#This Row],[Number of first year comittee members]:[Number of 4+ year comittee members]])</f>
        <v>0</v>
      </c>
      <c r="AF47">
        <f>COUNTIF('Committee2022'!D:D,Data2023[[#This Row],[organisation_name]])</f>
        <v>0</v>
      </c>
      <c r="AG47">
        <v>2023</v>
      </c>
    </row>
    <row r="48" spans="1:33" x14ac:dyDescent="0.3">
      <c r="A48" t="str">
        <f>General2023[[#This Row],[organisation_name]]</f>
        <v>Fanaat</v>
      </c>
      <c r="B48" t="str">
        <f>IF(General2023[[#This Row],[sector]]= "",VLOOKUP(Data2023[[#This Row],[organisation_name]],'Response Rate sheet'!A:D,3,FALSE),General2023[[#This Row],[sector]])</f>
        <v>Culture</v>
      </c>
      <c r="C48" t="str">
        <f>General2023[[#This Row],[organisation_type]]</f>
        <v>association</v>
      </c>
      <c r="D48">
        <f>IF(ISBLANK(General2023[[#This Row],[number_of_members]]),"N/A",VLOOKUP(A48,General2023[[organisation_name]:[number_of_international_committee_board_members_not_eea]],6,FALSE))</f>
        <v>88</v>
      </c>
      <c r="E48">
        <f>IF(ISBLANK(General2023[[#This Row],[number_of_committee_board_members]]),"N/A",VLOOKUP(A48,General2023!B:M,10,FALSE))</f>
        <v>15</v>
      </c>
      <c r="F48">
        <f>IFERROR(Data2023[[#This Row],[Number of members]]-Data2023[[#This Row],[Number of active members]], "N/A")</f>
        <v>73</v>
      </c>
      <c r="G48">
        <f>IFERROR(Data2023[[#This Row],[Number of active members]]/Data2023[[#This Row],[Number of members]], "N/A")</f>
        <v>0.17045454545454544</v>
      </c>
      <c r="H48">
        <f>IFERROR(1-Data2023[[#This Row],[Percentage active members]],"N/A")</f>
        <v>0.82954545454545459</v>
      </c>
      <c r="I48" t="str">
        <f>IF(Data2023[[#This Row],[Number of members]]=0,"N/A",IF(Data2023[[#This Row],[Number of members]]&lt;50," A. 1 - 50 ",IF(Data2023[[#This Row],[Number of members]]&lt;100, "B. 50 - 100", IF(Data2023[[#This Row],[Number of members]]&lt;400, "C. 100 - 400", IF(Data2023[[#This Row],[Number of members]]&lt;1000,"D. 400 - 1000", "E. 1000 +")))))</f>
        <v>B. 50 - 100</v>
      </c>
      <c r="J48">
        <f>IF(ISBLANK(General2023[[#This Row],[number_of_international_members_not_eea]]),"N/A",VLOOKUP(A48,General2023[[organisation_name]:[number_of_international_committee_board_members_not_eea]],9,FALSE))</f>
        <v>12</v>
      </c>
      <c r="K48">
        <f>IF(ISBLANK(General2023[[#This Row],[number_of_international_members_eea]]),"N/A",VLOOKUP(A48,General2023[[organisation_name]:[number_of_international_committee_board_members_not_eea]],8,FALSE))</f>
        <v>1</v>
      </c>
      <c r="L48">
        <f>IFERROR(IF(Data2023[[#This Row],[Number of members]]-Data2023[[#This Row],[Non-EEA Total]]-Data2023[[#This Row],[EEA total]]&lt;1,"N/A", Data2023[[#This Row],[Number of members]]-Data2023[[#This Row],[Non-EEA Total]]-Data2023[[#This Row],[EEA total]]),"N/A")</f>
        <v>75</v>
      </c>
      <c r="M48">
        <f>VLOOKUP(A48,General2023[[organisation_name]:[number_of_international_committee_board_members_not_eea]],12,FALSE)</f>
        <v>0</v>
      </c>
      <c r="N48">
        <f>VLOOKUP(A48,General2023[[organisation_name]:[number_of_international_committee_board_members_not_eea]],11,FALSE)</f>
        <v>0</v>
      </c>
      <c r="O48">
        <f>IFERROR(IF(Data2023[[#This Row],[Number of active members]]-Data2023[[#This Row],[Non-EEA Active ]]-Data2023[[#This Row],[EEA Active]]&lt;1,"N/A", Data2023[[#This Row],[Number of active members]]-Data2023[[#This Row],[Non-EEA Active ]]-Data2023[[#This Row],[EEA Active]]),"N/A")</f>
        <v>15</v>
      </c>
      <c r="P48">
        <f>IFERROR(Data2023[[#This Row],[Non-EEA Active ]]/Data2023[[#This Row],[Number of active members]],"N/A")</f>
        <v>0</v>
      </c>
      <c r="Q48">
        <f>IFERROR(Data2023[[#This Row],[EEA Active]]/Data2023[[#This Row],[EEA total]], "N/A")</f>
        <v>0</v>
      </c>
      <c r="R48">
        <f>IFERROR(Data2023[[#This Row],[Dutch Active]]/Data2023[[#This Row],[Dutch total]],"N/A")</f>
        <v>0.2</v>
      </c>
      <c r="S48" t="str">
        <f>IFERROR(IF(Data2023[[#This Row],[Number of members]]=Data2023[[#This Row],[Non-EEA Total]]+Data2023[[#This Row],[EEA total]]+Data2023[[#This Row],[Dutch total]],"T","F"),"F")</f>
        <v>T</v>
      </c>
      <c r="T48" t="str">
        <f>IFERROR(IF(Data2023[[#This Row],[Number of active members]]=Data2023[[#This Row],[Non-EEA Active ]]+Data2023[[#This Row],[EEA Active]]+Data2023[[#This Row],[Dutch Active]],"T","F"),"F")</f>
        <v>T</v>
      </c>
      <c r="U48" t="str">
        <f>IFERROR(IF(Data2023[[#This Row],[Number of members]]-Data2023[[#This Row],[Non-EEA Active ]]-Data2023[[#This Row],[EEA Active]]-Data2023[[#This Row],[Dutch Active]]=Data2023[[#This Row],[Number of  inactive members]],"T","F"),"F")</f>
        <v>T</v>
      </c>
      <c r="V48" t="str">
        <f>IF(Data2023[[#This Row],[EEA Active]]&lt;=Data2023[[#This Row],[EEA total]],"T","F")</f>
        <v>T</v>
      </c>
      <c r="W48" t="str">
        <f>IF(Data2023[[#This Row],[Dutch Active]]&lt;=Data2023[[#This Row],[Dutch total]],"T","F")</f>
        <v>T</v>
      </c>
      <c r="X48" t="str">
        <f>IF(Data2023[[#This Row],[Non-EEA Active ]]&lt;=Data2023[[#This Row],[Non-EEA Total]],"T","F")</f>
        <v>T</v>
      </c>
      <c r="Y4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48">
        <f>IFERROR(VLOOKUP(Data2023[[#This Row],[organisation_name]],'Division Study Year Committees'!$A$1:$L$108,2,FALSE),"N/A")</f>
        <v>0</v>
      </c>
      <c r="AA48">
        <f>IFERROR(VLOOKUP(Data2023[[#This Row],[organisation_name]],'Division Study Year Committees'!$A$1:$L$108,3,FALSE),"N/A")</f>
        <v>6</v>
      </c>
      <c r="AB48">
        <f>IFERROR(VLOOKUP(Data2023[[#This Row],[organisation_name]],'Division Study Year Committees'!$A$1:$L$108,4,FALSE),"N/A")</f>
        <v>14</v>
      </c>
      <c r="AC48">
        <f>IFERROR(VLOOKUP(Data2023[[#This Row],[organisation_name]],'Division Study Year Committees'!$A$1:$L$108,5,FALSE), "N/A")</f>
        <v>10</v>
      </c>
      <c r="AD48">
        <f>IFERROR(VLOOKUP(Data2023[[#This Row],[organisation_name]],'Division Study Year Committees'!$A$1:$L$108,6,FALSE), "N/A")</f>
        <v>3</v>
      </c>
      <c r="AE48">
        <f>SUM(Data2023[[#This Row],[Number of first year comittee members]:[Number of 4+ year comittee members]])</f>
        <v>33</v>
      </c>
      <c r="AF48">
        <f>COUNTIF('Committee2022'!D:D,Data2023[[#This Row],[organisation_name]])</f>
        <v>13</v>
      </c>
      <c r="AG48">
        <v>2023</v>
      </c>
    </row>
    <row r="49" spans="1:33" x14ac:dyDescent="0.3">
      <c r="A49" t="str">
        <f>General2023[[#This Row],[organisation_name]]</f>
        <v>Musica Silvestra Orkest</v>
      </c>
      <c r="B49" t="str">
        <f>IF(General2023[[#This Row],[sector]]= "",VLOOKUP(Data2023[[#This Row],[organisation_name]],'Response Rate sheet'!A:D,3,FALSE),General2023[[#This Row],[sector]])</f>
        <v>Culture</v>
      </c>
      <c r="C49" t="str">
        <f>General2023[[#This Row],[organisation_type]]</f>
        <v>association</v>
      </c>
      <c r="D49">
        <f>IF(ISBLANK(General2023[[#This Row],[number_of_members]]),"N/A",VLOOKUP(A49,General2023[[organisation_name]:[number_of_international_committee_board_members_not_eea]],6,FALSE))</f>
        <v>18</v>
      </c>
      <c r="E49">
        <f>IF(ISBLANK(General2023[[#This Row],[number_of_committee_board_members]]),"N/A",VLOOKUP(A49,General2023!B:M,10,FALSE))</f>
        <v>4</v>
      </c>
      <c r="F49">
        <f>IFERROR(Data2023[[#This Row],[Number of members]]-Data2023[[#This Row],[Number of active members]], "N/A")</f>
        <v>14</v>
      </c>
      <c r="G49">
        <f>IFERROR(Data2023[[#This Row],[Number of active members]]/Data2023[[#This Row],[Number of members]], "N/A")</f>
        <v>0.22222222222222221</v>
      </c>
      <c r="H49">
        <f>IFERROR(1-Data2023[[#This Row],[Percentage active members]],"N/A")</f>
        <v>0.77777777777777779</v>
      </c>
      <c r="I49"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49">
        <f>IF(ISBLANK(General2023[[#This Row],[number_of_international_members_not_eea]]),"N/A",VLOOKUP(A49,General2023[[organisation_name]:[number_of_international_committee_board_members_not_eea]],9,FALSE))</f>
        <v>11</v>
      </c>
      <c r="K49">
        <f>IF(ISBLANK(General2023[[#This Row],[number_of_international_members_eea]]),"N/A",VLOOKUP(A49,General2023[[organisation_name]:[number_of_international_committee_board_members_not_eea]],8,FALSE))</f>
        <v>2</v>
      </c>
      <c r="L49">
        <f>IFERROR(IF(Data2023[[#This Row],[Number of members]]-Data2023[[#This Row],[Non-EEA Total]]-Data2023[[#This Row],[EEA total]]&lt;1,"N/A", Data2023[[#This Row],[Number of members]]-Data2023[[#This Row],[Non-EEA Total]]-Data2023[[#This Row],[EEA total]]),"N/A")</f>
        <v>5</v>
      </c>
      <c r="M49">
        <f>VLOOKUP(A49,General2023[[organisation_name]:[number_of_international_committee_board_members_not_eea]],12,FALSE)</f>
        <v>0</v>
      </c>
      <c r="N49">
        <f>VLOOKUP(A49,General2023[[organisation_name]:[number_of_international_committee_board_members_not_eea]],11,FALSE)</f>
        <v>0</v>
      </c>
      <c r="O49">
        <f>IFERROR(IF(Data2023[[#This Row],[Number of active members]]-Data2023[[#This Row],[Non-EEA Active ]]-Data2023[[#This Row],[EEA Active]]&lt;1,"N/A", Data2023[[#This Row],[Number of active members]]-Data2023[[#This Row],[Non-EEA Active ]]-Data2023[[#This Row],[EEA Active]]),"N/A")</f>
        <v>4</v>
      </c>
      <c r="P49">
        <f>IFERROR(Data2023[[#This Row],[Non-EEA Active ]]/Data2023[[#This Row],[Number of active members]],"N/A")</f>
        <v>0</v>
      </c>
      <c r="Q49">
        <f>IFERROR(Data2023[[#This Row],[EEA Active]]/Data2023[[#This Row],[EEA total]], "N/A")</f>
        <v>0</v>
      </c>
      <c r="R49">
        <f>IFERROR(Data2023[[#This Row],[Dutch Active]]/Data2023[[#This Row],[Dutch total]],"N/A")</f>
        <v>0.8</v>
      </c>
      <c r="S49" t="str">
        <f>IFERROR(IF(Data2023[[#This Row],[Number of members]]=Data2023[[#This Row],[Non-EEA Total]]+Data2023[[#This Row],[EEA total]]+Data2023[[#This Row],[Dutch total]],"T","F"),"F")</f>
        <v>T</v>
      </c>
      <c r="T49" t="str">
        <f>IFERROR(IF(Data2023[[#This Row],[Number of active members]]=Data2023[[#This Row],[Non-EEA Active ]]+Data2023[[#This Row],[EEA Active]]+Data2023[[#This Row],[Dutch Active]],"T","F"),"F")</f>
        <v>T</v>
      </c>
      <c r="U49" t="str">
        <f>IFERROR(IF(Data2023[[#This Row],[Number of members]]-Data2023[[#This Row],[Non-EEA Active ]]-Data2023[[#This Row],[EEA Active]]-Data2023[[#This Row],[Dutch Active]]=Data2023[[#This Row],[Number of  inactive members]],"T","F"),"F")</f>
        <v>T</v>
      </c>
      <c r="V49" t="str">
        <f>IF(Data2023[[#This Row],[EEA Active]]&lt;=Data2023[[#This Row],[EEA total]],"T","F")</f>
        <v>T</v>
      </c>
      <c r="W49" t="str">
        <f>IF(Data2023[[#This Row],[Dutch Active]]&lt;=Data2023[[#This Row],[Dutch total]],"T","F")</f>
        <v>T</v>
      </c>
      <c r="X49" t="str">
        <f>IF(Data2023[[#This Row],[Non-EEA Active ]]&lt;=Data2023[[#This Row],[Non-EEA Total]],"T","F")</f>
        <v>T</v>
      </c>
      <c r="Y4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49">
        <f>IFERROR(VLOOKUP(Data2023[[#This Row],[organisation_name]],'Division Study Year Committees'!$A$1:$L$108,2,FALSE),"N/A")</f>
        <v>2</v>
      </c>
      <c r="AA49">
        <f>IFERROR(VLOOKUP(Data2023[[#This Row],[organisation_name]],'Division Study Year Committees'!$A$1:$L$108,3,FALSE),"N/A")</f>
        <v>7</v>
      </c>
      <c r="AB49">
        <f>IFERROR(VLOOKUP(Data2023[[#This Row],[organisation_name]],'Division Study Year Committees'!$A$1:$L$108,4,FALSE),"N/A")</f>
        <v>15</v>
      </c>
      <c r="AC49">
        <f>IFERROR(VLOOKUP(Data2023[[#This Row],[organisation_name]],'Division Study Year Committees'!$A$1:$L$108,5,FALSE), "N/A")</f>
        <v>6</v>
      </c>
      <c r="AD49">
        <f>IFERROR(VLOOKUP(Data2023[[#This Row],[organisation_name]],'Division Study Year Committees'!$A$1:$L$108,6,FALSE), "N/A")</f>
        <v>14</v>
      </c>
      <c r="AE49">
        <f>SUM(Data2023[[#This Row],[Number of first year comittee members]:[Number of 4+ year comittee members]])</f>
        <v>44</v>
      </c>
      <c r="AF49">
        <f>COUNTIF('Committee2022'!D:D,Data2023[[#This Row],[organisation_name]])</f>
        <v>10</v>
      </c>
      <c r="AG49">
        <v>2023</v>
      </c>
    </row>
    <row r="50" spans="1:33" x14ac:dyDescent="0.3">
      <c r="A50" t="str">
        <f>General2023[[#This Row],[organisation_name]]</f>
        <v>Musilon</v>
      </c>
      <c r="B50" t="str">
        <f>IF(General2023[[#This Row],[sector]]= "",VLOOKUP(Data2023[[#This Row],[organisation_name]],'Response Rate sheet'!A:D,3,FALSE),General2023[[#This Row],[sector]])</f>
        <v>Culture</v>
      </c>
      <c r="C50" t="str">
        <f>General2023[[#This Row],[organisation_type]]</f>
        <v>association</v>
      </c>
      <c r="D50">
        <f>IF(ISBLANK(General2023[[#This Row],[number_of_members]]),"N/A",VLOOKUP(A50,General2023[[organisation_name]:[number_of_international_committee_board_members_not_eea]],6,FALSE))</f>
        <v>60</v>
      </c>
      <c r="E50">
        <f>IF(ISBLANK(General2023[[#This Row],[number_of_committee_board_members]]),"N/A",VLOOKUP(A50,General2023!B:M,10,FALSE))</f>
        <v>8</v>
      </c>
      <c r="F50">
        <f>IFERROR(Data2023[[#This Row],[Number of members]]-Data2023[[#This Row],[Number of active members]], "N/A")</f>
        <v>52</v>
      </c>
      <c r="G50">
        <f>IFERROR(Data2023[[#This Row],[Number of active members]]/Data2023[[#This Row],[Number of members]], "N/A")</f>
        <v>0.13333333333333333</v>
      </c>
      <c r="H50">
        <f>IFERROR(1-Data2023[[#This Row],[Percentage active members]],"N/A")</f>
        <v>0.8666666666666667</v>
      </c>
      <c r="I50" t="str">
        <f>IF(Data2023[[#This Row],[Number of members]]=0,"N/A",IF(Data2023[[#This Row],[Number of members]]&lt;50," A. 1 - 50 ",IF(Data2023[[#This Row],[Number of members]]&lt;100, "B. 50 - 100", IF(Data2023[[#This Row],[Number of members]]&lt;400, "C. 100 - 400", IF(Data2023[[#This Row],[Number of members]]&lt;1000,"D. 400 - 1000", "E. 1000 +")))))</f>
        <v>B. 50 - 100</v>
      </c>
      <c r="J50">
        <f>IF(ISBLANK(General2023[[#This Row],[number_of_international_members_not_eea]]),"N/A",VLOOKUP(A50,General2023[[organisation_name]:[number_of_international_committee_board_members_not_eea]],9,FALSE))</f>
        <v>35</v>
      </c>
      <c r="K50">
        <f>IF(ISBLANK(General2023[[#This Row],[number_of_international_members_eea]]),"N/A",VLOOKUP(A50,General2023[[organisation_name]:[number_of_international_committee_board_members_not_eea]],8,FALSE))</f>
        <v>12</v>
      </c>
      <c r="L50">
        <f>IFERROR(IF(Data2023[[#This Row],[Number of members]]-Data2023[[#This Row],[Non-EEA Total]]-Data2023[[#This Row],[EEA total]]&lt;1,"N/A", Data2023[[#This Row],[Number of members]]-Data2023[[#This Row],[Non-EEA Total]]-Data2023[[#This Row],[EEA total]]),"N/A")</f>
        <v>13</v>
      </c>
      <c r="M50">
        <f>VLOOKUP(A50,General2023[[organisation_name]:[number_of_international_committee_board_members_not_eea]],12,FALSE)</f>
        <v>5</v>
      </c>
      <c r="N50">
        <f>VLOOKUP(A50,General2023[[organisation_name]:[number_of_international_committee_board_members_not_eea]],11,FALSE)</f>
        <v>8</v>
      </c>
      <c r="O50" t="str">
        <f>IFERROR(IF(Data2023[[#This Row],[Number of active members]]-Data2023[[#This Row],[Non-EEA Active ]]-Data2023[[#This Row],[EEA Active]]&lt;1,"N/A", Data2023[[#This Row],[Number of active members]]-Data2023[[#This Row],[Non-EEA Active ]]-Data2023[[#This Row],[EEA Active]]),"N/A")</f>
        <v>N/A</v>
      </c>
      <c r="P50">
        <f>IFERROR(Data2023[[#This Row],[Non-EEA Active ]]/Data2023[[#This Row],[Number of active members]],"N/A")</f>
        <v>0.625</v>
      </c>
      <c r="Q50">
        <f>IFERROR(Data2023[[#This Row],[EEA Active]]/Data2023[[#This Row],[EEA total]], "N/A")</f>
        <v>0.66666666666666663</v>
      </c>
      <c r="R50" t="str">
        <f>IFERROR(Data2023[[#This Row],[Dutch Active]]/Data2023[[#This Row],[Dutch total]],"N/A")</f>
        <v>N/A</v>
      </c>
      <c r="S50" t="str">
        <f>IFERROR(IF(Data2023[[#This Row],[Number of members]]=Data2023[[#This Row],[Non-EEA Total]]+Data2023[[#This Row],[EEA total]]+Data2023[[#This Row],[Dutch total]],"T","F"),"F")</f>
        <v>T</v>
      </c>
      <c r="T50" t="str">
        <f>IFERROR(IF(Data2023[[#This Row],[Number of active members]]=Data2023[[#This Row],[Non-EEA Active ]]+Data2023[[#This Row],[EEA Active]]+Data2023[[#This Row],[Dutch Active]],"T","F"),"F")</f>
        <v>F</v>
      </c>
      <c r="U50" t="str">
        <f>IFERROR(IF(Data2023[[#This Row],[Number of members]]-Data2023[[#This Row],[Non-EEA Active ]]-Data2023[[#This Row],[EEA Active]]-Data2023[[#This Row],[Dutch Active]]=Data2023[[#This Row],[Number of  inactive members]],"T","F"),"F")</f>
        <v>F</v>
      </c>
      <c r="V50" t="str">
        <f>IF(Data2023[[#This Row],[EEA Active]]&lt;=Data2023[[#This Row],[EEA total]],"T","F")</f>
        <v>T</v>
      </c>
      <c r="W50" t="str">
        <f>IF(Data2023[[#This Row],[Dutch Active]]&lt;=Data2023[[#This Row],[Dutch total]],"T","F")</f>
        <v>F</v>
      </c>
      <c r="X50" t="str">
        <f>IF(Data2023[[#This Row],[Non-EEA Active ]]&lt;=Data2023[[#This Row],[Non-EEA Total]],"T","F")</f>
        <v>T</v>
      </c>
      <c r="Y5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50" t="str">
        <f>IFERROR(VLOOKUP(Data2023[[#This Row],[organisation_name]],'Division Study Year Committees'!$A$1:$L$108,2,FALSE),"N/A")</f>
        <v>N/A</v>
      </c>
      <c r="AA50" t="str">
        <f>IFERROR(VLOOKUP(Data2023[[#This Row],[organisation_name]],'Division Study Year Committees'!$A$1:$L$108,3,FALSE),"N/A")</f>
        <v>N/A</v>
      </c>
      <c r="AB50" t="str">
        <f>IFERROR(VLOOKUP(Data2023[[#This Row],[organisation_name]],'Division Study Year Committees'!$A$1:$L$108,4,FALSE),"N/A")</f>
        <v>N/A</v>
      </c>
      <c r="AC50" t="str">
        <f>IFERROR(VLOOKUP(Data2023[[#This Row],[organisation_name]],'Division Study Year Committees'!$A$1:$L$108,5,FALSE), "N/A")</f>
        <v>N/A</v>
      </c>
      <c r="AD50" t="str">
        <f>IFERROR(VLOOKUP(Data2023[[#This Row],[organisation_name]],'Division Study Year Committees'!$A$1:$L$108,6,FALSE), "N/A")</f>
        <v>N/A</v>
      </c>
      <c r="AE50">
        <f>SUM(Data2023[[#This Row],[Number of first year comittee members]:[Number of 4+ year comittee members]])</f>
        <v>0</v>
      </c>
      <c r="AF50">
        <f>COUNTIF('Committee2022'!D:D,Data2023[[#This Row],[organisation_name]])</f>
        <v>11</v>
      </c>
      <c r="AG50">
        <v>2023</v>
      </c>
    </row>
    <row r="51" spans="1:33" x14ac:dyDescent="0.3">
      <c r="A51" t="str">
        <f>General2023[[#This Row],[organisation_name]]</f>
        <v>Nest</v>
      </c>
      <c r="B51" t="str">
        <f>IF(General2023[[#This Row],[sector]]= "",VLOOKUP(Data2023[[#This Row],[organisation_name]],'Response Rate sheet'!A:D,3,FALSE),General2023[[#This Row],[sector]])</f>
        <v>Culture</v>
      </c>
      <c r="C51" t="str">
        <f>General2023[[#This Row],[organisation_type]]</f>
        <v>association</v>
      </c>
      <c r="D51">
        <f>IF(ISBLANK(General2023[[#This Row],[number_of_members]]),"N/A",VLOOKUP(A51,General2023[[organisation_name]:[number_of_international_committee_board_members_not_eea]],6,FALSE))</f>
        <v>67</v>
      </c>
      <c r="E51">
        <f>IF(ISBLANK(General2023[[#This Row],[number_of_committee_board_members]]),"N/A",VLOOKUP(A51,General2023!B:M,10,FALSE))</f>
        <v>5</v>
      </c>
      <c r="F51">
        <f>IFERROR(Data2023[[#This Row],[Number of members]]-Data2023[[#This Row],[Number of active members]], "N/A")</f>
        <v>62</v>
      </c>
      <c r="G51">
        <f>IFERROR(Data2023[[#This Row],[Number of active members]]/Data2023[[#This Row],[Number of members]], "N/A")</f>
        <v>7.4626865671641784E-2</v>
      </c>
      <c r="H51">
        <f>IFERROR(1-Data2023[[#This Row],[Percentage active members]],"N/A")</f>
        <v>0.92537313432835822</v>
      </c>
      <c r="I51" t="str">
        <f>IF(Data2023[[#This Row],[Number of members]]=0,"N/A",IF(Data2023[[#This Row],[Number of members]]&lt;50," A. 1 - 50 ",IF(Data2023[[#This Row],[Number of members]]&lt;100, "B. 50 - 100", IF(Data2023[[#This Row],[Number of members]]&lt;400, "C. 100 - 400", IF(Data2023[[#This Row],[Number of members]]&lt;1000,"D. 400 - 1000", "E. 1000 +")))))</f>
        <v>B. 50 - 100</v>
      </c>
      <c r="J51">
        <f>IF(ISBLANK(General2023[[#This Row],[number_of_international_members_not_eea]]),"N/A",VLOOKUP(A51,General2023[[organisation_name]:[number_of_international_committee_board_members_not_eea]],9,FALSE))</f>
        <v>43</v>
      </c>
      <c r="K51">
        <f>IF(ISBLANK(General2023[[#This Row],[number_of_international_members_eea]]),"N/A",VLOOKUP(A51,General2023[[organisation_name]:[number_of_international_committee_board_members_not_eea]],8,FALSE))</f>
        <v>1</v>
      </c>
      <c r="L51">
        <f>IFERROR(IF(Data2023[[#This Row],[Number of members]]-Data2023[[#This Row],[Non-EEA Total]]-Data2023[[#This Row],[EEA total]]&lt;1,"N/A", Data2023[[#This Row],[Number of members]]-Data2023[[#This Row],[Non-EEA Total]]-Data2023[[#This Row],[EEA total]]),"N/A")</f>
        <v>23</v>
      </c>
      <c r="M51">
        <f>VLOOKUP(A51,General2023[[organisation_name]:[number_of_international_committee_board_members_not_eea]],12,FALSE)</f>
        <v>0</v>
      </c>
      <c r="N51">
        <f>VLOOKUP(A51,General2023[[organisation_name]:[number_of_international_committee_board_members_not_eea]],11,FALSE)</f>
        <v>10</v>
      </c>
      <c r="O51" t="str">
        <f>IFERROR(IF(Data2023[[#This Row],[Number of active members]]-Data2023[[#This Row],[Non-EEA Active ]]-Data2023[[#This Row],[EEA Active]]&lt;1,"N/A", Data2023[[#This Row],[Number of active members]]-Data2023[[#This Row],[Non-EEA Active ]]-Data2023[[#This Row],[EEA Active]]),"N/A")</f>
        <v>N/A</v>
      </c>
      <c r="P51">
        <f>IFERROR(Data2023[[#This Row],[Non-EEA Active ]]/Data2023[[#This Row],[Number of active members]],"N/A")</f>
        <v>0</v>
      </c>
      <c r="Q51">
        <f>IFERROR(Data2023[[#This Row],[EEA Active]]/Data2023[[#This Row],[EEA total]], "N/A")</f>
        <v>10</v>
      </c>
      <c r="R51" t="str">
        <f>IFERROR(Data2023[[#This Row],[Dutch Active]]/Data2023[[#This Row],[Dutch total]],"N/A")</f>
        <v>N/A</v>
      </c>
      <c r="S51" t="str">
        <f>IFERROR(IF(Data2023[[#This Row],[Number of members]]=Data2023[[#This Row],[Non-EEA Total]]+Data2023[[#This Row],[EEA total]]+Data2023[[#This Row],[Dutch total]],"T","F"),"F")</f>
        <v>T</v>
      </c>
      <c r="T51" t="str">
        <f>IFERROR(IF(Data2023[[#This Row],[Number of active members]]=Data2023[[#This Row],[Non-EEA Active ]]+Data2023[[#This Row],[EEA Active]]+Data2023[[#This Row],[Dutch Active]],"T","F"),"F")</f>
        <v>F</v>
      </c>
      <c r="U51" t="str">
        <f>IFERROR(IF(Data2023[[#This Row],[Number of members]]-Data2023[[#This Row],[Non-EEA Active ]]-Data2023[[#This Row],[EEA Active]]-Data2023[[#This Row],[Dutch Active]]=Data2023[[#This Row],[Number of  inactive members]],"T","F"),"F")</f>
        <v>F</v>
      </c>
      <c r="V51" t="str">
        <f>IF(Data2023[[#This Row],[EEA Active]]&lt;=Data2023[[#This Row],[EEA total]],"T","F")</f>
        <v>F</v>
      </c>
      <c r="W51" t="str">
        <f>IF(Data2023[[#This Row],[Dutch Active]]&lt;=Data2023[[#This Row],[Dutch total]],"T","F")</f>
        <v>F</v>
      </c>
      <c r="X51" t="str">
        <f>IF(Data2023[[#This Row],[Non-EEA Active ]]&lt;=Data2023[[#This Row],[Non-EEA Total]],"T","F")</f>
        <v>T</v>
      </c>
      <c r="Y5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51">
        <f>IFERROR(VLOOKUP(Data2023[[#This Row],[organisation_name]],'Division Study Year Committees'!$A$1:$L$108,2,FALSE),"N/A")</f>
        <v>0</v>
      </c>
      <c r="AA51">
        <f>IFERROR(VLOOKUP(Data2023[[#This Row],[organisation_name]],'Division Study Year Committees'!$A$1:$L$108,3,FALSE),"N/A")</f>
        <v>0</v>
      </c>
      <c r="AB51">
        <f>IFERROR(VLOOKUP(Data2023[[#This Row],[organisation_name]],'Division Study Year Committees'!$A$1:$L$108,4,FALSE),"N/A")</f>
        <v>0</v>
      </c>
      <c r="AC51">
        <f>IFERROR(VLOOKUP(Data2023[[#This Row],[organisation_name]],'Division Study Year Committees'!$A$1:$L$108,5,FALSE), "N/A")</f>
        <v>0</v>
      </c>
      <c r="AD51">
        <f>IFERROR(VLOOKUP(Data2023[[#This Row],[organisation_name]],'Division Study Year Committees'!$A$1:$L$108,6,FALSE), "N/A")</f>
        <v>0</v>
      </c>
      <c r="AE51">
        <f>SUM(Data2023[[#This Row],[Number of first year comittee members]:[Number of 4+ year comittee members]])</f>
        <v>0</v>
      </c>
      <c r="AF51">
        <f>COUNTIF('Committee2022'!D:D,Data2023[[#This Row],[organisation_name]])</f>
        <v>0</v>
      </c>
      <c r="AG51">
        <v>2023</v>
      </c>
    </row>
    <row r="52" spans="1:33" x14ac:dyDescent="0.3">
      <c r="A52" t="str">
        <f>General2023[[#This Row],[organisation_name]]</f>
        <v>Pro Deo</v>
      </c>
      <c r="B52" t="str">
        <f>IF(General2023[[#This Row],[sector]]= "",VLOOKUP(Data2023[[#This Row],[organisation_name]],'Response Rate sheet'!A:D,3,FALSE),General2023[[#This Row],[sector]])</f>
        <v>Culture</v>
      </c>
      <c r="C52" t="str">
        <f>General2023[[#This Row],[organisation_type]]</f>
        <v>association</v>
      </c>
      <c r="D52">
        <f>IF(ISBLANK(General2023[[#This Row],[number_of_members]]),"N/A",VLOOKUP(A52,General2023[[organisation_name]:[number_of_international_committee_board_members_not_eea]],6,FALSE))</f>
        <v>44</v>
      </c>
      <c r="E52">
        <f>IF(ISBLANK(General2023[[#This Row],[number_of_committee_board_members]]),"N/A",VLOOKUP(A52,General2023!B:M,10,FALSE))</f>
        <v>10</v>
      </c>
      <c r="F52">
        <f>IFERROR(Data2023[[#This Row],[Number of members]]-Data2023[[#This Row],[Number of active members]], "N/A")</f>
        <v>34</v>
      </c>
      <c r="G52">
        <f>IFERROR(Data2023[[#This Row],[Number of active members]]/Data2023[[#This Row],[Number of members]], "N/A")</f>
        <v>0.22727272727272727</v>
      </c>
      <c r="H52">
        <f>IFERROR(1-Data2023[[#This Row],[Percentage active members]],"N/A")</f>
        <v>0.77272727272727271</v>
      </c>
      <c r="I52"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52">
        <f>IF(ISBLANK(General2023[[#This Row],[number_of_international_members_not_eea]]),"N/A",VLOOKUP(A52,General2023[[organisation_name]:[number_of_international_committee_board_members_not_eea]],9,FALSE))</f>
        <v>17</v>
      </c>
      <c r="K52">
        <f>IF(ISBLANK(General2023[[#This Row],[number_of_international_members_eea]]),"N/A",VLOOKUP(A52,General2023[[organisation_name]:[number_of_international_committee_board_members_not_eea]],8,FALSE))</f>
        <v>2</v>
      </c>
      <c r="L52">
        <f>IFERROR(IF(Data2023[[#This Row],[Number of members]]-Data2023[[#This Row],[Non-EEA Total]]-Data2023[[#This Row],[EEA total]]&lt;1,"N/A", Data2023[[#This Row],[Number of members]]-Data2023[[#This Row],[Non-EEA Total]]-Data2023[[#This Row],[EEA total]]),"N/A")</f>
        <v>25</v>
      </c>
      <c r="M52">
        <f>VLOOKUP(A52,General2023[[organisation_name]:[number_of_international_committee_board_members_not_eea]],12,FALSE)</f>
        <v>1</v>
      </c>
      <c r="N52">
        <f>VLOOKUP(A52,General2023[[organisation_name]:[number_of_international_committee_board_members_not_eea]],11,FALSE)</f>
        <v>2</v>
      </c>
      <c r="O52">
        <f>IFERROR(IF(Data2023[[#This Row],[Number of active members]]-Data2023[[#This Row],[Non-EEA Active ]]-Data2023[[#This Row],[EEA Active]]&lt;1,"N/A", Data2023[[#This Row],[Number of active members]]-Data2023[[#This Row],[Non-EEA Active ]]-Data2023[[#This Row],[EEA Active]]),"N/A")</f>
        <v>7</v>
      </c>
      <c r="P52">
        <f>IFERROR(Data2023[[#This Row],[Non-EEA Active ]]/Data2023[[#This Row],[Number of active members]],"N/A")</f>
        <v>0.1</v>
      </c>
      <c r="Q52">
        <f>IFERROR(Data2023[[#This Row],[EEA Active]]/Data2023[[#This Row],[EEA total]], "N/A")</f>
        <v>1</v>
      </c>
      <c r="R52">
        <f>IFERROR(Data2023[[#This Row],[Dutch Active]]/Data2023[[#This Row],[Dutch total]],"N/A")</f>
        <v>0.28000000000000003</v>
      </c>
      <c r="S52" t="str">
        <f>IFERROR(IF(Data2023[[#This Row],[Number of members]]=Data2023[[#This Row],[Non-EEA Total]]+Data2023[[#This Row],[EEA total]]+Data2023[[#This Row],[Dutch total]],"T","F"),"F")</f>
        <v>T</v>
      </c>
      <c r="T52" t="str">
        <f>IFERROR(IF(Data2023[[#This Row],[Number of active members]]=Data2023[[#This Row],[Non-EEA Active ]]+Data2023[[#This Row],[EEA Active]]+Data2023[[#This Row],[Dutch Active]],"T","F"),"F")</f>
        <v>T</v>
      </c>
      <c r="U52" t="str">
        <f>IFERROR(IF(Data2023[[#This Row],[Number of members]]-Data2023[[#This Row],[Non-EEA Active ]]-Data2023[[#This Row],[EEA Active]]-Data2023[[#This Row],[Dutch Active]]=Data2023[[#This Row],[Number of  inactive members]],"T","F"),"F")</f>
        <v>T</v>
      </c>
      <c r="V52" t="str">
        <f>IF(Data2023[[#This Row],[EEA Active]]&lt;=Data2023[[#This Row],[EEA total]],"T","F")</f>
        <v>T</v>
      </c>
      <c r="W52" t="str">
        <f>IF(Data2023[[#This Row],[Dutch Active]]&lt;=Data2023[[#This Row],[Dutch total]],"T","F")</f>
        <v>T</v>
      </c>
      <c r="X52" t="str">
        <f>IF(Data2023[[#This Row],[Non-EEA Active ]]&lt;=Data2023[[#This Row],[Non-EEA Total]],"T","F")</f>
        <v>T</v>
      </c>
      <c r="Y5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2">
        <f>IFERROR(VLOOKUP(Data2023[[#This Row],[organisation_name]],'Division Study Year Committees'!$A$1:$L$108,2,FALSE),"N/A")</f>
        <v>0</v>
      </c>
      <c r="AA52">
        <f>IFERROR(VLOOKUP(Data2023[[#This Row],[organisation_name]],'Division Study Year Committees'!$A$1:$L$108,3,FALSE),"N/A")</f>
        <v>2</v>
      </c>
      <c r="AB52">
        <f>IFERROR(VLOOKUP(Data2023[[#This Row],[organisation_name]],'Division Study Year Committees'!$A$1:$L$108,4,FALSE),"N/A")</f>
        <v>1</v>
      </c>
      <c r="AC52">
        <f>IFERROR(VLOOKUP(Data2023[[#This Row],[organisation_name]],'Division Study Year Committees'!$A$1:$L$108,5,FALSE), "N/A")</f>
        <v>0</v>
      </c>
      <c r="AD52">
        <f>IFERROR(VLOOKUP(Data2023[[#This Row],[organisation_name]],'Division Study Year Committees'!$A$1:$L$108,6,FALSE), "N/A")</f>
        <v>16</v>
      </c>
      <c r="AE52">
        <f>SUM(Data2023[[#This Row],[Number of first year comittee members]:[Number of 4+ year comittee members]])</f>
        <v>19</v>
      </c>
      <c r="AF52">
        <f>COUNTIF('Committee2022'!D:D,Data2023[[#This Row],[organisation_name]])</f>
        <v>10</v>
      </c>
      <c r="AG52">
        <v>2023</v>
      </c>
    </row>
    <row r="53" spans="1:33" x14ac:dyDescent="0.3">
      <c r="A53" t="str">
        <f>General2023[[#This Row],[organisation_name]]</f>
        <v>SDV Chasse</v>
      </c>
      <c r="B53" t="str">
        <f>IF(General2023[[#This Row],[sector]]= "",VLOOKUP(Data2023[[#This Row],[organisation_name]],'Response Rate sheet'!A:D,3,FALSE),General2023[[#This Row],[sector]])</f>
        <v>Culture</v>
      </c>
      <c r="C53" t="str">
        <f>General2023[[#This Row],[organisation_type]]</f>
        <v>association</v>
      </c>
      <c r="D53">
        <f>IF(ISBLANK(General2023[[#This Row],[number_of_members]]),"N/A",VLOOKUP(A53,General2023[[organisation_name]:[number_of_international_committee_board_members_not_eea]],6,FALSE))</f>
        <v>48</v>
      </c>
      <c r="E53">
        <f>IF(ISBLANK(General2023[[#This Row],[number_of_committee_board_members]]),"N/A",VLOOKUP(A53,General2023!B:M,10,FALSE))</f>
        <v>8</v>
      </c>
      <c r="F53">
        <f>IFERROR(Data2023[[#This Row],[Number of members]]-Data2023[[#This Row],[Number of active members]], "N/A")</f>
        <v>40</v>
      </c>
      <c r="G53">
        <f>IFERROR(Data2023[[#This Row],[Number of active members]]/Data2023[[#This Row],[Number of members]], "N/A")</f>
        <v>0.16666666666666666</v>
      </c>
      <c r="H53">
        <f>IFERROR(1-Data2023[[#This Row],[Percentage active members]],"N/A")</f>
        <v>0.83333333333333337</v>
      </c>
      <c r="I53"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53">
        <f>IF(ISBLANK(General2023[[#This Row],[number_of_international_members_not_eea]]),"N/A",VLOOKUP(A53,General2023[[organisation_name]:[number_of_international_committee_board_members_not_eea]],9,FALSE))</f>
        <v>26</v>
      </c>
      <c r="K53">
        <f>IF(ISBLANK(General2023[[#This Row],[number_of_international_members_eea]]),"N/A",VLOOKUP(A53,General2023[[organisation_name]:[number_of_international_committee_board_members_not_eea]],8,FALSE))</f>
        <v>3</v>
      </c>
      <c r="L53">
        <f>IFERROR(IF(Data2023[[#This Row],[Number of members]]-Data2023[[#This Row],[Non-EEA Total]]-Data2023[[#This Row],[EEA total]]&lt;1,"N/A", Data2023[[#This Row],[Number of members]]-Data2023[[#This Row],[Non-EEA Total]]-Data2023[[#This Row],[EEA total]]),"N/A")</f>
        <v>19</v>
      </c>
      <c r="M53">
        <f>VLOOKUP(A53,General2023[[organisation_name]:[number_of_international_committee_board_members_not_eea]],12,FALSE)</f>
        <v>3</v>
      </c>
      <c r="N53">
        <f>VLOOKUP(A53,General2023[[organisation_name]:[number_of_international_committee_board_members_not_eea]],11,FALSE)</f>
        <v>3</v>
      </c>
      <c r="O53">
        <f>IFERROR(IF(Data2023[[#This Row],[Number of active members]]-Data2023[[#This Row],[Non-EEA Active ]]-Data2023[[#This Row],[EEA Active]]&lt;1,"N/A", Data2023[[#This Row],[Number of active members]]-Data2023[[#This Row],[Non-EEA Active ]]-Data2023[[#This Row],[EEA Active]]),"N/A")</f>
        <v>2</v>
      </c>
      <c r="P53">
        <f>IFERROR(Data2023[[#This Row],[Non-EEA Active ]]/Data2023[[#This Row],[Number of active members]],"N/A")</f>
        <v>0.375</v>
      </c>
      <c r="Q53">
        <f>IFERROR(Data2023[[#This Row],[EEA Active]]/Data2023[[#This Row],[EEA total]], "N/A")</f>
        <v>1</v>
      </c>
      <c r="R53">
        <f>IFERROR(Data2023[[#This Row],[Dutch Active]]/Data2023[[#This Row],[Dutch total]],"N/A")</f>
        <v>0.10526315789473684</v>
      </c>
      <c r="S53" t="str">
        <f>IFERROR(IF(Data2023[[#This Row],[Number of members]]=Data2023[[#This Row],[Non-EEA Total]]+Data2023[[#This Row],[EEA total]]+Data2023[[#This Row],[Dutch total]],"T","F"),"F")</f>
        <v>T</v>
      </c>
      <c r="T53" t="str">
        <f>IFERROR(IF(Data2023[[#This Row],[Number of active members]]=Data2023[[#This Row],[Non-EEA Active ]]+Data2023[[#This Row],[EEA Active]]+Data2023[[#This Row],[Dutch Active]],"T","F"),"F")</f>
        <v>T</v>
      </c>
      <c r="U53" t="str">
        <f>IFERROR(IF(Data2023[[#This Row],[Number of members]]-Data2023[[#This Row],[Non-EEA Active ]]-Data2023[[#This Row],[EEA Active]]-Data2023[[#This Row],[Dutch Active]]=Data2023[[#This Row],[Number of  inactive members]],"T","F"),"F")</f>
        <v>T</v>
      </c>
      <c r="V53" t="str">
        <f>IF(Data2023[[#This Row],[EEA Active]]&lt;=Data2023[[#This Row],[EEA total]],"T","F")</f>
        <v>T</v>
      </c>
      <c r="W53" t="str">
        <f>IF(Data2023[[#This Row],[Dutch Active]]&lt;=Data2023[[#This Row],[Dutch total]],"T","F")</f>
        <v>T</v>
      </c>
      <c r="X53" t="str">
        <f>IF(Data2023[[#This Row],[Non-EEA Active ]]&lt;=Data2023[[#This Row],[Non-EEA Total]],"T","F")</f>
        <v>T</v>
      </c>
      <c r="Y53"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3">
        <f>IFERROR(VLOOKUP(Data2023[[#This Row],[organisation_name]],'Division Study Year Committees'!$A$1:$L$108,2,FALSE),"N/A")</f>
        <v>0</v>
      </c>
      <c r="AA53">
        <f>IFERROR(VLOOKUP(Data2023[[#This Row],[organisation_name]],'Division Study Year Committees'!$A$1:$L$108,3,FALSE),"N/A")</f>
        <v>0</v>
      </c>
      <c r="AB53">
        <f>IFERROR(VLOOKUP(Data2023[[#This Row],[organisation_name]],'Division Study Year Committees'!$A$1:$L$108,4,FALSE),"N/A")</f>
        <v>0</v>
      </c>
      <c r="AC53">
        <f>IFERROR(VLOOKUP(Data2023[[#This Row],[organisation_name]],'Division Study Year Committees'!$A$1:$L$108,5,FALSE), "N/A")</f>
        <v>0</v>
      </c>
      <c r="AD53">
        <f>IFERROR(VLOOKUP(Data2023[[#This Row],[organisation_name]],'Division Study Year Committees'!$A$1:$L$108,6,FALSE), "N/A")</f>
        <v>0</v>
      </c>
      <c r="AE53">
        <f>SUM(Data2023[[#This Row],[Number of first year comittee members]:[Number of 4+ year comittee members]])</f>
        <v>0</v>
      </c>
      <c r="AF53">
        <f>COUNTIF('Committee2022'!D:D,Data2023[[#This Row],[organisation_name]])</f>
        <v>8</v>
      </c>
      <c r="AG53">
        <v>2023</v>
      </c>
    </row>
    <row r="54" spans="1:33" x14ac:dyDescent="0.3">
      <c r="A54" t="str">
        <f>General2023[[#This Row],[organisation_name]]</f>
        <v>SHOT</v>
      </c>
      <c r="B54" t="str">
        <f>IF(General2023[[#This Row],[sector]]= "",VLOOKUP(Data2023[[#This Row],[organisation_name]],'Response Rate sheet'!A:D,3,FALSE),General2023[[#This Row],[sector]])</f>
        <v>Culture</v>
      </c>
      <c r="C54" t="str">
        <f>General2023[[#This Row],[organisation_type]]</f>
        <v>association</v>
      </c>
      <c r="D54">
        <f>IF(ISBLANK(General2023[[#This Row],[number_of_members]]),"N/A",VLOOKUP(A54,General2023[[organisation_name]:[number_of_international_committee_board_members_not_eea]],6,FALSE))</f>
        <v>63</v>
      </c>
      <c r="E54">
        <f>IF(ISBLANK(General2023[[#This Row],[number_of_committee_board_members]]),"N/A",VLOOKUP(A54,General2023!B:M,10,FALSE))</f>
        <v>10</v>
      </c>
      <c r="F54">
        <f>IFERROR(Data2023[[#This Row],[Number of members]]-Data2023[[#This Row],[Number of active members]], "N/A")</f>
        <v>53</v>
      </c>
      <c r="G54">
        <f>IFERROR(Data2023[[#This Row],[Number of active members]]/Data2023[[#This Row],[Number of members]], "N/A")</f>
        <v>0.15873015873015872</v>
      </c>
      <c r="H54">
        <f>IFERROR(1-Data2023[[#This Row],[Percentage active members]],"N/A")</f>
        <v>0.84126984126984128</v>
      </c>
      <c r="I54" t="str">
        <f>IF(Data2023[[#This Row],[Number of members]]=0,"N/A",IF(Data2023[[#This Row],[Number of members]]&lt;50," A. 1 - 50 ",IF(Data2023[[#This Row],[Number of members]]&lt;100, "B. 50 - 100", IF(Data2023[[#This Row],[Number of members]]&lt;400, "C. 100 - 400", IF(Data2023[[#This Row],[Number of members]]&lt;1000,"D. 400 - 1000", "E. 1000 +")))))</f>
        <v>B. 50 - 100</v>
      </c>
      <c r="J54">
        <f>IF(ISBLANK(General2023[[#This Row],[number_of_international_members_not_eea]]),"N/A",VLOOKUP(A54,General2023[[organisation_name]:[number_of_international_committee_board_members_not_eea]],9,FALSE))</f>
        <v>20</v>
      </c>
      <c r="K54">
        <f>IF(ISBLANK(General2023[[#This Row],[number_of_international_members_eea]]),"N/A",VLOOKUP(A54,General2023[[organisation_name]:[number_of_international_committee_board_members_not_eea]],8,FALSE))</f>
        <v>2</v>
      </c>
      <c r="L54">
        <f>IFERROR(IF(Data2023[[#This Row],[Number of members]]-Data2023[[#This Row],[Non-EEA Total]]-Data2023[[#This Row],[EEA total]]&lt;1,"N/A", Data2023[[#This Row],[Number of members]]-Data2023[[#This Row],[Non-EEA Total]]-Data2023[[#This Row],[EEA total]]),"N/A")</f>
        <v>41</v>
      </c>
      <c r="M54">
        <f>VLOOKUP(A54,General2023[[organisation_name]:[number_of_international_committee_board_members_not_eea]],12,FALSE)</f>
        <v>1</v>
      </c>
      <c r="N54">
        <f>VLOOKUP(A54,General2023[[organisation_name]:[number_of_international_committee_board_members_not_eea]],11,FALSE)</f>
        <v>0</v>
      </c>
      <c r="O54">
        <f>IFERROR(IF(Data2023[[#This Row],[Number of active members]]-Data2023[[#This Row],[Non-EEA Active ]]-Data2023[[#This Row],[EEA Active]]&lt;1,"N/A", Data2023[[#This Row],[Number of active members]]-Data2023[[#This Row],[Non-EEA Active ]]-Data2023[[#This Row],[EEA Active]]),"N/A")</f>
        <v>9</v>
      </c>
      <c r="P54">
        <f>IFERROR(Data2023[[#This Row],[Non-EEA Active ]]/Data2023[[#This Row],[Number of active members]],"N/A")</f>
        <v>0.1</v>
      </c>
      <c r="Q54">
        <f>IFERROR(Data2023[[#This Row],[EEA Active]]/Data2023[[#This Row],[EEA total]], "N/A")</f>
        <v>0</v>
      </c>
      <c r="R54">
        <f>IFERROR(Data2023[[#This Row],[Dutch Active]]/Data2023[[#This Row],[Dutch total]],"N/A")</f>
        <v>0.21951219512195122</v>
      </c>
      <c r="S54" t="str">
        <f>IFERROR(IF(Data2023[[#This Row],[Number of members]]=Data2023[[#This Row],[Non-EEA Total]]+Data2023[[#This Row],[EEA total]]+Data2023[[#This Row],[Dutch total]],"T","F"),"F")</f>
        <v>T</v>
      </c>
      <c r="T54" t="str">
        <f>IFERROR(IF(Data2023[[#This Row],[Number of active members]]=Data2023[[#This Row],[Non-EEA Active ]]+Data2023[[#This Row],[EEA Active]]+Data2023[[#This Row],[Dutch Active]],"T","F"),"F")</f>
        <v>T</v>
      </c>
      <c r="U54" t="str">
        <f>IFERROR(IF(Data2023[[#This Row],[Number of members]]-Data2023[[#This Row],[Non-EEA Active ]]-Data2023[[#This Row],[EEA Active]]-Data2023[[#This Row],[Dutch Active]]=Data2023[[#This Row],[Number of  inactive members]],"T","F"),"F")</f>
        <v>T</v>
      </c>
      <c r="V54" t="str">
        <f>IF(Data2023[[#This Row],[EEA Active]]&lt;=Data2023[[#This Row],[EEA total]],"T","F")</f>
        <v>T</v>
      </c>
      <c r="W54" t="str">
        <f>IF(Data2023[[#This Row],[Dutch Active]]&lt;=Data2023[[#This Row],[Dutch total]],"T","F")</f>
        <v>T</v>
      </c>
      <c r="X54" t="str">
        <f>IF(Data2023[[#This Row],[Non-EEA Active ]]&lt;=Data2023[[#This Row],[Non-EEA Total]],"T","F")</f>
        <v>T</v>
      </c>
      <c r="Y54"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4" t="str">
        <f>IFERROR(VLOOKUP(Data2023[[#This Row],[organisation_name]],'Division Study Year Committees'!$A$1:$L$108,2,FALSE),"N/A")</f>
        <v>N/A</v>
      </c>
      <c r="AA54" t="str">
        <f>IFERROR(VLOOKUP(Data2023[[#This Row],[organisation_name]],'Division Study Year Committees'!$A$1:$L$108,3,FALSE),"N/A")</f>
        <v>N/A</v>
      </c>
      <c r="AB54" t="str">
        <f>IFERROR(VLOOKUP(Data2023[[#This Row],[organisation_name]],'Division Study Year Committees'!$A$1:$L$108,4,FALSE),"N/A")</f>
        <v>N/A</v>
      </c>
      <c r="AC54" t="str">
        <f>IFERROR(VLOOKUP(Data2023[[#This Row],[organisation_name]],'Division Study Year Committees'!$A$1:$L$108,5,FALSE), "N/A")</f>
        <v>N/A</v>
      </c>
      <c r="AD54" t="str">
        <f>IFERROR(VLOOKUP(Data2023[[#This Row],[organisation_name]],'Division Study Year Committees'!$A$1:$L$108,6,FALSE), "N/A")</f>
        <v>N/A</v>
      </c>
      <c r="AE54">
        <f>SUM(Data2023[[#This Row],[Number of first year comittee members]:[Number of 4+ year comittee members]])</f>
        <v>0</v>
      </c>
      <c r="AF54">
        <f>COUNTIF('Committee2022'!D:D,Data2023[[#This Row],[organisation_name]])</f>
        <v>14</v>
      </c>
      <c r="AG54">
        <v>2023</v>
      </c>
    </row>
    <row r="55" spans="1:33" x14ac:dyDescent="0.3">
      <c r="A55" t="str">
        <f>General2023[[#This Row],[organisation_name]]</f>
        <v>Stubiba</v>
      </c>
      <c r="B55" t="str">
        <f>IF(General2023[[#This Row],[sector]]= "",VLOOKUP(Data2023[[#This Row],[organisation_name]],'Response Rate sheet'!A:D,3,FALSE),General2023[[#This Row],[sector]])</f>
        <v>Culture</v>
      </c>
      <c r="C55" t="str">
        <f>General2023[[#This Row],[organisation_type]]</f>
        <v>association</v>
      </c>
      <c r="D55">
        <f>IF(ISBLANK(General2023[[#This Row],[number_of_members]]),"N/A",VLOOKUP(A55,General2023[[organisation_name]:[number_of_international_committee_board_members_not_eea]],6,FALSE))</f>
        <v>25</v>
      </c>
      <c r="E55">
        <f>IF(ISBLANK(General2023[[#This Row],[number_of_committee_board_members]]),"N/A",VLOOKUP(A55,General2023!B:M,10,FALSE))</f>
        <v>2</v>
      </c>
      <c r="F55">
        <f>IFERROR(Data2023[[#This Row],[Number of members]]-Data2023[[#This Row],[Number of active members]], "N/A")</f>
        <v>23</v>
      </c>
      <c r="G55">
        <f>IFERROR(Data2023[[#This Row],[Number of active members]]/Data2023[[#This Row],[Number of members]], "N/A")</f>
        <v>0.08</v>
      </c>
      <c r="H55">
        <f>IFERROR(1-Data2023[[#This Row],[Percentage active members]],"N/A")</f>
        <v>0.92</v>
      </c>
      <c r="I55"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55">
        <f>IF(ISBLANK(General2023[[#This Row],[number_of_international_members_not_eea]]),"N/A",VLOOKUP(A55,General2023[[organisation_name]:[number_of_international_committee_board_members_not_eea]],9,FALSE))</f>
        <v>7</v>
      </c>
      <c r="K55">
        <f>IF(ISBLANK(General2023[[#This Row],[number_of_international_members_eea]]),"N/A",VLOOKUP(A55,General2023[[organisation_name]:[number_of_international_committee_board_members_not_eea]],8,FALSE))</f>
        <v>3</v>
      </c>
      <c r="L55">
        <f>IFERROR(IF(Data2023[[#This Row],[Number of members]]-Data2023[[#This Row],[Non-EEA Total]]-Data2023[[#This Row],[EEA total]]&lt;1,"N/A", Data2023[[#This Row],[Number of members]]-Data2023[[#This Row],[Non-EEA Total]]-Data2023[[#This Row],[EEA total]]),"N/A")</f>
        <v>15</v>
      </c>
      <c r="M55">
        <f>VLOOKUP(A55,General2023[[organisation_name]:[number_of_international_committee_board_members_not_eea]],12,FALSE)</f>
        <v>0</v>
      </c>
      <c r="N55">
        <f>VLOOKUP(A55,General2023[[organisation_name]:[number_of_international_committee_board_members_not_eea]],11,FALSE)</f>
        <v>0</v>
      </c>
      <c r="O55">
        <f>IFERROR(IF(Data2023[[#This Row],[Number of active members]]-Data2023[[#This Row],[Non-EEA Active ]]-Data2023[[#This Row],[EEA Active]]&lt;1,"N/A", Data2023[[#This Row],[Number of active members]]-Data2023[[#This Row],[Non-EEA Active ]]-Data2023[[#This Row],[EEA Active]]),"N/A")</f>
        <v>2</v>
      </c>
      <c r="P55">
        <f>IFERROR(Data2023[[#This Row],[Non-EEA Active ]]/Data2023[[#This Row],[Number of active members]],"N/A")</f>
        <v>0</v>
      </c>
      <c r="Q55">
        <f>IFERROR(Data2023[[#This Row],[EEA Active]]/Data2023[[#This Row],[EEA total]], "N/A")</f>
        <v>0</v>
      </c>
      <c r="R55">
        <f>IFERROR(Data2023[[#This Row],[Dutch Active]]/Data2023[[#This Row],[Dutch total]],"N/A")</f>
        <v>0.13333333333333333</v>
      </c>
      <c r="S55" t="str">
        <f>IFERROR(IF(Data2023[[#This Row],[Number of members]]=Data2023[[#This Row],[Non-EEA Total]]+Data2023[[#This Row],[EEA total]]+Data2023[[#This Row],[Dutch total]],"T","F"),"F")</f>
        <v>T</v>
      </c>
      <c r="T55" t="str">
        <f>IFERROR(IF(Data2023[[#This Row],[Number of active members]]=Data2023[[#This Row],[Non-EEA Active ]]+Data2023[[#This Row],[EEA Active]]+Data2023[[#This Row],[Dutch Active]],"T","F"),"F")</f>
        <v>T</v>
      </c>
      <c r="U55" t="str">
        <f>IFERROR(IF(Data2023[[#This Row],[Number of members]]-Data2023[[#This Row],[Non-EEA Active ]]-Data2023[[#This Row],[EEA Active]]-Data2023[[#This Row],[Dutch Active]]=Data2023[[#This Row],[Number of  inactive members]],"T","F"),"F")</f>
        <v>T</v>
      </c>
      <c r="V55" t="str">
        <f>IF(Data2023[[#This Row],[EEA Active]]&lt;=Data2023[[#This Row],[EEA total]],"T","F")</f>
        <v>T</v>
      </c>
      <c r="W55" t="str">
        <f>IF(Data2023[[#This Row],[Dutch Active]]&lt;=Data2023[[#This Row],[Dutch total]],"T","F")</f>
        <v>T</v>
      </c>
      <c r="X55" t="str">
        <f>IF(Data2023[[#This Row],[Non-EEA Active ]]&lt;=Data2023[[#This Row],[Non-EEA Total]],"T","F")</f>
        <v>T</v>
      </c>
      <c r="Y5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5" t="str">
        <f>IFERROR(VLOOKUP(Data2023[[#This Row],[organisation_name]],'Division Study Year Committees'!$A$1:$L$108,2,FALSE),"N/A")</f>
        <v>N/A</v>
      </c>
      <c r="AA55" t="str">
        <f>IFERROR(VLOOKUP(Data2023[[#This Row],[organisation_name]],'Division Study Year Committees'!$A$1:$L$108,3,FALSE),"N/A")</f>
        <v>N/A</v>
      </c>
      <c r="AB55" t="str">
        <f>IFERROR(VLOOKUP(Data2023[[#This Row],[organisation_name]],'Division Study Year Committees'!$A$1:$L$108,4,FALSE),"N/A")</f>
        <v>N/A</v>
      </c>
      <c r="AC55" t="str">
        <f>IFERROR(VLOOKUP(Data2023[[#This Row],[organisation_name]],'Division Study Year Committees'!$A$1:$L$108,5,FALSE), "N/A")</f>
        <v>N/A</v>
      </c>
      <c r="AD55" t="str">
        <f>IFERROR(VLOOKUP(Data2023[[#This Row],[organisation_name]],'Division Study Year Committees'!$A$1:$L$108,6,FALSE), "N/A")</f>
        <v>N/A</v>
      </c>
      <c r="AE55">
        <f>SUM(Data2023[[#This Row],[Number of first year comittee members]:[Number of 4+ year comittee members]])</f>
        <v>0</v>
      </c>
      <c r="AF55">
        <f>COUNTIF('Committee2022'!D:D,Data2023[[#This Row],[organisation_name]])</f>
        <v>0</v>
      </c>
      <c r="AG55">
        <v>2023</v>
      </c>
    </row>
    <row r="56" spans="1:33" x14ac:dyDescent="0.3">
      <c r="A56" t="str">
        <f>General2023[[#This Row],[organisation_name]]</f>
        <v>Inspe</v>
      </c>
      <c r="B56" t="str">
        <f>IF(General2023[[#This Row],[sector]]= "",VLOOKUP(Data2023[[#This Row],[organisation_name]],'Response Rate sheet'!A:D,3,FALSE),General2023[[#This Row],[sector]])</f>
        <v>Culture</v>
      </c>
      <c r="C56" t="str">
        <f>General2023[[#This Row],[organisation_type]]</f>
        <v>foundation</v>
      </c>
      <c r="D56">
        <f>IF(ISBLANK(General2023[[#This Row],[number_of_members]]),"N/A",VLOOKUP(A56,General2023[[organisation_name]:[number_of_international_committee_board_members_not_eea]],6,FALSE))</f>
        <v>70</v>
      </c>
      <c r="E56" t="str">
        <f>IF(ISBLANK(General2023[[#This Row],[number_of_committee_board_members]]),"N/A",VLOOKUP(A56,General2023!B:M,10,FALSE))</f>
        <v>N/A</v>
      </c>
      <c r="F56" t="str">
        <f>IFERROR(Data2023[[#This Row],[Number of members]]-Data2023[[#This Row],[Number of active members]], "N/A")</f>
        <v>N/A</v>
      </c>
      <c r="G56" t="str">
        <f>IFERROR(Data2023[[#This Row],[Number of active members]]/Data2023[[#This Row],[Number of members]], "N/A")</f>
        <v>N/A</v>
      </c>
      <c r="H56" t="str">
        <f>IFERROR(1-Data2023[[#This Row],[Percentage active members]],"N/A")</f>
        <v>N/A</v>
      </c>
      <c r="I56" t="str">
        <f>IF(Data2023[[#This Row],[Number of members]]=0,"N/A",IF(Data2023[[#This Row],[Number of members]]&lt;50," A. 1 - 50 ",IF(Data2023[[#This Row],[Number of members]]&lt;100, "B. 50 - 100", IF(Data2023[[#This Row],[Number of members]]&lt;400, "C. 100 - 400", IF(Data2023[[#This Row],[Number of members]]&lt;1000,"D. 400 - 1000", "E. 1000 +")))))</f>
        <v>B. 50 - 100</v>
      </c>
      <c r="J56" t="str">
        <f>IF(ISBLANK(General2023[[#This Row],[number_of_international_members_not_eea]]),"N/A",VLOOKUP(A56,General2023[[organisation_name]:[number_of_international_committee_board_members_not_eea]],9,FALSE))</f>
        <v>N/A</v>
      </c>
      <c r="K56">
        <f>IF(ISBLANK(General2023[[#This Row],[number_of_international_members_eea]]),"N/A",VLOOKUP(A56,General2023[[organisation_name]:[number_of_international_committee_board_members_not_eea]],8,FALSE))</f>
        <v>1</v>
      </c>
      <c r="L56" t="str">
        <f>IFERROR(IF(Data2023[[#This Row],[Number of members]]-Data2023[[#This Row],[Non-EEA Total]]-Data2023[[#This Row],[EEA total]]&lt;1,"N/A", Data2023[[#This Row],[Number of members]]-Data2023[[#This Row],[Non-EEA Total]]-Data2023[[#This Row],[EEA total]]),"N/A")</f>
        <v>N/A</v>
      </c>
      <c r="M56">
        <f>VLOOKUP(A56,General2023[[organisation_name]:[number_of_international_committee_board_members_not_eea]],12,FALSE)</f>
        <v>0</v>
      </c>
      <c r="N56">
        <f>VLOOKUP(A56,General2023[[organisation_name]:[number_of_international_committee_board_members_not_eea]],11,FALSE)</f>
        <v>0</v>
      </c>
      <c r="O56" t="str">
        <f>IFERROR(IF(Data2023[[#This Row],[Number of active members]]-Data2023[[#This Row],[Non-EEA Active ]]-Data2023[[#This Row],[EEA Active]]&lt;1,"N/A", Data2023[[#This Row],[Number of active members]]-Data2023[[#This Row],[Non-EEA Active ]]-Data2023[[#This Row],[EEA Active]]),"N/A")</f>
        <v>N/A</v>
      </c>
      <c r="P56" t="str">
        <f>IFERROR(Data2023[[#This Row],[Non-EEA Active ]]/Data2023[[#This Row],[Number of active members]],"N/A")</f>
        <v>N/A</v>
      </c>
      <c r="Q56">
        <f>IFERROR(Data2023[[#This Row],[EEA Active]]/Data2023[[#This Row],[EEA total]], "N/A")</f>
        <v>0</v>
      </c>
      <c r="R56" t="str">
        <f>IFERROR(Data2023[[#This Row],[Dutch Active]]/Data2023[[#This Row],[Dutch total]],"N/A")</f>
        <v>N/A</v>
      </c>
      <c r="S56" t="str">
        <f>IFERROR(IF(Data2023[[#This Row],[Number of members]]=Data2023[[#This Row],[Non-EEA Total]]+Data2023[[#This Row],[EEA total]]+Data2023[[#This Row],[Dutch total]],"T","F"),"F")</f>
        <v>F</v>
      </c>
      <c r="T56" t="str">
        <f>IFERROR(IF(Data2023[[#This Row],[Number of active members]]=Data2023[[#This Row],[Non-EEA Active ]]+Data2023[[#This Row],[EEA Active]]+Data2023[[#This Row],[Dutch Active]],"T","F"),"F")</f>
        <v>F</v>
      </c>
      <c r="U56" t="str">
        <f>IFERROR(IF(Data2023[[#This Row],[Number of members]]-Data2023[[#This Row],[Non-EEA Active ]]-Data2023[[#This Row],[EEA Active]]-Data2023[[#This Row],[Dutch Active]]=Data2023[[#This Row],[Number of  inactive members]],"T","F"),"F")</f>
        <v>F</v>
      </c>
      <c r="V56" t="str">
        <f>IF(Data2023[[#This Row],[EEA Active]]&lt;=Data2023[[#This Row],[EEA total]],"T","F")</f>
        <v>T</v>
      </c>
      <c r="W56" t="str">
        <f>IF(Data2023[[#This Row],[Dutch Active]]&lt;=Data2023[[#This Row],[Dutch total]],"T","F")</f>
        <v>T</v>
      </c>
      <c r="X56" t="str">
        <f>IF(Data2023[[#This Row],[Non-EEA Active ]]&lt;=Data2023[[#This Row],[Non-EEA Total]],"T","F")</f>
        <v>T</v>
      </c>
      <c r="Y5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56">
        <f>IFERROR(VLOOKUP(Data2023[[#This Row],[organisation_name]],'Division Study Year Committees'!$A$1:$L$108,2,FALSE),"N/A")</f>
        <v>2</v>
      </c>
      <c r="AA56">
        <f>IFERROR(VLOOKUP(Data2023[[#This Row],[organisation_name]],'Division Study Year Committees'!$A$1:$L$108,3,FALSE),"N/A")</f>
        <v>0</v>
      </c>
      <c r="AB56">
        <f>IFERROR(VLOOKUP(Data2023[[#This Row],[organisation_name]],'Division Study Year Committees'!$A$1:$L$108,4,FALSE),"N/A")</f>
        <v>7</v>
      </c>
      <c r="AC56">
        <f>IFERROR(VLOOKUP(Data2023[[#This Row],[organisation_name]],'Division Study Year Committees'!$A$1:$L$108,5,FALSE), "N/A")</f>
        <v>8</v>
      </c>
      <c r="AD56">
        <f>IFERROR(VLOOKUP(Data2023[[#This Row],[organisation_name]],'Division Study Year Committees'!$A$1:$L$108,6,FALSE), "N/A")</f>
        <v>13</v>
      </c>
      <c r="AE56">
        <f>SUM(Data2023[[#This Row],[Number of first year comittee members]:[Number of 4+ year comittee members]])</f>
        <v>30</v>
      </c>
      <c r="AF56">
        <f>COUNTIF('Committee2022'!D:D,Data2023[[#This Row],[organisation_name]])</f>
        <v>11</v>
      </c>
      <c r="AG56">
        <v>2023</v>
      </c>
    </row>
    <row r="57" spans="1:33" x14ac:dyDescent="0.3">
      <c r="A57" t="str">
        <f>General2023[[#This Row],[organisation_name]]</f>
        <v>Stukafest</v>
      </c>
      <c r="B57" t="str">
        <f>IF(General2023[[#This Row],[sector]]= "",VLOOKUP(Data2023[[#This Row],[organisation_name]],'Response Rate sheet'!A:D,3,FALSE),General2023[[#This Row],[sector]])</f>
        <v>Culture</v>
      </c>
      <c r="C57" t="str">
        <f>General2023[[#This Row],[organisation_type]]</f>
        <v>association</v>
      </c>
      <c r="D57" t="str">
        <f>IF(ISBLANK(General2023[[#This Row],[number_of_members]]),"N/A",VLOOKUP(A57,General2023[[organisation_name]:[number_of_international_committee_board_members_not_eea]],6,FALSE))</f>
        <v>N/A</v>
      </c>
      <c r="E57" t="str">
        <f>IF(ISBLANK(General2023[[#This Row],[number_of_committee_board_members]]),"N/A",VLOOKUP(A57,General2023!B:M,10,FALSE))</f>
        <v>N/A</v>
      </c>
      <c r="F57" t="str">
        <f>IFERROR(Data2023[[#This Row],[Number of members]]-Data2023[[#This Row],[Number of active members]], "N/A")</f>
        <v>N/A</v>
      </c>
      <c r="G57" t="str">
        <f>IFERROR(Data2023[[#This Row],[Number of active members]]/Data2023[[#This Row],[Number of members]], "N/A")</f>
        <v>N/A</v>
      </c>
      <c r="H57" t="str">
        <f>IFERROR(1-Data2023[[#This Row],[Percentage active members]],"N/A")</f>
        <v>N/A</v>
      </c>
      <c r="I57" t="str">
        <f>IF(Data2023[[#This Row],[Number of members]]=0,"N/A",IF(Data2023[[#This Row],[Number of members]]&lt;50," A. 1 - 50 ",IF(Data2023[[#This Row],[Number of members]]&lt;100, "B. 50 - 100", IF(Data2023[[#This Row],[Number of members]]&lt;400, "C. 100 - 400", IF(Data2023[[#This Row],[Number of members]]&lt;1000,"D. 400 - 1000", "E. 1000 +")))))</f>
        <v>E. 1000 +</v>
      </c>
      <c r="J57" t="str">
        <f>IF(ISBLANK(General2023[[#This Row],[number_of_international_members_not_eea]]),"N/A",VLOOKUP(A57,General2023[[organisation_name]:[number_of_international_committee_board_members_not_eea]],9,FALSE))</f>
        <v>N/A</v>
      </c>
      <c r="K57" t="str">
        <f>IF(ISBLANK(General2023[[#This Row],[number_of_international_members_eea]]),"N/A",VLOOKUP(A57,General2023[[organisation_name]:[number_of_international_committee_board_members_not_eea]],8,FALSE))</f>
        <v>N/A</v>
      </c>
      <c r="L57" t="str">
        <f>IFERROR(IF(Data2023[[#This Row],[Number of members]]-Data2023[[#This Row],[Non-EEA Total]]-Data2023[[#This Row],[EEA total]]&lt;1,"N/A", Data2023[[#This Row],[Number of members]]-Data2023[[#This Row],[Non-EEA Total]]-Data2023[[#This Row],[EEA total]]),"N/A")</f>
        <v>N/A</v>
      </c>
      <c r="M57">
        <f>VLOOKUP(A57,General2023[[organisation_name]:[number_of_international_committee_board_members_not_eea]],12,FALSE)</f>
        <v>0</v>
      </c>
      <c r="N57">
        <f>VLOOKUP(A57,General2023[[organisation_name]:[number_of_international_committee_board_members_not_eea]],11,FALSE)</f>
        <v>0</v>
      </c>
      <c r="O57" t="str">
        <f>IFERROR(IF(Data2023[[#This Row],[Number of active members]]-Data2023[[#This Row],[Non-EEA Active ]]-Data2023[[#This Row],[EEA Active]]&lt;1,"N/A", Data2023[[#This Row],[Number of active members]]-Data2023[[#This Row],[Non-EEA Active ]]-Data2023[[#This Row],[EEA Active]]),"N/A")</f>
        <v>N/A</v>
      </c>
      <c r="P57" t="str">
        <f>IFERROR(Data2023[[#This Row],[Non-EEA Active ]]/Data2023[[#This Row],[Number of active members]],"N/A")</f>
        <v>N/A</v>
      </c>
      <c r="Q57" t="str">
        <f>IFERROR(Data2023[[#This Row],[EEA Active]]/Data2023[[#This Row],[EEA total]], "N/A")</f>
        <v>N/A</v>
      </c>
      <c r="R57" t="str">
        <f>IFERROR(Data2023[[#This Row],[Dutch Active]]/Data2023[[#This Row],[Dutch total]],"N/A")</f>
        <v>N/A</v>
      </c>
      <c r="S57" t="str">
        <f>IFERROR(IF(Data2023[[#This Row],[Number of members]]=Data2023[[#This Row],[Non-EEA Total]]+Data2023[[#This Row],[EEA total]]+Data2023[[#This Row],[Dutch total]],"T","F"),"F")</f>
        <v>F</v>
      </c>
      <c r="T57" t="str">
        <f>IFERROR(IF(Data2023[[#This Row],[Number of active members]]=Data2023[[#This Row],[Non-EEA Active ]]+Data2023[[#This Row],[EEA Active]]+Data2023[[#This Row],[Dutch Active]],"T","F"),"F")</f>
        <v>F</v>
      </c>
      <c r="U57" t="str">
        <f>IFERROR(IF(Data2023[[#This Row],[Number of members]]-Data2023[[#This Row],[Non-EEA Active ]]-Data2023[[#This Row],[EEA Active]]-Data2023[[#This Row],[Dutch Active]]=Data2023[[#This Row],[Number of  inactive members]],"T","F"),"F")</f>
        <v>F</v>
      </c>
      <c r="V57" t="str">
        <f>IF(Data2023[[#This Row],[EEA Active]]&lt;=Data2023[[#This Row],[EEA total]],"T","F")</f>
        <v>T</v>
      </c>
      <c r="W57" t="str">
        <f>IF(Data2023[[#This Row],[Dutch Active]]&lt;=Data2023[[#This Row],[Dutch total]],"T","F")</f>
        <v>T</v>
      </c>
      <c r="X57" t="str">
        <f>IF(Data2023[[#This Row],[Non-EEA Active ]]&lt;=Data2023[[#This Row],[Non-EEA Total]],"T","F")</f>
        <v>T</v>
      </c>
      <c r="Y5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57" t="str">
        <f>IFERROR(VLOOKUP(Data2023[[#This Row],[organisation_name]],'Division Study Year Committees'!$A$1:$L$108,2,FALSE),"N/A")</f>
        <v>N/A</v>
      </c>
      <c r="AA57" t="str">
        <f>IFERROR(VLOOKUP(Data2023[[#This Row],[organisation_name]],'Division Study Year Committees'!$A$1:$L$108,3,FALSE),"N/A")</f>
        <v>N/A</v>
      </c>
      <c r="AB57" t="str">
        <f>IFERROR(VLOOKUP(Data2023[[#This Row],[organisation_name]],'Division Study Year Committees'!$A$1:$L$108,4,FALSE),"N/A")</f>
        <v>N/A</v>
      </c>
      <c r="AC57" t="str">
        <f>IFERROR(VLOOKUP(Data2023[[#This Row],[organisation_name]],'Division Study Year Committees'!$A$1:$L$108,5,FALSE), "N/A")</f>
        <v>N/A</v>
      </c>
      <c r="AD57" t="str">
        <f>IFERROR(VLOOKUP(Data2023[[#This Row],[organisation_name]],'Division Study Year Committees'!$A$1:$L$108,6,FALSE), "N/A")</f>
        <v>N/A</v>
      </c>
      <c r="AE57">
        <f>SUM(Data2023[[#This Row],[Number of first year comittee members]:[Number of 4+ year comittee members]])</f>
        <v>0</v>
      </c>
      <c r="AF57">
        <f>COUNTIF('Committee2022'!D:D,Data2023[[#This Row],[organisation_name]])</f>
        <v>0</v>
      </c>
      <c r="AG57">
        <v>2023</v>
      </c>
    </row>
    <row r="58" spans="1:33" x14ac:dyDescent="0.3">
      <c r="A58" t="str">
        <f>General2023[[#This Row],[organisation_name]]</f>
        <v>Abacus</v>
      </c>
      <c r="B58" t="str">
        <f>IF(General2023[[#This Row],[sector]]= "",VLOOKUP(Data2023[[#This Row],[organisation_name]],'Response Rate sheet'!A:D,3,FALSE),General2023[[#This Row],[sector]])</f>
        <v>Study</v>
      </c>
      <c r="C58" t="str">
        <f>General2023[[#This Row],[organisation_type]]</f>
        <v>association</v>
      </c>
      <c r="D58">
        <f>IF(ISBLANK(General2023[[#This Row],[number_of_members]]),"N/A",VLOOKUP(A58,General2023[[organisation_name]:[number_of_international_committee_board_members_not_eea]],6,FALSE))</f>
        <v>477</v>
      </c>
      <c r="E58">
        <f>IF(ISBLANK(General2023[[#This Row],[number_of_committee_board_members]]),"N/A",VLOOKUP(A58,General2023!B:M,10,FALSE))</f>
        <v>30</v>
      </c>
      <c r="F58">
        <f>IFERROR(Data2023[[#This Row],[Number of members]]-Data2023[[#This Row],[Number of active members]], "N/A")</f>
        <v>447</v>
      </c>
      <c r="G58">
        <f>IFERROR(Data2023[[#This Row],[Number of active members]]/Data2023[[#This Row],[Number of members]], "N/A")</f>
        <v>6.2893081761006289E-2</v>
      </c>
      <c r="H58">
        <f>IFERROR(1-Data2023[[#This Row],[Percentage active members]],"N/A")</f>
        <v>0.93710691823899372</v>
      </c>
      <c r="I58" t="str">
        <f>IF(Data2023[[#This Row],[Number of members]]=0,"N/A",IF(Data2023[[#This Row],[Number of members]]&lt;50," A. 1 - 50 ",IF(Data2023[[#This Row],[Number of members]]&lt;100, "B. 50 - 100", IF(Data2023[[#This Row],[Number of members]]&lt;400, "C. 100 - 400", IF(Data2023[[#This Row],[Number of members]]&lt;1000,"D. 400 - 1000", "E. 1000 +")))))</f>
        <v>D. 400 - 1000</v>
      </c>
      <c r="J58">
        <f>IF(ISBLANK(General2023[[#This Row],[number_of_international_members_not_eea]]),"N/A",VLOOKUP(A58,General2023[[organisation_name]:[number_of_international_committee_board_members_not_eea]],9,FALSE))</f>
        <v>80</v>
      </c>
      <c r="K58">
        <f>IF(ISBLANK(General2023[[#This Row],[number_of_international_members_eea]]),"N/A",VLOOKUP(A58,General2023[[organisation_name]:[number_of_international_committee_board_members_not_eea]],8,FALSE))</f>
        <v>25</v>
      </c>
      <c r="L58">
        <f>IFERROR(IF(Data2023[[#This Row],[Number of members]]-Data2023[[#This Row],[Non-EEA Total]]-Data2023[[#This Row],[EEA total]]&lt;1,"N/A", Data2023[[#This Row],[Number of members]]-Data2023[[#This Row],[Non-EEA Total]]-Data2023[[#This Row],[EEA total]]),"N/A")</f>
        <v>372</v>
      </c>
      <c r="M58">
        <f>VLOOKUP(A58,General2023[[organisation_name]:[number_of_international_committee_board_members_not_eea]],12,FALSE)</f>
        <v>5</v>
      </c>
      <c r="N58">
        <f>VLOOKUP(A58,General2023[[organisation_name]:[number_of_international_committee_board_members_not_eea]],11,FALSE)</f>
        <v>15</v>
      </c>
      <c r="O58">
        <f>IFERROR(IF(Data2023[[#This Row],[Number of active members]]-Data2023[[#This Row],[Non-EEA Active ]]-Data2023[[#This Row],[EEA Active]]&lt;1,"N/A", Data2023[[#This Row],[Number of active members]]-Data2023[[#This Row],[Non-EEA Active ]]-Data2023[[#This Row],[EEA Active]]),"N/A")</f>
        <v>10</v>
      </c>
      <c r="P58">
        <f>IFERROR(Data2023[[#This Row],[Non-EEA Active ]]/Data2023[[#This Row],[Number of active members]],"N/A")</f>
        <v>0.16666666666666666</v>
      </c>
      <c r="Q58">
        <f>IFERROR(Data2023[[#This Row],[EEA Active]]/Data2023[[#This Row],[EEA total]], "N/A")</f>
        <v>0.6</v>
      </c>
      <c r="R58">
        <f>IFERROR(Data2023[[#This Row],[Dutch Active]]/Data2023[[#This Row],[Dutch total]],"N/A")</f>
        <v>2.6881720430107527E-2</v>
      </c>
      <c r="S58" t="str">
        <f>IFERROR(IF(Data2023[[#This Row],[Number of members]]=Data2023[[#This Row],[Non-EEA Total]]+Data2023[[#This Row],[EEA total]]+Data2023[[#This Row],[Dutch total]],"T","F"),"F")</f>
        <v>T</v>
      </c>
      <c r="T58" t="str">
        <f>IFERROR(IF(Data2023[[#This Row],[Number of active members]]=Data2023[[#This Row],[Non-EEA Active ]]+Data2023[[#This Row],[EEA Active]]+Data2023[[#This Row],[Dutch Active]],"T","F"),"F")</f>
        <v>T</v>
      </c>
      <c r="U58" t="str">
        <f>IFERROR(IF(Data2023[[#This Row],[Number of members]]-Data2023[[#This Row],[Non-EEA Active ]]-Data2023[[#This Row],[EEA Active]]-Data2023[[#This Row],[Dutch Active]]=Data2023[[#This Row],[Number of  inactive members]],"T","F"),"F")</f>
        <v>T</v>
      </c>
      <c r="V58" t="str">
        <f>IF(Data2023[[#This Row],[EEA Active]]&lt;=Data2023[[#This Row],[EEA total]],"T","F")</f>
        <v>T</v>
      </c>
      <c r="W58" t="str">
        <f>IF(Data2023[[#This Row],[Dutch Active]]&lt;=Data2023[[#This Row],[Dutch total]],"T","F")</f>
        <v>T</v>
      </c>
      <c r="X58" t="str">
        <f>IF(Data2023[[#This Row],[Non-EEA Active ]]&lt;=Data2023[[#This Row],[Non-EEA Total]],"T","F")</f>
        <v>T</v>
      </c>
      <c r="Y5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8">
        <f>IFERROR(VLOOKUP(Data2023[[#This Row],[organisation_name]],'Division Study Year Committees'!$A$1:$L$108,2,FALSE),"N/A")</f>
        <v>11</v>
      </c>
      <c r="AA58">
        <f>IFERROR(VLOOKUP(Data2023[[#This Row],[organisation_name]],'Division Study Year Committees'!$A$1:$L$108,3,FALSE),"N/A")</f>
        <v>23</v>
      </c>
      <c r="AB58">
        <f>IFERROR(VLOOKUP(Data2023[[#This Row],[organisation_name]],'Division Study Year Committees'!$A$1:$L$108,4,FALSE),"N/A")</f>
        <v>46</v>
      </c>
      <c r="AC58">
        <f>IFERROR(VLOOKUP(Data2023[[#This Row],[organisation_name]],'Division Study Year Committees'!$A$1:$L$108,5,FALSE), "N/A")</f>
        <v>24</v>
      </c>
      <c r="AD58">
        <f>IFERROR(VLOOKUP(Data2023[[#This Row],[organisation_name]],'Division Study Year Committees'!$A$1:$L$108,6,FALSE), "N/A")</f>
        <v>14</v>
      </c>
      <c r="AE58">
        <f>SUM(Data2023[[#This Row],[Number of first year comittee members]:[Number of 4+ year comittee members]])</f>
        <v>118</v>
      </c>
      <c r="AF58">
        <f>COUNTIF('Committee2022'!D:D,Data2023[[#This Row],[organisation_name]])</f>
        <v>27</v>
      </c>
      <c r="AG58">
        <v>2023</v>
      </c>
    </row>
    <row r="59" spans="1:33" x14ac:dyDescent="0.3">
      <c r="A59" t="str">
        <f>General2023[[#This Row],[organisation_name]]</f>
        <v>Alembic</v>
      </c>
      <c r="B59" t="str">
        <f>IF(General2023[[#This Row],[sector]]= "",VLOOKUP(Data2023[[#This Row],[organisation_name]],'Response Rate sheet'!A:D,3,FALSE),General2023[[#This Row],[sector]])</f>
        <v>Study</v>
      </c>
      <c r="C59" t="str">
        <f>General2023[[#This Row],[organisation_type]]</f>
        <v>association</v>
      </c>
      <c r="D59">
        <f>IF(ISBLANK(General2023[[#This Row],[number_of_members]]),"N/A",VLOOKUP(A59,General2023[[organisation_name]:[number_of_international_committee_board_members_not_eea]],6,FALSE))</f>
        <v>308</v>
      </c>
      <c r="E59">
        <f>IF(ISBLANK(General2023[[#This Row],[number_of_committee_board_members]]),"N/A",VLOOKUP(A59,General2023!B:M,10,FALSE))</f>
        <v>25</v>
      </c>
      <c r="F59">
        <f>IFERROR(Data2023[[#This Row],[Number of members]]-Data2023[[#This Row],[Number of active members]], "N/A")</f>
        <v>283</v>
      </c>
      <c r="G59">
        <f>IFERROR(Data2023[[#This Row],[Number of active members]]/Data2023[[#This Row],[Number of members]], "N/A")</f>
        <v>8.1168831168831168E-2</v>
      </c>
      <c r="H59">
        <f>IFERROR(1-Data2023[[#This Row],[Percentage active members]],"N/A")</f>
        <v>0.91883116883116878</v>
      </c>
      <c r="I59" t="str">
        <f>IF(Data2023[[#This Row],[Number of members]]=0,"N/A",IF(Data2023[[#This Row],[Number of members]]&lt;50," A. 1 - 50 ",IF(Data2023[[#This Row],[Number of members]]&lt;100, "B. 50 - 100", IF(Data2023[[#This Row],[Number of members]]&lt;400, "C. 100 - 400", IF(Data2023[[#This Row],[Number of members]]&lt;1000,"D. 400 - 1000", "E. 1000 +")))))</f>
        <v>C. 100 - 400</v>
      </c>
      <c r="J59">
        <f>IF(ISBLANK(General2023[[#This Row],[number_of_international_members_not_eea]]),"N/A",VLOOKUP(A59,General2023[[organisation_name]:[number_of_international_committee_board_members_not_eea]],9,FALSE))</f>
        <v>100</v>
      </c>
      <c r="K59">
        <f>IF(ISBLANK(General2023[[#This Row],[number_of_international_members_eea]]),"N/A",VLOOKUP(A59,General2023[[organisation_name]:[number_of_international_committee_board_members_not_eea]],8,FALSE))</f>
        <v>46</v>
      </c>
      <c r="L59">
        <f>IFERROR(IF(Data2023[[#This Row],[Number of members]]-Data2023[[#This Row],[Non-EEA Total]]-Data2023[[#This Row],[EEA total]]&lt;1,"N/A", Data2023[[#This Row],[Number of members]]-Data2023[[#This Row],[Non-EEA Total]]-Data2023[[#This Row],[EEA total]]),"N/A")</f>
        <v>162</v>
      </c>
      <c r="M59">
        <f>VLOOKUP(A59,General2023[[organisation_name]:[number_of_international_committee_board_members_not_eea]],12,FALSE)</f>
        <v>10</v>
      </c>
      <c r="N59">
        <f>VLOOKUP(A59,General2023[[organisation_name]:[number_of_international_committee_board_members_not_eea]],11,FALSE)</f>
        <v>10</v>
      </c>
      <c r="O59">
        <f>IFERROR(IF(Data2023[[#This Row],[Number of active members]]-Data2023[[#This Row],[Non-EEA Active ]]-Data2023[[#This Row],[EEA Active]]&lt;1,"N/A", Data2023[[#This Row],[Number of active members]]-Data2023[[#This Row],[Non-EEA Active ]]-Data2023[[#This Row],[EEA Active]]),"N/A")</f>
        <v>5</v>
      </c>
      <c r="P59">
        <f>IFERROR(Data2023[[#This Row],[Non-EEA Active ]]/Data2023[[#This Row],[Number of active members]],"N/A")</f>
        <v>0.4</v>
      </c>
      <c r="Q59">
        <f>IFERROR(Data2023[[#This Row],[EEA Active]]/Data2023[[#This Row],[EEA total]], "N/A")</f>
        <v>0.21739130434782608</v>
      </c>
      <c r="R59">
        <f>IFERROR(Data2023[[#This Row],[Dutch Active]]/Data2023[[#This Row],[Dutch total]],"N/A")</f>
        <v>3.0864197530864196E-2</v>
      </c>
      <c r="S59" t="str">
        <f>IFERROR(IF(Data2023[[#This Row],[Number of members]]=Data2023[[#This Row],[Non-EEA Total]]+Data2023[[#This Row],[EEA total]]+Data2023[[#This Row],[Dutch total]],"T","F"),"F")</f>
        <v>T</v>
      </c>
      <c r="T59" t="str">
        <f>IFERROR(IF(Data2023[[#This Row],[Number of active members]]=Data2023[[#This Row],[Non-EEA Active ]]+Data2023[[#This Row],[EEA Active]]+Data2023[[#This Row],[Dutch Active]],"T","F"),"F")</f>
        <v>T</v>
      </c>
      <c r="U59" t="str">
        <f>IFERROR(IF(Data2023[[#This Row],[Number of members]]-Data2023[[#This Row],[Non-EEA Active ]]-Data2023[[#This Row],[EEA Active]]-Data2023[[#This Row],[Dutch Active]]=Data2023[[#This Row],[Number of  inactive members]],"T","F"),"F")</f>
        <v>T</v>
      </c>
      <c r="V59" t="str">
        <f>IF(Data2023[[#This Row],[EEA Active]]&lt;=Data2023[[#This Row],[EEA total]],"T","F")</f>
        <v>T</v>
      </c>
      <c r="W59" t="str">
        <f>IF(Data2023[[#This Row],[Dutch Active]]&lt;=Data2023[[#This Row],[Dutch total]],"T","F")</f>
        <v>T</v>
      </c>
      <c r="X59" t="str">
        <f>IF(Data2023[[#This Row],[Non-EEA Active ]]&lt;=Data2023[[#This Row],[Non-EEA Total]],"T","F")</f>
        <v>T</v>
      </c>
      <c r="Y5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59">
        <f>IFERROR(VLOOKUP(Data2023[[#This Row],[organisation_name]],'Division Study Year Committees'!$A$1:$L$108,2,FALSE),"N/A")</f>
        <v>24</v>
      </c>
      <c r="AA59">
        <f>IFERROR(VLOOKUP(Data2023[[#This Row],[organisation_name]],'Division Study Year Committees'!$A$1:$L$108,3,FALSE),"N/A")</f>
        <v>47</v>
      </c>
      <c r="AB59">
        <f>IFERROR(VLOOKUP(Data2023[[#This Row],[organisation_name]],'Division Study Year Committees'!$A$1:$L$108,4,FALSE),"N/A")</f>
        <v>58</v>
      </c>
      <c r="AC59">
        <f>IFERROR(VLOOKUP(Data2023[[#This Row],[organisation_name]],'Division Study Year Committees'!$A$1:$L$108,5,FALSE), "N/A")</f>
        <v>31</v>
      </c>
      <c r="AD59">
        <f>IFERROR(VLOOKUP(Data2023[[#This Row],[organisation_name]],'Division Study Year Committees'!$A$1:$L$108,6,FALSE), "N/A")</f>
        <v>30</v>
      </c>
      <c r="AE59">
        <f>SUM(Data2023[[#This Row],[Number of first year comittee members]:[Number of 4+ year comittee members]])</f>
        <v>190</v>
      </c>
      <c r="AF59">
        <f>COUNTIF('Committee2022'!D:D,Data2023[[#This Row],[organisation_name]])</f>
        <v>29</v>
      </c>
      <c r="AG59">
        <v>2023</v>
      </c>
    </row>
    <row r="60" spans="1:33" x14ac:dyDescent="0.3">
      <c r="A60" t="str">
        <f>General2023[[#This Row],[organisation_name]]</f>
        <v>Arago</v>
      </c>
      <c r="B60" t="str">
        <f>IF(General2023[[#This Row],[sector]]= "",VLOOKUP(Data2023[[#This Row],[organisation_name]],'Response Rate sheet'!A:D,3,FALSE),General2023[[#This Row],[sector]])</f>
        <v>Study</v>
      </c>
      <c r="C60" t="str">
        <f>General2023[[#This Row],[organisation_type]]</f>
        <v>association</v>
      </c>
      <c r="D60">
        <f>IF(ISBLANK(General2023[[#This Row],[number_of_members]]),"N/A",VLOOKUP(A60,General2023[[organisation_name]:[number_of_international_committee_board_members_not_eea]],6,FALSE))</f>
        <v>617</v>
      </c>
      <c r="E60">
        <f>IF(ISBLANK(General2023[[#This Row],[number_of_committee_board_members]]),"N/A",VLOOKUP(A60,General2023!B:M,10,FALSE))</f>
        <v>56</v>
      </c>
      <c r="F60">
        <f>IFERROR(Data2023[[#This Row],[Number of members]]-Data2023[[#This Row],[Number of active members]], "N/A")</f>
        <v>561</v>
      </c>
      <c r="G60">
        <f>IFERROR(Data2023[[#This Row],[Number of active members]]/Data2023[[#This Row],[Number of members]], "N/A")</f>
        <v>9.0761750405186387E-2</v>
      </c>
      <c r="H60">
        <f>IFERROR(1-Data2023[[#This Row],[Percentage active members]],"N/A")</f>
        <v>0.90923824959481359</v>
      </c>
      <c r="I60" t="str">
        <f>IF(Data2023[[#This Row],[Number of members]]=0,"N/A",IF(Data2023[[#This Row],[Number of members]]&lt;50," A. 1 - 50 ",IF(Data2023[[#This Row],[Number of members]]&lt;100, "B. 50 - 100", IF(Data2023[[#This Row],[Number of members]]&lt;400, "C. 100 - 400", IF(Data2023[[#This Row],[Number of members]]&lt;1000,"D. 400 - 1000", "E. 1000 +")))))</f>
        <v>D. 400 - 1000</v>
      </c>
      <c r="J60">
        <f>IF(ISBLANK(General2023[[#This Row],[number_of_international_members_not_eea]]),"N/A",VLOOKUP(A60,General2023[[organisation_name]:[number_of_international_committee_board_members_not_eea]],9,FALSE))</f>
        <v>219</v>
      </c>
      <c r="K60">
        <f>IF(ISBLANK(General2023[[#This Row],[number_of_international_members_eea]]),"N/A",VLOOKUP(A60,General2023[[organisation_name]:[number_of_international_committee_board_members_not_eea]],8,FALSE))</f>
        <v>1</v>
      </c>
      <c r="L60">
        <f>IFERROR(IF(Data2023[[#This Row],[Number of members]]-Data2023[[#This Row],[Non-EEA Total]]-Data2023[[#This Row],[EEA total]]&lt;1,"N/A", Data2023[[#This Row],[Number of members]]-Data2023[[#This Row],[Non-EEA Total]]-Data2023[[#This Row],[EEA total]]),"N/A")</f>
        <v>397</v>
      </c>
      <c r="M60">
        <f>VLOOKUP(A60,General2023[[organisation_name]:[number_of_international_committee_board_members_not_eea]],12,FALSE)</f>
        <v>0</v>
      </c>
      <c r="N60">
        <f>VLOOKUP(A60,General2023[[organisation_name]:[number_of_international_committee_board_members_not_eea]],11,FALSE)</f>
        <v>0</v>
      </c>
      <c r="O60">
        <f>IFERROR(IF(Data2023[[#This Row],[Number of active members]]-Data2023[[#This Row],[Non-EEA Active ]]-Data2023[[#This Row],[EEA Active]]&lt;1,"N/A", Data2023[[#This Row],[Number of active members]]-Data2023[[#This Row],[Non-EEA Active ]]-Data2023[[#This Row],[EEA Active]]),"N/A")</f>
        <v>56</v>
      </c>
      <c r="P60">
        <f>IFERROR(Data2023[[#This Row],[Non-EEA Active ]]/Data2023[[#This Row],[Number of active members]],"N/A")</f>
        <v>0</v>
      </c>
      <c r="Q60">
        <f>IFERROR(Data2023[[#This Row],[EEA Active]]/Data2023[[#This Row],[EEA total]], "N/A")</f>
        <v>0</v>
      </c>
      <c r="R60">
        <f>IFERROR(Data2023[[#This Row],[Dutch Active]]/Data2023[[#This Row],[Dutch total]],"N/A")</f>
        <v>0.14105793450881612</v>
      </c>
      <c r="S60" t="str">
        <f>IFERROR(IF(Data2023[[#This Row],[Number of members]]=Data2023[[#This Row],[Non-EEA Total]]+Data2023[[#This Row],[EEA total]]+Data2023[[#This Row],[Dutch total]],"T","F"),"F")</f>
        <v>T</v>
      </c>
      <c r="T60" t="str">
        <f>IFERROR(IF(Data2023[[#This Row],[Number of active members]]=Data2023[[#This Row],[Non-EEA Active ]]+Data2023[[#This Row],[EEA Active]]+Data2023[[#This Row],[Dutch Active]],"T","F"),"F")</f>
        <v>T</v>
      </c>
      <c r="U60" t="str">
        <f>IFERROR(IF(Data2023[[#This Row],[Number of members]]-Data2023[[#This Row],[Non-EEA Active ]]-Data2023[[#This Row],[EEA Active]]-Data2023[[#This Row],[Dutch Active]]=Data2023[[#This Row],[Number of  inactive members]],"T","F"),"F")</f>
        <v>T</v>
      </c>
      <c r="V60" t="str">
        <f>IF(Data2023[[#This Row],[EEA Active]]&lt;=Data2023[[#This Row],[EEA total]],"T","F")</f>
        <v>T</v>
      </c>
      <c r="W60" t="str">
        <f>IF(Data2023[[#This Row],[Dutch Active]]&lt;=Data2023[[#This Row],[Dutch total]],"T","F")</f>
        <v>T</v>
      </c>
      <c r="X60" t="str">
        <f>IF(Data2023[[#This Row],[Non-EEA Active ]]&lt;=Data2023[[#This Row],[Non-EEA Total]],"T","F")</f>
        <v>T</v>
      </c>
      <c r="Y60"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0">
        <f>IFERROR(VLOOKUP(Data2023[[#This Row],[organisation_name]],'Division Study Year Committees'!$A$1:$L$108,2,FALSE),"N/A")</f>
        <v>10</v>
      </c>
      <c r="AA60">
        <f>IFERROR(VLOOKUP(Data2023[[#This Row],[organisation_name]],'Division Study Year Committees'!$A$1:$L$108,3,FALSE),"N/A")</f>
        <v>5</v>
      </c>
      <c r="AB60">
        <f>IFERROR(VLOOKUP(Data2023[[#This Row],[organisation_name]],'Division Study Year Committees'!$A$1:$L$108,4,FALSE),"N/A")</f>
        <v>0</v>
      </c>
      <c r="AC60">
        <f>IFERROR(VLOOKUP(Data2023[[#This Row],[organisation_name]],'Division Study Year Committees'!$A$1:$L$108,5,FALSE), "N/A")</f>
        <v>3</v>
      </c>
      <c r="AD60">
        <f>IFERROR(VLOOKUP(Data2023[[#This Row],[organisation_name]],'Division Study Year Committees'!$A$1:$L$108,6,FALSE), "N/A")</f>
        <v>0</v>
      </c>
      <c r="AE60">
        <f>SUM(Data2023[[#This Row],[Number of first year comittee members]:[Number of 4+ year comittee members]])</f>
        <v>18</v>
      </c>
      <c r="AF60">
        <f>COUNTIF('Committee2022'!D:D,Data2023[[#This Row],[organisation_name]])</f>
        <v>59</v>
      </c>
      <c r="AG60">
        <v>2023</v>
      </c>
    </row>
    <row r="61" spans="1:33" x14ac:dyDescent="0.3">
      <c r="A61" t="str">
        <f>General2023[[#This Row],[organisation_name]]</f>
        <v>Astatine</v>
      </c>
      <c r="B61" t="str">
        <f>IF(General2023[[#This Row],[sector]]= "",VLOOKUP(Data2023[[#This Row],[organisation_name]],'Response Rate sheet'!A:D,3,FALSE),General2023[[#This Row],[sector]])</f>
        <v>Study</v>
      </c>
      <c r="C61" t="str">
        <f>General2023[[#This Row],[organisation_type]]</f>
        <v>association</v>
      </c>
      <c r="D61">
        <f>IF(ISBLANK(General2023[[#This Row],[number_of_members]]),"N/A",VLOOKUP(A61,General2023[[organisation_name]:[number_of_international_committee_board_members_not_eea]],6,FALSE))</f>
        <v>442</v>
      </c>
      <c r="E61">
        <f>IF(ISBLANK(General2023[[#This Row],[number_of_committee_board_members]]),"N/A",VLOOKUP(A61,General2023!B:M,10,FALSE))</f>
        <v>0</v>
      </c>
      <c r="F61">
        <f>IFERROR(Data2023[[#This Row],[Number of members]]-Data2023[[#This Row],[Number of active members]], "N/A")</f>
        <v>442</v>
      </c>
      <c r="G61">
        <f>IFERROR(Data2023[[#This Row],[Number of active members]]/Data2023[[#This Row],[Number of members]], "N/A")</f>
        <v>0</v>
      </c>
      <c r="H61">
        <f>IFERROR(1-Data2023[[#This Row],[Percentage active members]],"N/A")</f>
        <v>1</v>
      </c>
      <c r="I61" t="str">
        <f>IF(Data2023[[#This Row],[Number of members]]=0,"N/A",IF(Data2023[[#This Row],[Number of members]]&lt;50," A. 1 - 50 ",IF(Data2023[[#This Row],[Number of members]]&lt;100, "B. 50 - 100", IF(Data2023[[#This Row],[Number of members]]&lt;400, "C. 100 - 400", IF(Data2023[[#This Row],[Number of members]]&lt;1000,"D. 400 - 1000", "E. 1000 +")))))</f>
        <v>D. 400 - 1000</v>
      </c>
      <c r="J61">
        <f>IF(ISBLANK(General2023[[#This Row],[number_of_international_members_not_eea]]),"N/A",VLOOKUP(A61,General2023[[organisation_name]:[number_of_international_committee_board_members_not_eea]],9,FALSE))</f>
        <v>108</v>
      </c>
      <c r="K61">
        <f>IF(ISBLANK(General2023[[#This Row],[number_of_international_members_eea]]),"N/A",VLOOKUP(A61,General2023[[organisation_name]:[number_of_international_committee_board_members_not_eea]],8,FALSE))</f>
        <v>36</v>
      </c>
      <c r="L61">
        <f>IFERROR(IF(Data2023[[#This Row],[Number of members]]-Data2023[[#This Row],[Non-EEA Total]]-Data2023[[#This Row],[EEA total]]&lt;1,"N/A", Data2023[[#This Row],[Number of members]]-Data2023[[#This Row],[Non-EEA Total]]-Data2023[[#This Row],[EEA total]]),"N/A")</f>
        <v>298</v>
      </c>
      <c r="M61">
        <f>VLOOKUP(A61,General2023[[organisation_name]:[number_of_international_committee_board_members_not_eea]],12,FALSE)</f>
        <v>5</v>
      </c>
      <c r="N61">
        <f>VLOOKUP(A61,General2023[[organisation_name]:[number_of_international_committee_board_members_not_eea]],11,FALSE)</f>
        <v>10</v>
      </c>
      <c r="O61" t="str">
        <f>IFERROR(IF(Data2023[[#This Row],[Number of active members]]-Data2023[[#This Row],[Non-EEA Active ]]-Data2023[[#This Row],[EEA Active]]&lt;1,"N/A", Data2023[[#This Row],[Number of active members]]-Data2023[[#This Row],[Non-EEA Active ]]-Data2023[[#This Row],[EEA Active]]),"N/A")</f>
        <v>N/A</v>
      </c>
      <c r="P61" t="str">
        <f>IFERROR(Data2023[[#This Row],[Non-EEA Active ]]/Data2023[[#This Row],[Number of active members]],"N/A")</f>
        <v>N/A</v>
      </c>
      <c r="Q61">
        <f>IFERROR(Data2023[[#This Row],[EEA Active]]/Data2023[[#This Row],[EEA total]], "N/A")</f>
        <v>0.27777777777777779</v>
      </c>
      <c r="R61" t="str">
        <f>IFERROR(Data2023[[#This Row],[Dutch Active]]/Data2023[[#This Row],[Dutch total]],"N/A")</f>
        <v>N/A</v>
      </c>
      <c r="S61" t="str">
        <f>IFERROR(IF(Data2023[[#This Row],[Number of members]]=Data2023[[#This Row],[Non-EEA Total]]+Data2023[[#This Row],[EEA total]]+Data2023[[#This Row],[Dutch total]],"T","F"),"F")</f>
        <v>T</v>
      </c>
      <c r="T61" t="str">
        <f>IFERROR(IF(Data2023[[#This Row],[Number of active members]]=Data2023[[#This Row],[Non-EEA Active ]]+Data2023[[#This Row],[EEA Active]]+Data2023[[#This Row],[Dutch Active]],"T","F"),"F")</f>
        <v>F</v>
      </c>
      <c r="U61" t="str">
        <f>IFERROR(IF(Data2023[[#This Row],[Number of members]]-Data2023[[#This Row],[Non-EEA Active ]]-Data2023[[#This Row],[EEA Active]]-Data2023[[#This Row],[Dutch Active]]=Data2023[[#This Row],[Number of  inactive members]],"T","F"),"F")</f>
        <v>F</v>
      </c>
      <c r="V61" t="str">
        <f>IF(Data2023[[#This Row],[EEA Active]]&lt;=Data2023[[#This Row],[EEA total]],"T","F")</f>
        <v>T</v>
      </c>
      <c r="W61" t="str">
        <f>IF(Data2023[[#This Row],[Dutch Active]]&lt;=Data2023[[#This Row],[Dutch total]],"T","F")</f>
        <v>F</v>
      </c>
      <c r="X61" t="str">
        <f>IF(Data2023[[#This Row],[Non-EEA Active ]]&lt;=Data2023[[#This Row],[Non-EEA Total]],"T","F")</f>
        <v>T</v>
      </c>
      <c r="Y6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61">
        <f>IFERROR(VLOOKUP(Data2023[[#This Row],[organisation_name]],'Division Study Year Committees'!$A$1:$L$108,2,FALSE),"N/A")</f>
        <v>39</v>
      </c>
      <c r="AA61">
        <f>IFERROR(VLOOKUP(Data2023[[#This Row],[organisation_name]],'Division Study Year Committees'!$A$1:$L$108,3,FALSE),"N/A")</f>
        <v>48</v>
      </c>
      <c r="AB61">
        <f>IFERROR(VLOOKUP(Data2023[[#This Row],[organisation_name]],'Division Study Year Committees'!$A$1:$L$108,4,FALSE),"N/A")</f>
        <v>72</v>
      </c>
      <c r="AC61">
        <f>IFERROR(VLOOKUP(Data2023[[#This Row],[organisation_name]],'Division Study Year Committees'!$A$1:$L$108,5,FALSE), "N/A")</f>
        <v>39</v>
      </c>
      <c r="AD61">
        <f>IFERROR(VLOOKUP(Data2023[[#This Row],[organisation_name]],'Division Study Year Committees'!$A$1:$L$108,6,FALSE), "N/A")</f>
        <v>14</v>
      </c>
      <c r="AE61">
        <f>SUM(Data2023[[#This Row],[Number of first year comittee members]:[Number of 4+ year comittee members]])</f>
        <v>212</v>
      </c>
      <c r="AF61">
        <f>COUNTIF('Committee2022'!D:D,Data2023[[#This Row],[organisation_name]])</f>
        <v>0</v>
      </c>
      <c r="AG61">
        <v>2023</v>
      </c>
    </row>
    <row r="62" spans="1:33" x14ac:dyDescent="0.3">
      <c r="A62" t="str">
        <f>General2023[[#This Row],[organisation_name]]</f>
        <v>Atlantis</v>
      </c>
      <c r="B62" t="str">
        <f>IF(General2023[[#This Row],[sector]]= "",VLOOKUP(Data2023[[#This Row],[organisation_name]],'Response Rate sheet'!A:D,3,FALSE),General2023[[#This Row],[sector]])</f>
        <v>Study</v>
      </c>
      <c r="C62" t="str">
        <f>General2023[[#This Row],[organisation_type]]</f>
        <v>association</v>
      </c>
      <c r="D62">
        <f>IF(ISBLANK(General2023[[#This Row],[number_of_members]]),"N/A",VLOOKUP(A62,General2023[[organisation_name]:[number_of_international_committee_board_members_not_eea]],6,FALSE))</f>
        <v>193</v>
      </c>
      <c r="E62">
        <f>IF(ISBLANK(General2023[[#This Row],[number_of_committee_board_members]]),"N/A",VLOOKUP(A62,General2023!B:M,10,FALSE))</f>
        <v>10</v>
      </c>
      <c r="F62">
        <f>IFERROR(Data2023[[#This Row],[Number of members]]-Data2023[[#This Row],[Number of active members]], "N/A")</f>
        <v>183</v>
      </c>
      <c r="G62">
        <f>IFERROR(Data2023[[#This Row],[Number of active members]]/Data2023[[#This Row],[Number of members]], "N/A")</f>
        <v>5.181347150259067E-2</v>
      </c>
      <c r="H62">
        <f>IFERROR(1-Data2023[[#This Row],[Percentage active members]],"N/A")</f>
        <v>0.94818652849740936</v>
      </c>
      <c r="I62" t="str">
        <f>IF(Data2023[[#This Row],[Number of members]]=0,"N/A",IF(Data2023[[#This Row],[Number of members]]&lt;50," A. 1 - 50 ",IF(Data2023[[#This Row],[Number of members]]&lt;100, "B. 50 - 100", IF(Data2023[[#This Row],[Number of members]]&lt;400, "C. 100 - 400", IF(Data2023[[#This Row],[Number of members]]&lt;1000,"D. 400 - 1000", "E. 1000 +")))))</f>
        <v>C. 100 - 400</v>
      </c>
      <c r="J62">
        <f>IF(ISBLANK(General2023[[#This Row],[number_of_international_members_not_eea]]),"N/A",VLOOKUP(A62,General2023[[organisation_name]:[number_of_international_committee_board_members_not_eea]],9,FALSE))</f>
        <v>75</v>
      </c>
      <c r="K62">
        <f>IF(ISBLANK(General2023[[#This Row],[number_of_international_members_eea]]),"N/A",VLOOKUP(A62,General2023[[organisation_name]:[number_of_international_committee_board_members_not_eea]],8,FALSE))</f>
        <v>14</v>
      </c>
      <c r="L62">
        <f>IFERROR(IF(Data2023[[#This Row],[Number of members]]-Data2023[[#This Row],[Non-EEA Total]]-Data2023[[#This Row],[EEA total]]&lt;1,"N/A", Data2023[[#This Row],[Number of members]]-Data2023[[#This Row],[Non-EEA Total]]-Data2023[[#This Row],[EEA total]]),"N/A")</f>
        <v>104</v>
      </c>
      <c r="M62">
        <f>VLOOKUP(A62,General2023[[organisation_name]:[number_of_international_committee_board_members_not_eea]],12,FALSE)</f>
        <v>10</v>
      </c>
      <c r="N62">
        <f>VLOOKUP(A62,General2023[[organisation_name]:[number_of_international_committee_board_members_not_eea]],11,FALSE)</f>
        <v>20</v>
      </c>
      <c r="O62" t="str">
        <f>IFERROR(IF(Data2023[[#This Row],[Number of active members]]-Data2023[[#This Row],[Non-EEA Active ]]-Data2023[[#This Row],[EEA Active]]&lt;1,"N/A", Data2023[[#This Row],[Number of active members]]-Data2023[[#This Row],[Non-EEA Active ]]-Data2023[[#This Row],[EEA Active]]),"N/A")</f>
        <v>N/A</v>
      </c>
      <c r="P62">
        <f>IFERROR(Data2023[[#This Row],[Non-EEA Active ]]/Data2023[[#This Row],[Number of active members]],"N/A")</f>
        <v>1</v>
      </c>
      <c r="Q62">
        <f>IFERROR(Data2023[[#This Row],[EEA Active]]/Data2023[[#This Row],[EEA total]], "N/A")</f>
        <v>1.4285714285714286</v>
      </c>
      <c r="R62" t="str">
        <f>IFERROR(Data2023[[#This Row],[Dutch Active]]/Data2023[[#This Row],[Dutch total]],"N/A")</f>
        <v>N/A</v>
      </c>
      <c r="S62" t="str">
        <f>IFERROR(IF(Data2023[[#This Row],[Number of members]]=Data2023[[#This Row],[Non-EEA Total]]+Data2023[[#This Row],[EEA total]]+Data2023[[#This Row],[Dutch total]],"T","F"),"F")</f>
        <v>T</v>
      </c>
      <c r="T62" t="str">
        <f>IFERROR(IF(Data2023[[#This Row],[Number of active members]]=Data2023[[#This Row],[Non-EEA Active ]]+Data2023[[#This Row],[EEA Active]]+Data2023[[#This Row],[Dutch Active]],"T","F"),"F")</f>
        <v>F</v>
      </c>
      <c r="U62" t="str">
        <f>IFERROR(IF(Data2023[[#This Row],[Number of members]]-Data2023[[#This Row],[Non-EEA Active ]]-Data2023[[#This Row],[EEA Active]]-Data2023[[#This Row],[Dutch Active]]=Data2023[[#This Row],[Number of  inactive members]],"T","F"),"F")</f>
        <v>F</v>
      </c>
      <c r="V62" t="str">
        <f>IF(Data2023[[#This Row],[EEA Active]]&lt;=Data2023[[#This Row],[EEA total]],"T","F")</f>
        <v>F</v>
      </c>
      <c r="W62" t="str">
        <f>IF(Data2023[[#This Row],[Dutch Active]]&lt;=Data2023[[#This Row],[Dutch total]],"T","F")</f>
        <v>F</v>
      </c>
      <c r="X62" t="str">
        <f>IF(Data2023[[#This Row],[Non-EEA Active ]]&lt;=Data2023[[#This Row],[Non-EEA Total]],"T","F")</f>
        <v>T</v>
      </c>
      <c r="Y6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62">
        <f>IFERROR(VLOOKUP(Data2023[[#This Row],[organisation_name]],'Division Study Year Committees'!$A$1:$L$108,2,FALSE),"N/A")</f>
        <v>60</v>
      </c>
      <c r="AA62">
        <f>IFERROR(VLOOKUP(Data2023[[#This Row],[organisation_name]],'Division Study Year Committees'!$A$1:$L$108,3,FALSE),"N/A")</f>
        <v>43</v>
      </c>
      <c r="AB62">
        <f>IFERROR(VLOOKUP(Data2023[[#This Row],[organisation_name]],'Division Study Year Committees'!$A$1:$L$108,4,FALSE),"N/A")</f>
        <v>21</v>
      </c>
      <c r="AC62">
        <f>IFERROR(VLOOKUP(Data2023[[#This Row],[organisation_name]],'Division Study Year Committees'!$A$1:$L$108,5,FALSE), "N/A")</f>
        <v>6</v>
      </c>
      <c r="AD62">
        <f>IFERROR(VLOOKUP(Data2023[[#This Row],[organisation_name]],'Division Study Year Committees'!$A$1:$L$108,6,FALSE), "N/A")</f>
        <v>0</v>
      </c>
      <c r="AE62">
        <f>SUM(Data2023[[#This Row],[Number of first year comittee members]:[Number of 4+ year comittee members]])</f>
        <v>130</v>
      </c>
      <c r="AF62">
        <f>COUNTIF('Committee2022'!D:D,Data2023[[#This Row],[organisation_name]])</f>
        <v>21</v>
      </c>
      <c r="AG62">
        <v>2023</v>
      </c>
    </row>
    <row r="63" spans="1:33" x14ac:dyDescent="0.3">
      <c r="A63" t="str">
        <f>General2023[[#This Row],[organisation_name]]</f>
        <v>Communique</v>
      </c>
      <c r="B63" t="str">
        <f>IF(General2023[[#This Row],[sector]]= "",VLOOKUP(Data2023[[#This Row],[organisation_name]],'Response Rate sheet'!A:D,3,FALSE),General2023[[#This Row],[sector]])</f>
        <v>Study</v>
      </c>
      <c r="C63" t="str">
        <f>General2023[[#This Row],[organisation_type]]</f>
        <v>association</v>
      </c>
      <c r="D63">
        <f>IF(ISBLANK(General2023[[#This Row],[number_of_members]]),"N/A",VLOOKUP(A63,General2023[[organisation_name]:[number_of_international_committee_board_members_not_eea]],6,FALSE))</f>
        <v>311</v>
      </c>
      <c r="E63">
        <f>IF(ISBLANK(General2023[[#This Row],[number_of_committee_board_members]]),"N/A",VLOOKUP(A63,General2023!B:M,10,FALSE))</f>
        <v>50</v>
      </c>
      <c r="F63">
        <f>IFERROR(Data2023[[#This Row],[Number of members]]-Data2023[[#This Row],[Number of active members]], "N/A")</f>
        <v>261</v>
      </c>
      <c r="G63">
        <f>IFERROR(Data2023[[#This Row],[Number of active members]]/Data2023[[#This Row],[Number of members]], "N/A")</f>
        <v>0.16077170418006431</v>
      </c>
      <c r="H63">
        <f>IFERROR(1-Data2023[[#This Row],[Percentage active members]],"N/A")</f>
        <v>0.83922829581993574</v>
      </c>
      <c r="I63" t="str">
        <f>IF(Data2023[[#This Row],[Number of members]]=0,"N/A",IF(Data2023[[#This Row],[Number of members]]&lt;50," A. 1 - 50 ",IF(Data2023[[#This Row],[Number of members]]&lt;100, "B. 50 - 100", IF(Data2023[[#This Row],[Number of members]]&lt;400, "C. 100 - 400", IF(Data2023[[#This Row],[Number of members]]&lt;1000,"D. 400 - 1000", "E. 1000 +")))))</f>
        <v>C. 100 - 400</v>
      </c>
      <c r="J63">
        <f>IF(ISBLANK(General2023[[#This Row],[number_of_international_members_not_eea]]),"N/A",VLOOKUP(A63,General2023[[organisation_name]:[number_of_international_committee_board_members_not_eea]],9,FALSE))</f>
        <v>55</v>
      </c>
      <c r="K63">
        <f>IF(ISBLANK(General2023[[#This Row],[number_of_international_members_eea]]),"N/A",VLOOKUP(A63,General2023[[organisation_name]:[number_of_international_committee_board_members_not_eea]],8,FALSE))</f>
        <v>30</v>
      </c>
      <c r="L63">
        <f>IFERROR(IF(Data2023[[#This Row],[Number of members]]-Data2023[[#This Row],[Non-EEA Total]]-Data2023[[#This Row],[EEA total]]&lt;1,"N/A", Data2023[[#This Row],[Number of members]]-Data2023[[#This Row],[Non-EEA Total]]-Data2023[[#This Row],[EEA total]]),"N/A")</f>
        <v>226</v>
      </c>
      <c r="M63">
        <f>VLOOKUP(A63,General2023[[organisation_name]:[number_of_international_committee_board_members_not_eea]],12,FALSE)</f>
        <v>4</v>
      </c>
      <c r="N63">
        <f>VLOOKUP(A63,General2023[[organisation_name]:[number_of_international_committee_board_members_not_eea]],11,FALSE)</f>
        <v>23</v>
      </c>
      <c r="O63">
        <f>IFERROR(IF(Data2023[[#This Row],[Number of active members]]-Data2023[[#This Row],[Non-EEA Active ]]-Data2023[[#This Row],[EEA Active]]&lt;1,"N/A", Data2023[[#This Row],[Number of active members]]-Data2023[[#This Row],[Non-EEA Active ]]-Data2023[[#This Row],[EEA Active]]),"N/A")</f>
        <v>23</v>
      </c>
      <c r="P63">
        <f>IFERROR(Data2023[[#This Row],[Non-EEA Active ]]/Data2023[[#This Row],[Number of active members]],"N/A")</f>
        <v>0.08</v>
      </c>
      <c r="Q63">
        <f>IFERROR(Data2023[[#This Row],[EEA Active]]/Data2023[[#This Row],[EEA total]], "N/A")</f>
        <v>0.76666666666666672</v>
      </c>
      <c r="R63">
        <f>IFERROR(Data2023[[#This Row],[Dutch Active]]/Data2023[[#This Row],[Dutch total]],"N/A")</f>
        <v>0.10176991150442478</v>
      </c>
      <c r="S63" t="str">
        <f>IFERROR(IF(Data2023[[#This Row],[Number of members]]=Data2023[[#This Row],[Non-EEA Total]]+Data2023[[#This Row],[EEA total]]+Data2023[[#This Row],[Dutch total]],"T","F"),"F")</f>
        <v>T</v>
      </c>
      <c r="T63" t="str">
        <f>IFERROR(IF(Data2023[[#This Row],[Number of active members]]=Data2023[[#This Row],[Non-EEA Active ]]+Data2023[[#This Row],[EEA Active]]+Data2023[[#This Row],[Dutch Active]],"T","F"),"F")</f>
        <v>T</v>
      </c>
      <c r="U63" t="str">
        <f>IFERROR(IF(Data2023[[#This Row],[Number of members]]-Data2023[[#This Row],[Non-EEA Active ]]-Data2023[[#This Row],[EEA Active]]-Data2023[[#This Row],[Dutch Active]]=Data2023[[#This Row],[Number of  inactive members]],"T","F"),"F")</f>
        <v>T</v>
      </c>
      <c r="V63" t="str">
        <f>IF(Data2023[[#This Row],[EEA Active]]&lt;=Data2023[[#This Row],[EEA total]],"T","F")</f>
        <v>T</v>
      </c>
      <c r="W63" t="str">
        <f>IF(Data2023[[#This Row],[Dutch Active]]&lt;=Data2023[[#This Row],[Dutch total]],"T","F")</f>
        <v>T</v>
      </c>
      <c r="X63" t="str">
        <f>IF(Data2023[[#This Row],[Non-EEA Active ]]&lt;=Data2023[[#This Row],[Non-EEA Total]],"T","F")</f>
        <v>T</v>
      </c>
      <c r="Y63"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3">
        <f>IFERROR(VLOOKUP(Data2023[[#This Row],[organisation_name]],'Division Study Year Committees'!$A$1:$L$108,2,FALSE),"N/A")</f>
        <v>16</v>
      </c>
      <c r="AA63">
        <f>IFERROR(VLOOKUP(Data2023[[#This Row],[organisation_name]],'Division Study Year Committees'!$A$1:$L$108,3,FALSE),"N/A")</f>
        <v>19</v>
      </c>
      <c r="AB63">
        <f>IFERROR(VLOOKUP(Data2023[[#This Row],[organisation_name]],'Division Study Year Committees'!$A$1:$L$108,4,FALSE),"N/A")</f>
        <v>6</v>
      </c>
      <c r="AC63">
        <f>IFERROR(VLOOKUP(Data2023[[#This Row],[organisation_name]],'Division Study Year Committees'!$A$1:$L$108,5,FALSE), "N/A")</f>
        <v>12</v>
      </c>
      <c r="AD63">
        <f>IFERROR(VLOOKUP(Data2023[[#This Row],[organisation_name]],'Division Study Year Committees'!$A$1:$L$108,6,FALSE), "N/A")</f>
        <v>1</v>
      </c>
      <c r="AE63">
        <f>SUM(Data2023[[#This Row],[Number of first year comittee members]:[Number of 4+ year comittee members]])</f>
        <v>54</v>
      </c>
      <c r="AF63">
        <f>COUNTIF('Committee2022'!D:D,Data2023[[#This Row],[organisation_name]])</f>
        <v>22</v>
      </c>
      <c r="AG63">
        <v>2023</v>
      </c>
    </row>
    <row r="64" spans="1:33" x14ac:dyDescent="0.3">
      <c r="A64" t="str">
        <f>General2023[[#This Row],[organisation_name]]</f>
        <v>ConcepT</v>
      </c>
      <c r="B64" t="str">
        <f>IF(General2023[[#This Row],[sector]]= "",VLOOKUP(Data2023[[#This Row],[organisation_name]],'Response Rate sheet'!A:D,3,FALSE),General2023[[#This Row],[sector]])</f>
        <v>Study</v>
      </c>
      <c r="C64" t="str">
        <f>General2023[[#This Row],[organisation_type]]</f>
        <v>association</v>
      </c>
      <c r="D64">
        <f>IF(ISBLANK(General2023[[#This Row],[number_of_members]]),"N/A",VLOOKUP(A64,General2023[[organisation_name]:[number_of_international_committee_board_members_not_eea]],6,FALSE))</f>
        <v>670</v>
      </c>
      <c r="E64">
        <f>IF(ISBLANK(General2023[[#This Row],[number_of_committee_board_members]]),"N/A",VLOOKUP(A64,General2023!B:M,10,FALSE))</f>
        <v>100</v>
      </c>
      <c r="F64">
        <f>IFERROR(Data2023[[#This Row],[Number of members]]-Data2023[[#This Row],[Number of active members]], "N/A")</f>
        <v>570</v>
      </c>
      <c r="G64">
        <f>IFERROR(Data2023[[#This Row],[Number of active members]]/Data2023[[#This Row],[Number of members]], "N/A")</f>
        <v>0.14925373134328357</v>
      </c>
      <c r="H64">
        <f>IFERROR(1-Data2023[[#This Row],[Percentage active members]],"N/A")</f>
        <v>0.85074626865671643</v>
      </c>
      <c r="I64" t="str">
        <f>IF(Data2023[[#This Row],[Number of members]]=0,"N/A",IF(Data2023[[#This Row],[Number of members]]&lt;50," A. 1 - 50 ",IF(Data2023[[#This Row],[Number of members]]&lt;100, "B. 50 - 100", IF(Data2023[[#This Row],[Number of members]]&lt;400, "C. 100 - 400", IF(Data2023[[#This Row],[Number of members]]&lt;1000,"D. 400 - 1000", "E. 1000 +")))))</f>
        <v>D. 400 - 1000</v>
      </c>
      <c r="J64">
        <f>IF(ISBLANK(General2023[[#This Row],[number_of_international_members_not_eea]]),"N/A",VLOOKUP(A64,General2023[[organisation_name]:[number_of_international_committee_board_members_not_eea]],9,FALSE))</f>
        <v>146</v>
      </c>
      <c r="K64">
        <f>IF(ISBLANK(General2023[[#This Row],[number_of_international_members_eea]]),"N/A",VLOOKUP(A64,General2023[[organisation_name]:[number_of_international_committee_board_members_not_eea]],8,FALSE))</f>
        <v>40</v>
      </c>
      <c r="L64">
        <f>IFERROR(IF(Data2023[[#This Row],[Number of members]]-Data2023[[#This Row],[Non-EEA Total]]-Data2023[[#This Row],[EEA total]]&lt;1,"N/A", Data2023[[#This Row],[Number of members]]-Data2023[[#This Row],[Non-EEA Total]]-Data2023[[#This Row],[EEA total]]),"N/A")</f>
        <v>484</v>
      </c>
      <c r="M64">
        <f>VLOOKUP(A64,General2023[[organisation_name]:[number_of_international_committee_board_members_not_eea]],12,FALSE)</f>
        <v>4</v>
      </c>
      <c r="N64">
        <f>VLOOKUP(A64,General2023[[organisation_name]:[number_of_international_committee_board_members_not_eea]],11,FALSE)</f>
        <v>7</v>
      </c>
      <c r="O64">
        <f>IFERROR(IF(Data2023[[#This Row],[Number of active members]]-Data2023[[#This Row],[Non-EEA Active ]]-Data2023[[#This Row],[EEA Active]]&lt;1,"N/A", Data2023[[#This Row],[Number of active members]]-Data2023[[#This Row],[Non-EEA Active ]]-Data2023[[#This Row],[EEA Active]]),"N/A")</f>
        <v>89</v>
      </c>
      <c r="P64">
        <f>IFERROR(Data2023[[#This Row],[Non-EEA Active ]]/Data2023[[#This Row],[Number of active members]],"N/A")</f>
        <v>0.04</v>
      </c>
      <c r="Q64">
        <f>IFERROR(Data2023[[#This Row],[EEA Active]]/Data2023[[#This Row],[EEA total]], "N/A")</f>
        <v>0.17499999999999999</v>
      </c>
      <c r="R64">
        <f>IFERROR(Data2023[[#This Row],[Dutch Active]]/Data2023[[#This Row],[Dutch total]],"N/A")</f>
        <v>0.18388429752066116</v>
      </c>
      <c r="S64" t="str">
        <f>IFERROR(IF(Data2023[[#This Row],[Number of members]]=Data2023[[#This Row],[Non-EEA Total]]+Data2023[[#This Row],[EEA total]]+Data2023[[#This Row],[Dutch total]],"T","F"),"F")</f>
        <v>T</v>
      </c>
      <c r="T64" t="str">
        <f>IFERROR(IF(Data2023[[#This Row],[Number of active members]]=Data2023[[#This Row],[Non-EEA Active ]]+Data2023[[#This Row],[EEA Active]]+Data2023[[#This Row],[Dutch Active]],"T","F"),"F")</f>
        <v>T</v>
      </c>
      <c r="U64" t="str">
        <f>IFERROR(IF(Data2023[[#This Row],[Number of members]]-Data2023[[#This Row],[Non-EEA Active ]]-Data2023[[#This Row],[EEA Active]]-Data2023[[#This Row],[Dutch Active]]=Data2023[[#This Row],[Number of  inactive members]],"T","F"),"F")</f>
        <v>T</v>
      </c>
      <c r="V64" t="str">
        <f>IF(Data2023[[#This Row],[EEA Active]]&lt;=Data2023[[#This Row],[EEA total]],"T","F")</f>
        <v>T</v>
      </c>
      <c r="W64" t="str">
        <f>IF(Data2023[[#This Row],[Dutch Active]]&lt;=Data2023[[#This Row],[Dutch total]],"T","F")</f>
        <v>T</v>
      </c>
      <c r="X64" t="str">
        <f>IF(Data2023[[#This Row],[Non-EEA Active ]]&lt;=Data2023[[#This Row],[Non-EEA Total]],"T","F")</f>
        <v>T</v>
      </c>
      <c r="Y64"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4" t="str">
        <f>IFERROR(VLOOKUP(Data2023[[#This Row],[organisation_name]],'Division Study Year Committees'!$A$1:$L$108,2,FALSE),"N/A")</f>
        <v>N/A</v>
      </c>
      <c r="AA64" t="str">
        <f>IFERROR(VLOOKUP(Data2023[[#This Row],[organisation_name]],'Division Study Year Committees'!$A$1:$L$108,3,FALSE),"N/A")</f>
        <v>N/A</v>
      </c>
      <c r="AB64" t="str">
        <f>IFERROR(VLOOKUP(Data2023[[#This Row],[organisation_name]],'Division Study Year Committees'!$A$1:$L$108,4,FALSE),"N/A")</f>
        <v>N/A</v>
      </c>
      <c r="AC64" t="str">
        <f>IFERROR(VLOOKUP(Data2023[[#This Row],[organisation_name]],'Division Study Year Committees'!$A$1:$L$108,5,FALSE), "N/A")</f>
        <v>N/A</v>
      </c>
      <c r="AD64" t="str">
        <f>IFERROR(VLOOKUP(Data2023[[#This Row],[organisation_name]],'Division Study Year Committees'!$A$1:$L$108,6,FALSE), "N/A")</f>
        <v>N/A</v>
      </c>
      <c r="AE64">
        <f>SUM(Data2023[[#This Row],[Number of first year comittee members]:[Number of 4+ year comittee members]])</f>
        <v>0</v>
      </c>
      <c r="AF64">
        <f>COUNTIF('Committee2022'!D:D,Data2023[[#This Row],[organisation_name]])</f>
        <v>19</v>
      </c>
      <c r="AG64">
        <v>2023</v>
      </c>
    </row>
    <row r="65" spans="1:33" x14ac:dyDescent="0.3">
      <c r="A65" t="str">
        <f>General2023[[#This Row],[organisation_name]]</f>
        <v>Daedalus</v>
      </c>
      <c r="B65" t="str">
        <f>IF(General2023[[#This Row],[sector]]= "",VLOOKUP(Data2023[[#This Row],[organisation_name]],'Response Rate sheet'!A:D,3,FALSE),General2023[[#This Row],[sector]])</f>
        <v>Study</v>
      </c>
      <c r="C65" t="str">
        <f>General2023[[#This Row],[organisation_type]]</f>
        <v>association</v>
      </c>
      <c r="D65">
        <f>IF(ISBLANK(General2023[[#This Row],[number_of_members]]),"N/A",VLOOKUP(A65,General2023[[organisation_name]:[number_of_international_committee_board_members_not_eea]],6,FALSE))</f>
        <v>862</v>
      </c>
      <c r="E65">
        <f>IF(ISBLANK(General2023[[#This Row],[number_of_committee_board_members]]),"N/A",VLOOKUP(A65,General2023!B:M,10,FALSE))</f>
        <v>100</v>
      </c>
      <c r="F65">
        <f>IFERROR(Data2023[[#This Row],[Number of members]]-Data2023[[#This Row],[Number of active members]], "N/A")</f>
        <v>762</v>
      </c>
      <c r="G65">
        <f>IFERROR(Data2023[[#This Row],[Number of active members]]/Data2023[[#This Row],[Number of members]], "N/A")</f>
        <v>0.11600928074245939</v>
      </c>
      <c r="H65">
        <f>IFERROR(1-Data2023[[#This Row],[Percentage active members]],"N/A")</f>
        <v>0.88399071925754058</v>
      </c>
      <c r="I65" t="str">
        <f>IF(Data2023[[#This Row],[Number of members]]=0,"N/A",IF(Data2023[[#This Row],[Number of members]]&lt;50," A. 1 - 50 ",IF(Data2023[[#This Row],[Number of members]]&lt;100, "B. 50 - 100", IF(Data2023[[#This Row],[Number of members]]&lt;400, "C. 100 - 400", IF(Data2023[[#This Row],[Number of members]]&lt;1000,"D. 400 - 1000", "E. 1000 +")))))</f>
        <v>D. 400 - 1000</v>
      </c>
      <c r="J65">
        <f>IF(ISBLANK(General2023[[#This Row],[number_of_international_members_not_eea]]),"N/A",VLOOKUP(A65,General2023[[organisation_name]:[number_of_international_committee_board_members_not_eea]],9,FALSE))</f>
        <v>128</v>
      </c>
      <c r="K65">
        <f>IF(ISBLANK(General2023[[#This Row],[number_of_international_members_eea]]),"N/A",VLOOKUP(A65,General2023[[organisation_name]:[number_of_international_committee_board_members_not_eea]],8,FALSE))</f>
        <v>62</v>
      </c>
      <c r="L65">
        <f>IFERROR(IF(Data2023[[#This Row],[Number of members]]-Data2023[[#This Row],[Non-EEA Total]]-Data2023[[#This Row],[EEA total]]&lt;1,"N/A", Data2023[[#This Row],[Number of members]]-Data2023[[#This Row],[Non-EEA Total]]-Data2023[[#This Row],[EEA total]]),"N/A")</f>
        <v>672</v>
      </c>
      <c r="M65">
        <f>VLOOKUP(A65,General2023[[organisation_name]:[number_of_international_committee_board_members_not_eea]],12,FALSE)</f>
        <v>5</v>
      </c>
      <c r="N65">
        <f>VLOOKUP(A65,General2023[[organisation_name]:[number_of_international_committee_board_members_not_eea]],11,FALSE)</f>
        <v>22</v>
      </c>
      <c r="O65">
        <f>IFERROR(IF(Data2023[[#This Row],[Number of active members]]-Data2023[[#This Row],[Non-EEA Active ]]-Data2023[[#This Row],[EEA Active]]&lt;1,"N/A", Data2023[[#This Row],[Number of active members]]-Data2023[[#This Row],[Non-EEA Active ]]-Data2023[[#This Row],[EEA Active]]),"N/A")</f>
        <v>73</v>
      </c>
      <c r="P65">
        <f>IFERROR(Data2023[[#This Row],[Non-EEA Active ]]/Data2023[[#This Row],[Number of active members]],"N/A")</f>
        <v>0.05</v>
      </c>
      <c r="Q65">
        <f>IFERROR(Data2023[[#This Row],[EEA Active]]/Data2023[[#This Row],[EEA total]], "N/A")</f>
        <v>0.35483870967741937</v>
      </c>
      <c r="R65">
        <f>IFERROR(Data2023[[#This Row],[Dutch Active]]/Data2023[[#This Row],[Dutch total]],"N/A")</f>
        <v>0.10863095238095238</v>
      </c>
      <c r="S65" t="str">
        <f>IFERROR(IF(Data2023[[#This Row],[Number of members]]=Data2023[[#This Row],[Non-EEA Total]]+Data2023[[#This Row],[EEA total]]+Data2023[[#This Row],[Dutch total]],"T","F"),"F")</f>
        <v>T</v>
      </c>
      <c r="T65" t="str">
        <f>IFERROR(IF(Data2023[[#This Row],[Number of active members]]=Data2023[[#This Row],[Non-EEA Active ]]+Data2023[[#This Row],[EEA Active]]+Data2023[[#This Row],[Dutch Active]],"T","F"),"F")</f>
        <v>T</v>
      </c>
      <c r="U65" t="str">
        <f>IFERROR(IF(Data2023[[#This Row],[Number of members]]-Data2023[[#This Row],[Non-EEA Active ]]-Data2023[[#This Row],[EEA Active]]-Data2023[[#This Row],[Dutch Active]]=Data2023[[#This Row],[Number of  inactive members]],"T","F"),"F")</f>
        <v>T</v>
      </c>
      <c r="V65" t="str">
        <f>IF(Data2023[[#This Row],[EEA Active]]&lt;=Data2023[[#This Row],[EEA total]],"T","F")</f>
        <v>T</v>
      </c>
      <c r="W65" t="str">
        <f>IF(Data2023[[#This Row],[Dutch Active]]&lt;=Data2023[[#This Row],[Dutch total]],"T","F")</f>
        <v>T</v>
      </c>
      <c r="X65" t="str">
        <f>IF(Data2023[[#This Row],[Non-EEA Active ]]&lt;=Data2023[[#This Row],[Non-EEA Total]],"T","F")</f>
        <v>T</v>
      </c>
      <c r="Y6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5">
        <f>IFERROR(VLOOKUP(Data2023[[#This Row],[organisation_name]],'Division Study Year Committees'!$A$1:$L$108,2,FALSE),"N/A")</f>
        <v>0</v>
      </c>
      <c r="AA65">
        <f>IFERROR(VLOOKUP(Data2023[[#This Row],[organisation_name]],'Division Study Year Committees'!$A$1:$L$108,3,FALSE),"N/A")</f>
        <v>0</v>
      </c>
      <c r="AB65">
        <f>IFERROR(VLOOKUP(Data2023[[#This Row],[organisation_name]],'Division Study Year Committees'!$A$1:$L$108,4,FALSE),"N/A")</f>
        <v>0</v>
      </c>
      <c r="AC65">
        <f>IFERROR(VLOOKUP(Data2023[[#This Row],[organisation_name]],'Division Study Year Committees'!$A$1:$L$108,5,FALSE), "N/A")</f>
        <v>0</v>
      </c>
      <c r="AD65">
        <f>IFERROR(VLOOKUP(Data2023[[#This Row],[organisation_name]],'Division Study Year Committees'!$A$1:$L$108,6,FALSE), "N/A")</f>
        <v>0</v>
      </c>
      <c r="AE65">
        <f>SUM(Data2023[[#This Row],[Number of first year comittee members]:[Number of 4+ year comittee members]])</f>
        <v>0</v>
      </c>
      <c r="AF65">
        <f>COUNTIF('Committee2022'!D:D,Data2023[[#This Row],[organisation_name]])</f>
        <v>34</v>
      </c>
      <c r="AG65">
        <v>2023</v>
      </c>
    </row>
    <row r="66" spans="1:33" x14ac:dyDescent="0.3">
      <c r="A66" t="str">
        <f>General2023[[#This Row],[organisation_name]]</f>
        <v>Dimensie</v>
      </c>
      <c r="B66" t="str">
        <f>IF(General2023[[#This Row],[sector]]= "",VLOOKUP(Data2023[[#This Row],[organisation_name]],'Response Rate sheet'!A:D,3,FALSE),General2023[[#This Row],[sector]])</f>
        <v>Study</v>
      </c>
      <c r="C66" t="str">
        <f>General2023[[#This Row],[organisation_type]]</f>
        <v>association</v>
      </c>
      <c r="D66">
        <f>IF(ISBLANK(General2023[[#This Row],[number_of_members]]),"N/A",VLOOKUP(A66,General2023[[organisation_name]:[number_of_international_committee_board_members_not_eea]],6,FALSE))</f>
        <v>780</v>
      </c>
      <c r="E66">
        <f>IF(ISBLANK(General2023[[#This Row],[number_of_committee_board_members]]),"N/A",VLOOKUP(A66,General2023!B:M,10,FALSE))</f>
        <v>150</v>
      </c>
      <c r="F66">
        <f>IFERROR(Data2023[[#This Row],[Number of members]]-Data2023[[#This Row],[Number of active members]], "N/A")</f>
        <v>630</v>
      </c>
      <c r="G66">
        <f>IFERROR(Data2023[[#This Row],[Number of active members]]/Data2023[[#This Row],[Number of members]], "N/A")</f>
        <v>0.19230769230769232</v>
      </c>
      <c r="H66">
        <f>IFERROR(1-Data2023[[#This Row],[Percentage active members]],"N/A")</f>
        <v>0.80769230769230771</v>
      </c>
      <c r="I66" t="str">
        <f>IF(Data2023[[#This Row],[Number of members]]=0,"N/A",IF(Data2023[[#This Row],[Number of members]]&lt;50," A. 1 - 50 ",IF(Data2023[[#This Row],[Number of members]]&lt;100, "B. 50 - 100", IF(Data2023[[#This Row],[Number of members]]&lt;400, "C. 100 - 400", IF(Data2023[[#This Row],[Number of members]]&lt;1000,"D. 400 - 1000", "E. 1000 +")))))</f>
        <v>D. 400 - 1000</v>
      </c>
      <c r="J66">
        <f>IF(ISBLANK(General2023[[#This Row],[number_of_international_members_not_eea]]),"N/A",VLOOKUP(A66,General2023[[organisation_name]:[number_of_international_committee_board_members_not_eea]],9,FALSE))</f>
        <v>74</v>
      </c>
      <c r="K66">
        <f>IF(ISBLANK(General2023[[#This Row],[number_of_international_members_eea]]),"N/A",VLOOKUP(A66,General2023[[organisation_name]:[number_of_international_committee_board_members_not_eea]],8,FALSE))</f>
        <v>50</v>
      </c>
      <c r="L66">
        <f>IFERROR(IF(Data2023[[#This Row],[Number of members]]-Data2023[[#This Row],[Non-EEA Total]]-Data2023[[#This Row],[EEA total]]&lt;1,"N/A", Data2023[[#This Row],[Number of members]]-Data2023[[#This Row],[Non-EEA Total]]-Data2023[[#This Row],[EEA total]]),"N/A")</f>
        <v>656</v>
      </c>
      <c r="M66">
        <f>VLOOKUP(A66,General2023[[organisation_name]:[number_of_international_committee_board_members_not_eea]],12,FALSE)</f>
        <v>1</v>
      </c>
      <c r="N66">
        <f>VLOOKUP(A66,General2023[[organisation_name]:[number_of_international_committee_board_members_not_eea]],11,FALSE)</f>
        <v>73</v>
      </c>
      <c r="O66">
        <f>IFERROR(IF(Data2023[[#This Row],[Number of active members]]-Data2023[[#This Row],[Non-EEA Active ]]-Data2023[[#This Row],[EEA Active]]&lt;1,"N/A", Data2023[[#This Row],[Number of active members]]-Data2023[[#This Row],[Non-EEA Active ]]-Data2023[[#This Row],[EEA Active]]),"N/A")</f>
        <v>76</v>
      </c>
      <c r="P66">
        <f>IFERROR(Data2023[[#This Row],[Non-EEA Active ]]/Data2023[[#This Row],[Number of active members]],"N/A")</f>
        <v>6.6666666666666671E-3</v>
      </c>
      <c r="Q66">
        <f>IFERROR(Data2023[[#This Row],[EEA Active]]/Data2023[[#This Row],[EEA total]], "N/A")</f>
        <v>1.46</v>
      </c>
      <c r="R66">
        <f>IFERROR(Data2023[[#This Row],[Dutch Active]]/Data2023[[#This Row],[Dutch total]],"N/A")</f>
        <v>0.11585365853658537</v>
      </c>
      <c r="S66" t="str">
        <f>IFERROR(IF(Data2023[[#This Row],[Number of members]]=Data2023[[#This Row],[Non-EEA Total]]+Data2023[[#This Row],[EEA total]]+Data2023[[#This Row],[Dutch total]],"T","F"),"F")</f>
        <v>T</v>
      </c>
      <c r="T66" t="str">
        <f>IFERROR(IF(Data2023[[#This Row],[Number of active members]]=Data2023[[#This Row],[Non-EEA Active ]]+Data2023[[#This Row],[EEA Active]]+Data2023[[#This Row],[Dutch Active]],"T","F"),"F")</f>
        <v>T</v>
      </c>
      <c r="U66" t="str">
        <f>IFERROR(IF(Data2023[[#This Row],[Number of members]]-Data2023[[#This Row],[Non-EEA Active ]]-Data2023[[#This Row],[EEA Active]]-Data2023[[#This Row],[Dutch Active]]=Data2023[[#This Row],[Number of  inactive members]],"T","F"),"F")</f>
        <v>T</v>
      </c>
      <c r="V66" t="str">
        <f>IF(Data2023[[#This Row],[EEA Active]]&lt;=Data2023[[#This Row],[EEA total]],"T","F")</f>
        <v>F</v>
      </c>
      <c r="W66" t="str">
        <f>IF(Data2023[[#This Row],[Dutch Active]]&lt;=Data2023[[#This Row],[Dutch total]],"T","F")</f>
        <v>T</v>
      </c>
      <c r="X66" t="str">
        <f>IF(Data2023[[#This Row],[Non-EEA Active ]]&lt;=Data2023[[#This Row],[Non-EEA Total]],"T","F")</f>
        <v>T</v>
      </c>
      <c r="Y6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66">
        <f>IFERROR(VLOOKUP(Data2023[[#This Row],[organisation_name]],'Division Study Year Committees'!$A$1:$L$108,2,FALSE),"N/A")</f>
        <v>22</v>
      </c>
      <c r="AA66">
        <f>IFERROR(VLOOKUP(Data2023[[#This Row],[organisation_name]],'Division Study Year Committees'!$A$1:$L$108,3,FALSE),"N/A")</f>
        <v>33</v>
      </c>
      <c r="AB66">
        <f>IFERROR(VLOOKUP(Data2023[[#This Row],[organisation_name]],'Division Study Year Committees'!$A$1:$L$108,4,FALSE),"N/A")</f>
        <v>21</v>
      </c>
      <c r="AC66">
        <f>IFERROR(VLOOKUP(Data2023[[#This Row],[organisation_name]],'Division Study Year Committees'!$A$1:$L$108,5,FALSE), "N/A")</f>
        <v>20</v>
      </c>
      <c r="AD66">
        <f>IFERROR(VLOOKUP(Data2023[[#This Row],[organisation_name]],'Division Study Year Committees'!$A$1:$L$108,6,FALSE), "N/A")</f>
        <v>9</v>
      </c>
      <c r="AE66">
        <f>SUM(Data2023[[#This Row],[Number of first year comittee members]:[Number of 4+ year comittee members]])</f>
        <v>105</v>
      </c>
      <c r="AF66">
        <f>COUNTIF('Committee2022'!D:D,Data2023[[#This Row],[organisation_name]])</f>
        <v>20</v>
      </c>
      <c r="AG66">
        <v>2023</v>
      </c>
    </row>
    <row r="67" spans="1:33" x14ac:dyDescent="0.3">
      <c r="A67" t="str">
        <f>General2023[[#This Row],[organisation_name]]</f>
        <v>Ideefiks</v>
      </c>
      <c r="B67" t="str">
        <f>IF(General2023[[#This Row],[sector]]= "",VLOOKUP(Data2023[[#This Row],[organisation_name]],'Response Rate sheet'!A:D,3,FALSE),General2023[[#This Row],[sector]])</f>
        <v>Study</v>
      </c>
      <c r="C67" t="str">
        <f>General2023[[#This Row],[organisation_type]]</f>
        <v>association</v>
      </c>
      <c r="D67">
        <f>IF(ISBLANK(General2023[[#This Row],[number_of_members]]),"N/A",VLOOKUP(A67,General2023[[organisation_name]:[number_of_international_committee_board_members_not_eea]],6,FALSE))</f>
        <v>66</v>
      </c>
      <c r="E67">
        <f>IF(ISBLANK(General2023[[#This Row],[number_of_committee_board_members]]),"N/A",VLOOKUP(A67,General2023!B:M,10,FALSE))</f>
        <v>5</v>
      </c>
      <c r="F67">
        <f>IFERROR(Data2023[[#This Row],[Number of members]]-Data2023[[#This Row],[Number of active members]], "N/A")</f>
        <v>61</v>
      </c>
      <c r="G67">
        <f>IFERROR(Data2023[[#This Row],[Number of active members]]/Data2023[[#This Row],[Number of members]], "N/A")</f>
        <v>7.575757575757576E-2</v>
      </c>
      <c r="H67">
        <f>IFERROR(1-Data2023[[#This Row],[Percentage active members]],"N/A")</f>
        <v>0.9242424242424242</v>
      </c>
      <c r="I67" t="str">
        <f>IF(Data2023[[#This Row],[Number of members]]=0,"N/A",IF(Data2023[[#This Row],[Number of members]]&lt;50," A. 1 - 50 ",IF(Data2023[[#This Row],[Number of members]]&lt;100, "B. 50 - 100", IF(Data2023[[#This Row],[Number of members]]&lt;400, "C. 100 - 400", IF(Data2023[[#This Row],[Number of members]]&lt;1000,"D. 400 - 1000", "E. 1000 +")))))</f>
        <v>B. 50 - 100</v>
      </c>
      <c r="J67">
        <f>IF(ISBLANK(General2023[[#This Row],[number_of_international_members_not_eea]]),"N/A",VLOOKUP(A67,General2023[[organisation_name]:[number_of_international_committee_board_members_not_eea]],9,FALSE))</f>
        <v>25</v>
      </c>
      <c r="K67">
        <f>IF(ISBLANK(General2023[[#This Row],[number_of_international_members_eea]]),"N/A",VLOOKUP(A67,General2023[[organisation_name]:[number_of_international_committee_board_members_not_eea]],8,FALSE))</f>
        <v>18</v>
      </c>
      <c r="L67">
        <f>IFERROR(IF(Data2023[[#This Row],[Number of members]]-Data2023[[#This Row],[Non-EEA Total]]-Data2023[[#This Row],[EEA total]]&lt;1,"N/A", Data2023[[#This Row],[Number of members]]-Data2023[[#This Row],[Non-EEA Total]]-Data2023[[#This Row],[EEA total]]),"N/A")</f>
        <v>23</v>
      </c>
      <c r="M67">
        <f>VLOOKUP(A67,General2023[[organisation_name]:[number_of_international_committee_board_members_not_eea]],12,FALSE)</f>
        <v>10</v>
      </c>
      <c r="N67">
        <f>VLOOKUP(A67,General2023[[organisation_name]:[number_of_international_committee_board_members_not_eea]],11,FALSE)</f>
        <v>10</v>
      </c>
      <c r="O67" t="str">
        <f>IFERROR(IF(Data2023[[#This Row],[Number of active members]]-Data2023[[#This Row],[Non-EEA Active ]]-Data2023[[#This Row],[EEA Active]]&lt;1,"N/A", Data2023[[#This Row],[Number of active members]]-Data2023[[#This Row],[Non-EEA Active ]]-Data2023[[#This Row],[EEA Active]]),"N/A")</f>
        <v>N/A</v>
      </c>
      <c r="P67">
        <f>IFERROR(Data2023[[#This Row],[Non-EEA Active ]]/Data2023[[#This Row],[Number of active members]],"N/A")</f>
        <v>2</v>
      </c>
      <c r="Q67">
        <f>IFERROR(Data2023[[#This Row],[EEA Active]]/Data2023[[#This Row],[EEA total]], "N/A")</f>
        <v>0.55555555555555558</v>
      </c>
      <c r="R67" t="str">
        <f>IFERROR(Data2023[[#This Row],[Dutch Active]]/Data2023[[#This Row],[Dutch total]],"N/A")</f>
        <v>N/A</v>
      </c>
      <c r="S67" t="str">
        <f>IFERROR(IF(Data2023[[#This Row],[Number of members]]=Data2023[[#This Row],[Non-EEA Total]]+Data2023[[#This Row],[EEA total]]+Data2023[[#This Row],[Dutch total]],"T","F"),"F")</f>
        <v>T</v>
      </c>
      <c r="T67" t="str">
        <f>IFERROR(IF(Data2023[[#This Row],[Number of active members]]=Data2023[[#This Row],[Non-EEA Active ]]+Data2023[[#This Row],[EEA Active]]+Data2023[[#This Row],[Dutch Active]],"T","F"),"F")</f>
        <v>F</v>
      </c>
      <c r="U67" t="str">
        <f>IFERROR(IF(Data2023[[#This Row],[Number of members]]-Data2023[[#This Row],[Non-EEA Active ]]-Data2023[[#This Row],[EEA Active]]-Data2023[[#This Row],[Dutch Active]]=Data2023[[#This Row],[Number of  inactive members]],"T","F"),"F")</f>
        <v>F</v>
      </c>
      <c r="V67" t="str">
        <f>IF(Data2023[[#This Row],[EEA Active]]&lt;=Data2023[[#This Row],[EEA total]],"T","F")</f>
        <v>T</v>
      </c>
      <c r="W67" t="str">
        <f>IF(Data2023[[#This Row],[Dutch Active]]&lt;=Data2023[[#This Row],[Dutch total]],"T","F")</f>
        <v>F</v>
      </c>
      <c r="X67" t="str">
        <f>IF(Data2023[[#This Row],[Non-EEA Active ]]&lt;=Data2023[[#This Row],[Non-EEA Total]],"T","F")</f>
        <v>T</v>
      </c>
      <c r="Y6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67" t="str">
        <f>IFERROR(VLOOKUP(Data2023[[#This Row],[organisation_name]],'Division Study Year Committees'!$A$1:$L$108,2,FALSE),"N/A")</f>
        <v>N/A</v>
      </c>
      <c r="AA67" t="str">
        <f>IFERROR(VLOOKUP(Data2023[[#This Row],[organisation_name]],'Division Study Year Committees'!$A$1:$L$108,3,FALSE),"N/A")</f>
        <v>N/A</v>
      </c>
      <c r="AB67" t="str">
        <f>IFERROR(VLOOKUP(Data2023[[#This Row],[organisation_name]],'Division Study Year Committees'!$A$1:$L$108,4,FALSE),"N/A")</f>
        <v>N/A</v>
      </c>
      <c r="AC67" t="str">
        <f>IFERROR(VLOOKUP(Data2023[[#This Row],[organisation_name]],'Division Study Year Committees'!$A$1:$L$108,5,FALSE), "N/A")</f>
        <v>N/A</v>
      </c>
      <c r="AD67" t="str">
        <f>IFERROR(VLOOKUP(Data2023[[#This Row],[organisation_name]],'Division Study Year Committees'!$A$1:$L$108,6,FALSE), "N/A")</f>
        <v>N/A</v>
      </c>
      <c r="AE67">
        <f>SUM(Data2023[[#This Row],[Number of first year comittee members]:[Number of 4+ year comittee members]])</f>
        <v>0</v>
      </c>
      <c r="AF67">
        <f>COUNTIF('Committee2022'!D:D,Data2023[[#This Row],[organisation_name]])</f>
        <v>6</v>
      </c>
      <c r="AG67">
        <v>2023</v>
      </c>
    </row>
    <row r="68" spans="1:33" x14ac:dyDescent="0.3">
      <c r="A68" t="str">
        <f>General2023[[#This Row],[organisation_name]]</f>
        <v>Inter-Actief</v>
      </c>
      <c r="B68" t="str">
        <f>IF(General2023[[#This Row],[sector]]= "",VLOOKUP(Data2023[[#This Row],[organisation_name]],'Response Rate sheet'!A:D,3,FALSE),General2023[[#This Row],[sector]])</f>
        <v>Study</v>
      </c>
      <c r="C68" t="str">
        <f>General2023[[#This Row],[organisation_type]]</f>
        <v>association</v>
      </c>
      <c r="D68">
        <f>IF(ISBLANK(General2023[[#This Row],[number_of_members]]),"N/A",VLOOKUP(A68,General2023[[organisation_name]:[number_of_international_committee_board_members_not_eea]],6,FALSE))</f>
        <v>1200</v>
      </c>
      <c r="E68">
        <f>IF(ISBLANK(General2023[[#This Row],[number_of_committee_board_members]]),"N/A",VLOOKUP(A68,General2023!B:M,10,FALSE))</f>
        <v>90</v>
      </c>
      <c r="F68">
        <f>IFERROR(Data2023[[#This Row],[Number of members]]-Data2023[[#This Row],[Number of active members]], "N/A")</f>
        <v>1110</v>
      </c>
      <c r="G68">
        <f>IFERROR(Data2023[[#This Row],[Number of active members]]/Data2023[[#This Row],[Number of members]], "N/A")</f>
        <v>7.4999999999999997E-2</v>
      </c>
      <c r="H68">
        <f>IFERROR(1-Data2023[[#This Row],[Percentage active members]],"N/A")</f>
        <v>0.92500000000000004</v>
      </c>
      <c r="I68" t="str">
        <f>IF(Data2023[[#This Row],[Number of members]]=0,"N/A",IF(Data2023[[#This Row],[Number of members]]&lt;50," A. 1 - 50 ",IF(Data2023[[#This Row],[Number of members]]&lt;100, "B. 50 - 100", IF(Data2023[[#This Row],[Number of members]]&lt;400, "C. 100 - 400", IF(Data2023[[#This Row],[Number of members]]&lt;1000,"D. 400 - 1000", "E. 1000 +")))))</f>
        <v>E. 1000 +</v>
      </c>
      <c r="J68">
        <f>IF(ISBLANK(General2023[[#This Row],[number_of_international_members_not_eea]]),"N/A",VLOOKUP(A68,General2023[[organisation_name]:[number_of_international_committee_board_members_not_eea]],9,FALSE))</f>
        <v>150</v>
      </c>
      <c r="K68">
        <f>IF(ISBLANK(General2023[[#This Row],[number_of_international_members_eea]]),"N/A",VLOOKUP(A68,General2023[[organisation_name]:[number_of_international_committee_board_members_not_eea]],8,FALSE))</f>
        <v>200</v>
      </c>
      <c r="L68">
        <f>IFERROR(IF(Data2023[[#This Row],[Number of members]]-Data2023[[#This Row],[Non-EEA Total]]-Data2023[[#This Row],[EEA total]]&lt;1,"N/A", Data2023[[#This Row],[Number of members]]-Data2023[[#This Row],[Non-EEA Total]]-Data2023[[#This Row],[EEA total]]),"N/A")</f>
        <v>850</v>
      </c>
      <c r="M68">
        <f>VLOOKUP(A68,General2023[[organisation_name]:[number_of_international_committee_board_members_not_eea]],12,FALSE)</f>
        <v>8</v>
      </c>
      <c r="N68">
        <f>VLOOKUP(A68,General2023[[organisation_name]:[number_of_international_committee_board_members_not_eea]],11,FALSE)</f>
        <v>12</v>
      </c>
      <c r="O68">
        <f>IFERROR(IF(Data2023[[#This Row],[Number of active members]]-Data2023[[#This Row],[Non-EEA Active ]]-Data2023[[#This Row],[EEA Active]]&lt;1,"N/A", Data2023[[#This Row],[Number of active members]]-Data2023[[#This Row],[Non-EEA Active ]]-Data2023[[#This Row],[EEA Active]]),"N/A")</f>
        <v>70</v>
      </c>
      <c r="P68">
        <f>IFERROR(Data2023[[#This Row],[Non-EEA Active ]]/Data2023[[#This Row],[Number of active members]],"N/A")</f>
        <v>8.8888888888888892E-2</v>
      </c>
      <c r="Q68">
        <f>IFERROR(Data2023[[#This Row],[EEA Active]]/Data2023[[#This Row],[EEA total]], "N/A")</f>
        <v>0.06</v>
      </c>
      <c r="R68">
        <f>IFERROR(Data2023[[#This Row],[Dutch Active]]/Data2023[[#This Row],[Dutch total]],"N/A")</f>
        <v>8.2352941176470587E-2</v>
      </c>
      <c r="S68" t="str">
        <f>IFERROR(IF(Data2023[[#This Row],[Number of members]]=Data2023[[#This Row],[Non-EEA Total]]+Data2023[[#This Row],[EEA total]]+Data2023[[#This Row],[Dutch total]],"T","F"),"F")</f>
        <v>T</v>
      </c>
      <c r="T68" t="str">
        <f>IFERROR(IF(Data2023[[#This Row],[Number of active members]]=Data2023[[#This Row],[Non-EEA Active ]]+Data2023[[#This Row],[EEA Active]]+Data2023[[#This Row],[Dutch Active]],"T","F"),"F")</f>
        <v>T</v>
      </c>
      <c r="U68" t="str">
        <f>IFERROR(IF(Data2023[[#This Row],[Number of members]]-Data2023[[#This Row],[Non-EEA Active ]]-Data2023[[#This Row],[EEA Active]]-Data2023[[#This Row],[Dutch Active]]=Data2023[[#This Row],[Number of  inactive members]],"T","F"),"F")</f>
        <v>T</v>
      </c>
      <c r="V68" t="str">
        <f>IF(Data2023[[#This Row],[EEA Active]]&lt;=Data2023[[#This Row],[EEA total]],"T","F")</f>
        <v>T</v>
      </c>
      <c r="W68" t="str">
        <f>IF(Data2023[[#This Row],[Dutch Active]]&lt;=Data2023[[#This Row],[Dutch total]],"T","F")</f>
        <v>T</v>
      </c>
      <c r="X68" t="str">
        <f>IF(Data2023[[#This Row],[Non-EEA Active ]]&lt;=Data2023[[#This Row],[Non-EEA Total]],"T","F")</f>
        <v>T</v>
      </c>
      <c r="Y6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8">
        <f>IFERROR(VLOOKUP(Data2023[[#This Row],[organisation_name]],'Division Study Year Committees'!$A$1:$L$108,2,FALSE),"N/A")</f>
        <v>37</v>
      </c>
      <c r="AA68">
        <f>IFERROR(VLOOKUP(Data2023[[#This Row],[organisation_name]],'Division Study Year Committees'!$A$1:$L$108,3,FALSE),"N/A")</f>
        <v>74</v>
      </c>
      <c r="AB68">
        <f>IFERROR(VLOOKUP(Data2023[[#This Row],[organisation_name]],'Division Study Year Committees'!$A$1:$L$108,4,FALSE),"N/A")</f>
        <v>113</v>
      </c>
      <c r="AC68">
        <f>IFERROR(VLOOKUP(Data2023[[#This Row],[organisation_name]],'Division Study Year Committees'!$A$1:$L$108,5,FALSE), "N/A")</f>
        <v>67</v>
      </c>
      <c r="AD68">
        <f>IFERROR(VLOOKUP(Data2023[[#This Row],[organisation_name]],'Division Study Year Committees'!$A$1:$L$108,6,FALSE), "N/A")</f>
        <v>20</v>
      </c>
      <c r="AE68">
        <f>SUM(Data2023[[#This Row],[Number of first year comittee members]:[Number of 4+ year comittee members]])</f>
        <v>311</v>
      </c>
      <c r="AF68">
        <f>COUNTIF('Committee2022'!D:D,Data2023[[#This Row],[organisation_name]])</f>
        <v>38</v>
      </c>
      <c r="AG68">
        <v>2023</v>
      </c>
    </row>
    <row r="69" spans="1:33" x14ac:dyDescent="0.3">
      <c r="A69" t="str">
        <f>General2023[[#This Row],[organisation_name]]</f>
        <v>Isaac Newton</v>
      </c>
      <c r="B69" t="str">
        <f>IF(General2023[[#This Row],[sector]]= "",VLOOKUP(Data2023[[#This Row],[organisation_name]],'Response Rate sheet'!A:D,3,FALSE),General2023[[#This Row],[sector]])</f>
        <v>Study</v>
      </c>
      <c r="C69" t="str">
        <f>General2023[[#This Row],[organisation_type]]</f>
        <v>association</v>
      </c>
      <c r="D69">
        <f>IF(ISBLANK(General2023[[#This Row],[number_of_members]]),"N/A",VLOOKUP(A69,General2023[[organisation_name]:[number_of_international_committee_board_members_not_eea]],6,FALSE))</f>
        <v>1505</v>
      </c>
      <c r="E69">
        <f>IF(ISBLANK(General2023[[#This Row],[number_of_committee_board_members]]),"N/A",VLOOKUP(A69,General2023!B:M,10,FALSE))</f>
        <v>150</v>
      </c>
      <c r="F69">
        <f>IFERROR(Data2023[[#This Row],[Number of members]]-Data2023[[#This Row],[Number of active members]], "N/A")</f>
        <v>1355</v>
      </c>
      <c r="G69">
        <f>IFERROR(Data2023[[#This Row],[Number of active members]]/Data2023[[#This Row],[Number of members]], "N/A")</f>
        <v>9.9667774086378738E-2</v>
      </c>
      <c r="H69">
        <f>IFERROR(1-Data2023[[#This Row],[Percentage active members]],"N/A")</f>
        <v>0.90033222591362128</v>
      </c>
      <c r="I69" t="str">
        <f>IF(Data2023[[#This Row],[Number of members]]=0,"N/A",IF(Data2023[[#This Row],[Number of members]]&lt;50," A. 1 - 50 ",IF(Data2023[[#This Row],[Number of members]]&lt;100, "B. 50 - 100", IF(Data2023[[#This Row],[Number of members]]&lt;400, "C. 100 - 400", IF(Data2023[[#This Row],[Number of members]]&lt;1000,"D. 400 - 1000", "E. 1000 +")))))</f>
        <v>E. 1000 +</v>
      </c>
      <c r="J69">
        <f>IF(ISBLANK(General2023[[#This Row],[number_of_international_members_not_eea]]),"N/A",VLOOKUP(A69,General2023[[organisation_name]:[number_of_international_committee_board_members_not_eea]],9,FALSE))</f>
        <v>197</v>
      </c>
      <c r="K69">
        <f>IF(ISBLANK(General2023[[#This Row],[number_of_international_members_eea]]),"N/A",VLOOKUP(A69,General2023[[organisation_name]:[number_of_international_committee_board_members_not_eea]],8,FALSE))</f>
        <v>292</v>
      </c>
      <c r="L69">
        <f>IFERROR(IF(Data2023[[#This Row],[Number of members]]-Data2023[[#This Row],[Non-EEA Total]]-Data2023[[#This Row],[EEA total]]&lt;1,"N/A", Data2023[[#This Row],[Number of members]]-Data2023[[#This Row],[Non-EEA Total]]-Data2023[[#This Row],[EEA total]]),"N/A")</f>
        <v>1016</v>
      </c>
      <c r="M69">
        <f>VLOOKUP(A69,General2023[[organisation_name]:[number_of_international_committee_board_members_not_eea]],12,FALSE)</f>
        <v>10</v>
      </c>
      <c r="N69">
        <f>VLOOKUP(A69,General2023[[organisation_name]:[number_of_international_committee_board_members_not_eea]],11,FALSE)</f>
        <v>10</v>
      </c>
      <c r="O69">
        <f>IFERROR(IF(Data2023[[#This Row],[Number of active members]]-Data2023[[#This Row],[Non-EEA Active ]]-Data2023[[#This Row],[EEA Active]]&lt;1,"N/A", Data2023[[#This Row],[Number of active members]]-Data2023[[#This Row],[Non-EEA Active ]]-Data2023[[#This Row],[EEA Active]]),"N/A")</f>
        <v>130</v>
      </c>
      <c r="P69">
        <f>IFERROR(Data2023[[#This Row],[Non-EEA Active ]]/Data2023[[#This Row],[Number of active members]],"N/A")</f>
        <v>6.6666666666666666E-2</v>
      </c>
      <c r="Q69">
        <f>IFERROR(Data2023[[#This Row],[EEA Active]]/Data2023[[#This Row],[EEA total]], "N/A")</f>
        <v>3.4246575342465752E-2</v>
      </c>
      <c r="R69">
        <f>IFERROR(Data2023[[#This Row],[Dutch Active]]/Data2023[[#This Row],[Dutch total]],"N/A")</f>
        <v>0.12795275590551181</v>
      </c>
      <c r="S69" t="str">
        <f>IFERROR(IF(Data2023[[#This Row],[Number of members]]=Data2023[[#This Row],[Non-EEA Total]]+Data2023[[#This Row],[EEA total]]+Data2023[[#This Row],[Dutch total]],"T","F"),"F")</f>
        <v>T</v>
      </c>
      <c r="T69" t="str">
        <f>IFERROR(IF(Data2023[[#This Row],[Number of active members]]=Data2023[[#This Row],[Non-EEA Active ]]+Data2023[[#This Row],[EEA Active]]+Data2023[[#This Row],[Dutch Active]],"T","F"),"F")</f>
        <v>T</v>
      </c>
      <c r="U69" t="str">
        <f>IFERROR(IF(Data2023[[#This Row],[Number of members]]-Data2023[[#This Row],[Non-EEA Active ]]-Data2023[[#This Row],[EEA Active]]-Data2023[[#This Row],[Dutch Active]]=Data2023[[#This Row],[Number of  inactive members]],"T","F"),"F")</f>
        <v>T</v>
      </c>
      <c r="V69" t="str">
        <f>IF(Data2023[[#This Row],[EEA Active]]&lt;=Data2023[[#This Row],[EEA total]],"T","F")</f>
        <v>T</v>
      </c>
      <c r="W69" t="str">
        <f>IF(Data2023[[#This Row],[Dutch Active]]&lt;=Data2023[[#This Row],[Dutch total]],"T","F")</f>
        <v>T</v>
      </c>
      <c r="X69" t="str">
        <f>IF(Data2023[[#This Row],[Non-EEA Active ]]&lt;=Data2023[[#This Row],[Non-EEA Total]],"T","F")</f>
        <v>T</v>
      </c>
      <c r="Y6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69">
        <f>IFERROR(VLOOKUP(Data2023[[#This Row],[organisation_name]],'Division Study Year Committees'!$A$1:$L$108,2,FALSE),"N/A")</f>
        <v>13</v>
      </c>
      <c r="AA69">
        <f>IFERROR(VLOOKUP(Data2023[[#This Row],[organisation_name]],'Division Study Year Committees'!$A$1:$L$108,3,FALSE),"N/A")</f>
        <v>59</v>
      </c>
      <c r="AB69">
        <f>IFERROR(VLOOKUP(Data2023[[#This Row],[organisation_name]],'Division Study Year Committees'!$A$1:$L$108,4,FALSE),"N/A")</f>
        <v>47</v>
      </c>
      <c r="AC69">
        <f>IFERROR(VLOOKUP(Data2023[[#This Row],[organisation_name]],'Division Study Year Committees'!$A$1:$L$108,5,FALSE), "N/A")</f>
        <v>38</v>
      </c>
      <c r="AD69">
        <f>IFERROR(VLOOKUP(Data2023[[#This Row],[organisation_name]],'Division Study Year Committees'!$A$1:$L$108,6,FALSE), "N/A")</f>
        <v>33</v>
      </c>
      <c r="AE69">
        <f>SUM(Data2023[[#This Row],[Number of first year comittee members]:[Number of 4+ year comittee members]])</f>
        <v>190</v>
      </c>
      <c r="AF69">
        <f>COUNTIF('Committee2022'!D:D,Data2023[[#This Row],[organisation_name]])</f>
        <v>28</v>
      </c>
      <c r="AG69">
        <v>2023</v>
      </c>
    </row>
    <row r="70" spans="1:33" x14ac:dyDescent="0.3">
      <c r="A70" t="str">
        <f>General2023[[#This Row],[organisation_name]]</f>
        <v>Komma</v>
      </c>
      <c r="B70" t="str">
        <f>IF(General2023[[#This Row],[sector]]= "",VLOOKUP(Data2023[[#This Row],[organisation_name]],'Response Rate sheet'!A:D,3,FALSE),General2023[[#This Row],[sector]])</f>
        <v>Study</v>
      </c>
      <c r="C70" t="str">
        <f>General2023[[#This Row],[organisation_type]]</f>
        <v>association</v>
      </c>
      <c r="D70">
        <f>IF(ISBLANK(General2023[[#This Row],[number_of_members]]),"N/A",VLOOKUP(A70,General2023[[organisation_name]:[number_of_international_committee_board_members_not_eea]],6,FALSE))</f>
        <v>298</v>
      </c>
      <c r="E70">
        <f>IF(ISBLANK(General2023[[#This Row],[number_of_committee_board_members]]),"N/A",VLOOKUP(A70,General2023!B:M,10,FALSE))</f>
        <v>4</v>
      </c>
      <c r="F70">
        <f>IFERROR(Data2023[[#This Row],[Number of members]]-Data2023[[#This Row],[Number of active members]], "N/A")</f>
        <v>294</v>
      </c>
      <c r="G70">
        <f>IFERROR(Data2023[[#This Row],[Number of active members]]/Data2023[[#This Row],[Number of members]], "N/A")</f>
        <v>1.3422818791946308E-2</v>
      </c>
      <c r="H70">
        <f>IFERROR(1-Data2023[[#This Row],[Percentage active members]],"N/A")</f>
        <v>0.98657718120805371</v>
      </c>
      <c r="I70" t="str">
        <f>IF(Data2023[[#This Row],[Number of members]]=0,"N/A",IF(Data2023[[#This Row],[Number of members]]&lt;50," A. 1 - 50 ",IF(Data2023[[#This Row],[Number of members]]&lt;100, "B. 50 - 100", IF(Data2023[[#This Row],[Number of members]]&lt;400, "C. 100 - 400", IF(Data2023[[#This Row],[Number of members]]&lt;1000,"D. 400 - 1000", "E. 1000 +")))))</f>
        <v>C. 100 - 400</v>
      </c>
      <c r="J70">
        <f>IF(ISBLANK(General2023[[#This Row],[number_of_international_members_not_eea]]),"N/A",VLOOKUP(A70,General2023[[organisation_name]:[number_of_international_committee_board_members_not_eea]],9,FALSE))</f>
        <v>11</v>
      </c>
      <c r="K70">
        <f>IF(ISBLANK(General2023[[#This Row],[number_of_international_members_eea]]),"N/A",VLOOKUP(A70,General2023[[organisation_name]:[number_of_international_committee_board_members_not_eea]],8,FALSE))</f>
        <v>65</v>
      </c>
      <c r="L70">
        <f>IFERROR(IF(Data2023[[#This Row],[Number of members]]-Data2023[[#This Row],[Non-EEA Total]]-Data2023[[#This Row],[EEA total]]&lt;1,"N/A", Data2023[[#This Row],[Number of members]]-Data2023[[#This Row],[Non-EEA Total]]-Data2023[[#This Row],[EEA total]]),"N/A")</f>
        <v>222</v>
      </c>
      <c r="M70">
        <f>VLOOKUP(A70,General2023[[organisation_name]:[number_of_international_committee_board_members_not_eea]],12,FALSE)</f>
        <v>4</v>
      </c>
      <c r="N70">
        <f>VLOOKUP(A70,General2023[[organisation_name]:[number_of_international_committee_board_members_not_eea]],11,FALSE)</f>
        <v>5</v>
      </c>
      <c r="O70" t="str">
        <f>IFERROR(IF(Data2023[[#This Row],[Number of active members]]-Data2023[[#This Row],[Non-EEA Active ]]-Data2023[[#This Row],[EEA Active]]&lt;1,"N/A", Data2023[[#This Row],[Number of active members]]-Data2023[[#This Row],[Non-EEA Active ]]-Data2023[[#This Row],[EEA Active]]),"N/A")</f>
        <v>N/A</v>
      </c>
      <c r="P70">
        <f>IFERROR(Data2023[[#This Row],[Non-EEA Active ]]/Data2023[[#This Row],[Number of active members]],"N/A")</f>
        <v>1</v>
      </c>
      <c r="Q70">
        <f>IFERROR(Data2023[[#This Row],[EEA Active]]/Data2023[[#This Row],[EEA total]], "N/A")</f>
        <v>7.6923076923076927E-2</v>
      </c>
      <c r="R70" t="str">
        <f>IFERROR(Data2023[[#This Row],[Dutch Active]]/Data2023[[#This Row],[Dutch total]],"N/A")</f>
        <v>N/A</v>
      </c>
      <c r="S70" t="str">
        <f>IFERROR(IF(Data2023[[#This Row],[Number of members]]=Data2023[[#This Row],[Non-EEA Total]]+Data2023[[#This Row],[EEA total]]+Data2023[[#This Row],[Dutch total]],"T","F"),"F")</f>
        <v>T</v>
      </c>
      <c r="T70" t="str">
        <f>IFERROR(IF(Data2023[[#This Row],[Number of active members]]=Data2023[[#This Row],[Non-EEA Active ]]+Data2023[[#This Row],[EEA Active]]+Data2023[[#This Row],[Dutch Active]],"T","F"),"F")</f>
        <v>F</v>
      </c>
      <c r="U70" t="str">
        <f>IFERROR(IF(Data2023[[#This Row],[Number of members]]-Data2023[[#This Row],[Non-EEA Active ]]-Data2023[[#This Row],[EEA Active]]-Data2023[[#This Row],[Dutch Active]]=Data2023[[#This Row],[Number of  inactive members]],"T","F"),"F")</f>
        <v>F</v>
      </c>
      <c r="V70" t="str">
        <f>IF(Data2023[[#This Row],[EEA Active]]&lt;=Data2023[[#This Row],[EEA total]],"T","F")</f>
        <v>T</v>
      </c>
      <c r="W70" t="str">
        <f>IF(Data2023[[#This Row],[Dutch Active]]&lt;=Data2023[[#This Row],[Dutch total]],"T","F")</f>
        <v>F</v>
      </c>
      <c r="X70" t="str">
        <f>IF(Data2023[[#This Row],[Non-EEA Active ]]&lt;=Data2023[[#This Row],[Non-EEA Total]],"T","F")</f>
        <v>T</v>
      </c>
      <c r="Y7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0">
        <f>IFERROR(VLOOKUP(Data2023[[#This Row],[organisation_name]],'Division Study Year Committees'!$A$1:$L$108,2,FALSE),"N/A")</f>
        <v>0</v>
      </c>
      <c r="AA70">
        <f>IFERROR(VLOOKUP(Data2023[[#This Row],[organisation_name]],'Division Study Year Committees'!$A$1:$L$108,3,FALSE),"N/A")</f>
        <v>0</v>
      </c>
      <c r="AB70">
        <f>IFERROR(VLOOKUP(Data2023[[#This Row],[organisation_name]],'Division Study Year Committees'!$A$1:$L$108,4,FALSE),"N/A")</f>
        <v>0</v>
      </c>
      <c r="AC70">
        <f>IFERROR(VLOOKUP(Data2023[[#This Row],[organisation_name]],'Division Study Year Committees'!$A$1:$L$108,5,FALSE), "N/A")</f>
        <v>4</v>
      </c>
      <c r="AD70">
        <f>IFERROR(VLOOKUP(Data2023[[#This Row],[organisation_name]],'Division Study Year Committees'!$A$1:$L$108,6,FALSE), "N/A")</f>
        <v>0</v>
      </c>
      <c r="AE70">
        <f>SUM(Data2023[[#This Row],[Number of first year comittee members]:[Number of 4+ year comittee members]])</f>
        <v>4</v>
      </c>
      <c r="AF70">
        <f>COUNTIF('Committee2022'!D:D,Data2023[[#This Row],[organisation_name]])</f>
        <v>0</v>
      </c>
      <c r="AG70">
        <v>2023</v>
      </c>
    </row>
    <row r="71" spans="1:33" x14ac:dyDescent="0.3">
      <c r="A71" t="str">
        <f>General2023[[#This Row],[organisation_name]]</f>
        <v>Paradoks</v>
      </c>
      <c r="B71" t="str">
        <f>IF(General2023[[#This Row],[sector]]= "",VLOOKUP(Data2023[[#This Row],[organisation_name]],'Response Rate sheet'!A:D,3,FALSE),General2023[[#This Row],[sector]])</f>
        <v>Study</v>
      </c>
      <c r="C71" t="str">
        <f>General2023[[#This Row],[organisation_type]]</f>
        <v>association</v>
      </c>
      <c r="D71" t="str">
        <f>IF(ISBLANK(General2023[[#This Row],[number_of_members]]),"N/A",VLOOKUP(A71,General2023[[organisation_name]:[number_of_international_committee_board_members_not_eea]],6,FALSE))</f>
        <v>N/A</v>
      </c>
      <c r="E71" t="str">
        <f>IF(ISBLANK(General2023[[#This Row],[number_of_committee_board_members]]),"N/A",VLOOKUP(A71,General2023!B:M,10,FALSE))</f>
        <v>N/A</v>
      </c>
      <c r="F71" t="str">
        <f>IFERROR(Data2023[[#This Row],[Number of members]]-Data2023[[#This Row],[Number of active members]], "N/A")</f>
        <v>N/A</v>
      </c>
      <c r="G71" t="str">
        <f>IFERROR(Data2023[[#This Row],[Number of active members]]/Data2023[[#This Row],[Number of members]], "N/A")</f>
        <v>N/A</v>
      </c>
      <c r="H71" t="str">
        <f>IFERROR(1-Data2023[[#This Row],[Percentage active members]],"N/A")</f>
        <v>N/A</v>
      </c>
      <c r="I71" t="str">
        <f>IF(Data2023[[#This Row],[Number of members]]=0,"N/A",IF(Data2023[[#This Row],[Number of members]]&lt;50," A. 1 - 50 ",IF(Data2023[[#This Row],[Number of members]]&lt;100, "B. 50 - 100", IF(Data2023[[#This Row],[Number of members]]&lt;400, "C. 100 - 400", IF(Data2023[[#This Row],[Number of members]]&lt;1000,"D. 400 - 1000", "E. 1000 +")))))</f>
        <v>E. 1000 +</v>
      </c>
      <c r="J71" t="str">
        <f>IF(ISBLANK(General2023[[#This Row],[number_of_international_members_not_eea]]),"N/A",VLOOKUP(A71,General2023[[organisation_name]:[number_of_international_committee_board_members_not_eea]],9,FALSE))</f>
        <v>N/A</v>
      </c>
      <c r="K71" t="str">
        <f>IF(ISBLANK(General2023[[#This Row],[number_of_international_members_eea]]),"N/A",VLOOKUP(A71,General2023[[organisation_name]:[number_of_international_committee_board_members_not_eea]],8,FALSE))</f>
        <v>N/A</v>
      </c>
      <c r="L71" t="str">
        <f>IFERROR(IF(Data2023[[#This Row],[Number of members]]-Data2023[[#This Row],[Non-EEA Total]]-Data2023[[#This Row],[EEA total]]&lt;1,"N/A", Data2023[[#This Row],[Number of members]]-Data2023[[#This Row],[Non-EEA Total]]-Data2023[[#This Row],[EEA total]]),"N/A")</f>
        <v>N/A</v>
      </c>
      <c r="M71">
        <f>VLOOKUP(A71,General2023[[organisation_name]:[number_of_international_committee_board_members_not_eea]],12,FALSE)</f>
        <v>0</v>
      </c>
      <c r="N71">
        <f>VLOOKUP(A71,General2023[[organisation_name]:[number_of_international_committee_board_members_not_eea]],11,FALSE)</f>
        <v>0</v>
      </c>
      <c r="O71" t="str">
        <f>IFERROR(IF(Data2023[[#This Row],[Number of active members]]-Data2023[[#This Row],[Non-EEA Active ]]-Data2023[[#This Row],[EEA Active]]&lt;1,"N/A", Data2023[[#This Row],[Number of active members]]-Data2023[[#This Row],[Non-EEA Active ]]-Data2023[[#This Row],[EEA Active]]),"N/A")</f>
        <v>N/A</v>
      </c>
      <c r="P71" t="str">
        <f>IFERROR(Data2023[[#This Row],[Non-EEA Active ]]/Data2023[[#This Row],[Number of active members]],"N/A")</f>
        <v>N/A</v>
      </c>
      <c r="Q71" t="str">
        <f>IFERROR(Data2023[[#This Row],[EEA Active]]/Data2023[[#This Row],[EEA total]], "N/A")</f>
        <v>N/A</v>
      </c>
      <c r="R71" t="str">
        <f>IFERROR(Data2023[[#This Row],[Dutch Active]]/Data2023[[#This Row],[Dutch total]],"N/A")</f>
        <v>N/A</v>
      </c>
      <c r="S71" t="str">
        <f>IFERROR(IF(Data2023[[#This Row],[Number of members]]=Data2023[[#This Row],[Non-EEA Total]]+Data2023[[#This Row],[EEA total]]+Data2023[[#This Row],[Dutch total]],"T","F"),"F")</f>
        <v>F</v>
      </c>
      <c r="T71" t="str">
        <f>IFERROR(IF(Data2023[[#This Row],[Number of active members]]=Data2023[[#This Row],[Non-EEA Active ]]+Data2023[[#This Row],[EEA Active]]+Data2023[[#This Row],[Dutch Active]],"T","F"),"F")</f>
        <v>F</v>
      </c>
      <c r="U71" t="str">
        <f>IFERROR(IF(Data2023[[#This Row],[Number of members]]-Data2023[[#This Row],[Non-EEA Active ]]-Data2023[[#This Row],[EEA Active]]-Data2023[[#This Row],[Dutch Active]]=Data2023[[#This Row],[Number of  inactive members]],"T","F"),"F")</f>
        <v>F</v>
      </c>
      <c r="V71" t="str">
        <f>IF(Data2023[[#This Row],[EEA Active]]&lt;=Data2023[[#This Row],[EEA total]],"T","F")</f>
        <v>T</v>
      </c>
      <c r="W71" t="str">
        <f>IF(Data2023[[#This Row],[Dutch Active]]&lt;=Data2023[[#This Row],[Dutch total]],"T","F")</f>
        <v>T</v>
      </c>
      <c r="X71" t="str">
        <f>IF(Data2023[[#This Row],[Non-EEA Active ]]&lt;=Data2023[[#This Row],[Non-EEA Total]],"T","F")</f>
        <v>T</v>
      </c>
      <c r="Y7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1" t="str">
        <f>IFERROR(VLOOKUP(Data2023[[#This Row],[organisation_name]],'Division Study Year Committees'!$A$1:$L$108,2,FALSE),"N/A")</f>
        <v>N/A</v>
      </c>
      <c r="AA71" t="str">
        <f>IFERROR(VLOOKUP(Data2023[[#This Row],[organisation_name]],'Division Study Year Committees'!$A$1:$L$108,3,FALSE),"N/A")</f>
        <v>N/A</v>
      </c>
      <c r="AB71" t="str">
        <f>IFERROR(VLOOKUP(Data2023[[#This Row],[organisation_name]],'Division Study Year Committees'!$A$1:$L$108,4,FALSE),"N/A")</f>
        <v>N/A</v>
      </c>
      <c r="AC71" t="str">
        <f>IFERROR(VLOOKUP(Data2023[[#This Row],[organisation_name]],'Division Study Year Committees'!$A$1:$L$108,5,FALSE), "N/A")</f>
        <v>N/A</v>
      </c>
      <c r="AD71" t="str">
        <f>IFERROR(VLOOKUP(Data2023[[#This Row],[organisation_name]],'Division Study Year Committees'!$A$1:$L$108,6,FALSE), "N/A")</f>
        <v>N/A</v>
      </c>
      <c r="AE71">
        <f>SUM(Data2023[[#This Row],[Number of first year comittee members]:[Number of 4+ year comittee members]])</f>
        <v>0</v>
      </c>
      <c r="AF71">
        <f>COUNTIF('Committee2022'!D:D,Data2023[[#This Row],[organisation_name]])</f>
        <v>0</v>
      </c>
      <c r="AG71">
        <v>2023</v>
      </c>
    </row>
    <row r="72" spans="1:33" x14ac:dyDescent="0.3">
      <c r="A72" t="str">
        <f>General2023[[#This Row],[organisation_name]]</f>
        <v>Proto</v>
      </c>
      <c r="B72" t="str">
        <f>IF(General2023[[#This Row],[sector]]= "",VLOOKUP(Data2023[[#This Row],[organisation_name]],'Response Rate sheet'!A:D,3,FALSE),General2023[[#This Row],[sector]])</f>
        <v>Study</v>
      </c>
      <c r="C72" t="str">
        <f>General2023[[#This Row],[organisation_type]]</f>
        <v>association</v>
      </c>
      <c r="D72">
        <f>IF(ISBLANK(General2023[[#This Row],[number_of_members]]),"N/A",VLOOKUP(A72,General2023[[organisation_name]:[number_of_international_committee_board_members_not_eea]],6,FALSE))</f>
        <v>455</v>
      </c>
      <c r="E72">
        <f>IF(ISBLANK(General2023[[#This Row],[number_of_committee_board_members]]),"N/A",VLOOKUP(A72,General2023!B:M,10,FALSE))</f>
        <v>50</v>
      </c>
      <c r="F72">
        <f>IFERROR(Data2023[[#This Row],[Number of members]]-Data2023[[#This Row],[Number of active members]], "N/A")</f>
        <v>405</v>
      </c>
      <c r="G72">
        <f>IFERROR(Data2023[[#This Row],[Number of active members]]/Data2023[[#This Row],[Number of members]], "N/A")</f>
        <v>0.10989010989010989</v>
      </c>
      <c r="H72">
        <f>IFERROR(1-Data2023[[#This Row],[Percentage active members]],"N/A")</f>
        <v>0.89010989010989006</v>
      </c>
      <c r="I72" t="str">
        <f>IF(Data2023[[#This Row],[Number of members]]=0,"N/A",IF(Data2023[[#This Row],[Number of members]]&lt;50," A. 1 - 50 ",IF(Data2023[[#This Row],[Number of members]]&lt;100, "B. 50 - 100", IF(Data2023[[#This Row],[Number of members]]&lt;400, "C. 100 - 400", IF(Data2023[[#This Row],[Number of members]]&lt;1000,"D. 400 - 1000", "E. 1000 +")))))</f>
        <v>D. 400 - 1000</v>
      </c>
      <c r="J72">
        <f>IF(ISBLANK(General2023[[#This Row],[number_of_international_members_not_eea]]),"N/A",VLOOKUP(A72,General2023[[organisation_name]:[number_of_international_committee_board_members_not_eea]],9,FALSE))</f>
        <v>128</v>
      </c>
      <c r="K72">
        <f>IF(ISBLANK(General2023[[#This Row],[number_of_international_members_eea]]),"N/A",VLOOKUP(A72,General2023[[organisation_name]:[number_of_international_committee_board_members_not_eea]],8,FALSE))</f>
        <v>25</v>
      </c>
      <c r="L72">
        <f>IFERROR(IF(Data2023[[#This Row],[Number of members]]-Data2023[[#This Row],[Non-EEA Total]]-Data2023[[#This Row],[EEA total]]&lt;1,"N/A", Data2023[[#This Row],[Number of members]]-Data2023[[#This Row],[Non-EEA Total]]-Data2023[[#This Row],[EEA total]]),"N/A")</f>
        <v>302</v>
      </c>
      <c r="M72">
        <f>VLOOKUP(A72,General2023[[organisation_name]:[number_of_international_committee_board_members_not_eea]],12,FALSE)</f>
        <v>2</v>
      </c>
      <c r="N72">
        <f>VLOOKUP(A72,General2023[[organisation_name]:[number_of_international_committee_board_members_not_eea]],11,FALSE)</f>
        <v>13</v>
      </c>
      <c r="O72">
        <f>IFERROR(IF(Data2023[[#This Row],[Number of active members]]-Data2023[[#This Row],[Non-EEA Active ]]-Data2023[[#This Row],[EEA Active]]&lt;1,"N/A", Data2023[[#This Row],[Number of active members]]-Data2023[[#This Row],[Non-EEA Active ]]-Data2023[[#This Row],[EEA Active]]),"N/A")</f>
        <v>35</v>
      </c>
      <c r="P72">
        <f>IFERROR(Data2023[[#This Row],[Non-EEA Active ]]/Data2023[[#This Row],[Number of active members]],"N/A")</f>
        <v>0.04</v>
      </c>
      <c r="Q72">
        <f>IFERROR(Data2023[[#This Row],[EEA Active]]/Data2023[[#This Row],[EEA total]], "N/A")</f>
        <v>0.52</v>
      </c>
      <c r="R72">
        <f>IFERROR(Data2023[[#This Row],[Dutch Active]]/Data2023[[#This Row],[Dutch total]],"N/A")</f>
        <v>0.11589403973509933</v>
      </c>
      <c r="S72" t="str">
        <f>IFERROR(IF(Data2023[[#This Row],[Number of members]]=Data2023[[#This Row],[Non-EEA Total]]+Data2023[[#This Row],[EEA total]]+Data2023[[#This Row],[Dutch total]],"T","F"),"F")</f>
        <v>T</v>
      </c>
      <c r="T72" t="str">
        <f>IFERROR(IF(Data2023[[#This Row],[Number of active members]]=Data2023[[#This Row],[Non-EEA Active ]]+Data2023[[#This Row],[EEA Active]]+Data2023[[#This Row],[Dutch Active]],"T","F"),"F")</f>
        <v>T</v>
      </c>
      <c r="U72" t="str">
        <f>IFERROR(IF(Data2023[[#This Row],[Number of members]]-Data2023[[#This Row],[Non-EEA Active ]]-Data2023[[#This Row],[EEA Active]]-Data2023[[#This Row],[Dutch Active]]=Data2023[[#This Row],[Number of  inactive members]],"T","F"),"F")</f>
        <v>T</v>
      </c>
      <c r="V72" t="str">
        <f>IF(Data2023[[#This Row],[EEA Active]]&lt;=Data2023[[#This Row],[EEA total]],"T","F")</f>
        <v>T</v>
      </c>
      <c r="W72" t="str">
        <f>IF(Data2023[[#This Row],[Dutch Active]]&lt;=Data2023[[#This Row],[Dutch total]],"T","F")</f>
        <v>T</v>
      </c>
      <c r="X72" t="str">
        <f>IF(Data2023[[#This Row],[Non-EEA Active ]]&lt;=Data2023[[#This Row],[Non-EEA Total]],"T","F")</f>
        <v>T</v>
      </c>
      <c r="Y7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72">
        <f>IFERROR(VLOOKUP(Data2023[[#This Row],[organisation_name]],'Division Study Year Committees'!$A$1:$L$108,2,FALSE),"N/A")</f>
        <v>16</v>
      </c>
      <c r="AA72">
        <f>IFERROR(VLOOKUP(Data2023[[#This Row],[organisation_name]],'Division Study Year Committees'!$A$1:$L$108,3,FALSE),"N/A")</f>
        <v>62</v>
      </c>
      <c r="AB72">
        <f>IFERROR(VLOOKUP(Data2023[[#This Row],[organisation_name]],'Division Study Year Committees'!$A$1:$L$108,4,FALSE),"N/A")</f>
        <v>67</v>
      </c>
      <c r="AC72">
        <f>IFERROR(VLOOKUP(Data2023[[#This Row],[organisation_name]],'Division Study Year Committees'!$A$1:$L$108,5,FALSE), "N/A")</f>
        <v>47</v>
      </c>
      <c r="AD72">
        <f>IFERROR(VLOOKUP(Data2023[[#This Row],[organisation_name]],'Division Study Year Committees'!$A$1:$L$108,6,FALSE), "N/A")</f>
        <v>45</v>
      </c>
      <c r="AE72">
        <f>SUM(Data2023[[#This Row],[Number of first year comittee members]:[Number of 4+ year comittee members]])</f>
        <v>237</v>
      </c>
      <c r="AF72">
        <f>COUNTIF('Committee2022'!D:D,Data2023[[#This Row],[organisation_name]])</f>
        <v>36</v>
      </c>
      <c r="AG72">
        <v>2023</v>
      </c>
    </row>
    <row r="73" spans="1:33" x14ac:dyDescent="0.3">
      <c r="A73" t="str">
        <f>General2023[[#This Row],[organisation_name]]</f>
        <v>Scintilla</v>
      </c>
      <c r="B73" t="str">
        <f>IF(General2023[[#This Row],[sector]]= "",VLOOKUP(Data2023[[#This Row],[organisation_name]],'Response Rate sheet'!A:D,3,FALSE),General2023[[#This Row],[sector]])</f>
        <v>Study</v>
      </c>
      <c r="C73" t="str">
        <f>General2023[[#This Row],[organisation_type]]</f>
        <v>association</v>
      </c>
      <c r="D73">
        <f>IF(ISBLANK(General2023[[#This Row],[number_of_members]]),"N/A",VLOOKUP(A73,General2023[[organisation_name]:[number_of_international_committee_board_members_not_eea]],6,FALSE))</f>
        <v>600</v>
      </c>
      <c r="E73">
        <f>IF(ISBLANK(General2023[[#This Row],[number_of_committee_board_members]]),"N/A",VLOOKUP(A73,General2023!B:M,10,FALSE))</f>
        <v>0</v>
      </c>
      <c r="F73">
        <f>IFERROR(Data2023[[#This Row],[Number of members]]-Data2023[[#This Row],[Number of active members]], "N/A")</f>
        <v>600</v>
      </c>
      <c r="G73">
        <f>IFERROR(Data2023[[#This Row],[Number of active members]]/Data2023[[#This Row],[Number of members]], "N/A")</f>
        <v>0</v>
      </c>
      <c r="H73">
        <f>IFERROR(1-Data2023[[#This Row],[Percentage active members]],"N/A")</f>
        <v>1</v>
      </c>
      <c r="I73" t="str">
        <f>IF(Data2023[[#This Row],[Number of members]]=0,"N/A",IF(Data2023[[#This Row],[Number of members]]&lt;50," A. 1 - 50 ",IF(Data2023[[#This Row],[Number of members]]&lt;100, "B. 50 - 100", IF(Data2023[[#This Row],[Number of members]]&lt;400, "C. 100 - 400", IF(Data2023[[#This Row],[Number of members]]&lt;1000,"D. 400 - 1000", "E. 1000 +")))))</f>
        <v>D. 400 - 1000</v>
      </c>
      <c r="J73">
        <f>IF(ISBLANK(General2023[[#This Row],[number_of_international_members_not_eea]]),"N/A",VLOOKUP(A73,General2023[[organisation_name]:[number_of_international_committee_board_members_not_eea]],9,FALSE))</f>
        <v>149</v>
      </c>
      <c r="K73">
        <f>IF(ISBLANK(General2023[[#This Row],[number_of_international_members_eea]]),"N/A",VLOOKUP(A73,General2023[[organisation_name]:[number_of_international_committee_board_members_not_eea]],8,FALSE))</f>
        <v>15</v>
      </c>
      <c r="L73">
        <f>IFERROR(IF(Data2023[[#This Row],[Number of members]]-Data2023[[#This Row],[Non-EEA Total]]-Data2023[[#This Row],[EEA total]]&lt;1,"N/A", Data2023[[#This Row],[Number of members]]-Data2023[[#This Row],[Non-EEA Total]]-Data2023[[#This Row],[EEA total]]),"N/A")</f>
        <v>436</v>
      </c>
      <c r="M73">
        <f>VLOOKUP(A73,General2023[[organisation_name]:[number_of_international_committee_board_members_not_eea]],12,FALSE)</f>
        <v>2</v>
      </c>
      <c r="N73">
        <f>VLOOKUP(A73,General2023[[organisation_name]:[number_of_international_committee_board_members_not_eea]],11,FALSE)</f>
        <v>10</v>
      </c>
      <c r="O73" t="str">
        <f>IFERROR(IF(Data2023[[#This Row],[Number of active members]]-Data2023[[#This Row],[Non-EEA Active ]]-Data2023[[#This Row],[EEA Active]]&lt;1,"N/A", Data2023[[#This Row],[Number of active members]]-Data2023[[#This Row],[Non-EEA Active ]]-Data2023[[#This Row],[EEA Active]]),"N/A")</f>
        <v>N/A</v>
      </c>
      <c r="P73" t="str">
        <f>IFERROR(Data2023[[#This Row],[Non-EEA Active ]]/Data2023[[#This Row],[Number of active members]],"N/A")</f>
        <v>N/A</v>
      </c>
      <c r="Q73">
        <f>IFERROR(Data2023[[#This Row],[EEA Active]]/Data2023[[#This Row],[EEA total]], "N/A")</f>
        <v>0.66666666666666663</v>
      </c>
      <c r="R73" t="str">
        <f>IFERROR(Data2023[[#This Row],[Dutch Active]]/Data2023[[#This Row],[Dutch total]],"N/A")</f>
        <v>N/A</v>
      </c>
      <c r="S73" t="str">
        <f>IFERROR(IF(Data2023[[#This Row],[Number of members]]=Data2023[[#This Row],[Non-EEA Total]]+Data2023[[#This Row],[EEA total]]+Data2023[[#This Row],[Dutch total]],"T","F"),"F")</f>
        <v>T</v>
      </c>
      <c r="T73" t="str">
        <f>IFERROR(IF(Data2023[[#This Row],[Number of active members]]=Data2023[[#This Row],[Non-EEA Active ]]+Data2023[[#This Row],[EEA Active]]+Data2023[[#This Row],[Dutch Active]],"T","F"),"F")</f>
        <v>F</v>
      </c>
      <c r="U73" t="str">
        <f>IFERROR(IF(Data2023[[#This Row],[Number of members]]-Data2023[[#This Row],[Non-EEA Active ]]-Data2023[[#This Row],[EEA Active]]-Data2023[[#This Row],[Dutch Active]]=Data2023[[#This Row],[Number of  inactive members]],"T","F"),"F")</f>
        <v>F</v>
      </c>
      <c r="V73" t="str">
        <f>IF(Data2023[[#This Row],[EEA Active]]&lt;=Data2023[[#This Row],[EEA total]],"T","F")</f>
        <v>T</v>
      </c>
      <c r="W73" t="str">
        <f>IF(Data2023[[#This Row],[Dutch Active]]&lt;=Data2023[[#This Row],[Dutch total]],"T","F")</f>
        <v>F</v>
      </c>
      <c r="X73" t="str">
        <f>IF(Data2023[[#This Row],[Non-EEA Active ]]&lt;=Data2023[[#This Row],[Non-EEA Total]],"T","F")</f>
        <v>T</v>
      </c>
      <c r="Y7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3">
        <f>IFERROR(VLOOKUP(Data2023[[#This Row],[organisation_name]],'Division Study Year Committees'!$A$1:$L$108,2,FALSE),"N/A")</f>
        <v>14</v>
      </c>
      <c r="AA73">
        <f>IFERROR(VLOOKUP(Data2023[[#This Row],[organisation_name]],'Division Study Year Committees'!$A$1:$L$108,3,FALSE),"N/A")</f>
        <v>14</v>
      </c>
      <c r="AB73">
        <f>IFERROR(VLOOKUP(Data2023[[#This Row],[organisation_name]],'Division Study Year Committees'!$A$1:$L$108,4,FALSE),"N/A")</f>
        <v>63</v>
      </c>
      <c r="AC73">
        <f>IFERROR(VLOOKUP(Data2023[[#This Row],[organisation_name]],'Division Study Year Committees'!$A$1:$L$108,5,FALSE), "N/A")</f>
        <v>63</v>
      </c>
      <c r="AD73">
        <f>IFERROR(VLOOKUP(Data2023[[#This Row],[organisation_name]],'Division Study Year Committees'!$A$1:$L$108,6,FALSE), "N/A")</f>
        <v>60</v>
      </c>
      <c r="AE73">
        <f>SUM(Data2023[[#This Row],[Number of first year comittee members]:[Number of 4+ year comittee members]])</f>
        <v>214</v>
      </c>
      <c r="AF73">
        <f>COUNTIF('Committee2022'!D:D,Data2023[[#This Row],[organisation_name]])</f>
        <v>27</v>
      </c>
      <c r="AG73">
        <v>2023</v>
      </c>
    </row>
    <row r="74" spans="1:33" x14ac:dyDescent="0.3">
      <c r="A74" t="str">
        <f>General2023[[#This Row],[organisation_name]]</f>
        <v>Sirius</v>
      </c>
      <c r="B74" t="str">
        <f>IF(General2023[[#This Row],[sector]]= "",VLOOKUP(Data2023[[#This Row],[organisation_name]],'Response Rate sheet'!A:D,3,FALSE),General2023[[#This Row],[sector]])</f>
        <v>Study</v>
      </c>
      <c r="C74" t="str">
        <f>General2023[[#This Row],[organisation_type]]</f>
        <v>association</v>
      </c>
      <c r="D74">
        <f>IF(ISBLANK(General2023[[#This Row],[number_of_members]]),"N/A",VLOOKUP(A74,General2023[[organisation_name]:[number_of_international_committee_board_members_not_eea]],6,FALSE))</f>
        <v>820</v>
      </c>
      <c r="E74">
        <f>IF(ISBLANK(General2023[[#This Row],[number_of_committee_board_members]]),"N/A",VLOOKUP(A74,General2023!B:M,10,FALSE))</f>
        <v>15</v>
      </c>
      <c r="F74">
        <f>IFERROR(Data2023[[#This Row],[Number of members]]-Data2023[[#This Row],[Number of active members]], "N/A")</f>
        <v>805</v>
      </c>
      <c r="G74">
        <f>IFERROR(Data2023[[#This Row],[Number of active members]]/Data2023[[#This Row],[Number of members]], "N/A")</f>
        <v>1.8292682926829267E-2</v>
      </c>
      <c r="H74">
        <f>IFERROR(1-Data2023[[#This Row],[Percentage active members]],"N/A")</f>
        <v>0.98170731707317072</v>
      </c>
      <c r="I74" t="str">
        <f>IF(Data2023[[#This Row],[Number of members]]=0,"N/A",IF(Data2023[[#This Row],[Number of members]]&lt;50," A. 1 - 50 ",IF(Data2023[[#This Row],[Number of members]]&lt;100, "B. 50 - 100", IF(Data2023[[#This Row],[Number of members]]&lt;400, "C. 100 - 400", IF(Data2023[[#This Row],[Number of members]]&lt;1000,"D. 400 - 1000", "E. 1000 +")))))</f>
        <v>D. 400 - 1000</v>
      </c>
      <c r="J74">
        <f>IF(ISBLANK(General2023[[#This Row],[number_of_international_members_not_eea]]),"N/A",VLOOKUP(A74,General2023[[organisation_name]:[number_of_international_committee_board_members_not_eea]],9,FALSE))</f>
        <v>77</v>
      </c>
      <c r="K74">
        <f>IF(ISBLANK(General2023[[#This Row],[number_of_international_members_eea]]),"N/A",VLOOKUP(A74,General2023[[organisation_name]:[number_of_international_committee_board_members_not_eea]],8,FALSE))</f>
        <v>5</v>
      </c>
      <c r="L74">
        <f>IFERROR(IF(Data2023[[#This Row],[Number of members]]-Data2023[[#This Row],[Non-EEA Total]]-Data2023[[#This Row],[EEA total]]&lt;1,"N/A", Data2023[[#This Row],[Number of members]]-Data2023[[#This Row],[Non-EEA Total]]-Data2023[[#This Row],[EEA total]]),"N/A")</f>
        <v>738</v>
      </c>
      <c r="M74">
        <f>VLOOKUP(A74,General2023[[organisation_name]:[number_of_international_committee_board_members_not_eea]],12,FALSE)</f>
        <v>1</v>
      </c>
      <c r="N74">
        <f>VLOOKUP(A74,General2023[[organisation_name]:[number_of_international_committee_board_members_not_eea]],11,FALSE)</f>
        <v>9</v>
      </c>
      <c r="O74">
        <f>IFERROR(IF(Data2023[[#This Row],[Number of active members]]-Data2023[[#This Row],[Non-EEA Active ]]-Data2023[[#This Row],[EEA Active]]&lt;1,"N/A", Data2023[[#This Row],[Number of active members]]-Data2023[[#This Row],[Non-EEA Active ]]-Data2023[[#This Row],[EEA Active]]),"N/A")</f>
        <v>5</v>
      </c>
      <c r="P74">
        <f>IFERROR(Data2023[[#This Row],[Non-EEA Active ]]/Data2023[[#This Row],[Number of active members]],"N/A")</f>
        <v>6.6666666666666666E-2</v>
      </c>
      <c r="Q74">
        <f>IFERROR(Data2023[[#This Row],[EEA Active]]/Data2023[[#This Row],[EEA total]], "N/A")</f>
        <v>1.8</v>
      </c>
      <c r="R74">
        <f>IFERROR(Data2023[[#This Row],[Dutch Active]]/Data2023[[#This Row],[Dutch total]],"N/A")</f>
        <v>6.7750677506775072E-3</v>
      </c>
      <c r="S74" t="str">
        <f>IFERROR(IF(Data2023[[#This Row],[Number of members]]=Data2023[[#This Row],[Non-EEA Total]]+Data2023[[#This Row],[EEA total]]+Data2023[[#This Row],[Dutch total]],"T","F"),"F")</f>
        <v>T</v>
      </c>
      <c r="T74" t="str">
        <f>IFERROR(IF(Data2023[[#This Row],[Number of active members]]=Data2023[[#This Row],[Non-EEA Active ]]+Data2023[[#This Row],[EEA Active]]+Data2023[[#This Row],[Dutch Active]],"T","F"),"F")</f>
        <v>T</v>
      </c>
      <c r="U74" t="str">
        <f>IFERROR(IF(Data2023[[#This Row],[Number of members]]-Data2023[[#This Row],[Non-EEA Active ]]-Data2023[[#This Row],[EEA Active]]-Data2023[[#This Row],[Dutch Active]]=Data2023[[#This Row],[Number of  inactive members]],"T","F"),"F")</f>
        <v>T</v>
      </c>
      <c r="V74" t="str">
        <f>IF(Data2023[[#This Row],[EEA Active]]&lt;=Data2023[[#This Row],[EEA total]],"T","F")</f>
        <v>F</v>
      </c>
      <c r="W74" t="str">
        <f>IF(Data2023[[#This Row],[Dutch Active]]&lt;=Data2023[[#This Row],[Dutch total]],"T","F")</f>
        <v>T</v>
      </c>
      <c r="X74" t="str">
        <f>IF(Data2023[[#This Row],[Non-EEA Active ]]&lt;=Data2023[[#This Row],[Non-EEA Total]],"T","F")</f>
        <v>T</v>
      </c>
      <c r="Y7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4">
        <f>IFERROR(VLOOKUP(Data2023[[#This Row],[organisation_name]],'Division Study Year Committees'!$A$1:$L$108,2,FALSE),"N/A")</f>
        <v>29</v>
      </c>
      <c r="AA74">
        <f>IFERROR(VLOOKUP(Data2023[[#This Row],[organisation_name]],'Division Study Year Committees'!$A$1:$L$108,3,FALSE),"N/A")</f>
        <v>53</v>
      </c>
      <c r="AB74">
        <f>IFERROR(VLOOKUP(Data2023[[#This Row],[organisation_name]],'Division Study Year Committees'!$A$1:$L$108,4,FALSE),"N/A")</f>
        <v>12</v>
      </c>
      <c r="AC74">
        <f>IFERROR(VLOOKUP(Data2023[[#This Row],[organisation_name]],'Division Study Year Committees'!$A$1:$L$108,5,FALSE), "N/A")</f>
        <v>15</v>
      </c>
      <c r="AD74">
        <f>IFERROR(VLOOKUP(Data2023[[#This Row],[organisation_name]],'Division Study Year Committees'!$A$1:$L$108,6,FALSE), "N/A")</f>
        <v>0</v>
      </c>
      <c r="AE74">
        <f>SUM(Data2023[[#This Row],[Number of first year comittee members]:[Number of 4+ year comittee members]])</f>
        <v>109</v>
      </c>
      <c r="AF74">
        <f>COUNTIF('Committee2022'!D:D,Data2023[[#This Row],[organisation_name]])</f>
        <v>0</v>
      </c>
      <c r="AG74">
        <v>2023</v>
      </c>
    </row>
    <row r="75" spans="1:33" x14ac:dyDescent="0.3">
      <c r="A75" t="str">
        <f>General2023[[#This Row],[organisation_name]]</f>
        <v>Stress</v>
      </c>
      <c r="B75" t="str">
        <f>IF(General2023[[#This Row],[sector]]= "",VLOOKUP(Data2023[[#This Row],[organisation_name]],'Response Rate sheet'!A:D,3,FALSE),General2023[[#This Row],[sector]])</f>
        <v>Study</v>
      </c>
      <c r="C75" t="str">
        <f>General2023[[#This Row],[organisation_type]]</f>
        <v>association</v>
      </c>
      <c r="D75">
        <f>IF(ISBLANK(General2023[[#This Row],[number_of_members]]),"N/A",VLOOKUP(A75,General2023[[organisation_name]:[number_of_international_committee_board_members_not_eea]],6,FALSE))</f>
        <v>1960</v>
      </c>
      <c r="E75">
        <f>IF(ISBLANK(General2023[[#This Row],[number_of_committee_board_members]]),"N/A",VLOOKUP(A75,General2023!B:M,10,FALSE))</f>
        <v>49</v>
      </c>
      <c r="F75">
        <f>IFERROR(Data2023[[#This Row],[Number of members]]-Data2023[[#This Row],[Number of active members]], "N/A")</f>
        <v>1911</v>
      </c>
      <c r="G75">
        <f>IFERROR(Data2023[[#This Row],[Number of active members]]/Data2023[[#This Row],[Number of members]], "N/A")</f>
        <v>2.5000000000000001E-2</v>
      </c>
      <c r="H75">
        <f>IFERROR(1-Data2023[[#This Row],[Percentage active members]],"N/A")</f>
        <v>0.97499999999999998</v>
      </c>
      <c r="I75" t="str">
        <f>IF(Data2023[[#This Row],[Number of members]]=0,"N/A",IF(Data2023[[#This Row],[Number of members]]&lt;50," A. 1 - 50 ",IF(Data2023[[#This Row],[Number of members]]&lt;100, "B. 50 - 100", IF(Data2023[[#This Row],[Number of members]]&lt;400, "C. 100 - 400", IF(Data2023[[#This Row],[Number of members]]&lt;1000,"D. 400 - 1000", "E. 1000 +")))))</f>
        <v>E. 1000 +</v>
      </c>
      <c r="J75">
        <f>IF(ISBLANK(General2023[[#This Row],[number_of_international_members_not_eea]]),"N/A",VLOOKUP(A75,General2023[[organisation_name]:[number_of_international_committee_board_members_not_eea]],9,FALSE))</f>
        <v>120</v>
      </c>
      <c r="K75">
        <f>IF(ISBLANK(General2023[[#This Row],[number_of_international_members_eea]]),"N/A",VLOOKUP(A75,General2023[[organisation_name]:[number_of_international_committee_board_members_not_eea]],8,FALSE))</f>
        <v>200</v>
      </c>
      <c r="L75">
        <f>IFERROR(IF(Data2023[[#This Row],[Number of members]]-Data2023[[#This Row],[Non-EEA Total]]-Data2023[[#This Row],[EEA total]]&lt;1,"N/A", Data2023[[#This Row],[Number of members]]-Data2023[[#This Row],[Non-EEA Total]]-Data2023[[#This Row],[EEA total]]),"N/A")</f>
        <v>1640</v>
      </c>
      <c r="M75">
        <f>VLOOKUP(A75,General2023[[organisation_name]:[number_of_international_committee_board_members_not_eea]],12,FALSE)</f>
        <v>10</v>
      </c>
      <c r="N75">
        <f>VLOOKUP(A75,General2023[[organisation_name]:[number_of_international_committee_board_members_not_eea]],11,FALSE)</f>
        <v>35</v>
      </c>
      <c r="O75">
        <f>IFERROR(IF(Data2023[[#This Row],[Number of active members]]-Data2023[[#This Row],[Non-EEA Active ]]-Data2023[[#This Row],[EEA Active]]&lt;1,"N/A", Data2023[[#This Row],[Number of active members]]-Data2023[[#This Row],[Non-EEA Active ]]-Data2023[[#This Row],[EEA Active]]),"N/A")</f>
        <v>4</v>
      </c>
      <c r="P75">
        <f>IFERROR(Data2023[[#This Row],[Non-EEA Active ]]/Data2023[[#This Row],[Number of active members]],"N/A")</f>
        <v>0.20408163265306123</v>
      </c>
      <c r="Q75">
        <f>IFERROR(Data2023[[#This Row],[EEA Active]]/Data2023[[#This Row],[EEA total]], "N/A")</f>
        <v>0.17499999999999999</v>
      </c>
      <c r="R75">
        <f>IFERROR(Data2023[[#This Row],[Dutch Active]]/Data2023[[#This Row],[Dutch total]],"N/A")</f>
        <v>2.4390243902439024E-3</v>
      </c>
      <c r="S75" t="str">
        <f>IFERROR(IF(Data2023[[#This Row],[Number of members]]=Data2023[[#This Row],[Non-EEA Total]]+Data2023[[#This Row],[EEA total]]+Data2023[[#This Row],[Dutch total]],"T","F"),"F")</f>
        <v>T</v>
      </c>
      <c r="T75" t="str">
        <f>IFERROR(IF(Data2023[[#This Row],[Number of active members]]=Data2023[[#This Row],[Non-EEA Active ]]+Data2023[[#This Row],[EEA Active]]+Data2023[[#This Row],[Dutch Active]],"T","F"),"F")</f>
        <v>T</v>
      </c>
      <c r="U75" t="str">
        <f>IFERROR(IF(Data2023[[#This Row],[Number of members]]-Data2023[[#This Row],[Non-EEA Active ]]-Data2023[[#This Row],[EEA Active]]-Data2023[[#This Row],[Dutch Active]]=Data2023[[#This Row],[Number of  inactive members]],"T","F"),"F")</f>
        <v>T</v>
      </c>
      <c r="V75" t="str">
        <f>IF(Data2023[[#This Row],[EEA Active]]&lt;=Data2023[[#This Row],[EEA total]],"T","F")</f>
        <v>T</v>
      </c>
      <c r="W75" t="str">
        <f>IF(Data2023[[#This Row],[Dutch Active]]&lt;=Data2023[[#This Row],[Dutch total]],"T","F")</f>
        <v>T</v>
      </c>
      <c r="X75" t="str">
        <f>IF(Data2023[[#This Row],[Non-EEA Active ]]&lt;=Data2023[[#This Row],[Non-EEA Total]],"T","F")</f>
        <v>T</v>
      </c>
      <c r="Y7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75" t="str">
        <f>IFERROR(VLOOKUP(Data2023[[#This Row],[organisation_name]],'Division Study Year Committees'!$A$1:$L$108,2,FALSE),"N/A")</f>
        <v>N/A</v>
      </c>
      <c r="AA75" t="str">
        <f>IFERROR(VLOOKUP(Data2023[[#This Row],[organisation_name]],'Division Study Year Committees'!$A$1:$L$108,3,FALSE),"N/A")</f>
        <v>N/A</v>
      </c>
      <c r="AB75" t="str">
        <f>IFERROR(VLOOKUP(Data2023[[#This Row],[organisation_name]],'Division Study Year Committees'!$A$1:$L$108,4,FALSE),"N/A")</f>
        <v>N/A</v>
      </c>
      <c r="AC75" t="str">
        <f>IFERROR(VLOOKUP(Data2023[[#This Row],[organisation_name]],'Division Study Year Committees'!$A$1:$L$108,5,FALSE), "N/A")</f>
        <v>N/A</v>
      </c>
      <c r="AD75" t="str">
        <f>IFERROR(VLOOKUP(Data2023[[#This Row],[organisation_name]],'Division Study Year Committees'!$A$1:$L$108,6,FALSE), "N/A")</f>
        <v>N/A</v>
      </c>
      <c r="AE75">
        <f>SUM(Data2023[[#This Row],[Number of first year comittee members]:[Number of 4+ year comittee members]])</f>
        <v>0</v>
      </c>
      <c r="AF75">
        <f>COUNTIF('Committee2022'!D:D,Data2023[[#This Row],[organisation_name]])</f>
        <v>26</v>
      </c>
      <c r="AG75">
        <v>2023</v>
      </c>
    </row>
    <row r="76" spans="1:33" x14ac:dyDescent="0.3">
      <c r="A76" t="str">
        <f>General2023[[#This Row],[organisation_name]]</f>
        <v>SV Onwijs</v>
      </c>
      <c r="B76" t="str">
        <f>IF(General2023[[#This Row],[sector]]= "",VLOOKUP(Data2023[[#This Row],[organisation_name]],'Response Rate sheet'!A:D,3,FALSE),General2023[[#This Row],[sector]])</f>
        <v>Study</v>
      </c>
      <c r="C76" t="str">
        <f>General2023[[#This Row],[organisation_type]]</f>
        <v>association</v>
      </c>
      <c r="D76">
        <f>IF(ISBLANK(General2023[[#This Row],[number_of_members]]),"N/A",VLOOKUP(A76,General2023[[organisation_name]:[number_of_international_committee_board_members_not_eea]],6,FALSE))</f>
        <v>80</v>
      </c>
      <c r="E76">
        <f>IF(ISBLANK(General2023[[#This Row],[number_of_committee_board_members]]),"N/A",VLOOKUP(A76,General2023!B:M,10,FALSE))</f>
        <v>40</v>
      </c>
      <c r="F76">
        <f>IFERROR(Data2023[[#This Row],[Number of members]]-Data2023[[#This Row],[Number of active members]], "N/A")</f>
        <v>40</v>
      </c>
      <c r="G76">
        <f>IFERROR(Data2023[[#This Row],[Number of active members]]/Data2023[[#This Row],[Number of members]], "N/A")</f>
        <v>0.5</v>
      </c>
      <c r="H76">
        <f>IFERROR(1-Data2023[[#This Row],[Percentage active members]],"N/A")</f>
        <v>0.5</v>
      </c>
      <c r="I76" t="str">
        <f>IF(Data2023[[#This Row],[Number of members]]=0,"N/A",IF(Data2023[[#This Row],[Number of members]]&lt;50," A. 1 - 50 ",IF(Data2023[[#This Row],[Number of members]]&lt;100, "B. 50 - 100", IF(Data2023[[#This Row],[Number of members]]&lt;400, "C. 100 - 400", IF(Data2023[[#This Row],[Number of members]]&lt;1000,"D. 400 - 1000", "E. 1000 +")))))</f>
        <v>B. 50 - 100</v>
      </c>
      <c r="J76">
        <f>IF(ISBLANK(General2023[[#This Row],[number_of_international_members_not_eea]]),"N/A",VLOOKUP(A76,General2023[[organisation_name]:[number_of_international_committee_board_members_not_eea]],9,FALSE))</f>
        <v>12</v>
      </c>
      <c r="K76">
        <f>IF(ISBLANK(General2023[[#This Row],[number_of_international_members_eea]]),"N/A",VLOOKUP(A76,General2023[[organisation_name]:[number_of_international_committee_board_members_not_eea]],8,FALSE))</f>
        <v>0</v>
      </c>
      <c r="L76">
        <f>IFERROR(IF(Data2023[[#This Row],[Number of members]]-Data2023[[#This Row],[Non-EEA Total]]-Data2023[[#This Row],[EEA total]]&lt;1,"N/A", Data2023[[#This Row],[Number of members]]-Data2023[[#This Row],[Non-EEA Total]]-Data2023[[#This Row],[EEA total]]),"N/A")</f>
        <v>68</v>
      </c>
      <c r="M76">
        <f>VLOOKUP(A76,General2023[[organisation_name]:[number_of_international_committee_board_members_not_eea]],12,FALSE)</f>
        <v>0</v>
      </c>
      <c r="N76">
        <f>VLOOKUP(A76,General2023[[organisation_name]:[number_of_international_committee_board_members_not_eea]],11,FALSE)</f>
        <v>0</v>
      </c>
      <c r="O76">
        <f>IFERROR(IF(Data2023[[#This Row],[Number of active members]]-Data2023[[#This Row],[Non-EEA Active ]]-Data2023[[#This Row],[EEA Active]]&lt;1,"N/A", Data2023[[#This Row],[Number of active members]]-Data2023[[#This Row],[Non-EEA Active ]]-Data2023[[#This Row],[EEA Active]]),"N/A")</f>
        <v>40</v>
      </c>
      <c r="P76">
        <f>IFERROR(Data2023[[#This Row],[Non-EEA Active ]]/Data2023[[#This Row],[Number of active members]],"N/A")</f>
        <v>0</v>
      </c>
      <c r="Q76" t="str">
        <f>IFERROR(Data2023[[#This Row],[EEA Active]]/Data2023[[#This Row],[EEA total]], "N/A")</f>
        <v>N/A</v>
      </c>
      <c r="R76">
        <f>IFERROR(Data2023[[#This Row],[Dutch Active]]/Data2023[[#This Row],[Dutch total]],"N/A")</f>
        <v>0.58823529411764708</v>
      </c>
      <c r="S76" t="str">
        <f>IFERROR(IF(Data2023[[#This Row],[Number of members]]=Data2023[[#This Row],[Non-EEA Total]]+Data2023[[#This Row],[EEA total]]+Data2023[[#This Row],[Dutch total]],"T","F"),"F")</f>
        <v>T</v>
      </c>
      <c r="T76" t="str">
        <f>IFERROR(IF(Data2023[[#This Row],[Number of active members]]=Data2023[[#This Row],[Non-EEA Active ]]+Data2023[[#This Row],[EEA Active]]+Data2023[[#This Row],[Dutch Active]],"T","F"),"F")</f>
        <v>T</v>
      </c>
      <c r="U76" t="str">
        <f>IFERROR(IF(Data2023[[#This Row],[Number of members]]-Data2023[[#This Row],[Non-EEA Active ]]-Data2023[[#This Row],[EEA Active]]-Data2023[[#This Row],[Dutch Active]]=Data2023[[#This Row],[Number of  inactive members]],"T","F"),"F")</f>
        <v>T</v>
      </c>
      <c r="V76" t="str">
        <f>IF(Data2023[[#This Row],[EEA Active]]&lt;=Data2023[[#This Row],[EEA total]],"T","F")</f>
        <v>T</v>
      </c>
      <c r="W76" t="str">
        <f>IF(Data2023[[#This Row],[Dutch Active]]&lt;=Data2023[[#This Row],[Dutch total]],"T","F")</f>
        <v>T</v>
      </c>
      <c r="X76" t="str">
        <f>IF(Data2023[[#This Row],[Non-EEA Active ]]&lt;=Data2023[[#This Row],[Non-EEA Total]],"T","F")</f>
        <v>T</v>
      </c>
      <c r="Y7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76">
        <f>IFERROR(VLOOKUP(Data2023[[#This Row],[organisation_name]],'Division Study Year Committees'!$A$1:$L$108,2,FALSE),"N/A")</f>
        <v>0</v>
      </c>
      <c r="AA76">
        <f>IFERROR(VLOOKUP(Data2023[[#This Row],[organisation_name]],'Division Study Year Committees'!$A$1:$L$108,3,FALSE),"N/A")</f>
        <v>0</v>
      </c>
      <c r="AB76">
        <f>IFERROR(VLOOKUP(Data2023[[#This Row],[organisation_name]],'Division Study Year Committees'!$A$1:$L$108,4,FALSE),"N/A")</f>
        <v>0</v>
      </c>
      <c r="AC76">
        <f>IFERROR(VLOOKUP(Data2023[[#This Row],[organisation_name]],'Division Study Year Committees'!$A$1:$L$108,5,FALSE), "N/A")</f>
        <v>3</v>
      </c>
      <c r="AD76">
        <f>IFERROR(VLOOKUP(Data2023[[#This Row],[organisation_name]],'Division Study Year Committees'!$A$1:$L$108,6,FALSE), "N/A")</f>
        <v>3</v>
      </c>
      <c r="AE76">
        <f>SUM(Data2023[[#This Row],[Number of first year comittee members]:[Number of 4+ year comittee members]])</f>
        <v>6</v>
      </c>
      <c r="AF76">
        <f>COUNTIF('Committee2022'!D:D,Data2023[[#This Row],[organisation_name]])</f>
        <v>3</v>
      </c>
      <c r="AG76">
        <v>2023</v>
      </c>
    </row>
    <row r="77" spans="1:33" x14ac:dyDescent="0.3">
      <c r="A77" t="str">
        <f>General2023[[#This Row],[organisation_name]]</f>
        <v>ITC-SAB</v>
      </c>
      <c r="B77" t="str">
        <f>IF(General2023[[#This Row],[sector]]= "",VLOOKUP(Data2023[[#This Row],[organisation_name]],'Response Rate sheet'!A:D,3,FALSE),General2023[[#This Row],[sector]])</f>
        <v>Study</v>
      </c>
      <c r="C77" t="str">
        <f>General2023[[#This Row],[organisation_type]]</f>
        <v>association</v>
      </c>
      <c r="D77" t="str">
        <f>IF(ISBLANK(General2023[[#This Row],[number_of_members]]),"N/A",VLOOKUP(A77,General2023[[organisation_name]:[number_of_international_committee_board_members_not_eea]],6,FALSE))</f>
        <v>N/A</v>
      </c>
      <c r="E77" t="str">
        <f>IF(ISBLANK(General2023[[#This Row],[number_of_committee_board_members]]),"N/A",VLOOKUP(A77,General2023!B:M,10,FALSE))</f>
        <v>N/A</v>
      </c>
      <c r="F77" t="str">
        <f>IFERROR(Data2023[[#This Row],[Number of members]]-Data2023[[#This Row],[Number of active members]], "N/A")</f>
        <v>N/A</v>
      </c>
      <c r="G77" t="str">
        <f>IFERROR(Data2023[[#This Row],[Number of active members]]/Data2023[[#This Row],[Number of members]], "N/A")</f>
        <v>N/A</v>
      </c>
      <c r="H77" t="str">
        <f>IFERROR(1-Data2023[[#This Row],[Percentage active members]],"N/A")</f>
        <v>N/A</v>
      </c>
      <c r="I77" t="str">
        <f>IF(Data2023[[#This Row],[Number of members]]=0,"N/A",IF(Data2023[[#This Row],[Number of members]]&lt;50," A. 1 - 50 ",IF(Data2023[[#This Row],[Number of members]]&lt;100, "B. 50 - 100", IF(Data2023[[#This Row],[Number of members]]&lt;400, "C. 100 - 400", IF(Data2023[[#This Row],[Number of members]]&lt;1000,"D. 400 - 1000", "E. 1000 +")))))</f>
        <v>E. 1000 +</v>
      </c>
      <c r="J77" t="str">
        <f>IF(ISBLANK(General2023[[#This Row],[number_of_international_members_not_eea]]),"N/A",VLOOKUP(A77,General2023[[organisation_name]:[number_of_international_committee_board_members_not_eea]],9,FALSE))</f>
        <v>N/A</v>
      </c>
      <c r="K77" t="str">
        <f>IF(ISBLANK(General2023[[#This Row],[number_of_international_members_eea]]),"N/A",VLOOKUP(A77,General2023[[organisation_name]:[number_of_international_committee_board_members_not_eea]],8,FALSE))</f>
        <v>N/A</v>
      </c>
      <c r="L77" t="str">
        <f>IFERROR(IF(Data2023[[#This Row],[Number of members]]-Data2023[[#This Row],[Non-EEA Total]]-Data2023[[#This Row],[EEA total]]&lt;1,"N/A", Data2023[[#This Row],[Number of members]]-Data2023[[#This Row],[Non-EEA Total]]-Data2023[[#This Row],[EEA total]]),"N/A")</f>
        <v>N/A</v>
      </c>
      <c r="M77">
        <f>VLOOKUP(A77,General2023[[organisation_name]:[number_of_international_committee_board_members_not_eea]],12,FALSE)</f>
        <v>0</v>
      </c>
      <c r="N77">
        <f>VLOOKUP(A77,General2023[[organisation_name]:[number_of_international_committee_board_members_not_eea]],11,FALSE)</f>
        <v>0</v>
      </c>
      <c r="O77" t="str">
        <f>IFERROR(IF(Data2023[[#This Row],[Number of active members]]-Data2023[[#This Row],[Non-EEA Active ]]-Data2023[[#This Row],[EEA Active]]&lt;1,"N/A", Data2023[[#This Row],[Number of active members]]-Data2023[[#This Row],[Non-EEA Active ]]-Data2023[[#This Row],[EEA Active]]),"N/A")</f>
        <v>N/A</v>
      </c>
      <c r="P77" t="str">
        <f>IFERROR(Data2023[[#This Row],[Non-EEA Active ]]/Data2023[[#This Row],[Number of active members]],"N/A")</f>
        <v>N/A</v>
      </c>
      <c r="Q77" t="str">
        <f>IFERROR(Data2023[[#This Row],[EEA Active]]/Data2023[[#This Row],[EEA total]], "N/A")</f>
        <v>N/A</v>
      </c>
      <c r="R77" t="str">
        <f>IFERROR(Data2023[[#This Row],[Dutch Active]]/Data2023[[#This Row],[Dutch total]],"N/A")</f>
        <v>N/A</v>
      </c>
      <c r="S77" t="str">
        <f>IFERROR(IF(Data2023[[#This Row],[Number of members]]=Data2023[[#This Row],[Non-EEA Total]]+Data2023[[#This Row],[EEA total]]+Data2023[[#This Row],[Dutch total]],"T","F"),"F")</f>
        <v>F</v>
      </c>
      <c r="T77" t="str">
        <f>IFERROR(IF(Data2023[[#This Row],[Number of active members]]=Data2023[[#This Row],[Non-EEA Active ]]+Data2023[[#This Row],[EEA Active]]+Data2023[[#This Row],[Dutch Active]],"T","F"),"F")</f>
        <v>F</v>
      </c>
      <c r="U77" t="str">
        <f>IFERROR(IF(Data2023[[#This Row],[Number of members]]-Data2023[[#This Row],[Non-EEA Active ]]-Data2023[[#This Row],[EEA Active]]-Data2023[[#This Row],[Dutch Active]]=Data2023[[#This Row],[Number of  inactive members]],"T","F"),"F")</f>
        <v>F</v>
      </c>
      <c r="V77" t="str">
        <f>IF(Data2023[[#This Row],[EEA Active]]&lt;=Data2023[[#This Row],[EEA total]],"T","F")</f>
        <v>T</v>
      </c>
      <c r="W77" t="str">
        <f>IF(Data2023[[#This Row],[Dutch Active]]&lt;=Data2023[[#This Row],[Dutch total]],"T","F")</f>
        <v>T</v>
      </c>
      <c r="X77" t="str">
        <f>IF(Data2023[[#This Row],[Non-EEA Active ]]&lt;=Data2023[[#This Row],[Non-EEA Total]],"T","F")</f>
        <v>T</v>
      </c>
      <c r="Y7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77" t="str">
        <f>IFERROR(VLOOKUP(Data2023[[#This Row],[organisation_name]],'Division Study Year Committees'!$A$1:$L$108,2,FALSE),"N/A")</f>
        <v>N/A</v>
      </c>
      <c r="AA77" t="str">
        <f>IFERROR(VLOOKUP(Data2023[[#This Row],[organisation_name]],'Division Study Year Committees'!$A$1:$L$108,3,FALSE),"N/A")</f>
        <v>N/A</v>
      </c>
      <c r="AB77" t="str">
        <f>IFERROR(VLOOKUP(Data2023[[#This Row],[organisation_name]],'Division Study Year Committees'!$A$1:$L$108,4,FALSE),"N/A")</f>
        <v>N/A</v>
      </c>
      <c r="AC77" t="str">
        <f>IFERROR(VLOOKUP(Data2023[[#This Row],[organisation_name]],'Division Study Year Committees'!$A$1:$L$108,5,FALSE), "N/A")</f>
        <v>N/A</v>
      </c>
      <c r="AD77" t="str">
        <f>IFERROR(VLOOKUP(Data2023[[#This Row],[organisation_name]],'Division Study Year Committees'!$A$1:$L$108,6,FALSE), "N/A")</f>
        <v>N/A</v>
      </c>
      <c r="AE77">
        <f>SUM(Data2023[[#This Row],[Number of first year comittee members]:[Number of 4+ year comittee members]])</f>
        <v>0</v>
      </c>
      <c r="AF77">
        <f>COUNTIF('Committee2022'!D:D,Data2023[[#This Row],[organisation_name]])</f>
        <v>0</v>
      </c>
      <c r="AG77">
        <v>2023</v>
      </c>
    </row>
    <row r="78" spans="1:33" x14ac:dyDescent="0.3">
      <c r="A78" t="str">
        <f>General2023[[#This Row],[organisation_name]]</f>
        <v>Honoursvereniging Ockham</v>
      </c>
      <c r="B78" t="str">
        <f>IF(General2023[[#This Row],[sector]]= "",VLOOKUP(Data2023[[#This Row],[organisation_name]],'Response Rate sheet'!A:D,3,FALSE),General2023[[#This Row],[sector]])</f>
        <v>Study</v>
      </c>
      <c r="C78" t="str">
        <f>General2023[[#This Row],[organisation_type]]</f>
        <v>association</v>
      </c>
      <c r="D78">
        <f>IF(ISBLANK(General2023[[#This Row],[number_of_members]]),"N/A",VLOOKUP(A78,General2023[[organisation_name]:[number_of_international_committee_board_members_not_eea]],6,FALSE))</f>
        <v>250</v>
      </c>
      <c r="E78">
        <f>IF(ISBLANK(General2023[[#This Row],[number_of_committee_board_members]]),"N/A",VLOOKUP(A78,General2023!B:M,10,FALSE))</f>
        <v>80</v>
      </c>
      <c r="F78">
        <f>IFERROR(Data2023[[#This Row],[Number of members]]-Data2023[[#This Row],[Number of active members]], "N/A")</f>
        <v>170</v>
      </c>
      <c r="G78">
        <f>IFERROR(Data2023[[#This Row],[Number of active members]]/Data2023[[#This Row],[Number of members]], "N/A")</f>
        <v>0.32</v>
      </c>
      <c r="H78">
        <f>IFERROR(1-Data2023[[#This Row],[Percentage active members]],"N/A")</f>
        <v>0.67999999999999994</v>
      </c>
      <c r="I78" t="str">
        <f>IF(Data2023[[#This Row],[Number of members]]=0,"N/A",IF(Data2023[[#This Row],[Number of members]]&lt;50," A. 1 - 50 ",IF(Data2023[[#This Row],[Number of members]]&lt;100, "B. 50 - 100", IF(Data2023[[#This Row],[Number of members]]&lt;400, "C. 100 - 400", IF(Data2023[[#This Row],[Number of members]]&lt;1000,"D. 400 - 1000", "E. 1000 +")))))</f>
        <v>C. 100 - 400</v>
      </c>
      <c r="J78">
        <f>IF(ISBLANK(General2023[[#This Row],[number_of_international_members_not_eea]]),"N/A",VLOOKUP(A78,General2023[[organisation_name]:[number_of_international_committee_board_members_not_eea]],9,FALSE))</f>
        <v>40</v>
      </c>
      <c r="K78">
        <f>IF(ISBLANK(General2023[[#This Row],[number_of_international_members_eea]]),"N/A",VLOOKUP(A78,General2023[[organisation_name]:[number_of_international_committee_board_members_not_eea]],8,FALSE))</f>
        <v>20</v>
      </c>
      <c r="L78">
        <f>IFERROR(IF(Data2023[[#This Row],[Number of members]]-Data2023[[#This Row],[Non-EEA Total]]-Data2023[[#This Row],[EEA total]]&lt;1,"N/A", Data2023[[#This Row],[Number of members]]-Data2023[[#This Row],[Non-EEA Total]]-Data2023[[#This Row],[EEA total]]),"N/A")</f>
        <v>190</v>
      </c>
      <c r="M78">
        <f>VLOOKUP(A78,General2023[[organisation_name]:[number_of_international_committee_board_members_not_eea]],12,FALSE)</f>
        <v>5</v>
      </c>
      <c r="N78">
        <f>VLOOKUP(A78,General2023[[organisation_name]:[number_of_international_committee_board_members_not_eea]],11,FALSE)</f>
        <v>20</v>
      </c>
      <c r="O78">
        <f>IFERROR(IF(Data2023[[#This Row],[Number of active members]]-Data2023[[#This Row],[Non-EEA Active ]]-Data2023[[#This Row],[EEA Active]]&lt;1,"N/A", Data2023[[#This Row],[Number of active members]]-Data2023[[#This Row],[Non-EEA Active ]]-Data2023[[#This Row],[EEA Active]]),"N/A")</f>
        <v>55</v>
      </c>
      <c r="P78">
        <f>IFERROR(Data2023[[#This Row],[Non-EEA Active ]]/Data2023[[#This Row],[Number of active members]],"N/A")</f>
        <v>6.25E-2</v>
      </c>
      <c r="Q78">
        <f>IFERROR(Data2023[[#This Row],[EEA Active]]/Data2023[[#This Row],[EEA total]], "N/A")</f>
        <v>1</v>
      </c>
      <c r="R78">
        <f>IFERROR(Data2023[[#This Row],[Dutch Active]]/Data2023[[#This Row],[Dutch total]],"N/A")</f>
        <v>0.28947368421052633</v>
      </c>
      <c r="S78" t="str">
        <f>IFERROR(IF(Data2023[[#This Row],[Number of members]]=Data2023[[#This Row],[Non-EEA Total]]+Data2023[[#This Row],[EEA total]]+Data2023[[#This Row],[Dutch total]],"T","F"),"F")</f>
        <v>T</v>
      </c>
      <c r="T78" t="str">
        <f>IFERROR(IF(Data2023[[#This Row],[Number of active members]]=Data2023[[#This Row],[Non-EEA Active ]]+Data2023[[#This Row],[EEA Active]]+Data2023[[#This Row],[Dutch Active]],"T","F"),"F")</f>
        <v>T</v>
      </c>
      <c r="U78" t="str">
        <f>IFERROR(IF(Data2023[[#This Row],[Number of members]]-Data2023[[#This Row],[Non-EEA Active ]]-Data2023[[#This Row],[EEA Active]]-Data2023[[#This Row],[Dutch Active]]=Data2023[[#This Row],[Number of  inactive members]],"T","F"),"F")</f>
        <v>T</v>
      </c>
      <c r="V78" t="str">
        <f>IF(Data2023[[#This Row],[EEA Active]]&lt;=Data2023[[#This Row],[EEA total]],"T","F")</f>
        <v>T</v>
      </c>
      <c r="W78" t="str">
        <f>IF(Data2023[[#This Row],[Dutch Active]]&lt;=Data2023[[#This Row],[Dutch total]],"T","F")</f>
        <v>T</v>
      </c>
      <c r="X78" t="str">
        <f>IF(Data2023[[#This Row],[Non-EEA Active ]]&lt;=Data2023[[#This Row],[Non-EEA Total]],"T","F")</f>
        <v>T</v>
      </c>
      <c r="Y78"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78" t="str">
        <f>IFERROR(VLOOKUP(Data2023[[#This Row],[organisation_name]],'Division Study Year Committees'!$A$1:$L$108,2,FALSE),"N/A")</f>
        <v>N/A</v>
      </c>
      <c r="AA78" t="str">
        <f>IFERROR(VLOOKUP(Data2023[[#This Row],[organisation_name]],'Division Study Year Committees'!$A$1:$L$108,3,FALSE),"N/A")</f>
        <v>N/A</v>
      </c>
      <c r="AB78" t="str">
        <f>IFERROR(VLOOKUP(Data2023[[#This Row],[organisation_name]],'Division Study Year Committees'!$A$1:$L$108,4,FALSE),"N/A")</f>
        <v>N/A</v>
      </c>
      <c r="AC78" t="str">
        <f>IFERROR(VLOOKUP(Data2023[[#This Row],[organisation_name]],'Division Study Year Committees'!$A$1:$L$108,5,FALSE), "N/A")</f>
        <v>N/A</v>
      </c>
      <c r="AD78" t="str">
        <f>IFERROR(VLOOKUP(Data2023[[#This Row],[organisation_name]],'Division Study Year Committees'!$A$1:$L$108,6,FALSE), "N/A")</f>
        <v>N/A</v>
      </c>
      <c r="AE78">
        <f>SUM(Data2023[[#This Row],[Number of first year comittee members]:[Number of 4+ year comittee members]])</f>
        <v>0</v>
      </c>
      <c r="AF78">
        <f>COUNTIF('Committee2022'!D:D,Data2023[[#This Row],[organisation_name]])</f>
        <v>11</v>
      </c>
      <c r="AG78">
        <v>2023</v>
      </c>
    </row>
    <row r="79" spans="1:33" x14ac:dyDescent="0.3">
      <c r="A79" t="str">
        <f>General2023[[#This Row],[organisation_name]]</f>
        <v>AEGEE Enschede</v>
      </c>
      <c r="B79" t="str">
        <f>IF(General2023[[#This Row],[sector]]= "",VLOOKUP(Data2023[[#This Row],[organisation_name]],'Response Rate sheet'!A:D,3,FALSE),General2023[[#This Row],[sector]])</f>
        <v>Social</v>
      </c>
      <c r="C79" t="str">
        <f>General2023[[#This Row],[organisation_type]]</f>
        <v>association</v>
      </c>
      <c r="D79">
        <f>IF(ISBLANK(General2023[[#This Row],[number_of_members]]),"N/A",VLOOKUP(A79,General2023[[organisation_name]:[number_of_international_committee_board_members_not_eea]],6,FALSE))</f>
        <v>285</v>
      </c>
      <c r="E79">
        <f>IF(ISBLANK(General2023[[#This Row],[number_of_committee_board_members]]),"N/A",VLOOKUP(A79,General2023!B:M,10,FALSE))</f>
        <v>95</v>
      </c>
      <c r="F79">
        <f>IFERROR(Data2023[[#This Row],[Number of members]]-Data2023[[#This Row],[Number of active members]], "N/A")</f>
        <v>190</v>
      </c>
      <c r="G79">
        <f>IFERROR(Data2023[[#This Row],[Number of active members]]/Data2023[[#This Row],[Number of members]], "N/A")</f>
        <v>0.33333333333333331</v>
      </c>
      <c r="H79">
        <f>IFERROR(1-Data2023[[#This Row],[Percentage active members]],"N/A")</f>
        <v>0.66666666666666674</v>
      </c>
      <c r="I79" t="str">
        <f>IF(Data2023[[#This Row],[Number of members]]=0,"N/A",IF(Data2023[[#This Row],[Number of members]]&lt;50," A. 1 - 50 ",IF(Data2023[[#This Row],[Number of members]]&lt;100, "B. 50 - 100", IF(Data2023[[#This Row],[Number of members]]&lt;400, "C. 100 - 400", IF(Data2023[[#This Row],[Number of members]]&lt;1000,"D. 400 - 1000", "E. 1000 +")))))</f>
        <v>C. 100 - 400</v>
      </c>
      <c r="J79">
        <f>IF(ISBLANK(General2023[[#This Row],[number_of_international_members_not_eea]]),"N/A",VLOOKUP(A79,General2023[[organisation_name]:[number_of_international_committee_board_members_not_eea]],9,FALSE))</f>
        <v>100</v>
      </c>
      <c r="K79">
        <f>IF(ISBLANK(General2023[[#This Row],[number_of_international_members_eea]]),"N/A",VLOOKUP(A79,General2023[[organisation_name]:[number_of_international_committee_board_members_not_eea]],8,FALSE))</f>
        <v>5</v>
      </c>
      <c r="L79">
        <f>IFERROR(IF(Data2023[[#This Row],[Number of members]]-Data2023[[#This Row],[Non-EEA Total]]-Data2023[[#This Row],[EEA total]]&lt;1,"N/A", Data2023[[#This Row],[Number of members]]-Data2023[[#This Row],[Non-EEA Total]]-Data2023[[#This Row],[EEA total]]),"N/A")</f>
        <v>180</v>
      </c>
      <c r="M79">
        <f>VLOOKUP(A79,General2023[[organisation_name]:[number_of_international_committee_board_members_not_eea]],12,FALSE)</f>
        <v>0</v>
      </c>
      <c r="N79">
        <f>VLOOKUP(A79,General2023[[organisation_name]:[number_of_international_committee_board_members_not_eea]],11,FALSE)</f>
        <v>5</v>
      </c>
      <c r="O79">
        <f>IFERROR(IF(Data2023[[#This Row],[Number of active members]]-Data2023[[#This Row],[Non-EEA Active ]]-Data2023[[#This Row],[EEA Active]]&lt;1,"N/A", Data2023[[#This Row],[Number of active members]]-Data2023[[#This Row],[Non-EEA Active ]]-Data2023[[#This Row],[EEA Active]]),"N/A")</f>
        <v>90</v>
      </c>
      <c r="P79">
        <f>IFERROR(Data2023[[#This Row],[Non-EEA Active ]]/Data2023[[#This Row],[Number of active members]],"N/A")</f>
        <v>0</v>
      </c>
      <c r="Q79">
        <f>IFERROR(Data2023[[#This Row],[EEA Active]]/Data2023[[#This Row],[EEA total]], "N/A")</f>
        <v>1</v>
      </c>
      <c r="R79">
        <f>IFERROR(Data2023[[#This Row],[Dutch Active]]/Data2023[[#This Row],[Dutch total]],"N/A")</f>
        <v>0.5</v>
      </c>
      <c r="S79" t="str">
        <f>IFERROR(IF(Data2023[[#This Row],[Number of members]]=Data2023[[#This Row],[Non-EEA Total]]+Data2023[[#This Row],[EEA total]]+Data2023[[#This Row],[Dutch total]],"T","F"),"F")</f>
        <v>T</v>
      </c>
      <c r="T79" t="str">
        <f>IFERROR(IF(Data2023[[#This Row],[Number of active members]]=Data2023[[#This Row],[Non-EEA Active ]]+Data2023[[#This Row],[EEA Active]]+Data2023[[#This Row],[Dutch Active]],"T","F"),"F")</f>
        <v>T</v>
      </c>
      <c r="U79" t="str">
        <f>IFERROR(IF(Data2023[[#This Row],[Number of members]]-Data2023[[#This Row],[Non-EEA Active ]]-Data2023[[#This Row],[EEA Active]]-Data2023[[#This Row],[Dutch Active]]=Data2023[[#This Row],[Number of  inactive members]],"T","F"),"F")</f>
        <v>T</v>
      </c>
      <c r="V79" t="str">
        <f>IF(Data2023[[#This Row],[EEA Active]]&lt;=Data2023[[#This Row],[EEA total]],"T","F")</f>
        <v>T</v>
      </c>
      <c r="W79" t="str">
        <f>IF(Data2023[[#This Row],[Dutch Active]]&lt;=Data2023[[#This Row],[Dutch total]],"T","F")</f>
        <v>T</v>
      </c>
      <c r="X79" t="str">
        <f>IF(Data2023[[#This Row],[Non-EEA Active ]]&lt;=Data2023[[#This Row],[Non-EEA Total]],"T","F")</f>
        <v>T</v>
      </c>
      <c r="Y79"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79">
        <f>IFERROR(VLOOKUP(Data2023[[#This Row],[organisation_name]],'Division Study Year Committees'!$A$1:$L$108,2,FALSE),"N/A")</f>
        <v>24</v>
      </c>
      <c r="AA79">
        <f>IFERROR(VLOOKUP(Data2023[[#This Row],[organisation_name]],'Division Study Year Committees'!$A$1:$L$108,3,FALSE),"N/A")</f>
        <v>21</v>
      </c>
      <c r="AB79">
        <f>IFERROR(VLOOKUP(Data2023[[#This Row],[organisation_name]],'Division Study Year Committees'!$A$1:$L$108,4,FALSE),"N/A")</f>
        <v>50</v>
      </c>
      <c r="AC79">
        <f>IFERROR(VLOOKUP(Data2023[[#This Row],[organisation_name]],'Division Study Year Committees'!$A$1:$L$108,5,FALSE), "N/A")</f>
        <v>65</v>
      </c>
      <c r="AD79">
        <f>IFERROR(VLOOKUP(Data2023[[#This Row],[organisation_name]],'Division Study Year Committees'!$A$1:$L$108,6,FALSE), "N/A")</f>
        <v>24</v>
      </c>
      <c r="AE79">
        <f>SUM(Data2023[[#This Row],[Number of first year comittee members]:[Number of 4+ year comittee members]])</f>
        <v>184</v>
      </c>
      <c r="AF79">
        <f>COUNTIF('Committee2022'!D:D,Data2023[[#This Row],[organisation_name]])</f>
        <v>26</v>
      </c>
      <c r="AG79">
        <v>2023</v>
      </c>
    </row>
    <row r="80" spans="1:33" x14ac:dyDescent="0.3">
      <c r="A80" t="str">
        <f>General2023[[#This Row],[organisation_name]]</f>
        <v>ASV Taste</v>
      </c>
      <c r="B80" t="str">
        <f>IF(General2023[[#This Row],[sector]]= "",VLOOKUP(Data2023[[#This Row],[organisation_name]],'Response Rate sheet'!A:D,3,FALSE),General2023[[#This Row],[sector]])</f>
        <v>Social</v>
      </c>
      <c r="C80" t="str">
        <f>General2023[[#This Row],[organisation_type]]</f>
        <v>association</v>
      </c>
      <c r="D80">
        <f>IF(ISBLANK(General2023[[#This Row],[number_of_members]]),"N/A",VLOOKUP(A80,General2023[[organisation_name]:[number_of_international_committee_board_members_not_eea]],6,FALSE))</f>
        <v>548</v>
      </c>
      <c r="E80">
        <f>IF(ISBLANK(General2023[[#This Row],[number_of_committee_board_members]]),"N/A",VLOOKUP(A80,General2023!B:M,10,FALSE))</f>
        <v>70</v>
      </c>
      <c r="F80">
        <f>IFERROR(Data2023[[#This Row],[Number of members]]-Data2023[[#This Row],[Number of active members]], "N/A")</f>
        <v>478</v>
      </c>
      <c r="G80">
        <f>IFERROR(Data2023[[#This Row],[Number of active members]]/Data2023[[#This Row],[Number of members]], "N/A")</f>
        <v>0.12773722627737227</v>
      </c>
      <c r="H80">
        <f>IFERROR(1-Data2023[[#This Row],[Percentage active members]],"N/A")</f>
        <v>0.87226277372262773</v>
      </c>
      <c r="I80" t="str">
        <f>IF(Data2023[[#This Row],[Number of members]]=0,"N/A",IF(Data2023[[#This Row],[Number of members]]&lt;50," A. 1 - 50 ",IF(Data2023[[#This Row],[Number of members]]&lt;100, "B. 50 - 100", IF(Data2023[[#This Row],[Number of members]]&lt;400, "C. 100 - 400", IF(Data2023[[#This Row],[Number of members]]&lt;1000,"D. 400 - 1000", "E. 1000 +")))))</f>
        <v>D. 400 - 1000</v>
      </c>
      <c r="J80">
        <f>IF(ISBLANK(General2023[[#This Row],[number_of_international_members_not_eea]]),"N/A",VLOOKUP(A80,General2023[[organisation_name]:[number_of_international_committee_board_members_not_eea]],9,FALSE))</f>
        <v>100</v>
      </c>
      <c r="K80">
        <f>IF(ISBLANK(General2023[[#This Row],[number_of_international_members_eea]]),"N/A",VLOOKUP(A80,General2023[[organisation_name]:[number_of_international_committee_board_members_not_eea]],8,FALSE))</f>
        <v>0</v>
      </c>
      <c r="L80">
        <f>IFERROR(IF(Data2023[[#This Row],[Number of members]]-Data2023[[#This Row],[Non-EEA Total]]-Data2023[[#This Row],[EEA total]]&lt;1,"N/A", Data2023[[#This Row],[Number of members]]-Data2023[[#This Row],[Non-EEA Total]]-Data2023[[#This Row],[EEA total]]),"N/A")</f>
        <v>448</v>
      </c>
      <c r="M80">
        <f>VLOOKUP(A80,General2023[[organisation_name]:[number_of_international_committee_board_members_not_eea]],12,FALSE)</f>
        <v>0</v>
      </c>
      <c r="N80">
        <f>VLOOKUP(A80,General2023[[organisation_name]:[number_of_international_committee_board_members_not_eea]],11,FALSE)</f>
        <v>0</v>
      </c>
      <c r="O80">
        <f>IFERROR(IF(Data2023[[#This Row],[Number of active members]]-Data2023[[#This Row],[Non-EEA Active ]]-Data2023[[#This Row],[EEA Active]]&lt;1,"N/A", Data2023[[#This Row],[Number of active members]]-Data2023[[#This Row],[Non-EEA Active ]]-Data2023[[#This Row],[EEA Active]]),"N/A")</f>
        <v>70</v>
      </c>
      <c r="P80">
        <f>IFERROR(Data2023[[#This Row],[Non-EEA Active ]]/Data2023[[#This Row],[Number of active members]],"N/A")</f>
        <v>0</v>
      </c>
      <c r="Q80" t="str">
        <f>IFERROR(Data2023[[#This Row],[EEA Active]]/Data2023[[#This Row],[EEA total]], "N/A")</f>
        <v>N/A</v>
      </c>
      <c r="R80">
        <f>IFERROR(Data2023[[#This Row],[Dutch Active]]/Data2023[[#This Row],[Dutch total]],"N/A")</f>
        <v>0.15625</v>
      </c>
      <c r="S80" t="str">
        <f>IFERROR(IF(Data2023[[#This Row],[Number of members]]=Data2023[[#This Row],[Non-EEA Total]]+Data2023[[#This Row],[EEA total]]+Data2023[[#This Row],[Dutch total]],"T","F"),"F")</f>
        <v>T</v>
      </c>
      <c r="T80" t="str">
        <f>IFERROR(IF(Data2023[[#This Row],[Number of active members]]=Data2023[[#This Row],[Non-EEA Active ]]+Data2023[[#This Row],[EEA Active]]+Data2023[[#This Row],[Dutch Active]],"T","F"),"F")</f>
        <v>T</v>
      </c>
      <c r="U80" t="str">
        <f>IFERROR(IF(Data2023[[#This Row],[Number of members]]-Data2023[[#This Row],[Non-EEA Active ]]-Data2023[[#This Row],[EEA Active]]-Data2023[[#This Row],[Dutch Active]]=Data2023[[#This Row],[Number of  inactive members]],"T","F"),"F")</f>
        <v>T</v>
      </c>
      <c r="V80" t="str">
        <f>IF(Data2023[[#This Row],[EEA Active]]&lt;=Data2023[[#This Row],[EEA total]],"T","F")</f>
        <v>T</v>
      </c>
      <c r="W80" t="str">
        <f>IF(Data2023[[#This Row],[Dutch Active]]&lt;=Data2023[[#This Row],[Dutch total]],"T","F")</f>
        <v>T</v>
      </c>
      <c r="X80" t="str">
        <f>IF(Data2023[[#This Row],[Non-EEA Active ]]&lt;=Data2023[[#This Row],[Non-EEA Total]],"T","F")</f>
        <v>T</v>
      </c>
      <c r="Y80"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0">
        <f>IFERROR(VLOOKUP(Data2023[[#This Row],[organisation_name]],'Division Study Year Committees'!$A$1:$L$108,2,FALSE),"N/A")</f>
        <v>42</v>
      </c>
      <c r="AA80">
        <f>IFERROR(VLOOKUP(Data2023[[#This Row],[organisation_name]],'Division Study Year Committees'!$A$1:$L$108,3,FALSE),"N/A")</f>
        <v>85</v>
      </c>
      <c r="AB80">
        <f>IFERROR(VLOOKUP(Data2023[[#This Row],[organisation_name]],'Division Study Year Committees'!$A$1:$L$108,4,FALSE),"N/A")</f>
        <v>69</v>
      </c>
      <c r="AC80">
        <f>IFERROR(VLOOKUP(Data2023[[#This Row],[organisation_name]],'Division Study Year Committees'!$A$1:$L$108,5,FALSE), "N/A")</f>
        <v>31</v>
      </c>
      <c r="AD80">
        <f>IFERROR(VLOOKUP(Data2023[[#This Row],[organisation_name]],'Division Study Year Committees'!$A$1:$L$108,6,FALSE), "N/A")</f>
        <v>9</v>
      </c>
      <c r="AE80">
        <f>SUM(Data2023[[#This Row],[Number of first year comittee members]:[Number of 4+ year comittee members]])</f>
        <v>236</v>
      </c>
      <c r="AF80">
        <f>COUNTIF('Committee2022'!D:D,Data2023[[#This Row],[organisation_name]])</f>
        <v>29</v>
      </c>
      <c r="AG80">
        <v>2023</v>
      </c>
    </row>
    <row r="81" spans="1:33" x14ac:dyDescent="0.3">
      <c r="A81" t="str">
        <f>General2023[[#This Row],[organisation_name]]</f>
        <v>Audentis et Virtutis</v>
      </c>
      <c r="B81" t="str">
        <f>IF(General2023[[#This Row],[sector]]= "",VLOOKUP(Data2023[[#This Row],[organisation_name]],'Response Rate sheet'!A:D,3,FALSE),General2023[[#This Row],[sector]])</f>
        <v>Social</v>
      </c>
      <c r="C81" t="str">
        <f>General2023[[#This Row],[organisation_type]]</f>
        <v>association</v>
      </c>
      <c r="D81">
        <f>IF(ISBLANK(General2023[[#This Row],[number_of_members]]),"N/A",VLOOKUP(A81,General2023[[organisation_name]:[number_of_international_committee_board_members_not_eea]],6,FALSE))</f>
        <v>510</v>
      </c>
      <c r="E81">
        <f>IF(ISBLANK(General2023[[#This Row],[number_of_committee_board_members]]),"N/A",VLOOKUP(A81,General2023!B:M,10,FALSE))</f>
        <v>18</v>
      </c>
      <c r="F81">
        <f>IFERROR(Data2023[[#This Row],[Number of members]]-Data2023[[#This Row],[Number of active members]], "N/A")</f>
        <v>492</v>
      </c>
      <c r="G81">
        <f>IFERROR(Data2023[[#This Row],[Number of active members]]/Data2023[[#This Row],[Number of members]], "N/A")</f>
        <v>3.5294117647058823E-2</v>
      </c>
      <c r="H81">
        <f>IFERROR(1-Data2023[[#This Row],[Percentage active members]],"N/A")</f>
        <v>0.96470588235294119</v>
      </c>
      <c r="I81" t="str">
        <f>IF(Data2023[[#This Row],[Number of members]]=0,"N/A",IF(Data2023[[#This Row],[Number of members]]&lt;50," A. 1 - 50 ",IF(Data2023[[#This Row],[Number of members]]&lt;100, "B. 50 - 100", IF(Data2023[[#This Row],[Number of members]]&lt;400, "C. 100 - 400", IF(Data2023[[#This Row],[Number of members]]&lt;1000,"D. 400 - 1000", "E. 1000 +")))))</f>
        <v>D. 400 - 1000</v>
      </c>
      <c r="J81">
        <f>IF(ISBLANK(General2023[[#This Row],[number_of_international_members_not_eea]]),"N/A",VLOOKUP(A81,General2023[[organisation_name]:[number_of_international_committee_board_members_not_eea]],9,FALSE))</f>
        <v>205</v>
      </c>
      <c r="K81">
        <f>IF(ISBLANK(General2023[[#This Row],[number_of_international_members_eea]]),"N/A",VLOOKUP(A81,General2023[[organisation_name]:[number_of_international_committee_board_members_not_eea]],8,FALSE))</f>
        <v>0</v>
      </c>
      <c r="L81">
        <f>IFERROR(IF(Data2023[[#This Row],[Number of members]]-Data2023[[#This Row],[Non-EEA Total]]-Data2023[[#This Row],[EEA total]]&lt;1,"N/A", Data2023[[#This Row],[Number of members]]-Data2023[[#This Row],[Non-EEA Total]]-Data2023[[#This Row],[EEA total]]),"N/A")</f>
        <v>305</v>
      </c>
      <c r="M81">
        <f>VLOOKUP(A81,General2023[[organisation_name]:[number_of_international_committee_board_members_not_eea]],12,FALSE)</f>
        <v>0</v>
      </c>
      <c r="N81">
        <f>VLOOKUP(A81,General2023[[organisation_name]:[number_of_international_committee_board_members_not_eea]],11,FALSE)</f>
        <v>0</v>
      </c>
      <c r="O81">
        <f>IFERROR(IF(Data2023[[#This Row],[Number of active members]]-Data2023[[#This Row],[Non-EEA Active ]]-Data2023[[#This Row],[EEA Active]]&lt;1,"N/A", Data2023[[#This Row],[Number of active members]]-Data2023[[#This Row],[Non-EEA Active ]]-Data2023[[#This Row],[EEA Active]]),"N/A")</f>
        <v>18</v>
      </c>
      <c r="P81">
        <f>IFERROR(Data2023[[#This Row],[Non-EEA Active ]]/Data2023[[#This Row],[Number of active members]],"N/A")</f>
        <v>0</v>
      </c>
      <c r="Q81" t="str">
        <f>IFERROR(Data2023[[#This Row],[EEA Active]]/Data2023[[#This Row],[EEA total]], "N/A")</f>
        <v>N/A</v>
      </c>
      <c r="R81">
        <f>IFERROR(Data2023[[#This Row],[Dutch Active]]/Data2023[[#This Row],[Dutch total]],"N/A")</f>
        <v>5.9016393442622953E-2</v>
      </c>
      <c r="S81" t="str">
        <f>IFERROR(IF(Data2023[[#This Row],[Number of members]]=Data2023[[#This Row],[Non-EEA Total]]+Data2023[[#This Row],[EEA total]]+Data2023[[#This Row],[Dutch total]],"T","F"),"F")</f>
        <v>T</v>
      </c>
      <c r="T81" t="str">
        <f>IFERROR(IF(Data2023[[#This Row],[Number of active members]]=Data2023[[#This Row],[Non-EEA Active ]]+Data2023[[#This Row],[EEA Active]]+Data2023[[#This Row],[Dutch Active]],"T","F"),"F")</f>
        <v>T</v>
      </c>
      <c r="U81" t="str">
        <f>IFERROR(IF(Data2023[[#This Row],[Number of members]]-Data2023[[#This Row],[Non-EEA Active ]]-Data2023[[#This Row],[EEA Active]]-Data2023[[#This Row],[Dutch Active]]=Data2023[[#This Row],[Number of  inactive members]],"T","F"),"F")</f>
        <v>T</v>
      </c>
      <c r="V81" t="str">
        <f>IF(Data2023[[#This Row],[EEA Active]]&lt;=Data2023[[#This Row],[EEA total]],"T","F")</f>
        <v>T</v>
      </c>
      <c r="W81" t="str">
        <f>IF(Data2023[[#This Row],[Dutch Active]]&lt;=Data2023[[#This Row],[Dutch total]],"T","F")</f>
        <v>T</v>
      </c>
      <c r="X81" t="str">
        <f>IF(Data2023[[#This Row],[Non-EEA Active ]]&lt;=Data2023[[#This Row],[Non-EEA Total]],"T","F")</f>
        <v>T</v>
      </c>
      <c r="Y81"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1" t="str">
        <f>IFERROR(VLOOKUP(Data2023[[#This Row],[organisation_name]],'Division Study Year Committees'!$A$1:$L$108,2,FALSE),"N/A")</f>
        <v>N/A</v>
      </c>
      <c r="AA81" t="str">
        <f>IFERROR(VLOOKUP(Data2023[[#This Row],[organisation_name]],'Division Study Year Committees'!$A$1:$L$108,3,FALSE),"N/A")</f>
        <v>N/A</v>
      </c>
      <c r="AB81" t="str">
        <f>IFERROR(VLOOKUP(Data2023[[#This Row],[organisation_name]],'Division Study Year Committees'!$A$1:$L$108,4,FALSE),"N/A")</f>
        <v>N/A</v>
      </c>
      <c r="AC81" t="str">
        <f>IFERROR(VLOOKUP(Data2023[[#This Row],[organisation_name]],'Division Study Year Committees'!$A$1:$L$108,5,FALSE), "N/A")</f>
        <v>N/A</v>
      </c>
      <c r="AD81" t="str">
        <f>IFERROR(VLOOKUP(Data2023[[#This Row],[organisation_name]],'Division Study Year Committees'!$A$1:$L$108,6,FALSE), "N/A")</f>
        <v>N/A</v>
      </c>
      <c r="AE81">
        <f>SUM(Data2023[[#This Row],[Number of first year comittee members]:[Number of 4+ year comittee members]])</f>
        <v>0</v>
      </c>
      <c r="AF81">
        <f>COUNTIF('Committee2022'!D:D,Data2023[[#This Row],[organisation_name]])</f>
        <v>24</v>
      </c>
      <c r="AG81">
        <v>2023</v>
      </c>
    </row>
    <row r="82" spans="1:33" x14ac:dyDescent="0.3">
      <c r="A82" t="str">
        <f>General2023[[#This Row],[organisation_name]]</f>
        <v>CSV Alpha</v>
      </c>
      <c r="B82" t="str">
        <f>IF(General2023[[#This Row],[sector]]= "",VLOOKUP(Data2023[[#This Row],[organisation_name]],'Response Rate sheet'!A:D,3,FALSE),General2023[[#This Row],[sector]])</f>
        <v>Social</v>
      </c>
      <c r="C82" t="str">
        <f>General2023[[#This Row],[organisation_type]]</f>
        <v>association</v>
      </c>
      <c r="D82">
        <f>IF(ISBLANK(General2023[[#This Row],[number_of_members]]),"N/A",VLOOKUP(A82,General2023[[organisation_name]:[number_of_international_committee_board_members_not_eea]],6,FALSE))</f>
        <v>118</v>
      </c>
      <c r="E82">
        <f>IF(ISBLANK(General2023[[#This Row],[number_of_committee_board_members]]),"N/A",VLOOKUP(A82,General2023!B:M,10,FALSE))</f>
        <v>10</v>
      </c>
      <c r="F82">
        <f>IFERROR(Data2023[[#This Row],[Number of members]]-Data2023[[#This Row],[Number of active members]], "N/A")</f>
        <v>108</v>
      </c>
      <c r="G82">
        <f>IFERROR(Data2023[[#This Row],[Number of active members]]/Data2023[[#This Row],[Number of members]], "N/A")</f>
        <v>8.4745762711864403E-2</v>
      </c>
      <c r="H82">
        <f>IFERROR(1-Data2023[[#This Row],[Percentage active members]],"N/A")</f>
        <v>0.9152542372881356</v>
      </c>
      <c r="I82" t="str">
        <f>IF(Data2023[[#This Row],[Number of members]]=0,"N/A",IF(Data2023[[#This Row],[Number of members]]&lt;50," A. 1 - 50 ",IF(Data2023[[#This Row],[Number of members]]&lt;100, "B. 50 - 100", IF(Data2023[[#This Row],[Number of members]]&lt;400, "C. 100 - 400", IF(Data2023[[#This Row],[Number of members]]&lt;1000,"D. 400 - 1000", "E. 1000 +")))))</f>
        <v>C. 100 - 400</v>
      </c>
      <c r="J82">
        <f>IF(ISBLANK(General2023[[#This Row],[number_of_international_members_not_eea]]),"N/A",VLOOKUP(A82,General2023[[organisation_name]:[number_of_international_committee_board_members_not_eea]],9,FALSE))</f>
        <v>85</v>
      </c>
      <c r="K82">
        <f>IF(ISBLANK(General2023[[#This Row],[number_of_international_members_eea]]),"N/A",VLOOKUP(A82,General2023[[organisation_name]:[number_of_international_committee_board_members_not_eea]],8,FALSE))</f>
        <v>0</v>
      </c>
      <c r="L82">
        <f>IFERROR(IF(Data2023[[#This Row],[Number of members]]-Data2023[[#This Row],[Non-EEA Total]]-Data2023[[#This Row],[EEA total]]&lt;1,"N/A", Data2023[[#This Row],[Number of members]]-Data2023[[#This Row],[Non-EEA Total]]-Data2023[[#This Row],[EEA total]]),"N/A")</f>
        <v>33</v>
      </c>
      <c r="M82">
        <f>VLOOKUP(A82,General2023[[organisation_name]:[number_of_international_committee_board_members_not_eea]],12,FALSE)</f>
        <v>0</v>
      </c>
      <c r="N82">
        <f>VLOOKUP(A82,General2023[[organisation_name]:[number_of_international_committee_board_members_not_eea]],11,FALSE)</f>
        <v>0</v>
      </c>
      <c r="O82">
        <f>IFERROR(IF(Data2023[[#This Row],[Number of active members]]-Data2023[[#This Row],[Non-EEA Active ]]-Data2023[[#This Row],[EEA Active]]&lt;1,"N/A", Data2023[[#This Row],[Number of active members]]-Data2023[[#This Row],[Non-EEA Active ]]-Data2023[[#This Row],[EEA Active]]),"N/A")</f>
        <v>10</v>
      </c>
      <c r="P82">
        <f>IFERROR(Data2023[[#This Row],[Non-EEA Active ]]/Data2023[[#This Row],[Number of active members]],"N/A")</f>
        <v>0</v>
      </c>
      <c r="Q82" t="str">
        <f>IFERROR(Data2023[[#This Row],[EEA Active]]/Data2023[[#This Row],[EEA total]], "N/A")</f>
        <v>N/A</v>
      </c>
      <c r="R82">
        <f>IFERROR(Data2023[[#This Row],[Dutch Active]]/Data2023[[#This Row],[Dutch total]],"N/A")</f>
        <v>0.30303030303030304</v>
      </c>
      <c r="S82" t="str">
        <f>IFERROR(IF(Data2023[[#This Row],[Number of members]]=Data2023[[#This Row],[Non-EEA Total]]+Data2023[[#This Row],[EEA total]]+Data2023[[#This Row],[Dutch total]],"T","F"),"F")</f>
        <v>T</v>
      </c>
      <c r="T82" t="str">
        <f>IFERROR(IF(Data2023[[#This Row],[Number of active members]]=Data2023[[#This Row],[Non-EEA Active ]]+Data2023[[#This Row],[EEA Active]]+Data2023[[#This Row],[Dutch Active]],"T","F"),"F")</f>
        <v>T</v>
      </c>
      <c r="U82" t="str">
        <f>IFERROR(IF(Data2023[[#This Row],[Number of members]]-Data2023[[#This Row],[Non-EEA Active ]]-Data2023[[#This Row],[EEA Active]]-Data2023[[#This Row],[Dutch Active]]=Data2023[[#This Row],[Number of  inactive members]],"T","F"),"F")</f>
        <v>T</v>
      </c>
      <c r="V82" t="str">
        <f>IF(Data2023[[#This Row],[EEA Active]]&lt;=Data2023[[#This Row],[EEA total]],"T","F")</f>
        <v>T</v>
      </c>
      <c r="W82" t="str">
        <f>IF(Data2023[[#This Row],[Dutch Active]]&lt;=Data2023[[#This Row],[Dutch total]],"T","F")</f>
        <v>T</v>
      </c>
      <c r="X82" t="str">
        <f>IF(Data2023[[#This Row],[Non-EEA Active ]]&lt;=Data2023[[#This Row],[Non-EEA Total]],"T","F")</f>
        <v>T</v>
      </c>
      <c r="Y8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2">
        <f>IFERROR(VLOOKUP(Data2023[[#This Row],[organisation_name]],'Division Study Year Committees'!$A$1:$L$108,2,FALSE),"N/A")</f>
        <v>30</v>
      </c>
      <c r="AA82">
        <f>IFERROR(VLOOKUP(Data2023[[#This Row],[organisation_name]],'Division Study Year Committees'!$A$1:$L$108,3,FALSE),"N/A")</f>
        <v>25</v>
      </c>
      <c r="AB82">
        <f>IFERROR(VLOOKUP(Data2023[[#This Row],[organisation_name]],'Division Study Year Committees'!$A$1:$L$108,4,FALSE),"N/A")</f>
        <v>35</v>
      </c>
      <c r="AC82">
        <f>IFERROR(VLOOKUP(Data2023[[#This Row],[organisation_name]],'Division Study Year Committees'!$A$1:$L$108,5,FALSE), "N/A")</f>
        <v>22</v>
      </c>
      <c r="AD82">
        <f>IFERROR(VLOOKUP(Data2023[[#This Row],[organisation_name]],'Division Study Year Committees'!$A$1:$L$108,6,FALSE), "N/A")</f>
        <v>19</v>
      </c>
      <c r="AE82">
        <f>SUM(Data2023[[#This Row],[Number of first year comittee members]:[Number of 4+ year comittee members]])</f>
        <v>131</v>
      </c>
      <c r="AF82">
        <f>COUNTIF('Committee2022'!D:D,Data2023[[#This Row],[organisation_name]])</f>
        <v>36</v>
      </c>
      <c r="AG82">
        <v>2023</v>
      </c>
    </row>
    <row r="83" spans="1:33" x14ac:dyDescent="0.3">
      <c r="A83" t="str">
        <f>General2023[[#This Row],[organisation_name]]</f>
        <v>Reformatorische Studenten Kring</v>
      </c>
      <c r="B83" t="str">
        <f>IF(General2023[[#This Row],[sector]]= "",VLOOKUP(Data2023[[#This Row],[organisation_name]],'Response Rate sheet'!A:D,3,FALSE),General2023[[#This Row],[sector]])</f>
        <v>Social</v>
      </c>
      <c r="C83" t="str">
        <f>General2023[[#This Row],[organisation_type]]</f>
        <v>association</v>
      </c>
      <c r="D83">
        <f>IF(ISBLANK(General2023[[#This Row],[number_of_members]]),"N/A",VLOOKUP(A83,General2023[[organisation_name]:[number_of_international_committee_board_members_not_eea]],6,FALSE))</f>
        <v>55</v>
      </c>
      <c r="E83">
        <f>IF(ISBLANK(General2023[[#This Row],[number_of_committee_board_members]]),"N/A",VLOOKUP(A83,General2023!B:M,10,FALSE))</f>
        <v>10</v>
      </c>
      <c r="F83">
        <f>IFERROR(Data2023[[#This Row],[Number of members]]-Data2023[[#This Row],[Number of active members]], "N/A")</f>
        <v>45</v>
      </c>
      <c r="G83">
        <f>IFERROR(Data2023[[#This Row],[Number of active members]]/Data2023[[#This Row],[Number of members]], "N/A")</f>
        <v>0.18181818181818182</v>
      </c>
      <c r="H83">
        <f>IFERROR(1-Data2023[[#This Row],[Percentage active members]],"N/A")</f>
        <v>0.81818181818181812</v>
      </c>
      <c r="I83" t="str">
        <f>IF(Data2023[[#This Row],[Number of members]]=0,"N/A",IF(Data2023[[#This Row],[Number of members]]&lt;50," A. 1 - 50 ",IF(Data2023[[#This Row],[Number of members]]&lt;100, "B. 50 - 100", IF(Data2023[[#This Row],[Number of members]]&lt;400, "C. 100 - 400", IF(Data2023[[#This Row],[Number of members]]&lt;1000,"D. 400 - 1000", "E. 1000 +")))))</f>
        <v>B. 50 - 100</v>
      </c>
      <c r="J83">
        <f>IF(ISBLANK(General2023[[#This Row],[number_of_international_members_not_eea]]),"N/A",VLOOKUP(A83,General2023[[organisation_name]:[number_of_international_committee_board_members_not_eea]],9,FALSE))</f>
        <v>40</v>
      </c>
      <c r="K83">
        <f>IF(ISBLANK(General2023[[#This Row],[number_of_international_members_eea]]),"N/A",VLOOKUP(A83,General2023[[organisation_name]:[number_of_international_committee_board_members_not_eea]],8,FALSE))</f>
        <v>0</v>
      </c>
      <c r="L83">
        <f>IFERROR(IF(Data2023[[#This Row],[Number of members]]-Data2023[[#This Row],[Non-EEA Total]]-Data2023[[#This Row],[EEA total]]&lt;1,"N/A", Data2023[[#This Row],[Number of members]]-Data2023[[#This Row],[Non-EEA Total]]-Data2023[[#This Row],[EEA total]]),"N/A")</f>
        <v>15</v>
      </c>
      <c r="M83">
        <f>VLOOKUP(A83,General2023[[organisation_name]:[number_of_international_committee_board_members_not_eea]],12,FALSE)</f>
        <v>0</v>
      </c>
      <c r="N83">
        <f>VLOOKUP(A83,General2023[[organisation_name]:[number_of_international_committee_board_members_not_eea]],11,FALSE)</f>
        <v>0</v>
      </c>
      <c r="O83">
        <f>IFERROR(IF(Data2023[[#This Row],[Number of active members]]-Data2023[[#This Row],[Non-EEA Active ]]-Data2023[[#This Row],[EEA Active]]&lt;1,"N/A", Data2023[[#This Row],[Number of active members]]-Data2023[[#This Row],[Non-EEA Active ]]-Data2023[[#This Row],[EEA Active]]),"N/A")</f>
        <v>10</v>
      </c>
      <c r="P83">
        <f>IFERROR(Data2023[[#This Row],[Non-EEA Active ]]/Data2023[[#This Row],[Number of active members]],"N/A")</f>
        <v>0</v>
      </c>
      <c r="Q83" t="str">
        <f>IFERROR(Data2023[[#This Row],[EEA Active]]/Data2023[[#This Row],[EEA total]], "N/A")</f>
        <v>N/A</v>
      </c>
      <c r="R83">
        <f>IFERROR(Data2023[[#This Row],[Dutch Active]]/Data2023[[#This Row],[Dutch total]],"N/A")</f>
        <v>0.66666666666666663</v>
      </c>
      <c r="S83" t="str">
        <f>IFERROR(IF(Data2023[[#This Row],[Number of members]]=Data2023[[#This Row],[Non-EEA Total]]+Data2023[[#This Row],[EEA total]]+Data2023[[#This Row],[Dutch total]],"T","F"),"F")</f>
        <v>T</v>
      </c>
      <c r="T83" t="str">
        <f>IFERROR(IF(Data2023[[#This Row],[Number of active members]]=Data2023[[#This Row],[Non-EEA Active ]]+Data2023[[#This Row],[EEA Active]]+Data2023[[#This Row],[Dutch Active]],"T","F"),"F")</f>
        <v>T</v>
      </c>
      <c r="U83" t="str">
        <f>IFERROR(IF(Data2023[[#This Row],[Number of members]]-Data2023[[#This Row],[Non-EEA Active ]]-Data2023[[#This Row],[EEA Active]]-Data2023[[#This Row],[Dutch Active]]=Data2023[[#This Row],[Number of  inactive members]],"T","F"),"F")</f>
        <v>T</v>
      </c>
      <c r="V83" t="str">
        <f>IF(Data2023[[#This Row],[EEA Active]]&lt;=Data2023[[#This Row],[EEA total]],"T","F")</f>
        <v>T</v>
      </c>
      <c r="W83" t="str">
        <f>IF(Data2023[[#This Row],[Dutch Active]]&lt;=Data2023[[#This Row],[Dutch total]],"T","F")</f>
        <v>T</v>
      </c>
      <c r="X83" t="str">
        <f>IF(Data2023[[#This Row],[Non-EEA Active ]]&lt;=Data2023[[#This Row],[Non-EEA Total]],"T","F")</f>
        <v>T</v>
      </c>
      <c r="Y83"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3" t="str">
        <f>IFERROR(VLOOKUP(Data2023[[#This Row],[organisation_name]],'Division Study Year Committees'!$A$1:$L$108,2,FALSE),"N/A")</f>
        <v>N/A</v>
      </c>
      <c r="AA83" t="str">
        <f>IFERROR(VLOOKUP(Data2023[[#This Row],[organisation_name]],'Division Study Year Committees'!$A$1:$L$108,3,FALSE),"N/A")</f>
        <v>N/A</v>
      </c>
      <c r="AB83" t="str">
        <f>IFERROR(VLOOKUP(Data2023[[#This Row],[organisation_name]],'Division Study Year Committees'!$A$1:$L$108,4,FALSE),"N/A")</f>
        <v>N/A</v>
      </c>
      <c r="AC83" t="str">
        <f>IFERROR(VLOOKUP(Data2023[[#This Row],[organisation_name]],'Division Study Year Committees'!$A$1:$L$108,5,FALSE), "N/A")</f>
        <v>N/A</v>
      </c>
      <c r="AD83" t="str">
        <f>IFERROR(VLOOKUP(Data2023[[#This Row],[organisation_name]],'Division Study Year Committees'!$A$1:$L$108,6,FALSE), "N/A")</f>
        <v>N/A</v>
      </c>
      <c r="AE83">
        <f>SUM(Data2023[[#This Row],[Number of first year comittee members]:[Number of 4+ year comittee members]])</f>
        <v>0</v>
      </c>
      <c r="AF83">
        <f>COUNTIF('Committee2022'!D:D,Data2023[[#This Row],[organisation_name]])</f>
        <v>28</v>
      </c>
      <c r="AG83">
        <v>2023</v>
      </c>
    </row>
    <row r="84" spans="1:33" x14ac:dyDescent="0.3">
      <c r="A84" t="str">
        <f>General2023[[#This Row],[organisation_name]]</f>
        <v>SV De Gevreesde Koe VB</v>
      </c>
      <c r="B84" t="str">
        <f>IF(General2023[[#This Row],[sector]]= "",VLOOKUP(Data2023[[#This Row],[organisation_name]],'Response Rate sheet'!A:D,3,FALSE),General2023[[#This Row],[sector]])</f>
        <v>Social</v>
      </c>
      <c r="C84" t="str">
        <f>General2023[[#This Row],[organisation_type]]</f>
        <v>association</v>
      </c>
      <c r="D84" t="str">
        <f>IF(ISBLANK(General2023[[#This Row],[number_of_members]]),"N/A",VLOOKUP(A84,General2023[[organisation_name]:[number_of_international_committee_board_members_not_eea]],6,FALSE))</f>
        <v>N/A</v>
      </c>
      <c r="E84" t="str">
        <f>IF(ISBLANK(General2023[[#This Row],[number_of_committee_board_members]]),"N/A",VLOOKUP(A84,General2023!B:M,10,FALSE))</f>
        <v>N/A</v>
      </c>
      <c r="F84" t="str">
        <f>IFERROR(Data2023[[#This Row],[Number of members]]-Data2023[[#This Row],[Number of active members]], "N/A")</f>
        <v>N/A</v>
      </c>
      <c r="G84" t="str">
        <f>IFERROR(Data2023[[#This Row],[Number of active members]]/Data2023[[#This Row],[Number of members]], "N/A")</f>
        <v>N/A</v>
      </c>
      <c r="H84" t="str">
        <f>IFERROR(1-Data2023[[#This Row],[Percentage active members]],"N/A")</f>
        <v>N/A</v>
      </c>
      <c r="I84" t="str">
        <f>IF(Data2023[[#This Row],[Number of members]]=0,"N/A",IF(Data2023[[#This Row],[Number of members]]&lt;50," A. 1 - 50 ",IF(Data2023[[#This Row],[Number of members]]&lt;100, "B. 50 - 100", IF(Data2023[[#This Row],[Number of members]]&lt;400, "C. 100 - 400", IF(Data2023[[#This Row],[Number of members]]&lt;1000,"D. 400 - 1000", "E. 1000 +")))))</f>
        <v>E. 1000 +</v>
      </c>
      <c r="J84" t="str">
        <f>IF(ISBLANK(General2023[[#This Row],[number_of_international_members_not_eea]]),"N/A",VLOOKUP(A84,General2023[[organisation_name]:[number_of_international_committee_board_members_not_eea]],9,FALSE))</f>
        <v>N/A</v>
      </c>
      <c r="K84" t="str">
        <f>IF(ISBLANK(General2023[[#This Row],[number_of_international_members_eea]]),"N/A",VLOOKUP(A84,General2023[[organisation_name]:[number_of_international_committee_board_members_not_eea]],8,FALSE))</f>
        <v>N/A</v>
      </c>
      <c r="L84" t="str">
        <f>IFERROR(IF(Data2023[[#This Row],[Number of members]]-Data2023[[#This Row],[Non-EEA Total]]-Data2023[[#This Row],[EEA total]]&lt;1,"N/A", Data2023[[#This Row],[Number of members]]-Data2023[[#This Row],[Non-EEA Total]]-Data2023[[#This Row],[EEA total]]),"N/A")</f>
        <v>N/A</v>
      </c>
      <c r="M84">
        <f>VLOOKUP(A84,General2023[[organisation_name]:[number_of_international_committee_board_members_not_eea]],12,FALSE)</f>
        <v>0</v>
      </c>
      <c r="N84">
        <f>VLOOKUP(A84,General2023[[organisation_name]:[number_of_international_committee_board_members_not_eea]],11,FALSE)</f>
        <v>0</v>
      </c>
      <c r="O84" t="str">
        <f>IFERROR(IF(Data2023[[#This Row],[Number of active members]]-Data2023[[#This Row],[Non-EEA Active ]]-Data2023[[#This Row],[EEA Active]]&lt;1,"N/A", Data2023[[#This Row],[Number of active members]]-Data2023[[#This Row],[Non-EEA Active ]]-Data2023[[#This Row],[EEA Active]]),"N/A")</f>
        <v>N/A</v>
      </c>
      <c r="P84" t="str">
        <f>IFERROR(Data2023[[#This Row],[Non-EEA Active ]]/Data2023[[#This Row],[Number of active members]],"N/A")</f>
        <v>N/A</v>
      </c>
      <c r="Q84" t="str">
        <f>IFERROR(Data2023[[#This Row],[EEA Active]]/Data2023[[#This Row],[EEA total]], "N/A")</f>
        <v>N/A</v>
      </c>
      <c r="R84" t="str">
        <f>IFERROR(Data2023[[#This Row],[Dutch Active]]/Data2023[[#This Row],[Dutch total]],"N/A")</f>
        <v>N/A</v>
      </c>
      <c r="S84" t="str">
        <f>IFERROR(IF(Data2023[[#This Row],[Number of members]]=Data2023[[#This Row],[Non-EEA Total]]+Data2023[[#This Row],[EEA total]]+Data2023[[#This Row],[Dutch total]],"T","F"),"F")</f>
        <v>F</v>
      </c>
      <c r="T84" t="str">
        <f>IFERROR(IF(Data2023[[#This Row],[Number of active members]]=Data2023[[#This Row],[Non-EEA Active ]]+Data2023[[#This Row],[EEA Active]]+Data2023[[#This Row],[Dutch Active]],"T","F"),"F")</f>
        <v>F</v>
      </c>
      <c r="U84" t="str">
        <f>IFERROR(IF(Data2023[[#This Row],[Number of members]]-Data2023[[#This Row],[Non-EEA Active ]]-Data2023[[#This Row],[EEA Active]]-Data2023[[#This Row],[Dutch Active]]=Data2023[[#This Row],[Number of  inactive members]],"T","F"),"F")</f>
        <v>F</v>
      </c>
      <c r="V84" t="str">
        <f>IF(Data2023[[#This Row],[EEA Active]]&lt;=Data2023[[#This Row],[EEA total]],"T","F")</f>
        <v>T</v>
      </c>
      <c r="W84" t="str">
        <f>IF(Data2023[[#This Row],[Dutch Active]]&lt;=Data2023[[#This Row],[Dutch total]],"T","F")</f>
        <v>T</v>
      </c>
      <c r="X84" t="str">
        <f>IF(Data2023[[#This Row],[Non-EEA Active ]]&lt;=Data2023[[#This Row],[Non-EEA Total]],"T","F")</f>
        <v>T</v>
      </c>
      <c r="Y8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84" t="str">
        <f>IFERROR(VLOOKUP(Data2023[[#This Row],[organisation_name]],'Division Study Year Committees'!$A$1:$L$108,2,FALSE),"N/A")</f>
        <v>N/A</v>
      </c>
      <c r="AA84" t="str">
        <f>IFERROR(VLOOKUP(Data2023[[#This Row],[organisation_name]],'Division Study Year Committees'!$A$1:$L$108,3,FALSE),"N/A")</f>
        <v>N/A</v>
      </c>
      <c r="AB84" t="str">
        <f>IFERROR(VLOOKUP(Data2023[[#This Row],[organisation_name]],'Division Study Year Committees'!$A$1:$L$108,4,FALSE),"N/A")</f>
        <v>N/A</v>
      </c>
      <c r="AC84" t="str">
        <f>IFERROR(VLOOKUP(Data2023[[#This Row],[organisation_name]],'Division Study Year Committees'!$A$1:$L$108,5,FALSE), "N/A")</f>
        <v>N/A</v>
      </c>
      <c r="AD84" t="str">
        <f>IFERROR(VLOOKUP(Data2023[[#This Row],[organisation_name]],'Division Study Year Committees'!$A$1:$L$108,6,FALSE), "N/A")</f>
        <v>N/A</v>
      </c>
      <c r="AE84">
        <f>SUM(Data2023[[#This Row],[Number of first year comittee members]:[Number of 4+ year comittee members]])</f>
        <v>0</v>
      </c>
      <c r="AF84">
        <f>COUNTIF('Committee2022'!D:D,Data2023[[#This Row],[organisation_name]])</f>
        <v>0</v>
      </c>
      <c r="AG84">
        <v>2023</v>
      </c>
    </row>
    <row r="85" spans="1:33" x14ac:dyDescent="0.3">
      <c r="A85" t="str">
        <f>General2023[[#This Row],[organisation_name]]</f>
        <v>Navigators studentenvereniging Enschede</v>
      </c>
      <c r="B85" t="str">
        <f>IF(General2023[[#This Row],[sector]]= "",VLOOKUP(Data2023[[#This Row],[organisation_name]],'Response Rate sheet'!A:D,3,FALSE),General2023[[#This Row],[sector]])</f>
        <v>Social</v>
      </c>
      <c r="C85" t="str">
        <f>General2023[[#This Row],[organisation_type]]</f>
        <v>association</v>
      </c>
      <c r="D85">
        <f>IF(ISBLANK(General2023[[#This Row],[number_of_members]]),"N/A",VLOOKUP(A85,General2023[[organisation_name]:[number_of_international_committee_board_members_not_eea]],6,FALSE))</f>
        <v>96</v>
      </c>
      <c r="E85">
        <f>IF(ISBLANK(General2023[[#This Row],[number_of_committee_board_members]]),"N/A",VLOOKUP(A85,General2023!B:M,10,FALSE))</f>
        <v>5</v>
      </c>
      <c r="F85">
        <f>IFERROR(Data2023[[#This Row],[Number of members]]-Data2023[[#This Row],[Number of active members]], "N/A")</f>
        <v>91</v>
      </c>
      <c r="G85">
        <f>IFERROR(Data2023[[#This Row],[Number of active members]]/Data2023[[#This Row],[Number of members]], "N/A")</f>
        <v>5.2083333333333336E-2</v>
      </c>
      <c r="H85">
        <f>IFERROR(1-Data2023[[#This Row],[Percentage active members]],"N/A")</f>
        <v>0.94791666666666663</v>
      </c>
      <c r="I85" t="str">
        <f>IF(Data2023[[#This Row],[Number of members]]=0,"N/A",IF(Data2023[[#This Row],[Number of members]]&lt;50," A. 1 - 50 ",IF(Data2023[[#This Row],[Number of members]]&lt;100, "B. 50 - 100", IF(Data2023[[#This Row],[Number of members]]&lt;400, "C. 100 - 400", IF(Data2023[[#This Row],[Number of members]]&lt;1000,"D. 400 - 1000", "E. 1000 +")))))</f>
        <v>B. 50 - 100</v>
      </c>
      <c r="J85">
        <f>IF(ISBLANK(General2023[[#This Row],[number_of_international_members_not_eea]]),"N/A",VLOOKUP(A85,General2023[[organisation_name]:[number_of_international_committee_board_members_not_eea]],9,FALSE))</f>
        <v>80</v>
      </c>
      <c r="K85">
        <f>IF(ISBLANK(General2023[[#This Row],[number_of_international_members_eea]]),"N/A",VLOOKUP(A85,General2023[[organisation_name]:[number_of_international_committee_board_members_not_eea]],8,FALSE))</f>
        <v>0</v>
      </c>
      <c r="L85">
        <f>IFERROR(IF(Data2023[[#This Row],[Number of members]]-Data2023[[#This Row],[Non-EEA Total]]-Data2023[[#This Row],[EEA total]]&lt;1,"N/A", Data2023[[#This Row],[Number of members]]-Data2023[[#This Row],[Non-EEA Total]]-Data2023[[#This Row],[EEA total]]),"N/A")</f>
        <v>16</v>
      </c>
      <c r="M85">
        <f>VLOOKUP(A85,General2023[[organisation_name]:[number_of_international_committee_board_members_not_eea]],12,FALSE)</f>
        <v>0</v>
      </c>
      <c r="N85">
        <f>VLOOKUP(A85,General2023[[organisation_name]:[number_of_international_committee_board_members_not_eea]],11,FALSE)</f>
        <v>0</v>
      </c>
      <c r="O85">
        <f>IFERROR(IF(Data2023[[#This Row],[Number of active members]]-Data2023[[#This Row],[Non-EEA Active ]]-Data2023[[#This Row],[EEA Active]]&lt;1,"N/A", Data2023[[#This Row],[Number of active members]]-Data2023[[#This Row],[Non-EEA Active ]]-Data2023[[#This Row],[EEA Active]]),"N/A")</f>
        <v>5</v>
      </c>
      <c r="P85">
        <f>IFERROR(Data2023[[#This Row],[Non-EEA Active ]]/Data2023[[#This Row],[Number of active members]],"N/A")</f>
        <v>0</v>
      </c>
      <c r="Q85" t="str">
        <f>IFERROR(Data2023[[#This Row],[EEA Active]]/Data2023[[#This Row],[EEA total]], "N/A")</f>
        <v>N/A</v>
      </c>
      <c r="R85">
        <f>IFERROR(Data2023[[#This Row],[Dutch Active]]/Data2023[[#This Row],[Dutch total]],"N/A")</f>
        <v>0.3125</v>
      </c>
      <c r="S85" t="str">
        <f>IFERROR(IF(Data2023[[#This Row],[Number of members]]=Data2023[[#This Row],[Non-EEA Total]]+Data2023[[#This Row],[EEA total]]+Data2023[[#This Row],[Dutch total]],"T","F"),"F")</f>
        <v>T</v>
      </c>
      <c r="T85" t="str">
        <f>IFERROR(IF(Data2023[[#This Row],[Number of active members]]=Data2023[[#This Row],[Non-EEA Active ]]+Data2023[[#This Row],[EEA Active]]+Data2023[[#This Row],[Dutch Active]],"T","F"),"F")</f>
        <v>T</v>
      </c>
      <c r="U85" t="str">
        <f>IFERROR(IF(Data2023[[#This Row],[Number of members]]-Data2023[[#This Row],[Non-EEA Active ]]-Data2023[[#This Row],[EEA Active]]-Data2023[[#This Row],[Dutch Active]]=Data2023[[#This Row],[Number of  inactive members]],"T","F"),"F")</f>
        <v>T</v>
      </c>
      <c r="V85" t="str">
        <f>IF(Data2023[[#This Row],[EEA Active]]&lt;=Data2023[[#This Row],[EEA total]],"T","F")</f>
        <v>T</v>
      </c>
      <c r="W85" t="str">
        <f>IF(Data2023[[#This Row],[Dutch Active]]&lt;=Data2023[[#This Row],[Dutch total]],"T","F")</f>
        <v>T</v>
      </c>
      <c r="X85" t="str">
        <f>IF(Data2023[[#This Row],[Non-EEA Active ]]&lt;=Data2023[[#This Row],[Non-EEA Total]],"T","F")</f>
        <v>T</v>
      </c>
      <c r="Y85"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5">
        <f>IFERROR(VLOOKUP(Data2023[[#This Row],[organisation_name]],'Division Study Year Committees'!$A$1:$L$108,2,FALSE),"N/A")</f>
        <v>0</v>
      </c>
      <c r="AA85">
        <f>IFERROR(VLOOKUP(Data2023[[#This Row],[organisation_name]],'Division Study Year Committees'!$A$1:$L$108,3,FALSE),"N/A")</f>
        <v>0</v>
      </c>
      <c r="AB85">
        <f>IFERROR(VLOOKUP(Data2023[[#This Row],[organisation_name]],'Division Study Year Committees'!$A$1:$L$108,4,FALSE),"N/A")</f>
        <v>0</v>
      </c>
      <c r="AC85">
        <f>IFERROR(VLOOKUP(Data2023[[#This Row],[organisation_name]],'Division Study Year Committees'!$A$1:$L$108,5,FALSE), "N/A")</f>
        <v>0</v>
      </c>
      <c r="AD85">
        <f>IFERROR(VLOOKUP(Data2023[[#This Row],[organisation_name]],'Division Study Year Committees'!$A$1:$L$108,6,FALSE), "N/A")</f>
        <v>0</v>
      </c>
      <c r="AE85">
        <f>SUM(Data2023[[#This Row],[Number of first year comittee members]:[Number of 4+ year comittee members]])</f>
        <v>0</v>
      </c>
      <c r="AF85">
        <f>COUNTIF('Committee2022'!D:D,Data2023[[#This Row],[organisation_name]])</f>
        <v>26</v>
      </c>
      <c r="AG85">
        <v>2023</v>
      </c>
    </row>
    <row r="86" spans="1:33" x14ac:dyDescent="0.3">
      <c r="A86" t="str">
        <f>General2023[[#This Row],[organisation_name]]</f>
        <v>Jongeren - en Studentenvereniging Exaltio</v>
      </c>
      <c r="B86" t="str">
        <f>IF(General2023[[#This Row],[sector]]= "",VLOOKUP(Data2023[[#This Row],[organisation_name]],'Response Rate sheet'!A:D,3,FALSE),General2023[[#This Row],[sector]])</f>
        <v>Other</v>
      </c>
      <c r="C86" t="str">
        <f>General2023[[#This Row],[organisation_type]]</f>
        <v>association</v>
      </c>
      <c r="D86">
        <f>IF(ISBLANK(General2023[[#This Row],[number_of_members]]),"N/A",VLOOKUP(A86,General2023[[organisation_name]:[number_of_international_committee_board_members_not_eea]],6,FALSE))</f>
        <v>170</v>
      </c>
      <c r="E86">
        <f>IF(ISBLANK(General2023[[#This Row],[number_of_committee_board_members]]),"N/A",VLOOKUP(A86,General2023!B:M,10,FALSE))</f>
        <v>30</v>
      </c>
      <c r="F86">
        <f>IFERROR(Data2023[[#This Row],[Number of members]]-Data2023[[#This Row],[Number of active members]], "N/A")</f>
        <v>140</v>
      </c>
      <c r="G86">
        <f>IFERROR(Data2023[[#This Row],[Number of active members]]/Data2023[[#This Row],[Number of members]], "N/A")</f>
        <v>0.17647058823529413</v>
      </c>
      <c r="H86">
        <f>IFERROR(1-Data2023[[#This Row],[Percentage active members]],"N/A")</f>
        <v>0.82352941176470584</v>
      </c>
      <c r="I86" t="str">
        <f>IF(Data2023[[#This Row],[Number of members]]=0,"N/A",IF(Data2023[[#This Row],[Number of members]]&lt;50," A. 1 - 50 ",IF(Data2023[[#This Row],[Number of members]]&lt;100, "B. 50 - 100", IF(Data2023[[#This Row],[Number of members]]&lt;400, "C. 100 - 400", IF(Data2023[[#This Row],[Number of members]]&lt;1000,"D. 400 - 1000", "E. 1000 +")))))</f>
        <v>C. 100 - 400</v>
      </c>
      <c r="J86">
        <f>IF(ISBLANK(General2023[[#This Row],[number_of_international_members_not_eea]]),"N/A",VLOOKUP(A86,General2023[[organisation_name]:[number_of_international_committee_board_members_not_eea]],9,FALSE))</f>
        <v>30</v>
      </c>
      <c r="K86">
        <f>IF(ISBLANK(General2023[[#This Row],[number_of_international_members_eea]]),"N/A",VLOOKUP(A86,General2023[[organisation_name]:[number_of_international_committee_board_members_not_eea]],8,FALSE))</f>
        <v>10</v>
      </c>
      <c r="L86">
        <f>IFERROR(IF(Data2023[[#This Row],[Number of members]]-Data2023[[#This Row],[Non-EEA Total]]-Data2023[[#This Row],[EEA total]]&lt;1,"N/A", Data2023[[#This Row],[Number of members]]-Data2023[[#This Row],[Non-EEA Total]]-Data2023[[#This Row],[EEA total]]),"N/A")</f>
        <v>130</v>
      </c>
      <c r="M86">
        <f>VLOOKUP(A86,General2023[[organisation_name]:[number_of_international_committee_board_members_not_eea]],12,FALSE)</f>
        <v>1</v>
      </c>
      <c r="N86">
        <f>VLOOKUP(A86,General2023[[organisation_name]:[number_of_international_committee_board_members_not_eea]],11,FALSE)</f>
        <v>8</v>
      </c>
      <c r="O86">
        <f>IFERROR(IF(Data2023[[#This Row],[Number of active members]]-Data2023[[#This Row],[Non-EEA Active ]]-Data2023[[#This Row],[EEA Active]]&lt;1,"N/A", Data2023[[#This Row],[Number of active members]]-Data2023[[#This Row],[Non-EEA Active ]]-Data2023[[#This Row],[EEA Active]]),"N/A")</f>
        <v>21</v>
      </c>
      <c r="P86">
        <f>IFERROR(Data2023[[#This Row],[Non-EEA Active ]]/Data2023[[#This Row],[Number of active members]],"N/A")</f>
        <v>3.3333333333333333E-2</v>
      </c>
      <c r="Q86">
        <f>IFERROR(Data2023[[#This Row],[EEA Active]]/Data2023[[#This Row],[EEA total]], "N/A")</f>
        <v>0.8</v>
      </c>
      <c r="R86">
        <f>IFERROR(Data2023[[#This Row],[Dutch Active]]/Data2023[[#This Row],[Dutch total]],"N/A")</f>
        <v>0.16153846153846155</v>
      </c>
      <c r="S86" t="str">
        <f>IFERROR(IF(Data2023[[#This Row],[Number of members]]=Data2023[[#This Row],[Non-EEA Total]]+Data2023[[#This Row],[EEA total]]+Data2023[[#This Row],[Dutch total]],"T","F"),"F")</f>
        <v>T</v>
      </c>
      <c r="T86" t="str">
        <f>IFERROR(IF(Data2023[[#This Row],[Number of active members]]=Data2023[[#This Row],[Non-EEA Active ]]+Data2023[[#This Row],[EEA Active]]+Data2023[[#This Row],[Dutch Active]],"T","F"),"F")</f>
        <v>T</v>
      </c>
      <c r="U86" t="str">
        <f>IFERROR(IF(Data2023[[#This Row],[Number of members]]-Data2023[[#This Row],[Non-EEA Active ]]-Data2023[[#This Row],[EEA Active]]-Data2023[[#This Row],[Dutch Active]]=Data2023[[#This Row],[Number of  inactive members]],"T","F"),"F")</f>
        <v>T</v>
      </c>
      <c r="V86" t="str">
        <f>IF(Data2023[[#This Row],[EEA Active]]&lt;=Data2023[[#This Row],[EEA total]],"T","F")</f>
        <v>T</v>
      </c>
      <c r="W86" t="str">
        <f>IF(Data2023[[#This Row],[Dutch Active]]&lt;=Data2023[[#This Row],[Dutch total]],"T","F")</f>
        <v>T</v>
      </c>
      <c r="X86" t="str">
        <f>IF(Data2023[[#This Row],[Non-EEA Active ]]&lt;=Data2023[[#This Row],[Non-EEA Total]],"T","F")</f>
        <v>T</v>
      </c>
      <c r="Y8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86" t="str">
        <f>IFERROR(VLOOKUP(Data2023[[#This Row],[organisation_name]],'Division Study Year Committees'!$A$1:$L$108,2,FALSE),"N/A")</f>
        <v>N/A</v>
      </c>
      <c r="AA86" t="str">
        <f>IFERROR(VLOOKUP(Data2023[[#This Row],[organisation_name]],'Division Study Year Committees'!$A$1:$L$108,3,FALSE),"N/A")</f>
        <v>N/A</v>
      </c>
      <c r="AB86" t="str">
        <f>IFERROR(VLOOKUP(Data2023[[#This Row],[organisation_name]],'Division Study Year Committees'!$A$1:$L$108,4,FALSE),"N/A")</f>
        <v>N/A</v>
      </c>
      <c r="AC86" t="str">
        <f>IFERROR(VLOOKUP(Data2023[[#This Row],[organisation_name]],'Division Study Year Committees'!$A$1:$L$108,5,FALSE), "N/A")</f>
        <v>N/A</v>
      </c>
      <c r="AD86" t="str">
        <f>IFERROR(VLOOKUP(Data2023[[#This Row],[organisation_name]],'Division Study Year Committees'!$A$1:$L$108,6,FALSE), "N/A")</f>
        <v>N/A</v>
      </c>
      <c r="AE86">
        <f>SUM(Data2023[[#This Row],[Number of first year comittee members]:[Number of 4+ year comittee members]])</f>
        <v>0</v>
      </c>
      <c r="AF86">
        <f>COUNTIF('Committee2022'!D:D,Data2023[[#This Row],[organisation_name]])</f>
        <v>0</v>
      </c>
      <c r="AG86">
        <v>2023</v>
      </c>
    </row>
    <row r="87" spans="1:33" x14ac:dyDescent="0.3">
      <c r="A87" t="str">
        <f>General2023[[#This Row],[organisation_name]]</f>
        <v>ISA AT UT</v>
      </c>
      <c r="B87" t="str">
        <f>IF(General2023[[#This Row],[sector]]= "",VLOOKUP(Data2023[[#This Row],[organisation_name]],'Response Rate sheet'!A:D,3,FALSE),General2023[[#This Row],[sector]])</f>
        <v>World</v>
      </c>
      <c r="C87" t="str">
        <f>General2023[[#This Row],[organisation_type]]</f>
        <v>association</v>
      </c>
      <c r="D87" t="str">
        <f>IF(ISBLANK(General2023[[#This Row],[number_of_members]]),"N/A",VLOOKUP(A87,General2023[[organisation_name]:[number_of_international_committee_board_members_not_eea]],6,FALSE))</f>
        <v>N/A</v>
      </c>
      <c r="E87" t="str">
        <f>IF(ISBLANK(General2023[[#This Row],[number_of_committee_board_members]]),"N/A",VLOOKUP(A87,General2023!B:M,10,FALSE))</f>
        <v>N/A</v>
      </c>
      <c r="F87" t="str">
        <f>IFERROR(Data2023[[#This Row],[Number of members]]-Data2023[[#This Row],[Number of active members]], "N/A")</f>
        <v>N/A</v>
      </c>
      <c r="G87" t="str">
        <f>IFERROR(Data2023[[#This Row],[Number of active members]]/Data2023[[#This Row],[Number of members]], "N/A")</f>
        <v>N/A</v>
      </c>
      <c r="H87" t="str">
        <f>IFERROR(1-Data2023[[#This Row],[Percentage active members]],"N/A")</f>
        <v>N/A</v>
      </c>
      <c r="I87" t="str">
        <f>IF(Data2023[[#This Row],[Number of members]]=0,"N/A",IF(Data2023[[#This Row],[Number of members]]&lt;50," A. 1 - 50 ",IF(Data2023[[#This Row],[Number of members]]&lt;100, "B. 50 - 100", IF(Data2023[[#This Row],[Number of members]]&lt;400, "C. 100 - 400", IF(Data2023[[#This Row],[Number of members]]&lt;1000,"D. 400 - 1000", "E. 1000 +")))))</f>
        <v>E. 1000 +</v>
      </c>
      <c r="J87" t="str">
        <f>IF(ISBLANK(General2023[[#This Row],[number_of_international_members_not_eea]]),"N/A",VLOOKUP(A87,General2023[[organisation_name]:[number_of_international_committee_board_members_not_eea]],9,FALSE))</f>
        <v>N/A</v>
      </c>
      <c r="K87" t="str">
        <f>IF(ISBLANK(General2023[[#This Row],[number_of_international_members_eea]]),"N/A",VLOOKUP(A87,General2023[[organisation_name]:[number_of_international_committee_board_members_not_eea]],8,FALSE))</f>
        <v>N/A</v>
      </c>
      <c r="L87" t="str">
        <f>IFERROR(IF(Data2023[[#This Row],[Number of members]]-Data2023[[#This Row],[Non-EEA Total]]-Data2023[[#This Row],[EEA total]]&lt;1,"N/A", Data2023[[#This Row],[Number of members]]-Data2023[[#This Row],[Non-EEA Total]]-Data2023[[#This Row],[EEA total]]),"N/A")</f>
        <v>N/A</v>
      </c>
      <c r="M87">
        <f>VLOOKUP(A87,General2023[[organisation_name]:[number_of_international_committee_board_members_not_eea]],12,FALSE)</f>
        <v>0</v>
      </c>
      <c r="N87">
        <f>VLOOKUP(A87,General2023[[organisation_name]:[number_of_international_committee_board_members_not_eea]],11,FALSE)</f>
        <v>0</v>
      </c>
      <c r="O87" t="str">
        <f>IFERROR(IF(Data2023[[#This Row],[Number of active members]]-Data2023[[#This Row],[Non-EEA Active ]]-Data2023[[#This Row],[EEA Active]]&lt;1,"N/A", Data2023[[#This Row],[Number of active members]]-Data2023[[#This Row],[Non-EEA Active ]]-Data2023[[#This Row],[EEA Active]]),"N/A")</f>
        <v>N/A</v>
      </c>
      <c r="P87" t="str">
        <f>IFERROR(Data2023[[#This Row],[Non-EEA Active ]]/Data2023[[#This Row],[Number of active members]],"N/A")</f>
        <v>N/A</v>
      </c>
      <c r="Q87" t="str">
        <f>IFERROR(Data2023[[#This Row],[EEA Active]]/Data2023[[#This Row],[EEA total]], "N/A")</f>
        <v>N/A</v>
      </c>
      <c r="R87" t="str">
        <f>IFERROR(Data2023[[#This Row],[Dutch Active]]/Data2023[[#This Row],[Dutch total]],"N/A")</f>
        <v>N/A</v>
      </c>
      <c r="S87" t="str">
        <f>IFERROR(IF(Data2023[[#This Row],[Number of members]]=Data2023[[#This Row],[Non-EEA Total]]+Data2023[[#This Row],[EEA total]]+Data2023[[#This Row],[Dutch total]],"T","F"),"F")</f>
        <v>F</v>
      </c>
      <c r="T87" t="str">
        <f>IFERROR(IF(Data2023[[#This Row],[Number of active members]]=Data2023[[#This Row],[Non-EEA Active ]]+Data2023[[#This Row],[EEA Active]]+Data2023[[#This Row],[Dutch Active]],"T","F"),"F")</f>
        <v>F</v>
      </c>
      <c r="U87" t="str">
        <f>IFERROR(IF(Data2023[[#This Row],[Number of members]]-Data2023[[#This Row],[Non-EEA Active ]]-Data2023[[#This Row],[EEA Active]]-Data2023[[#This Row],[Dutch Active]]=Data2023[[#This Row],[Number of  inactive members]],"T","F"),"F")</f>
        <v>F</v>
      </c>
      <c r="V87" t="str">
        <f>IF(Data2023[[#This Row],[EEA Active]]&lt;=Data2023[[#This Row],[EEA total]],"T","F")</f>
        <v>T</v>
      </c>
      <c r="W87" t="str">
        <f>IF(Data2023[[#This Row],[Dutch Active]]&lt;=Data2023[[#This Row],[Dutch total]],"T","F")</f>
        <v>T</v>
      </c>
      <c r="X87" t="str">
        <f>IF(Data2023[[#This Row],[Non-EEA Active ]]&lt;=Data2023[[#This Row],[Non-EEA Total]],"T","F")</f>
        <v>T</v>
      </c>
      <c r="Y8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87" t="str">
        <f>IFERROR(VLOOKUP(Data2023[[#This Row],[organisation_name]],'Division Study Year Committees'!$A$1:$L$108,2,FALSE),"N/A")</f>
        <v>N/A</v>
      </c>
      <c r="AA87" t="str">
        <f>IFERROR(VLOOKUP(Data2023[[#This Row],[organisation_name]],'Division Study Year Committees'!$A$1:$L$108,3,FALSE),"N/A")</f>
        <v>N/A</v>
      </c>
      <c r="AB87" t="str">
        <f>IFERROR(VLOOKUP(Data2023[[#This Row],[organisation_name]],'Division Study Year Committees'!$A$1:$L$108,4,FALSE),"N/A")</f>
        <v>N/A</v>
      </c>
      <c r="AC87" t="str">
        <f>IFERROR(VLOOKUP(Data2023[[#This Row],[organisation_name]],'Division Study Year Committees'!$A$1:$L$108,5,FALSE), "N/A")</f>
        <v>N/A</v>
      </c>
      <c r="AD87" t="str">
        <f>IFERROR(VLOOKUP(Data2023[[#This Row],[organisation_name]],'Division Study Year Committees'!$A$1:$L$108,6,FALSE), "N/A")</f>
        <v>N/A</v>
      </c>
      <c r="AE87">
        <f>SUM(Data2023[[#This Row],[Number of first year comittee members]:[Number of 4+ year comittee members]])</f>
        <v>0</v>
      </c>
      <c r="AF87">
        <f>COUNTIF('Committee2022'!D:D,Data2023[[#This Row],[organisation_name]])</f>
        <v>0</v>
      </c>
      <c r="AG87">
        <v>2023</v>
      </c>
    </row>
    <row r="88" spans="1:33" x14ac:dyDescent="0.3">
      <c r="A88" t="str">
        <f>General2023[[#This Row],[organisation_name]]</f>
        <v>Student Union</v>
      </c>
      <c r="B88" t="str">
        <f>IF(General2023[[#This Row],[sector]]= "",VLOOKUP(Data2023[[#This Row],[organisation_name]],'Response Rate sheet'!A:D,3,FALSE),General2023[[#This Row],[sector]])</f>
        <v>Other</v>
      </c>
      <c r="C88" t="str">
        <f>General2023[[#This Row],[organisation_type]]</f>
        <v>foundation</v>
      </c>
      <c r="D88">
        <f>IF(ISBLANK(General2023[[#This Row],[number_of_members]]),"N/A",VLOOKUP(A88,General2023[[organisation_name]:[number_of_international_committee_board_members_not_eea]],6,FALSE))</f>
        <v>6</v>
      </c>
      <c r="E88">
        <f>IF(ISBLANK(General2023[[#This Row],[number_of_committee_board_members]]),"N/A",VLOOKUP(A88,General2023!B:M,10,FALSE))</f>
        <v>0</v>
      </c>
      <c r="F88">
        <f>IFERROR(Data2023[[#This Row],[Number of members]]-Data2023[[#This Row],[Number of active members]], "N/A")</f>
        <v>6</v>
      </c>
      <c r="G88">
        <f>IFERROR(Data2023[[#This Row],[Number of active members]]/Data2023[[#This Row],[Number of members]], "N/A")</f>
        <v>0</v>
      </c>
      <c r="H88">
        <f>IFERROR(1-Data2023[[#This Row],[Percentage active members]],"N/A")</f>
        <v>1</v>
      </c>
      <c r="I88"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88">
        <f>IF(ISBLANK(General2023[[#This Row],[number_of_international_members_not_eea]]),"N/A",VLOOKUP(A88,General2023[[organisation_name]:[number_of_international_committee_board_members_not_eea]],9,FALSE))</f>
        <v>0</v>
      </c>
      <c r="K88">
        <f>IF(ISBLANK(General2023[[#This Row],[number_of_international_members_eea]]),"N/A",VLOOKUP(A88,General2023[[organisation_name]:[number_of_international_committee_board_members_not_eea]],8,FALSE))</f>
        <v>0</v>
      </c>
      <c r="L88">
        <f>IFERROR(IF(Data2023[[#This Row],[Number of members]]-Data2023[[#This Row],[Non-EEA Total]]-Data2023[[#This Row],[EEA total]]&lt;1,"N/A", Data2023[[#This Row],[Number of members]]-Data2023[[#This Row],[Non-EEA Total]]-Data2023[[#This Row],[EEA total]]),"N/A")</f>
        <v>6</v>
      </c>
      <c r="M88">
        <f>VLOOKUP(A88,General2023[[organisation_name]:[number_of_international_committee_board_members_not_eea]],12,FALSE)</f>
        <v>0</v>
      </c>
      <c r="N88">
        <f>VLOOKUP(A88,General2023[[organisation_name]:[number_of_international_committee_board_members_not_eea]],11,FALSE)</f>
        <v>0</v>
      </c>
      <c r="O88" t="str">
        <f>IFERROR(IF(Data2023[[#This Row],[Number of active members]]-Data2023[[#This Row],[Non-EEA Active ]]-Data2023[[#This Row],[EEA Active]]&lt;1,"N/A", Data2023[[#This Row],[Number of active members]]-Data2023[[#This Row],[Non-EEA Active ]]-Data2023[[#This Row],[EEA Active]]),"N/A")</f>
        <v>N/A</v>
      </c>
      <c r="P88" t="str">
        <f>IFERROR(Data2023[[#This Row],[Non-EEA Active ]]/Data2023[[#This Row],[Number of active members]],"N/A")</f>
        <v>N/A</v>
      </c>
      <c r="Q88" t="str">
        <f>IFERROR(Data2023[[#This Row],[EEA Active]]/Data2023[[#This Row],[EEA total]], "N/A")</f>
        <v>N/A</v>
      </c>
      <c r="R88" t="str">
        <f>IFERROR(Data2023[[#This Row],[Dutch Active]]/Data2023[[#This Row],[Dutch total]],"N/A")</f>
        <v>N/A</v>
      </c>
      <c r="S88" t="str">
        <f>IFERROR(IF(Data2023[[#This Row],[Number of members]]=Data2023[[#This Row],[Non-EEA Total]]+Data2023[[#This Row],[EEA total]]+Data2023[[#This Row],[Dutch total]],"T","F"),"F")</f>
        <v>T</v>
      </c>
      <c r="T88" t="str">
        <f>IFERROR(IF(Data2023[[#This Row],[Number of active members]]=Data2023[[#This Row],[Non-EEA Active ]]+Data2023[[#This Row],[EEA Active]]+Data2023[[#This Row],[Dutch Active]],"T","F"),"F")</f>
        <v>F</v>
      </c>
      <c r="U88" t="str">
        <f>IFERROR(IF(Data2023[[#This Row],[Number of members]]-Data2023[[#This Row],[Non-EEA Active ]]-Data2023[[#This Row],[EEA Active]]-Data2023[[#This Row],[Dutch Active]]=Data2023[[#This Row],[Number of  inactive members]],"T","F"),"F")</f>
        <v>F</v>
      </c>
      <c r="V88" t="str">
        <f>IF(Data2023[[#This Row],[EEA Active]]&lt;=Data2023[[#This Row],[EEA total]],"T","F")</f>
        <v>T</v>
      </c>
      <c r="W88" t="str">
        <f>IF(Data2023[[#This Row],[Dutch Active]]&lt;=Data2023[[#This Row],[Dutch total]],"T","F")</f>
        <v>F</v>
      </c>
      <c r="X88" t="str">
        <f>IF(Data2023[[#This Row],[Non-EEA Active ]]&lt;=Data2023[[#This Row],[Non-EEA Total]],"T","F")</f>
        <v>T</v>
      </c>
      <c r="Y8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88">
        <f>IFERROR(VLOOKUP(Data2023[[#This Row],[organisation_name]],'Division Study Year Committees'!$A$1:$L$108,2,FALSE),"N/A")</f>
        <v>0</v>
      </c>
      <c r="AA88">
        <f>IFERROR(VLOOKUP(Data2023[[#This Row],[organisation_name]],'Division Study Year Committees'!$A$1:$L$108,3,FALSE),"N/A")</f>
        <v>5</v>
      </c>
      <c r="AB88">
        <f>IFERROR(VLOOKUP(Data2023[[#This Row],[organisation_name]],'Division Study Year Committees'!$A$1:$L$108,4,FALSE),"N/A")</f>
        <v>12</v>
      </c>
      <c r="AC88">
        <f>IFERROR(VLOOKUP(Data2023[[#This Row],[organisation_name]],'Division Study Year Committees'!$A$1:$L$108,5,FALSE), "N/A")</f>
        <v>8</v>
      </c>
      <c r="AD88">
        <f>IFERROR(VLOOKUP(Data2023[[#This Row],[organisation_name]],'Division Study Year Committees'!$A$1:$L$108,6,FALSE), "N/A")</f>
        <v>1</v>
      </c>
      <c r="AE88">
        <f>SUM(Data2023[[#This Row],[Number of first year comittee members]:[Number of 4+ year comittee members]])</f>
        <v>26</v>
      </c>
      <c r="AF88">
        <f>COUNTIF('Committee2022'!D:D,Data2023[[#This Row],[organisation_name]])</f>
        <v>5</v>
      </c>
      <c r="AG88">
        <v>2023</v>
      </c>
    </row>
    <row r="89" spans="1:33" x14ac:dyDescent="0.3">
      <c r="A89" t="str">
        <f>General2023[[#This Row],[organisation_name]]</f>
        <v>LA Voz</v>
      </c>
      <c r="B89" t="str">
        <f>IF(General2023[[#This Row],[sector]]= "",VLOOKUP(Data2023[[#This Row],[organisation_name]],'Response Rate sheet'!A:D,3,FALSE),General2023[[#This Row],[sector]])</f>
        <v>Culture</v>
      </c>
      <c r="C89" t="str">
        <f>General2023[[#This Row],[organisation_type]]</f>
        <v>association</v>
      </c>
      <c r="D89">
        <f>IF(ISBLANK(General2023[[#This Row],[number_of_members]]),"N/A",VLOOKUP(A89,General2023[[organisation_name]:[number_of_international_committee_board_members_not_eea]],6,FALSE))</f>
        <v>65</v>
      </c>
      <c r="E89">
        <f>IF(ISBLANK(General2023[[#This Row],[number_of_committee_board_members]]),"N/A",VLOOKUP(A89,General2023!B:M,10,FALSE))</f>
        <v>2</v>
      </c>
      <c r="F89">
        <f>IFERROR(Data2023[[#This Row],[Number of members]]-Data2023[[#This Row],[Number of active members]], "N/A")</f>
        <v>63</v>
      </c>
      <c r="G89">
        <f>IFERROR(Data2023[[#This Row],[Number of active members]]/Data2023[[#This Row],[Number of members]], "N/A")</f>
        <v>3.0769230769230771E-2</v>
      </c>
      <c r="H89">
        <f>IFERROR(1-Data2023[[#This Row],[Percentage active members]],"N/A")</f>
        <v>0.96923076923076923</v>
      </c>
      <c r="I89" t="str">
        <f>IF(Data2023[[#This Row],[Number of members]]=0,"N/A",IF(Data2023[[#This Row],[Number of members]]&lt;50," A. 1 - 50 ",IF(Data2023[[#This Row],[Number of members]]&lt;100, "B. 50 - 100", IF(Data2023[[#This Row],[Number of members]]&lt;400, "C. 100 - 400", IF(Data2023[[#This Row],[Number of members]]&lt;1000,"D. 400 - 1000", "E. 1000 +")))))</f>
        <v>B. 50 - 100</v>
      </c>
      <c r="J89">
        <f>IF(ISBLANK(General2023[[#This Row],[number_of_international_members_not_eea]]),"N/A",VLOOKUP(A89,General2023[[organisation_name]:[number_of_international_committee_board_members_not_eea]],9,FALSE))</f>
        <v>5</v>
      </c>
      <c r="K89">
        <f>IF(ISBLANK(General2023[[#This Row],[number_of_international_members_eea]]),"N/A",VLOOKUP(A89,General2023[[organisation_name]:[number_of_international_committee_board_members_not_eea]],8,FALSE))</f>
        <v>50</v>
      </c>
      <c r="L89">
        <f>IFERROR(IF(Data2023[[#This Row],[Number of members]]-Data2023[[#This Row],[Non-EEA Total]]-Data2023[[#This Row],[EEA total]]&lt;1,"N/A", Data2023[[#This Row],[Number of members]]-Data2023[[#This Row],[Non-EEA Total]]-Data2023[[#This Row],[EEA total]]),"N/A")</f>
        <v>10</v>
      </c>
      <c r="M89">
        <f>VLOOKUP(A89,General2023[[organisation_name]:[number_of_international_committee_board_members_not_eea]],12,FALSE)</f>
        <v>4</v>
      </c>
      <c r="N89">
        <f>VLOOKUP(A89,General2023[[organisation_name]:[number_of_international_committee_board_members_not_eea]],11,FALSE)</f>
        <v>0</v>
      </c>
      <c r="O89" t="str">
        <f>IFERROR(IF(Data2023[[#This Row],[Number of active members]]-Data2023[[#This Row],[Non-EEA Active ]]-Data2023[[#This Row],[EEA Active]]&lt;1,"N/A", Data2023[[#This Row],[Number of active members]]-Data2023[[#This Row],[Non-EEA Active ]]-Data2023[[#This Row],[EEA Active]]),"N/A")</f>
        <v>N/A</v>
      </c>
      <c r="P89">
        <f>IFERROR(Data2023[[#This Row],[Non-EEA Active ]]/Data2023[[#This Row],[Number of active members]],"N/A")</f>
        <v>2</v>
      </c>
      <c r="Q89">
        <f>IFERROR(Data2023[[#This Row],[EEA Active]]/Data2023[[#This Row],[EEA total]], "N/A")</f>
        <v>0</v>
      </c>
      <c r="R89" t="str">
        <f>IFERROR(Data2023[[#This Row],[Dutch Active]]/Data2023[[#This Row],[Dutch total]],"N/A")</f>
        <v>N/A</v>
      </c>
      <c r="S89" t="str">
        <f>IFERROR(IF(Data2023[[#This Row],[Number of members]]=Data2023[[#This Row],[Non-EEA Total]]+Data2023[[#This Row],[EEA total]]+Data2023[[#This Row],[Dutch total]],"T","F"),"F")</f>
        <v>T</v>
      </c>
      <c r="T89" t="str">
        <f>IFERROR(IF(Data2023[[#This Row],[Number of active members]]=Data2023[[#This Row],[Non-EEA Active ]]+Data2023[[#This Row],[EEA Active]]+Data2023[[#This Row],[Dutch Active]],"T","F"),"F")</f>
        <v>F</v>
      </c>
      <c r="U89" t="str">
        <f>IFERROR(IF(Data2023[[#This Row],[Number of members]]-Data2023[[#This Row],[Non-EEA Active ]]-Data2023[[#This Row],[EEA Active]]-Data2023[[#This Row],[Dutch Active]]=Data2023[[#This Row],[Number of  inactive members]],"T","F"),"F")</f>
        <v>F</v>
      </c>
      <c r="V89" t="str">
        <f>IF(Data2023[[#This Row],[EEA Active]]&lt;=Data2023[[#This Row],[EEA total]],"T","F")</f>
        <v>T</v>
      </c>
      <c r="W89" t="str">
        <f>IF(Data2023[[#This Row],[Dutch Active]]&lt;=Data2023[[#This Row],[Dutch total]],"T","F")</f>
        <v>F</v>
      </c>
      <c r="X89" t="str">
        <f>IF(Data2023[[#This Row],[Non-EEA Active ]]&lt;=Data2023[[#This Row],[Non-EEA Total]],"T","F")</f>
        <v>T</v>
      </c>
      <c r="Y8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89" t="str">
        <f>IFERROR(VLOOKUP(Data2023[[#This Row],[organisation_name]],'Division Study Year Committees'!$A$1:$L$108,2,FALSE),"N/A")</f>
        <v>N/A</v>
      </c>
      <c r="AA89" t="str">
        <f>IFERROR(VLOOKUP(Data2023[[#This Row],[organisation_name]],'Division Study Year Committees'!$A$1:$L$108,3,FALSE),"N/A")</f>
        <v>N/A</v>
      </c>
      <c r="AB89" t="str">
        <f>IFERROR(VLOOKUP(Data2023[[#This Row],[organisation_name]],'Division Study Year Committees'!$A$1:$L$108,4,FALSE),"N/A")</f>
        <v>N/A</v>
      </c>
      <c r="AC89" t="str">
        <f>IFERROR(VLOOKUP(Data2023[[#This Row],[organisation_name]],'Division Study Year Committees'!$A$1:$L$108,5,FALSE), "N/A")</f>
        <v>N/A</v>
      </c>
      <c r="AD89" t="str">
        <f>IFERROR(VLOOKUP(Data2023[[#This Row],[organisation_name]],'Division Study Year Committees'!$A$1:$L$108,6,FALSE), "N/A")</f>
        <v>N/A</v>
      </c>
      <c r="AE89">
        <f>SUM(Data2023[[#This Row],[Number of first year comittee members]:[Number of 4+ year comittee members]])</f>
        <v>0</v>
      </c>
      <c r="AF89">
        <f>COUNTIF('Committee2022'!D:D,Data2023[[#This Row],[organisation_name]])</f>
        <v>1</v>
      </c>
      <c r="AG89">
        <v>2023</v>
      </c>
    </row>
    <row r="90" spans="1:33" x14ac:dyDescent="0.3">
      <c r="A90" t="str">
        <f>General2023[[#This Row],[organisation_name]]</f>
        <v>ESN Twente</v>
      </c>
      <c r="B90" t="str">
        <f>IF(General2023[[#This Row],[sector]]= "",VLOOKUP(Data2023[[#This Row],[organisation_name]],'Response Rate sheet'!A:D,3,FALSE),General2023[[#This Row],[sector]])</f>
        <v>World</v>
      </c>
      <c r="C90" t="str">
        <f>General2023[[#This Row],[organisation_type]]</f>
        <v>foundation</v>
      </c>
      <c r="D90">
        <f>IF(ISBLANK(General2023[[#This Row],[number_of_members]]),"N/A",VLOOKUP(A90,General2023[[organisation_name]:[number_of_international_committee_board_members_not_eea]],6,FALSE))</f>
        <v>0</v>
      </c>
      <c r="E90" t="str">
        <f>IF(ISBLANK(General2023[[#This Row],[number_of_committee_board_members]]),"N/A",VLOOKUP(A90,General2023!B:M,10,FALSE))</f>
        <v>N/A</v>
      </c>
      <c r="F90" t="str">
        <f>IFERROR(Data2023[[#This Row],[Number of members]]-Data2023[[#This Row],[Number of active members]], "N/A")</f>
        <v>N/A</v>
      </c>
      <c r="G90" t="str">
        <f>IFERROR(Data2023[[#This Row],[Number of active members]]/Data2023[[#This Row],[Number of members]], "N/A")</f>
        <v>N/A</v>
      </c>
      <c r="H90" t="str">
        <f>IFERROR(1-Data2023[[#This Row],[Percentage active members]],"N/A")</f>
        <v>N/A</v>
      </c>
      <c r="I90" t="str">
        <f>IF(Data2023[[#This Row],[Number of members]]=0,"N/A",IF(Data2023[[#This Row],[Number of members]]&lt;50," A. 1 - 50 ",IF(Data2023[[#This Row],[Number of members]]&lt;100, "B. 50 - 100", IF(Data2023[[#This Row],[Number of members]]&lt;400, "C. 100 - 400", IF(Data2023[[#This Row],[Number of members]]&lt;1000,"D. 400 - 1000", "E. 1000 +")))))</f>
        <v>N/A</v>
      </c>
      <c r="J90" t="str">
        <f>IF(ISBLANK(General2023[[#This Row],[number_of_international_members_not_eea]]),"N/A",VLOOKUP(A90,General2023[[organisation_name]:[number_of_international_committee_board_members_not_eea]],9,FALSE))</f>
        <v>N/A</v>
      </c>
      <c r="K90">
        <f>IF(ISBLANK(General2023[[#This Row],[number_of_international_members_eea]]),"N/A",VLOOKUP(A90,General2023[[organisation_name]:[number_of_international_committee_board_members_not_eea]],8,FALSE))</f>
        <v>0</v>
      </c>
      <c r="L90" t="str">
        <f>IFERROR(IF(Data2023[[#This Row],[Number of members]]-Data2023[[#This Row],[Non-EEA Total]]-Data2023[[#This Row],[EEA total]]&lt;1,"N/A", Data2023[[#This Row],[Number of members]]-Data2023[[#This Row],[Non-EEA Total]]-Data2023[[#This Row],[EEA total]]),"N/A")</f>
        <v>N/A</v>
      </c>
      <c r="M90">
        <f>VLOOKUP(A90,General2023[[organisation_name]:[number_of_international_committee_board_members_not_eea]],12,FALSE)</f>
        <v>0</v>
      </c>
      <c r="N90">
        <f>VLOOKUP(A90,General2023[[organisation_name]:[number_of_international_committee_board_members_not_eea]],11,FALSE)</f>
        <v>0</v>
      </c>
      <c r="O90" t="str">
        <f>IFERROR(IF(Data2023[[#This Row],[Number of active members]]-Data2023[[#This Row],[Non-EEA Active ]]-Data2023[[#This Row],[EEA Active]]&lt;1,"N/A", Data2023[[#This Row],[Number of active members]]-Data2023[[#This Row],[Non-EEA Active ]]-Data2023[[#This Row],[EEA Active]]),"N/A")</f>
        <v>N/A</v>
      </c>
      <c r="P90" t="str">
        <f>IFERROR(Data2023[[#This Row],[Non-EEA Active ]]/Data2023[[#This Row],[Number of active members]],"N/A")</f>
        <v>N/A</v>
      </c>
      <c r="Q90" t="str">
        <f>IFERROR(Data2023[[#This Row],[EEA Active]]/Data2023[[#This Row],[EEA total]], "N/A")</f>
        <v>N/A</v>
      </c>
      <c r="R90" t="str">
        <f>IFERROR(Data2023[[#This Row],[Dutch Active]]/Data2023[[#This Row],[Dutch total]],"N/A")</f>
        <v>N/A</v>
      </c>
      <c r="S90" t="str">
        <f>IFERROR(IF(Data2023[[#This Row],[Number of members]]=Data2023[[#This Row],[Non-EEA Total]]+Data2023[[#This Row],[EEA total]]+Data2023[[#This Row],[Dutch total]],"T","F"),"F")</f>
        <v>F</v>
      </c>
      <c r="T90" t="str">
        <f>IFERROR(IF(Data2023[[#This Row],[Number of active members]]=Data2023[[#This Row],[Non-EEA Active ]]+Data2023[[#This Row],[EEA Active]]+Data2023[[#This Row],[Dutch Active]],"T","F"),"F")</f>
        <v>F</v>
      </c>
      <c r="U90" t="str">
        <f>IFERROR(IF(Data2023[[#This Row],[Number of members]]-Data2023[[#This Row],[Non-EEA Active ]]-Data2023[[#This Row],[EEA Active]]-Data2023[[#This Row],[Dutch Active]]=Data2023[[#This Row],[Number of  inactive members]],"T","F"),"F")</f>
        <v>F</v>
      </c>
      <c r="V90" t="str">
        <f>IF(Data2023[[#This Row],[EEA Active]]&lt;=Data2023[[#This Row],[EEA total]],"T","F")</f>
        <v>T</v>
      </c>
      <c r="W90" t="str">
        <f>IF(Data2023[[#This Row],[Dutch Active]]&lt;=Data2023[[#This Row],[Dutch total]],"T","F")</f>
        <v>T</v>
      </c>
      <c r="X90" t="str">
        <f>IF(Data2023[[#This Row],[Non-EEA Active ]]&lt;=Data2023[[#This Row],[Non-EEA Total]],"T","F")</f>
        <v>T</v>
      </c>
      <c r="Y9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0">
        <f>IFERROR(VLOOKUP(Data2023[[#This Row],[organisation_name]],'Division Study Year Committees'!$A$1:$L$108,2,FALSE),"N/A")</f>
        <v>0</v>
      </c>
      <c r="AA90">
        <f>IFERROR(VLOOKUP(Data2023[[#This Row],[organisation_name]],'Division Study Year Committees'!$A$1:$L$108,3,FALSE),"N/A")</f>
        <v>0</v>
      </c>
      <c r="AB90">
        <f>IFERROR(VLOOKUP(Data2023[[#This Row],[organisation_name]],'Division Study Year Committees'!$A$1:$L$108,4,FALSE),"N/A")</f>
        <v>2</v>
      </c>
      <c r="AC90">
        <f>IFERROR(VLOOKUP(Data2023[[#This Row],[organisation_name]],'Division Study Year Committees'!$A$1:$L$108,5,FALSE), "N/A")</f>
        <v>0</v>
      </c>
      <c r="AD90">
        <f>IFERROR(VLOOKUP(Data2023[[#This Row],[organisation_name]],'Division Study Year Committees'!$A$1:$L$108,6,FALSE), "N/A")</f>
        <v>0</v>
      </c>
      <c r="AE90">
        <f>SUM(Data2023[[#This Row],[Number of first year comittee members]:[Number of 4+ year comittee members]])</f>
        <v>2</v>
      </c>
      <c r="AF90">
        <f>COUNTIF('Committee2022'!D:D,Data2023[[#This Row],[organisation_name]])</f>
        <v>1</v>
      </c>
      <c r="AG90">
        <v>2023</v>
      </c>
    </row>
    <row r="91" spans="1:33" x14ac:dyDescent="0.3">
      <c r="A91" t="str">
        <f>General2023[[#This Row],[organisation_name]]</f>
        <v>ICF-E</v>
      </c>
      <c r="B91" t="str">
        <f>IF(General2023[[#This Row],[sector]]= "",VLOOKUP(Data2023[[#This Row],[organisation_name]],'Response Rate sheet'!A:D,3,FALSE),General2023[[#This Row],[sector]])</f>
        <v>World</v>
      </c>
      <c r="C91" t="str">
        <f>General2023[[#This Row],[organisation_type]]</f>
        <v>foundation</v>
      </c>
      <c r="D91">
        <f>IF(ISBLANK(General2023[[#This Row],[number_of_members]]),"N/A",VLOOKUP(A91,General2023[[organisation_name]:[number_of_international_committee_board_members_not_eea]],6,FALSE))</f>
        <v>50</v>
      </c>
      <c r="E91" t="str">
        <f>IF(ISBLANK(General2023[[#This Row],[number_of_committee_board_members]]),"N/A",VLOOKUP(A91,General2023!B:M,10,FALSE))</f>
        <v>N/A</v>
      </c>
      <c r="F91" t="str">
        <f>IFERROR(Data2023[[#This Row],[Number of members]]-Data2023[[#This Row],[Number of active members]], "N/A")</f>
        <v>N/A</v>
      </c>
      <c r="G91" t="str">
        <f>IFERROR(Data2023[[#This Row],[Number of active members]]/Data2023[[#This Row],[Number of members]], "N/A")</f>
        <v>N/A</v>
      </c>
      <c r="H91" t="str">
        <f>IFERROR(1-Data2023[[#This Row],[Percentage active members]],"N/A")</f>
        <v>N/A</v>
      </c>
      <c r="I91" t="str">
        <f>IF(Data2023[[#This Row],[Number of members]]=0,"N/A",IF(Data2023[[#This Row],[Number of members]]&lt;50," A. 1 - 50 ",IF(Data2023[[#This Row],[Number of members]]&lt;100, "B. 50 - 100", IF(Data2023[[#This Row],[Number of members]]&lt;400, "C. 100 - 400", IF(Data2023[[#This Row],[Number of members]]&lt;1000,"D. 400 - 1000", "E. 1000 +")))))</f>
        <v>B. 50 - 100</v>
      </c>
      <c r="J91" t="str">
        <f>IF(ISBLANK(General2023[[#This Row],[number_of_international_members_not_eea]]),"N/A",VLOOKUP(A91,General2023[[organisation_name]:[number_of_international_committee_board_members_not_eea]],9,FALSE))</f>
        <v>N/A</v>
      </c>
      <c r="K91">
        <f>IF(ISBLANK(General2023[[#This Row],[number_of_international_members_eea]]),"N/A",VLOOKUP(A91,General2023[[organisation_name]:[number_of_international_committee_board_members_not_eea]],8,FALSE))</f>
        <v>25</v>
      </c>
      <c r="L91" t="str">
        <f>IFERROR(IF(Data2023[[#This Row],[Number of members]]-Data2023[[#This Row],[Non-EEA Total]]-Data2023[[#This Row],[EEA total]]&lt;1,"N/A", Data2023[[#This Row],[Number of members]]-Data2023[[#This Row],[Non-EEA Total]]-Data2023[[#This Row],[EEA total]]),"N/A")</f>
        <v>N/A</v>
      </c>
      <c r="M91">
        <f>VLOOKUP(A91,General2023[[organisation_name]:[number_of_international_committee_board_members_not_eea]],12,FALSE)</f>
        <v>0</v>
      </c>
      <c r="N91">
        <f>VLOOKUP(A91,General2023[[organisation_name]:[number_of_international_committee_board_members_not_eea]],11,FALSE)</f>
        <v>0</v>
      </c>
      <c r="O91" t="str">
        <f>IFERROR(IF(Data2023[[#This Row],[Number of active members]]-Data2023[[#This Row],[Non-EEA Active ]]-Data2023[[#This Row],[EEA Active]]&lt;1,"N/A", Data2023[[#This Row],[Number of active members]]-Data2023[[#This Row],[Non-EEA Active ]]-Data2023[[#This Row],[EEA Active]]),"N/A")</f>
        <v>N/A</v>
      </c>
      <c r="P91" t="str">
        <f>IFERROR(Data2023[[#This Row],[Non-EEA Active ]]/Data2023[[#This Row],[Number of active members]],"N/A")</f>
        <v>N/A</v>
      </c>
      <c r="Q91">
        <f>IFERROR(Data2023[[#This Row],[EEA Active]]/Data2023[[#This Row],[EEA total]], "N/A")</f>
        <v>0</v>
      </c>
      <c r="R91" t="str">
        <f>IFERROR(Data2023[[#This Row],[Dutch Active]]/Data2023[[#This Row],[Dutch total]],"N/A")</f>
        <v>N/A</v>
      </c>
      <c r="S91" t="str">
        <f>IFERROR(IF(Data2023[[#This Row],[Number of members]]=Data2023[[#This Row],[Non-EEA Total]]+Data2023[[#This Row],[EEA total]]+Data2023[[#This Row],[Dutch total]],"T","F"),"F")</f>
        <v>F</v>
      </c>
      <c r="T91" t="str">
        <f>IFERROR(IF(Data2023[[#This Row],[Number of active members]]=Data2023[[#This Row],[Non-EEA Active ]]+Data2023[[#This Row],[EEA Active]]+Data2023[[#This Row],[Dutch Active]],"T","F"),"F")</f>
        <v>F</v>
      </c>
      <c r="U91" t="str">
        <f>IFERROR(IF(Data2023[[#This Row],[Number of members]]-Data2023[[#This Row],[Non-EEA Active ]]-Data2023[[#This Row],[EEA Active]]-Data2023[[#This Row],[Dutch Active]]=Data2023[[#This Row],[Number of  inactive members]],"T","F"),"F")</f>
        <v>F</v>
      </c>
      <c r="V91" t="str">
        <f>IF(Data2023[[#This Row],[EEA Active]]&lt;=Data2023[[#This Row],[EEA total]],"T","F")</f>
        <v>T</v>
      </c>
      <c r="W91" t="str">
        <f>IF(Data2023[[#This Row],[Dutch Active]]&lt;=Data2023[[#This Row],[Dutch total]],"T","F")</f>
        <v>T</v>
      </c>
      <c r="X91" t="str">
        <f>IF(Data2023[[#This Row],[Non-EEA Active ]]&lt;=Data2023[[#This Row],[Non-EEA Total]],"T","F")</f>
        <v>T</v>
      </c>
      <c r="Y9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1">
        <f>IFERROR(VLOOKUP(Data2023[[#This Row],[organisation_name]],'Division Study Year Committees'!$A$1:$L$108,2,FALSE),"N/A")</f>
        <v>5</v>
      </c>
      <c r="AA91">
        <f>IFERROR(VLOOKUP(Data2023[[#This Row],[organisation_name]],'Division Study Year Committees'!$A$1:$L$108,3,FALSE),"N/A")</f>
        <v>2</v>
      </c>
      <c r="AB91">
        <f>IFERROR(VLOOKUP(Data2023[[#This Row],[organisation_name]],'Division Study Year Committees'!$A$1:$L$108,4,FALSE),"N/A")</f>
        <v>1</v>
      </c>
      <c r="AC91">
        <f>IFERROR(VLOOKUP(Data2023[[#This Row],[organisation_name]],'Division Study Year Committees'!$A$1:$L$108,5,FALSE), "N/A")</f>
        <v>0</v>
      </c>
      <c r="AD91">
        <f>IFERROR(VLOOKUP(Data2023[[#This Row],[organisation_name]],'Division Study Year Committees'!$A$1:$L$108,6,FALSE), "N/A")</f>
        <v>10</v>
      </c>
      <c r="AE91">
        <f>SUM(Data2023[[#This Row],[Number of first year comittee members]:[Number of 4+ year comittee members]])</f>
        <v>18</v>
      </c>
      <c r="AF91">
        <f>COUNTIF('Committee2022'!D:D,Data2023[[#This Row],[organisation_name]])</f>
        <v>11</v>
      </c>
      <c r="AG91">
        <v>2023</v>
      </c>
    </row>
    <row r="92" spans="1:33" x14ac:dyDescent="0.3">
      <c r="A92" t="str">
        <f>General2023[[#This Row],[organisation_name]]</f>
        <v>PSA</v>
      </c>
      <c r="B92" t="str">
        <f>IF(General2023[[#This Row],[sector]]= "",VLOOKUP(Data2023[[#This Row],[organisation_name]],'Response Rate sheet'!A:D,3,FALSE),General2023[[#This Row],[sector]])</f>
        <v>world</v>
      </c>
      <c r="C92" t="str">
        <f>General2023[[#This Row],[organisation_type]]</f>
        <v>association</v>
      </c>
      <c r="D92" t="str">
        <f>IF(ISBLANK(General2023[[#This Row],[number_of_members]]),"N/A",VLOOKUP(A92,General2023[[organisation_name]:[number_of_international_committee_board_members_not_eea]],6,FALSE))</f>
        <v>N/A</v>
      </c>
      <c r="E92" t="str">
        <f>IF(ISBLANK(General2023[[#This Row],[number_of_committee_board_members]]),"N/A",VLOOKUP(A92,General2023!B:M,10,FALSE))</f>
        <v>N/A</v>
      </c>
      <c r="F92" t="str">
        <f>IFERROR(Data2023[[#This Row],[Number of members]]-Data2023[[#This Row],[Number of active members]], "N/A")</f>
        <v>N/A</v>
      </c>
      <c r="G92" t="str">
        <f>IFERROR(Data2023[[#This Row],[Number of active members]]/Data2023[[#This Row],[Number of members]], "N/A")</f>
        <v>N/A</v>
      </c>
      <c r="H92" t="str">
        <f>IFERROR(1-Data2023[[#This Row],[Percentage active members]],"N/A")</f>
        <v>N/A</v>
      </c>
      <c r="I92" t="str">
        <f>IF(Data2023[[#This Row],[Number of members]]=0,"N/A",IF(Data2023[[#This Row],[Number of members]]&lt;50," A. 1 - 50 ",IF(Data2023[[#This Row],[Number of members]]&lt;100, "B. 50 - 100", IF(Data2023[[#This Row],[Number of members]]&lt;400, "C. 100 - 400", IF(Data2023[[#This Row],[Number of members]]&lt;1000,"D. 400 - 1000", "E. 1000 +")))))</f>
        <v>E. 1000 +</v>
      </c>
      <c r="J92" t="str">
        <f>IF(ISBLANK(General2023[[#This Row],[number_of_international_members_not_eea]]),"N/A",VLOOKUP(A92,General2023[[organisation_name]:[number_of_international_committee_board_members_not_eea]],9,FALSE))</f>
        <v>N/A</v>
      </c>
      <c r="K92" t="str">
        <f>IF(ISBLANK(General2023[[#This Row],[number_of_international_members_eea]]),"N/A",VLOOKUP(A92,General2023[[organisation_name]:[number_of_international_committee_board_members_not_eea]],8,FALSE))</f>
        <v>N/A</v>
      </c>
      <c r="L92" t="str">
        <f>IFERROR(IF(Data2023[[#This Row],[Number of members]]-Data2023[[#This Row],[Non-EEA Total]]-Data2023[[#This Row],[EEA total]]&lt;1,"N/A", Data2023[[#This Row],[Number of members]]-Data2023[[#This Row],[Non-EEA Total]]-Data2023[[#This Row],[EEA total]]),"N/A")</f>
        <v>N/A</v>
      </c>
      <c r="M92">
        <f>VLOOKUP(A92,General2023[[organisation_name]:[number_of_international_committee_board_members_not_eea]],12,FALSE)</f>
        <v>0</v>
      </c>
      <c r="N92">
        <f>VLOOKUP(A92,General2023[[organisation_name]:[number_of_international_committee_board_members_not_eea]],11,FALSE)</f>
        <v>0</v>
      </c>
      <c r="O92" t="str">
        <f>IFERROR(IF(Data2023[[#This Row],[Number of active members]]-Data2023[[#This Row],[Non-EEA Active ]]-Data2023[[#This Row],[EEA Active]]&lt;1,"N/A", Data2023[[#This Row],[Number of active members]]-Data2023[[#This Row],[Non-EEA Active ]]-Data2023[[#This Row],[EEA Active]]),"N/A")</f>
        <v>N/A</v>
      </c>
      <c r="P92" t="str">
        <f>IFERROR(Data2023[[#This Row],[Non-EEA Active ]]/Data2023[[#This Row],[Number of active members]],"N/A")</f>
        <v>N/A</v>
      </c>
      <c r="Q92" t="str">
        <f>IFERROR(Data2023[[#This Row],[EEA Active]]/Data2023[[#This Row],[EEA total]], "N/A")</f>
        <v>N/A</v>
      </c>
      <c r="R92" t="str">
        <f>IFERROR(Data2023[[#This Row],[Dutch Active]]/Data2023[[#This Row],[Dutch total]],"N/A")</f>
        <v>N/A</v>
      </c>
      <c r="S92" t="str">
        <f>IFERROR(IF(Data2023[[#This Row],[Number of members]]=Data2023[[#This Row],[Non-EEA Total]]+Data2023[[#This Row],[EEA total]]+Data2023[[#This Row],[Dutch total]],"T","F"),"F")</f>
        <v>F</v>
      </c>
      <c r="T92" t="str">
        <f>IFERROR(IF(Data2023[[#This Row],[Number of active members]]=Data2023[[#This Row],[Non-EEA Active ]]+Data2023[[#This Row],[EEA Active]]+Data2023[[#This Row],[Dutch Active]],"T","F"),"F")</f>
        <v>F</v>
      </c>
      <c r="U92" t="str">
        <f>IFERROR(IF(Data2023[[#This Row],[Number of members]]-Data2023[[#This Row],[Non-EEA Active ]]-Data2023[[#This Row],[EEA Active]]-Data2023[[#This Row],[Dutch Active]]=Data2023[[#This Row],[Number of  inactive members]],"T","F"),"F")</f>
        <v>F</v>
      </c>
      <c r="V92" t="str">
        <f>IF(Data2023[[#This Row],[EEA Active]]&lt;=Data2023[[#This Row],[EEA total]],"T","F")</f>
        <v>T</v>
      </c>
      <c r="W92" t="str">
        <f>IF(Data2023[[#This Row],[Dutch Active]]&lt;=Data2023[[#This Row],[Dutch total]],"T","F")</f>
        <v>T</v>
      </c>
      <c r="X92" t="str">
        <f>IF(Data2023[[#This Row],[Non-EEA Active ]]&lt;=Data2023[[#This Row],[Non-EEA Total]],"T","F")</f>
        <v>T</v>
      </c>
      <c r="Y9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2" t="str">
        <f>IFERROR(VLOOKUP(Data2023[[#This Row],[organisation_name]],'Division Study Year Committees'!$A$1:$L$108,2,FALSE),"N/A")</f>
        <v>N/A</v>
      </c>
      <c r="AA92" t="str">
        <f>IFERROR(VLOOKUP(Data2023[[#This Row],[organisation_name]],'Division Study Year Committees'!$A$1:$L$108,3,FALSE),"N/A")</f>
        <v>N/A</v>
      </c>
      <c r="AB92" t="str">
        <f>IFERROR(VLOOKUP(Data2023[[#This Row],[organisation_name]],'Division Study Year Committees'!$A$1:$L$108,4,FALSE),"N/A")</f>
        <v>N/A</v>
      </c>
      <c r="AC92" t="str">
        <f>IFERROR(VLOOKUP(Data2023[[#This Row],[organisation_name]],'Division Study Year Committees'!$A$1:$L$108,5,FALSE), "N/A")</f>
        <v>N/A</v>
      </c>
      <c r="AD92" t="str">
        <f>IFERROR(VLOOKUP(Data2023[[#This Row],[organisation_name]],'Division Study Year Committees'!$A$1:$L$108,6,FALSE), "N/A")</f>
        <v>N/A</v>
      </c>
      <c r="AE92">
        <f>SUM(Data2023[[#This Row],[Number of first year comittee members]:[Number of 4+ year comittee members]])</f>
        <v>0</v>
      </c>
      <c r="AF92">
        <f>COUNTIF('Committee2022'!D:D,Data2023[[#This Row],[organisation_name]])</f>
        <v>0</v>
      </c>
      <c r="AG92">
        <v>2023</v>
      </c>
    </row>
    <row r="93" spans="1:33" x14ac:dyDescent="0.3">
      <c r="A93" t="str">
        <f>General2023[[#This Row],[organisation_name]]</f>
        <v>SUUT</v>
      </c>
      <c r="B93" t="str">
        <f>IF(General2023[[#This Row],[sector]]= "",VLOOKUP(Data2023[[#This Row],[organisation_name]],'Response Rate sheet'!A:D,3,FALSE),General2023[[#This Row],[sector]])</f>
        <v>World</v>
      </c>
      <c r="C93" t="str">
        <f>General2023[[#This Row],[organisation_type]]</f>
        <v>association</v>
      </c>
      <c r="D93">
        <f>IF(ISBLANK(General2023[[#This Row],[number_of_members]]),"N/A",VLOOKUP(A93,General2023[[organisation_name]:[number_of_international_committee_board_members_not_eea]],6,FALSE))</f>
        <v>18</v>
      </c>
      <c r="E93">
        <f>IF(ISBLANK(General2023[[#This Row],[number_of_committee_board_members]]),"N/A",VLOOKUP(A93,General2023!B:M,10,FALSE))</f>
        <v>0</v>
      </c>
      <c r="F93">
        <f>IFERROR(Data2023[[#This Row],[Number of members]]-Data2023[[#This Row],[Number of active members]], "N/A")</f>
        <v>18</v>
      </c>
      <c r="G93">
        <f>IFERROR(Data2023[[#This Row],[Number of active members]]/Data2023[[#This Row],[Number of members]], "N/A")</f>
        <v>0</v>
      </c>
      <c r="H93">
        <f>IFERROR(1-Data2023[[#This Row],[Percentage active members]],"N/A")</f>
        <v>1</v>
      </c>
      <c r="I93"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93">
        <f>IF(ISBLANK(General2023[[#This Row],[number_of_international_members_not_eea]]),"N/A",VLOOKUP(A93,General2023[[organisation_name]:[number_of_international_committee_board_members_not_eea]],9,FALSE))</f>
        <v>3</v>
      </c>
      <c r="K93">
        <f>IF(ISBLANK(General2023[[#This Row],[number_of_international_members_eea]]),"N/A",VLOOKUP(A93,General2023[[organisation_name]:[number_of_international_committee_board_members_not_eea]],8,FALSE))</f>
        <v>12</v>
      </c>
      <c r="L93">
        <f>IFERROR(IF(Data2023[[#This Row],[Number of members]]-Data2023[[#This Row],[Non-EEA Total]]-Data2023[[#This Row],[EEA total]]&lt;1,"N/A", Data2023[[#This Row],[Number of members]]-Data2023[[#This Row],[Non-EEA Total]]-Data2023[[#This Row],[EEA total]]),"N/A")</f>
        <v>3</v>
      </c>
      <c r="M93">
        <f>VLOOKUP(A93,General2023[[organisation_name]:[number_of_international_committee_board_members_not_eea]],12,FALSE)</f>
        <v>2</v>
      </c>
      <c r="N93">
        <f>VLOOKUP(A93,General2023[[organisation_name]:[number_of_international_committee_board_members_not_eea]],11,FALSE)</f>
        <v>0</v>
      </c>
      <c r="O93" t="str">
        <f>IFERROR(IF(Data2023[[#This Row],[Number of active members]]-Data2023[[#This Row],[Non-EEA Active ]]-Data2023[[#This Row],[EEA Active]]&lt;1,"N/A", Data2023[[#This Row],[Number of active members]]-Data2023[[#This Row],[Non-EEA Active ]]-Data2023[[#This Row],[EEA Active]]),"N/A")</f>
        <v>N/A</v>
      </c>
      <c r="P93" t="str">
        <f>IFERROR(Data2023[[#This Row],[Non-EEA Active ]]/Data2023[[#This Row],[Number of active members]],"N/A")</f>
        <v>N/A</v>
      </c>
      <c r="Q93">
        <f>IFERROR(Data2023[[#This Row],[EEA Active]]/Data2023[[#This Row],[EEA total]], "N/A")</f>
        <v>0</v>
      </c>
      <c r="R93" t="str">
        <f>IFERROR(Data2023[[#This Row],[Dutch Active]]/Data2023[[#This Row],[Dutch total]],"N/A")</f>
        <v>N/A</v>
      </c>
      <c r="S93" t="str">
        <f>IFERROR(IF(Data2023[[#This Row],[Number of members]]=Data2023[[#This Row],[Non-EEA Total]]+Data2023[[#This Row],[EEA total]]+Data2023[[#This Row],[Dutch total]],"T","F"),"F")</f>
        <v>T</v>
      </c>
      <c r="T93" t="str">
        <f>IFERROR(IF(Data2023[[#This Row],[Number of active members]]=Data2023[[#This Row],[Non-EEA Active ]]+Data2023[[#This Row],[EEA Active]]+Data2023[[#This Row],[Dutch Active]],"T","F"),"F")</f>
        <v>F</v>
      </c>
      <c r="U93" t="str">
        <f>IFERROR(IF(Data2023[[#This Row],[Number of members]]-Data2023[[#This Row],[Non-EEA Active ]]-Data2023[[#This Row],[EEA Active]]-Data2023[[#This Row],[Dutch Active]]=Data2023[[#This Row],[Number of  inactive members]],"T","F"),"F")</f>
        <v>F</v>
      </c>
      <c r="V93" t="str">
        <f>IF(Data2023[[#This Row],[EEA Active]]&lt;=Data2023[[#This Row],[EEA total]],"T","F")</f>
        <v>T</v>
      </c>
      <c r="W93" t="str">
        <f>IF(Data2023[[#This Row],[Dutch Active]]&lt;=Data2023[[#This Row],[Dutch total]],"T","F")</f>
        <v>F</v>
      </c>
      <c r="X93" t="str">
        <f>IF(Data2023[[#This Row],[Non-EEA Active ]]&lt;=Data2023[[#This Row],[Non-EEA Total]],"T","F")</f>
        <v>T</v>
      </c>
      <c r="Y9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3" t="str">
        <f>IFERROR(VLOOKUP(Data2023[[#This Row],[organisation_name]],'Division Study Year Committees'!$A$1:$L$108,2,FALSE),"N/A")</f>
        <v>N/A</v>
      </c>
      <c r="AA93" t="str">
        <f>IFERROR(VLOOKUP(Data2023[[#This Row],[organisation_name]],'Division Study Year Committees'!$A$1:$L$108,3,FALSE),"N/A")</f>
        <v>N/A</v>
      </c>
      <c r="AB93" t="str">
        <f>IFERROR(VLOOKUP(Data2023[[#This Row],[organisation_name]],'Division Study Year Committees'!$A$1:$L$108,4,FALSE),"N/A")</f>
        <v>N/A</v>
      </c>
      <c r="AC93" t="str">
        <f>IFERROR(VLOOKUP(Data2023[[#This Row],[organisation_name]],'Division Study Year Committees'!$A$1:$L$108,5,FALSE), "N/A")</f>
        <v>N/A</v>
      </c>
      <c r="AD93" t="str">
        <f>IFERROR(VLOOKUP(Data2023[[#This Row],[organisation_name]],'Division Study Year Committees'!$A$1:$L$108,6,FALSE), "N/A")</f>
        <v>N/A</v>
      </c>
      <c r="AE93">
        <f>SUM(Data2023[[#This Row],[Number of first year comittee members]:[Number of 4+ year comittee members]])</f>
        <v>0</v>
      </c>
      <c r="AF93">
        <f>COUNTIF('Committee2022'!D:D,Data2023[[#This Row],[organisation_name]])</f>
        <v>0</v>
      </c>
      <c r="AG93">
        <v>2023</v>
      </c>
    </row>
    <row r="94" spans="1:33" x14ac:dyDescent="0.3">
      <c r="A94" t="str">
        <f>General2023[[#This Row],[organisation_name]]</f>
        <v>RSA</v>
      </c>
      <c r="B94" t="str">
        <f>IF(General2023[[#This Row],[sector]]= "",VLOOKUP(Data2023[[#This Row],[organisation_name]],'Response Rate sheet'!A:D,3,FALSE),General2023[[#This Row],[sector]])</f>
        <v>world</v>
      </c>
      <c r="C94" t="str">
        <f>General2023[[#This Row],[organisation_type]]</f>
        <v>association</v>
      </c>
      <c r="D94" t="str">
        <f>IF(ISBLANK(General2023[[#This Row],[number_of_members]]),"N/A",VLOOKUP(A94,General2023[[organisation_name]:[number_of_international_committee_board_members_not_eea]],6,FALSE))</f>
        <v>N/A</v>
      </c>
      <c r="E94" t="str">
        <f>IF(ISBLANK(General2023[[#This Row],[number_of_committee_board_members]]),"N/A",VLOOKUP(A94,General2023!B:M,10,FALSE))</f>
        <v>N/A</v>
      </c>
      <c r="F94" t="str">
        <f>IFERROR(Data2023[[#This Row],[Number of members]]-Data2023[[#This Row],[Number of active members]], "N/A")</f>
        <v>N/A</v>
      </c>
      <c r="G94" t="str">
        <f>IFERROR(Data2023[[#This Row],[Number of active members]]/Data2023[[#This Row],[Number of members]], "N/A")</f>
        <v>N/A</v>
      </c>
      <c r="H94" t="str">
        <f>IFERROR(1-Data2023[[#This Row],[Percentage active members]],"N/A")</f>
        <v>N/A</v>
      </c>
      <c r="I94" t="str">
        <f>IF(Data2023[[#This Row],[Number of members]]=0,"N/A",IF(Data2023[[#This Row],[Number of members]]&lt;50," A. 1 - 50 ",IF(Data2023[[#This Row],[Number of members]]&lt;100, "B. 50 - 100", IF(Data2023[[#This Row],[Number of members]]&lt;400, "C. 100 - 400", IF(Data2023[[#This Row],[Number of members]]&lt;1000,"D. 400 - 1000", "E. 1000 +")))))</f>
        <v>E. 1000 +</v>
      </c>
      <c r="J94" t="str">
        <f>IF(ISBLANK(General2023[[#This Row],[number_of_international_members_not_eea]]),"N/A",VLOOKUP(A94,General2023[[organisation_name]:[number_of_international_committee_board_members_not_eea]],9,FALSE))</f>
        <v>N/A</v>
      </c>
      <c r="K94" t="str">
        <f>IF(ISBLANK(General2023[[#This Row],[number_of_international_members_eea]]),"N/A",VLOOKUP(A94,General2023[[organisation_name]:[number_of_international_committee_board_members_not_eea]],8,FALSE))</f>
        <v>N/A</v>
      </c>
      <c r="L94" t="str">
        <f>IFERROR(IF(Data2023[[#This Row],[Number of members]]-Data2023[[#This Row],[Non-EEA Total]]-Data2023[[#This Row],[EEA total]]&lt;1,"N/A", Data2023[[#This Row],[Number of members]]-Data2023[[#This Row],[Non-EEA Total]]-Data2023[[#This Row],[EEA total]]),"N/A")</f>
        <v>N/A</v>
      </c>
      <c r="M94">
        <f>VLOOKUP(A94,General2023[[organisation_name]:[number_of_international_committee_board_members_not_eea]],12,FALSE)</f>
        <v>0</v>
      </c>
      <c r="N94">
        <f>VLOOKUP(A94,General2023[[organisation_name]:[number_of_international_committee_board_members_not_eea]],11,FALSE)</f>
        <v>0</v>
      </c>
      <c r="O94" t="str">
        <f>IFERROR(IF(Data2023[[#This Row],[Number of active members]]-Data2023[[#This Row],[Non-EEA Active ]]-Data2023[[#This Row],[EEA Active]]&lt;1,"N/A", Data2023[[#This Row],[Number of active members]]-Data2023[[#This Row],[Non-EEA Active ]]-Data2023[[#This Row],[EEA Active]]),"N/A")</f>
        <v>N/A</v>
      </c>
      <c r="P94" t="str">
        <f>IFERROR(Data2023[[#This Row],[Non-EEA Active ]]/Data2023[[#This Row],[Number of active members]],"N/A")</f>
        <v>N/A</v>
      </c>
      <c r="Q94" t="str">
        <f>IFERROR(Data2023[[#This Row],[EEA Active]]/Data2023[[#This Row],[EEA total]], "N/A")</f>
        <v>N/A</v>
      </c>
      <c r="R94" t="str">
        <f>IFERROR(Data2023[[#This Row],[Dutch Active]]/Data2023[[#This Row],[Dutch total]],"N/A")</f>
        <v>N/A</v>
      </c>
      <c r="S94" t="str">
        <f>IFERROR(IF(Data2023[[#This Row],[Number of members]]=Data2023[[#This Row],[Non-EEA Total]]+Data2023[[#This Row],[EEA total]]+Data2023[[#This Row],[Dutch total]],"T","F"),"F")</f>
        <v>F</v>
      </c>
      <c r="T94" t="str">
        <f>IFERROR(IF(Data2023[[#This Row],[Number of active members]]=Data2023[[#This Row],[Non-EEA Active ]]+Data2023[[#This Row],[EEA Active]]+Data2023[[#This Row],[Dutch Active]],"T","F"),"F")</f>
        <v>F</v>
      </c>
      <c r="U94" t="str">
        <f>IFERROR(IF(Data2023[[#This Row],[Number of members]]-Data2023[[#This Row],[Non-EEA Active ]]-Data2023[[#This Row],[EEA Active]]-Data2023[[#This Row],[Dutch Active]]=Data2023[[#This Row],[Number of  inactive members]],"T","F"),"F")</f>
        <v>F</v>
      </c>
      <c r="V94" t="str">
        <f>IF(Data2023[[#This Row],[EEA Active]]&lt;=Data2023[[#This Row],[EEA total]],"T","F")</f>
        <v>T</v>
      </c>
      <c r="W94" t="str">
        <f>IF(Data2023[[#This Row],[Dutch Active]]&lt;=Data2023[[#This Row],[Dutch total]],"T","F")</f>
        <v>T</v>
      </c>
      <c r="X94" t="str">
        <f>IF(Data2023[[#This Row],[Non-EEA Active ]]&lt;=Data2023[[#This Row],[Non-EEA Total]],"T","F")</f>
        <v>T</v>
      </c>
      <c r="Y9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4" t="str">
        <f>IFERROR(VLOOKUP(Data2023[[#This Row],[organisation_name]],'Division Study Year Committees'!$A$1:$L$108,2,FALSE),"N/A")</f>
        <v>N/A</v>
      </c>
      <c r="AA94" t="str">
        <f>IFERROR(VLOOKUP(Data2023[[#This Row],[organisation_name]],'Division Study Year Committees'!$A$1:$L$108,3,FALSE),"N/A")</f>
        <v>N/A</v>
      </c>
      <c r="AB94" t="str">
        <f>IFERROR(VLOOKUP(Data2023[[#This Row],[organisation_name]],'Division Study Year Committees'!$A$1:$L$108,4,FALSE),"N/A")</f>
        <v>N/A</v>
      </c>
      <c r="AC94" t="str">
        <f>IFERROR(VLOOKUP(Data2023[[#This Row],[organisation_name]],'Division Study Year Committees'!$A$1:$L$108,5,FALSE), "N/A")</f>
        <v>N/A</v>
      </c>
      <c r="AD94" t="str">
        <f>IFERROR(VLOOKUP(Data2023[[#This Row],[organisation_name]],'Division Study Year Committees'!$A$1:$L$108,6,FALSE), "N/A")</f>
        <v>N/A</v>
      </c>
      <c r="AE94">
        <f>SUM(Data2023[[#This Row],[Number of first year comittee members]:[Number of 4+ year comittee members]])</f>
        <v>0</v>
      </c>
      <c r="AF94">
        <f>COUNTIF('Committee2022'!D:D,Data2023[[#This Row],[organisation_name]])</f>
        <v>0</v>
      </c>
      <c r="AG94">
        <v>2023</v>
      </c>
    </row>
    <row r="95" spans="1:33" x14ac:dyDescent="0.3">
      <c r="A95" t="str">
        <f>General2023[[#This Row],[organisation_name]]</f>
        <v>UT Muslims</v>
      </c>
      <c r="B95" t="str">
        <f>IF(General2023[[#This Row],[sector]]= "",VLOOKUP(Data2023[[#This Row],[organisation_name]],'Response Rate sheet'!A:D,3,FALSE),General2023[[#This Row],[sector]])</f>
        <v>World</v>
      </c>
      <c r="C95" t="str">
        <f>General2023[[#This Row],[organisation_type]]</f>
        <v>association</v>
      </c>
      <c r="D95">
        <f>IF(ISBLANK(General2023[[#This Row],[number_of_members]]),"N/A",VLOOKUP(A95,General2023[[organisation_name]:[number_of_international_committee_board_members_not_eea]],6,FALSE))</f>
        <v>57</v>
      </c>
      <c r="E95">
        <f>IF(ISBLANK(General2023[[#This Row],[number_of_committee_board_members]]),"N/A",VLOOKUP(A95,General2023!B:M,10,FALSE))</f>
        <v>5</v>
      </c>
      <c r="F95">
        <f>IFERROR(Data2023[[#This Row],[Number of members]]-Data2023[[#This Row],[Number of active members]], "N/A")</f>
        <v>52</v>
      </c>
      <c r="G95">
        <f>IFERROR(Data2023[[#This Row],[Number of active members]]/Data2023[[#This Row],[Number of members]], "N/A")</f>
        <v>8.771929824561403E-2</v>
      </c>
      <c r="H95">
        <f>IFERROR(1-Data2023[[#This Row],[Percentage active members]],"N/A")</f>
        <v>0.91228070175438591</v>
      </c>
      <c r="I95" t="str">
        <f>IF(Data2023[[#This Row],[Number of members]]=0,"N/A",IF(Data2023[[#This Row],[Number of members]]&lt;50," A. 1 - 50 ",IF(Data2023[[#This Row],[Number of members]]&lt;100, "B. 50 - 100", IF(Data2023[[#This Row],[Number of members]]&lt;400, "C. 100 - 400", IF(Data2023[[#This Row],[Number of members]]&lt;1000,"D. 400 - 1000", "E. 1000 +")))))</f>
        <v>B. 50 - 100</v>
      </c>
      <c r="J95">
        <f>IF(ISBLANK(General2023[[#This Row],[number_of_international_members_not_eea]]),"N/A",VLOOKUP(A95,General2023[[organisation_name]:[number_of_international_committee_board_members_not_eea]],9,FALSE))</f>
        <v>15</v>
      </c>
      <c r="K95">
        <f>IF(ISBLANK(General2023[[#This Row],[number_of_international_members_eea]]),"N/A",VLOOKUP(A95,General2023[[organisation_name]:[number_of_international_committee_board_members_not_eea]],8,FALSE))</f>
        <v>36</v>
      </c>
      <c r="L95">
        <f>IFERROR(IF(Data2023[[#This Row],[Number of members]]-Data2023[[#This Row],[Non-EEA Total]]-Data2023[[#This Row],[EEA total]]&lt;1,"N/A", Data2023[[#This Row],[Number of members]]-Data2023[[#This Row],[Non-EEA Total]]-Data2023[[#This Row],[EEA total]]),"N/A")</f>
        <v>6</v>
      </c>
      <c r="M95">
        <f>VLOOKUP(A95,General2023[[organisation_name]:[number_of_international_committee_board_members_not_eea]],12,FALSE)</f>
        <v>6</v>
      </c>
      <c r="N95">
        <f>VLOOKUP(A95,General2023[[organisation_name]:[number_of_international_committee_board_members_not_eea]],11,FALSE)</f>
        <v>1</v>
      </c>
      <c r="O95" t="str">
        <f>IFERROR(IF(Data2023[[#This Row],[Number of active members]]-Data2023[[#This Row],[Non-EEA Active ]]-Data2023[[#This Row],[EEA Active]]&lt;1,"N/A", Data2023[[#This Row],[Number of active members]]-Data2023[[#This Row],[Non-EEA Active ]]-Data2023[[#This Row],[EEA Active]]),"N/A")</f>
        <v>N/A</v>
      </c>
      <c r="P95">
        <f>IFERROR(Data2023[[#This Row],[Non-EEA Active ]]/Data2023[[#This Row],[Number of active members]],"N/A")</f>
        <v>1.2</v>
      </c>
      <c r="Q95">
        <f>IFERROR(Data2023[[#This Row],[EEA Active]]/Data2023[[#This Row],[EEA total]], "N/A")</f>
        <v>2.7777777777777776E-2</v>
      </c>
      <c r="R95" t="str">
        <f>IFERROR(Data2023[[#This Row],[Dutch Active]]/Data2023[[#This Row],[Dutch total]],"N/A")</f>
        <v>N/A</v>
      </c>
      <c r="S95" t="str">
        <f>IFERROR(IF(Data2023[[#This Row],[Number of members]]=Data2023[[#This Row],[Non-EEA Total]]+Data2023[[#This Row],[EEA total]]+Data2023[[#This Row],[Dutch total]],"T","F"),"F")</f>
        <v>T</v>
      </c>
      <c r="T95" t="str">
        <f>IFERROR(IF(Data2023[[#This Row],[Number of active members]]=Data2023[[#This Row],[Non-EEA Active ]]+Data2023[[#This Row],[EEA Active]]+Data2023[[#This Row],[Dutch Active]],"T","F"),"F")</f>
        <v>F</v>
      </c>
      <c r="U95" t="str">
        <f>IFERROR(IF(Data2023[[#This Row],[Number of members]]-Data2023[[#This Row],[Non-EEA Active ]]-Data2023[[#This Row],[EEA Active]]-Data2023[[#This Row],[Dutch Active]]=Data2023[[#This Row],[Number of  inactive members]],"T","F"),"F")</f>
        <v>F</v>
      </c>
      <c r="V95" t="str">
        <f>IF(Data2023[[#This Row],[EEA Active]]&lt;=Data2023[[#This Row],[EEA total]],"T","F")</f>
        <v>T</v>
      </c>
      <c r="W95" t="str">
        <f>IF(Data2023[[#This Row],[Dutch Active]]&lt;=Data2023[[#This Row],[Dutch total]],"T","F")</f>
        <v>F</v>
      </c>
      <c r="X95" t="str">
        <f>IF(Data2023[[#This Row],[Non-EEA Active ]]&lt;=Data2023[[#This Row],[Non-EEA Total]],"T","F")</f>
        <v>T</v>
      </c>
      <c r="Y9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5">
        <f>IFERROR(VLOOKUP(Data2023[[#This Row],[organisation_name]],'Division Study Year Committees'!$A$1:$L$108,2,FALSE),"N/A")</f>
        <v>8</v>
      </c>
      <c r="AA95">
        <f>IFERROR(VLOOKUP(Data2023[[#This Row],[organisation_name]],'Division Study Year Committees'!$A$1:$L$108,3,FALSE),"N/A")</f>
        <v>2</v>
      </c>
      <c r="AB95">
        <f>IFERROR(VLOOKUP(Data2023[[#This Row],[organisation_name]],'Division Study Year Committees'!$A$1:$L$108,4,FALSE),"N/A")</f>
        <v>0</v>
      </c>
      <c r="AC95">
        <f>IFERROR(VLOOKUP(Data2023[[#This Row],[organisation_name]],'Division Study Year Committees'!$A$1:$L$108,5,FALSE), "N/A")</f>
        <v>0</v>
      </c>
      <c r="AD95">
        <f>IFERROR(VLOOKUP(Data2023[[#This Row],[organisation_name]],'Division Study Year Committees'!$A$1:$L$108,6,FALSE), "N/A")</f>
        <v>3</v>
      </c>
      <c r="AE95">
        <f>SUM(Data2023[[#This Row],[Number of first year comittee members]:[Number of 4+ year comittee members]])</f>
        <v>13</v>
      </c>
      <c r="AF95">
        <f>COUNTIF('Committee2022'!D:D,Data2023[[#This Row],[organisation_name]])</f>
        <v>0</v>
      </c>
      <c r="AG95">
        <v>2023</v>
      </c>
    </row>
    <row r="96" spans="1:33" x14ac:dyDescent="0.3">
      <c r="A96" t="str">
        <f>General2023[[#This Row],[organisation_name]]</f>
        <v>SUT</v>
      </c>
      <c r="B96" t="str">
        <f>IF(General2023[[#This Row],[sector]]= "",VLOOKUP(Data2023[[#This Row],[organisation_name]],'Response Rate sheet'!A:D,3,FALSE),General2023[[#This Row],[sector]])</f>
        <v>Sports</v>
      </c>
      <c r="C96" t="str">
        <f>General2023[[#This Row],[organisation_type]]</f>
        <v>foundation</v>
      </c>
      <c r="D96">
        <f>IF(ISBLANK(General2023[[#This Row],[number_of_members]]),"N/A",VLOOKUP(A96,General2023[[organisation_name]:[number_of_international_committee_board_members_not_eea]],6,FALSE))</f>
        <v>3</v>
      </c>
      <c r="E96">
        <f>IF(ISBLANK(General2023[[#This Row],[number_of_committee_board_members]]),"N/A",VLOOKUP(A96,General2023!B:M,10,FALSE))</f>
        <v>0</v>
      </c>
      <c r="F96">
        <f>IFERROR(Data2023[[#This Row],[Number of members]]-Data2023[[#This Row],[Number of active members]], "N/A")</f>
        <v>3</v>
      </c>
      <c r="G96">
        <f>IFERROR(Data2023[[#This Row],[Number of active members]]/Data2023[[#This Row],[Number of members]], "N/A")</f>
        <v>0</v>
      </c>
      <c r="H96">
        <f>IFERROR(1-Data2023[[#This Row],[Percentage active members]],"N/A")</f>
        <v>1</v>
      </c>
      <c r="I96"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96">
        <f>IF(ISBLANK(General2023[[#This Row],[number_of_international_members_not_eea]]),"N/A",VLOOKUP(A96,General2023[[organisation_name]:[number_of_international_committee_board_members_not_eea]],9,FALSE))</f>
        <v>0</v>
      </c>
      <c r="K96" t="str">
        <f>IF(ISBLANK(General2023[[#This Row],[number_of_international_members_eea]]),"N/A",VLOOKUP(A96,General2023[[organisation_name]:[number_of_international_committee_board_members_not_eea]],8,FALSE))</f>
        <v>N/A</v>
      </c>
      <c r="L96" t="str">
        <f>IFERROR(IF(Data2023[[#This Row],[Number of members]]-Data2023[[#This Row],[Non-EEA Total]]-Data2023[[#This Row],[EEA total]]&lt;1,"N/A", Data2023[[#This Row],[Number of members]]-Data2023[[#This Row],[Non-EEA Total]]-Data2023[[#This Row],[EEA total]]),"N/A")</f>
        <v>N/A</v>
      </c>
      <c r="M96">
        <f>VLOOKUP(A96,General2023[[organisation_name]:[number_of_international_committee_board_members_not_eea]],12,FALSE)</f>
        <v>0</v>
      </c>
      <c r="N96">
        <f>VLOOKUP(A96,General2023[[organisation_name]:[number_of_international_committee_board_members_not_eea]],11,FALSE)</f>
        <v>0</v>
      </c>
      <c r="O96" t="str">
        <f>IFERROR(IF(Data2023[[#This Row],[Number of active members]]-Data2023[[#This Row],[Non-EEA Active ]]-Data2023[[#This Row],[EEA Active]]&lt;1,"N/A", Data2023[[#This Row],[Number of active members]]-Data2023[[#This Row],[Non-EEA Active ]]-Data2023[[#This Row],[EEA Active]]),"N/A")</f>
        <v>N/A</v>
      </c>
      <c r="P96" t="str">
        <f>IFERROR(Data2023[[#This Row],[Non-EEA Active ]]/Data2023[[#This Row],[Number of active members]],"N/A")</f>
        <v>N/A</v>
      </c>
      <c r="Q96" t="str">
        <f>IFERROR(Data2023[[#This Row],[EEA Active]]/Data2023[[#This Row],[EEA total]], "N/A")</f>
        <v>N/A</v>
      </c>
      <c r="R96" t="str">
        <f>IFERROR(Data2023[[#This Row],[Dutch Active]]/Data2023[[#This Row],[Dutch total]],"N/A")</f>
        <v>N/A</v>
      </c>
      <c r="S96" t="str">
        <f>IFERROR(IF(Data2023[[#This Row],[Number of members]]=Data2023[[#This Row],[Non-EEA Total]]+Data2023[[#This Row],[EEA total]]+Data2023[[#This Row],[Dutch total]],"T","F"),"F")</f>
        <v>F</v>
      </c>
      <c r="T96" t="str">
        <f>IFERROR(IF(Data2023[[#This Row],[Number of active members]]=Data2023[[#This Row],[Non-EEA Active ]]+Data2023[[#This Row],[EEA Active]]+Data2023[[#This Row],[Dutch Active]],"T","F"),"F")</f>
        <v>F</v>
      </c>
      <c r="U96" t="str">
        <f>IFERROR(IF(Data2023[[#This Row],[Number of members]]-Data2023[[#This Row],[Non-EEA Active ]]-Data2023[[#This Row],[EEA Active]]-Data2023[[#This Row],[Dutch Active]]=Data2023[[#This Row],[Number of  inactive members]],"T","F"),"F")</f>
        <v>F</v>
      </c>
      <c r="V96" t="str">
        <f>IF(Data2023[[#This Row],[EEA Active]]&lt;=Data2023[[#This Row],[EEA total]],"T","F")</f>
        <v>T</v>
      </c>
      <c r="W96" t="str">
        <f>IF(Data2023[[#This Row],[Dutch Active]]&lt;=Data2023[[#This Row],[Dutch total]],"T","F")</f>
        <v>T</v>
      </c>
      <c r="X96" t="str">
        <f>IF(Data2023[[#This Row],[Non-EEA Active ]]&lt;=Data2023[[#This Row],[Non-EEA Total]],"T","F")</f>
        <v>T</v>
      </c>
      <c r="Y9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6">
        <f>IFERROR(VLOOKUP(Data2023[[#This Row],[organisation_name]],'Division Study Year Committees'!$A$1:$L$108,2,FALSE),"N/A")</f>
        <v>0</v>
      </c>
      <c r="AA96">
        <f>IFERROR(VLOOKUP(Data2023[[#This Row],[organisation_name]],'Division Study Year Committees'!$A$1:$L$108,3,FALSE),"N/A")</f>
        <v>1</v>
      </c>
      <c r="AB96">
        <f>IFERROR(VLOOKUP(Data2023[[#This Row],[organisation_name]],'Division Study Year Committees'!$A$1:$L$108,4,FALSE),"N/A")</f>
        <v>3</v>
      </c>
      <c r="AC96">
        <f>IFERROR(VLOOKUP(Data2023[[#This Row],[organisation_name]],'Division Study Year Committees'!$A$1:$L$108,5,FALSE), "N/A")</f>
        <v>8</v>
      </c>
      <c r="AD96">
        <f>IFERROR(VLOOKUP(Data2023[[#This Row],[organisation_name]],'Division Study Year Committees'!$A$1:$L$108,6,FALSE), "N/A")</f>
        <v>2</v>
      </c>
      <c r="AE96">
        <f>SUM(Data2023[[#This Row],[Number of first year comittee members]:[Number of 4+ year comittee members]])</f>
        <v>14</v>
      </c>
      <c r="AF96">
        <f>COUNTIF('Committee2022'!D:D,Data2023[[#This Row],[organisation_name]])</f>
        <v>5</v>
      </c>
      <c r="AG96">
        <v>2023</v>
      </c>
    </row>
    <row r="97" spans="1:33" x14ac:dyDescent="0.3">
      <c r="A97" t="str">
        <f>General2023[[#This Row],[organisation_name]]</f>
        <v>Cultuurkoepel Apollo</v>
      </c>
      <c r="B97" t="str">
        <f>IF(General2023[[#This Row],[sector]]= "",VLOOKUP(Data2023[[#This Row],[organisation_name]],'Response Rate sheet'!A:D,3,FALSE),General2023[[#This Row],[sector]])</f>
        <v>Culture</v>
      </c>
      <c r="C97" t="str">
        <f>General2023[[#This Row],[organisation_type]]</f>
        <v>foundation</v>
      </c>
      <c r="D97">
        <f>IF(ISBLANK(General2023[[#This Row],[number_of_members]]),"N/A",VLOOKUP(A97,General2023[[organisation_name]:[number_of_international_committee_board_members_not_eea]],6,FALSE))</f>
        <v>3</v>
      </c>
      <c r="E97" t="str">
        <f>IF(ISBLANK(General2023[[#This Row],[number_of_committee_board_members]]),"N/A",VLOOKUP(A97,General2023!B:M,10,FALSE))</f>
        <v>N/A</v>
      </c>
      <c r="F97" t="str">
        <f>IFERROR(Data2023[[#This Row],[Number of members]]-Data2023[[#This Row],[Number of active members]], "N/A")</f>
        <v>N/A</v>
      </c>
      <c r="G97" t="str">
        <f>IFERROR(Data2023[[#This Row],[Number of active members]]/Data2023[[#This Row],[Number of members]], "N/A")</f>
        <v>N/A</v>
      </c>
      <c r="H97" t="str">
        <f>IFERROR(1-Data2023[[#This Row],[Percentage active members]],"N/A")</f>
        <v>N/A</v>
      </c>
      <c r="I97"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97" t="str">
        <f>IF(ISBLANK(General2023[[#This Row],[number_of_international_members_not_eea]]),"N/A",VLOOKUP(A97,General2023[[organisation_name]:[number_of_international_committee_board_members_not_eea]],9,FALSE))</f>
        <v>N/A</v>
      </c>
      <c r="K97">
        <f>IF(ISBLANK(General2023[[#This Row],[number_of_international_members_eea]]),"N/A",VLOOKUP(A97,General2023[[organisation_name]:[number_of_international_committee_board_members_not_eea]],8,FALSE))</f>
        <v>0</v>
      </c>
      <c r="L97" t="str">
        <f>IFERROR(IF(Data2023[[#This Row],[Number of members]]-Data2023[[#This Row],[Non-EEA Total]]-Data2023[[#This Row],[EEA total]]&lt;1,"N/A", Data2023[[#This Row],[Number of members]]-Data2023[[#This Row],[Non-EEA Total]]-Data2023[[#This Row],[EEA total]]),"N/A")</f>
        <v>N/A</v>
      </c>
      <c r="M97">
        <f>VLOOKUP(A97,General2023[[organisation_name]:[number_of_international_committee_board_members_not_eea]],12,FALSE)</f>
        <v>0</v>
      </c>
      <c r="N97">
        <f>VLOOKUP(A97,General2023[[organisation_name]:[number_of_international_committee_board_members_not_eea]],11,FALSE)</f>
        <v>0</v>
      </c>
      <c r="O97" t="str">
        <f>IFERROR(IF(Data2023[[#This Row],[Number of active members]]-Data2023[[#This Row],[Non-EEA Active ]]-Data2023[[#This Row],[EEA Active]]&lt;1,"N/A", Data2023[[#This Row],[Number of active members]]-Data2023[[#This Row],[Non-EEA Active ]]-Data2023[[#This Row],[EEA Active]]),"N/A")</f>
        <v>N/A</v>
      </c>
      <c r="P97" t="str">
        <f>IFERROR(Data2023[[#This Row],[Non-EEA Active ]]/Data2023[[#This Row],[Number of active members]],"N/A")</f>
        <v>N/A</v>
      </c>
      <c r="Q97" t="str">
        <f>IFERROR(Data2023[[#This Row],[EEA Active]]/Data2023[[#This Row],[EEA total]], "N/A")</f>
        <v>N/A</v>
      </c>
      <c r="R97" t="str">
        <f>IFERROR(Data2023[[#This Row],[Dutch Active]]/Data2023[[#This Row],[Dutch total]],"N/A")</f>
        <v>N/A</v>
      </c>
      <c r="S97" t="str">
        <f>IFERROR(IF(Data2023[[#This Row],[Number of members]]=Data2023[[#This Row],[Non-EEA Total]]+Data2023[[#This Row],[EEA total]]+Data2023[[#This Row],[Dutch total]],"T","F"),"F")</f>
        <v>F</v>
      </c>
      <c r="T97" t="str">
        <f>IFERROR(IF(Data2023[[#This Row],[Number of active members]]=Data2023[[#This Row],[Non-EEA Active ]]+Data2023[[#This Row],[EEA Active]]+Data2023[[#This Row],[Dutch Active]],"T","F"),"F")</f>
        <v>F</v>
      </c>
      <c r="U97" t="str">
        <f>IFERROR(IF(Data2023[[#This Row],[Number of members]]-Data2023[[#This Row],[Non-EEA Active ]]-Data2023[[#This Row],[EEA Active]]-Data2023[[#This Row],[Dutch Active]]=Data2023[[#This Row],[Number of  inactive members]],"T","F"),"F")</f>
        <v>F</v>
      </c>
      <c r="V97" t="str">
        <f>IF(Data2023[[#This Row],[EEA Active]]&lt;=Data2023[[#This Row],[EEA total]],"T","F")</f>
        <v>T</v>
      </c>
      <c r="W97" t="str">
        <f>IF(Data2023[[#This Row],[Dutch Active]]&lt;=Data2023[[#This Row],[Dutch total]],"T","F")</f>
        <v>T</v>
      </c>
      <c r="X97" t="str">
        <f>IF(Data2023[[#This Row],[Non-EEA Active ]]&lt;=Data2023[[#This Row],[Non-EEA Total]],"T","F")</f>
        <v>T</v>
      </c>
      <c r="Y9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7">
        <f>IFERROR(VLOOKUP(Data2023[[#This Row],[organisation_name]],'Division Study Year Committees'!$A$1:$L$108,2,FALSE),"N/A")</f>
        <v>1</v>
      </c>
      <c r="AA97">
        <f>IFERROR(VLOOKUP(Data2023[[#This Row],[organisation_name]],'Division Study Year Committees'!$A$1:$L$108,3,FALSE),"N/A")</f>
        <v>5</v>
      </c>
      <c r="AB97">
        <f>IFERROR(VLOOKUP(Data2023[[#This Row],[organisation_name]],'Division Study Year Committees'!$A$1:$L$108,4,FALSE),"N/A")</f>
        <v>11</v>
      </c>
      <c r="AC97">
        <f>IFERROR(VLOOKUP(Data2023[[#This Row],[organisation_name]],'Division Study Year Committees'!$A$1:$L$108,5,FALSE), "N/A")</f>
        <v>11</v>
      </c>
      <c r="AD97">
        <f>IFERROR(VLOOKUP(Data2023[[#This Row],[organisation_name]],'Division Study Year Committees'!$A$1:$L$108,6,FALSE), "N/A")</f>
        <v>6</v>
      </c>
      <c r="AE97">
        <f>SUM(Data2023[[#This Row],[Number of first year comittee members]:[Number of 4+ year comittee members]])</f>
        <v>34</v>
      </c>
      <c r="AF97">
        <f>COUNTIF('Committee2022'!D:D,Data2023[[#This Row],[organisation_name]])</f>
        <v>15</v>
      </c>
      <c r="AG97">
        <v>2023</v>
      </c>
    </row>
    <row r="98" spans="1:33" x14ac:dyDescent="0.3">
      <c r="A98" t="str">
        <f>General2023[[#This Row],[organisation_name]]</f>
        <v>PKVV Fact</v>
      </c>
      <c r="B98" t="str">
        <f>IF(General2023[[#This Row],[sector]]= "",VLOOKUP(Data2023[[#This Row],[organisation_name]],'Response Rate sheet'!A:D,3,FALSE),General2023[[#This Row],[sector]])</f>
        <v>Social</v>
      </c>
      <c r="C98" t="str">
        <f>General2023[[#This Row],[organisation_type]]</f>
        <v>foundation</v>
      </c>
      <c r="D98">
        <f>IF(ISBLANK(General2023[[#This Row],[number_of_members]]),"N/A",VLOOKUP(A98,General2023[[organisation_name]:[number_of_international_committee_board_members_not_eea]],6,FALSE))</f>
        <v>1447</v>
      </c>
      <c r="E98" t="str">
        <f>IF(ISBLANK(General2023[[#This Row],[number_of_committee_board_members]]),"N/A",VLOOKUP(A98,General2023!B:M,10,FALSE))</f>
        <v>N/A</v>
      </c>
      <c r="F98" t="str">
        <f>IFERROR(Data2023[[#This Row],[Number of members]]-Data2023[[#This Row],[Number of active members]], "N/A")</f>
        <v>N/A</v>
      </c>
      <c r="G98" t="str">
        <f>IFERROR(Data2023[[#This Row],[Number of active members]]/Data2023[[#This Row],[Number of members]], "N/A")</f>
        <v>N/A</v>
      </c>
      <c r="H98" t="str">
        <f>IFERROR(1-Data2023[[#This Row],[Percentage active members]],"N/A")</f>
        <v>N/A</v>
      </c>
      <c r="I98" t="str">
        <f>IF(Data2023[[#This Row],[Number of members]]=0,"N/A",IF(Data2023[[#This Row],[Number of members]]&lt;50," A. 1 - 50 ",IF(Data2023[[#This Row],[Number of members]]&lt;100, "B. 50 - 100", IF(Data2023[[#This Row],[Number of members]]&lt;400, "C. 100 - 400", IF(Data2023[[#This Row],[Number of members]]&lt;1000,"D. 400 - 1000", "E. 1000 +")))))</f>
        <v>E. 1000 +</v>
      </c>
      <c r="J98" t="str">
        <f>IF(ISBLANK(General2023[[#This Row],[number_of_international_members_not_eea]]),"N/A",VLOOKUP(A98,General2023[[organisation_name]:[number_of_international_committee_board_members_not_eea]],9,FALSE))</f>
        <v>N/A</v>
      </c>
      <c r="K98">
        <f>IF(ISBLANK(General2023[[#This Row],[number_of_international_members_eea]]),"N/A",VLOOKUP(A98,General2023[[organisation_name]:[number_of_international_committee_board_members_not_eea]],8,FALSE))</f>
        <v>0</v>
      </c>
      <c r="L98" t="str">
        <f>IFERROR(IF(Data2023[[#This Row],[Number of members]]-Data2023[[#This Row],[Non-EEA Total]]-Data2023[[#This Row],[EEA total]]&lt;1,"N/A", Data2023[[#This Row],[Number of members]]-Data2023[[#This Row],[Non-EEA Total]]-Data2023[[#This Row],[EEA total]]),"N/A")</f>
        <v>N/A</v>
      </c>
      <c r="M98">
        <f>VLOOKUP(A98,General2023[[organisation_name]:[number_of_international_committee_board_members_not_eea]],12,FALSE)</f>
        <v>0</v>
      </c>
      <c r="N98">
        <f>VLOOKUP(A98,General2023[[organisation_name]:[number_of_international_committee_board_members_not_eea]],11,FALSE)</f>
        <v>0</v>
      </c>
      <c r="O98" t="str">
        <f>IFERROR(IF(Data2023[[#This Row],[Number of active members]]-Data2023[[#This Row],[Non-EEA Active ]]-Data2023[[#This Row],[EEA Active]]&lt;1,"N/A", Data2023[[#This Row],[Number of active members]]-Data2023[[#This Row],[Non-EEA Active ]]-Data2023[[#This Row],[EEA Active]]),"N/A")</f>
        <v>N/A</v>
      </c>
      <c r="P98" t="str">
        <f>IFERROR(Data2023[[#This Row],[Non-EEA Active ]]/Data2023[[#This Row],[Number of active members]],"N/A")</f>
        <v>N/A</v>
      </c>
      <c r="Q98" t="str">
        <f>IFERROR(Data2023[[#This Row],[EEA Active]]/Data2023[[#This Row],[EEA total]], "N/A")</f>
        <v>N/A</v>
      </c>
      <c r="R98" t="str">
        <f>IFERROR(Data2023[[#This Row],[Dutch Active]]/Data2023[[#This Row],[Dutch total]],"N/A")</f>
        <v>N/A</v>
      </c>
      <c r="S98" t="str">
        <f>IFERROR(IF(Data2023[[#This Row],[Number of members]]=Data2023[[#This Row],[Non-EEA Total]]+Data2023[[#This Row],[EEA total]]+Data2023[[#This Row],[Dutch total]],"T","F"),"F")</f>
        <v>F</v>
      </c>
      <c r="T98" t="str">
        <f>IFERROR(IF(Data2023[[#This Row],[Number of active members]]=Data2023[[#This Row],[Non-EEA Active ]]+Data2023[[#This Row],[EEA Active]]+Data2023[[#This Row],[Dutch Active]],"T","F"),"F")</f>
        <v>F</v>
      </c>
      <c r="U98" t="str">
        <f>IFERROR(IF(Data2023[[#This Row],[Number of members]]-Data2023[[#This Row],[Non-EEA Active ]]-Data2023[[#This Row],[EEA Active]]-Data2023[[#This Row],[Dutch Active]]=Data2023[[#This Row],[Number of  inactive members]],"T","F"),"F")</f>
        <v>F</v>
      </c>
      <c r="V98" t="str">
        <f>IF(Data2023[[#This Row],[EEA Active]]&lt;=Data2023[[#This Row],[EEA total]],"T","F")</f>
        <v>T</v>
      </c>
      <c r="W98" t="str">
        <f>IF(Data2023[[#This Row],[Dutch Active]]&lt;=Data2023[[#This Row],[Dutch total]],"T","F")</f>
        <v>T</v>
      </c>
      <c r="X98" t="str">
        <f>IF(Data2023[[#This Row],[Non-EEA Active ]]&lt;=Data2023[[#This Row],[Non-EEA Total]],"T","F")</f>
        <v>T</v>
      </c>
      <c r="Y9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8">
        <f>IFERROR(VLOOKUP(Data2023[[#This Row],[organisation_name]],'Division Study Year Committees'!$A$1:$L$108,2,FALSE),"N/A")</f>
        <v>1</v>
      </c>
      <c r="AA98">
        <f>IFERROR(VLOOKUP(Data2023[[#This Row],[organisation_name]],'Division Study Year Committees'!$A$1:$L$108,3,FALSE),"N/A")</f>
        <v>4</v>
      </c>
      <c r="AB98">
        <f>IFERROR(VLOOKUP(Data2023[[#This Row],[organisation_name]],'Division Study Year Committees'!$A$1:$L$108,4,FALSE),"N/A")</f>
        <v>4</v>
      </c>
      <c r="AC98">
        <f>IFERROR(VLOOKUP(Data2023[[#This Row],[organisation_name]],'Division Study Year Committees'!$A$1:$L$108,5,FALSE), "N/A")</f>
        <v>3</v>
      </c>
      <c r="AD98">
        <f>IFERROR(VLOOKUP(Data2023[[#This Row],[organisation_name]],'Division Study Year Committees'!$A$1:$L$108,6,FALSE), "N/A")</f>
        <v>6</v>
      </c>
      <c r="AE98">
        <f>SUM(Data2023[[#This Row],[Number of first year comittee members]:[Number of 4+ year comittee members]])</f>
        <v>18</v>
      </c>
      <c r="AF98">
        <f>COUNTIF('Committee2022'!D:D,Data2023[[#This Row],[organisation_name]])</f>
        <v>2</v>
      </c>
      <c r="AG98">
        <v>2023</v>
      </c>
    </row>
    <row r="99" spans="1:33" x14ac:dyDescent="0.3">
      <c r="A99" t="str">
        <f>General2023[[#This Row],[organisation_name]]</f>
        <v>UniTe</v>
      </c>
      <c r="B99" t="str">
        <f>IF(General2023[[#This Row],[sector]]= "",VLOOKUP(Data2023[[#This Row],[organisation_name]],'Response Rate sheet'!A:D,3,FALSE),General2023[[#This Row],[sector]])</f>
        <v>World</v>
      </c>
      <c r="C99" t="str">
        <f>General2023[[#This Row],[organisation_type]]</f>
        <v>foundation</v>
      </c>
      <c r="D99">
        <f>IF(ISBLANK(General2023[[#This Row],[number_of_members]]),"N/A",VLOOKUP(A99,General2023[[organisation_name]:[number_of_international_committee_board_members_not_eea]],6,FALSE))</f>
        <v>7</v>
      </c>
      <c r="E99">
        <f>IF(ISBLANK(General2023[[#This Row],[number_of_committee_board_members]]),"N/A",VLOOKUP(A99,General2023!B:M,10,FALSE))</f>
        <v>0</v>
      </c>
      <c r="F99">
        <f>IFERROR(Data2023[[#This Row],[Number of members]]-Data2023[[#This Row],[Number of active members]], "N/A")</f>
        <v>7</v>
      </c>
      <c r="G99">
        <f>IFERROR(Data2023[[#This Row],[Number of active members]]/Data2023[[#This Row],[Number of members]], "N/A")</f>
        <v>0</v>
      </c>
      <c r="H99">
        <f>IFERROR(1-Data2023[[#This Row],[Percentage active members]],"N/A")</f>
        <v>1</v>
      </c>
      <c r="I99"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99">
        <f>IF(ISBLANK(General2023[[#This Row],[number_of_international_members_not_eea]]),"N/A",VLOOKUP(A99,General2023[[organisation_name]:[number_of_international_committee_board_members_not_eea]],9,FALSE))</f>
        <v>0</v>
      </c>
      <c r="K99">
        <f>IF(ISBLANK(General2023[[#This Row],[number_of_international_members_eea]]),"N/A",VLOOKUP(A99,General2023[[organisation_name]:[number_of_international_committee_board_members_not_eea]],8,FALSE))</f>
        <v>6</v>
      </c>
      <c r="L99">
        <f>IFERROR(IF(Data2023[[#This Row],[Number of members]]-Data2023[[#This Row],[Non-EEA Total]]-Data2023[[#This Row],[EEA total]]&lt;1,"N/A", Data2023[[#This Row],[Number of members]]-Data2023[[#This Row],[Non-EEA Total]]-Data2023[[#This Row],[EEA total]]),"N/A")</f>
        <v>1</v>
      </c>
      <c r="M99">
        <f>VLOOKUP(A99,General2023[[organisation_name]:[number_of_international_committee_board_members_not_eea]],12,FALSE)</f>
        <v>0</v>
      </c>
      <c r="N99">
        <f>VLOOKUP(A99,General2023[[organisation_name]:[number_of_international_committee_board_members_not_eea]],11,FALSE)</f>
        <v>0</v>
      </c>
      <c r="O99" t="str">
        <f>IFERROR(IF(Data2023[[#This Row],[Number of active members]]-Data2023[[#This Row],[Non-EEA Active ]]-Data2023[[#This Row],[EEA Active]]&lt;1,"N/A", Data2023[[#This Row],[Number of active members]]-Data2023[[#This Row],[Non-EEA Active ]]-Data2023[[#This Row],[EEA Active]]),"N/A")</f>
        <v>N/A</v>
      </c>
      <c r="P99" t="str">
        <f>IFERROR(Data2023[[#This Row],[Non-EEA Active ]]/Data2023[[#This Row],[Number of active members]],"N/A")</f>
        <v>N/A</v>
      </c>
      <c r="Q99">
        <f>IFERROR(Data2023[[#This Row],[EEA Active]]/Data2023[[#This Row],[EEA total]], "N/A")</f>
        <v>0</v>
      </c>
      <c r="R99" t="str">
        <f>IFERROR(Data2023[[#This Row],[Dutch Active]]/Data2023[[#This Row],[Dutch total]],"N/A")</f>
        <v>N/A</v>
      </c>
      <c r="S99" t="str">
        <f>IFERROR(IF(Data2023[[#This Row],[Number of members]]=Data2023[[#This Row],[Non-EEA Total]]+Data2023[[#This Row],[EEA total]]+Data2023[[#This Row],[Dutch total]],"T","F"),"F")</f>
        <v>T</v>
      </c>
      <c r="T99" t="str">
        <f>IFERROR(IF(Data2023[[#This Row],[Number of active members]]=Data2023[[#This Row],[Non-EEA Active ]]+Data2023[[#This Row],[EEA Active]]+Data2023[[#This Row],[Dutch Active]],"T","F"),"F")</f>
        <v>F</v>
      </c>
      <c r="U99" t="str">
        <f>IFERROR(IF(Data2023[[#This Row],[Number of members]]-Data2023[[#This Row],[Non-EEA Active ]]-Data2023[[#This Row],[EEA Active]]-Data2023[[#This Row],[Dutch Active]]=Data2023[[#This Row],[Number of  inactive members]],"T","F"),"F")</f>
        <v>F</v>
      </c>
      <c r="V99" t="str">
        <f>IF(Data2023[[#This Row],[EEA Active]]&lt;=Data2023[[#This Row],[EEA total]],"T","F")</f>
        <v>T</v>
      </c>
      <c r="W99" t="str">
        <f>IF(Data2023[[#This Row],[Dutch Active]]&lt;=Data2023[[#This Row],[Dutch total]],"T","F")</f>
        <v>F</v>
      </c>
      <c r="X99" t="str">
        <f>IF(Data2023[[#This Row],[Non-EEA Active ]]&lt;=Data2023[[#This Row],[Non-EEA Total]],"T","F")</f>
        <v>T</v>
      </c>
      <c r="Y9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99">
        <f>IFERROR(VLOOKUP(Data2023[[#This Row],[organisation_name]],'Division Study Year Committees'!$A$1:$L$108,2,FALSE),"N/A")</f>
        <v>0</v>
      </c>
      <c r="AA99">
        <f>IFERROR(VLOOKUP(Data2023[[#This Row],[organisation_name]],'Division Study Year Committees'!$A$1:$L$108,3,FALSE),"N/A")</f>
        <v>1</v>
      </c>
      <c r="AB99">
        <f>IFERROR(VLOOKUP(Data2023[[#This Row],[organisation_name]],'Division Study Year Committees'!$A$1:$L$108,4,FALSE),"N/A")</f>
        <v>0</v>
      </c>
      <c r="AC99">
        <f>IFERROR(VLOOKUP(Data2023[[#This Row],[organisation_name]],'Division Study Year Committees'!$A$1:$L$108,5,FALSE), "N/A")</f>
        <v>3</v>
      </c>
      <c r="AD99">
        <f>IFERROR(VLOOKUP(Data2023[[#This Row],[organisation_name]],'Division Study Year Committees'!$A$1:$L$108,6,FALSE), "N/A")</f>
        <v>3</v>
      </c>
      <c r="AE99">
        <f>SUM(Data2023[[#This Row],[Number of first year comittee members]:[Number of 4+ year comittee members]])</f>
        <v>7</v>
      </c>
      <c r="AF99">
        <f>COUNTIF('Committee2022'!D:D,Data2023[[#This Row],[organisation_name]])</f>
        <v>0</v>
      </c>
      <c r="AG99">
        <v>2023</v>
      </c>
    </row>
    <row r="100" spans="1:33" x14ac:dyDescent="0.3">
      <c r="A100" t="str">
        <f>General2023[[#This Row],[organisation_name]]</f>
        <v>Bedrijvendagen</v>
      </c>
      <c r="B100" t="str">
        <f>IF(General2023[[#This Row],[sector]]= "",VLOOKUP(Data2023[[#This Row],[organisation_name]],'Response Rate sheet'!A:D,3,FALSE),General2023[[#This Row],[sector]])</f>
        <v>Other</v>
      </c>
      <c r="C100" t="str">
        <f>General2023[[#This Row],[organisation_type]]</f>
        <v>foundation</v>
      </c>
      <c r="D100">
        <f>IF(ISBLANK(General2023[[#This Row],[number_of_members]]),"N/A",VLOOKUP(A100,General2023[[organisation_name]:[number_of_international_committee_board_members_not_eea]],6,FALSE))</f>
        <v>6</v>
      </c>
      <c r="E100" t="str">
        <f>IF(ISBLANK(General2023[[#This Row],[number_of_committee_board_members]]),"N/A",VLOOKUP(A100,General2023!B:M,10,FALSE))</f>
        <v>N/A</v>
      </c>
      <c r="F100" t="str">
        <f>IFERROR(Data2023[[#This Row],[Number of members]]-Data2023[[#This Row],[Number of active members]], "N/A")</f>
        <v>N/A</v>
      </c>
      <c r="G100" t="str">
        <f>IFERROR(Data2023[[#This Row],[Number of active members]]/Data2023[[#This Row],[Number of members]], "N/A")</f>
        <v>N/A</v>
      </c>
      <c r="H100" t="str">
        <f>IFERROR(1-Data2023[[#This Row],[Percentage active members]],"N/A")</f>
        <v>N/A</v>
      </c>
      <c r="I100"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0" t="str">
        <f>IF(ISBLANK(General2023[[#This Row],[number_of_international_members_not_eea]]),"N/A",VLOOKUP(A100,General2023[[organisation_name]:[number_of_international_committee_board_members_not_eea]],9,FALSE))</f>
        <v>N/A</v>
      </c>
      <c r="K100">
        <f>IF(ISBLANK(General2023[[#This Row],[number_of_international_members_eea]]),"N/A",VLOOKUP(A100,General2023[[organisation_name]:[number_of_international_committee_board_members_not_eea]],8,FALSE))</f>
        <v>0</v>
      </c>
      <c r="L100" t="str">
        <f>IFERROR(IF(Data2023[[#This Row],[Number of members]]-Data2023[[#This Row],[Non-EEA Total]]-Data2023[[#This Row],[EEA total]]&lt;1,"N/A", Data2023[[#This Row],[Number of members]]-Data2023[[#This Row],[Non-EEA Total]]-Data2023[[#This Row],[EEA total]]),"N/A")</f>
        <v>N/A</v>
      </c>
      <c r="M100">
        <f>VLOOKUP(A100,General2023[[organisation_name]:[number_of_international_committee_board_members_not_eea]],12,FALSE)</f>
        <v>0</v>
      </c>
      <c r="N100">
        <f>VLOOKUP(A100,General2023[[organisation_name]:[number_of_international_committee_board_members_not_eea]],11,FALSE)</f>
        <v>0</v>
      </c>
      <c r="O100" t="str">
        <f>IFERROR(IF(Data2023[[#This Row],[Number of active members]]-Data2023[[#This Row],[Non-EEA Active ]]-Data2023[[#This Row],[EEA Active]]&lt;1,"N/A", Data2023[[#This Row],[Number of active members]]-Data2023[[#This Row],[Non-EEA Active ]]-Data2023[[#This Row],[EEA Active]]),"N/A")</f>
        <v>N/A</v>
      </c>
      <c r="P100" t="str">
        <f>IFERROR(Data2023[[#This Row],[Non-EEA Active ]]/Data2023[[#This Row],[Number of active members]],"N/A")</f>
        <v>N/A</v>
      </c>
      <c r="Q100" t="str">
        <f>IFERROR(Data2023[[#This Row],[EEA Active]]/Data2023[[#This Row],[EEA total]], "N/A")</f>
        <v>N/A</v>
      </c>
      <c r="R100" t="str">
        <f>IFERROR(Data2023[[#This Row],[Dutch Active]]/Data2023[[#This Row],[Dutch total]],"N/A")</f>
        <v>N/A</v>
      </c>
      <c r="S100" t="str">
        <f>IFERROR(IF(Data2023[[#This Row],[Number of members]]=Data2023[[#This Row],[Non-EEA Total]]+Data2023[[#This Row],[EEA total]]+Data2023[[#This Row],[Dutch total]],"T","F"),"F")</f>
        <v>F</v>
      </c>
      <c r="T100" t="str">
        <f>IFERROR(IF(Data2023[[#This Row],[Number of active members]]=Data2023[[#This Row],[Non-EEA Active ]]+Data2023[[#This Row],[EEA Active]]+Data2023[[#This Row],[Dutch Active]],"T","F"),"F")</f>
        <v>F</v>
      </c>
      <c r="U100" t="str">
        <f>IFERROR(IF(Data2023[[#This Row],[Number of members]]-Data2023[[#This Row],[Non-EEA Active ]]-Data2023[[#This Row],[EEA Active]]-Data2023[[#This Row],[Dutch Active]]=Data2023[[#This Row],[Number of  inactive members]],"T","F"),"F")</f>
        <v>F</v>
      </c>
      <c r="V100" t="str">
        <f>IF(Data2023[[#This Row],[EEA Active]]&lt;=Data2023[[#This Row],[EEA total]],"T","F")</f>
        <v>T</v>
      </c>
      <c r="W100" t="str">
        <f>IF(Data2023[[#This Row],[Dutch Active]]&lt;=Data2023[[#This Row],[Dutch total]],"T","F")</f>
        <v>T</v>
      </c>
      <c r="X100" t="str">
        <f>IF(Data2023[[#This Row],[Non-EEA Active ]]&lt;=Data2023[[#This Row],[Non-EEA Total]],"T","F")</f>
        <v>T</v>
      </c>
      <c r="Y10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0" t="str">
        <f>IFERROR(VLOOKUP(Data2023[[#This Row],[organisation_name]],'Division Study Year Committees'!$A$1:$L$108,2,FALSE),"N/A")</f>
        <v>N/A</v>
      </c>
      <c r="AA100" t="str">
        <f>IFERROR(VLOOKUP(Data2023[[#This Row],[organisation_name]],'Division Study Year Committees'!$A$1:$L$108,3,FALSE),"N/A")</f>
        <v>N/A</v>
      </c>
      <c r="AB100" t="str">
        <f>IFERROR(VLOOKUP(Data2023[[#This Row],[organisation_name]],'Division Study Year Committees'!$A$1:$L$108,4,FALSE),"N/A")</f>
        <v>N/A</v>
      </c>
      <c r="AC100" t="str">
        <f>IFERROR(VLOOKUP(Data2023[[#This Row],[organisation_name]],'Division Study Year Committees'!$A$1:$L$108,5,FALSE), "N/A")</f>
        <v>N/A</v>
      </c>
      <c r="AD100" t="str">
        <f>IFERROR(VLOOKUP(Data2023[[#This Row],[organisation_name]],'Division Study Year Committees'!$A$1:$L$108,6,FALSE), "N/A")</f>
        <v>N/A</v>
      </c>
      <c r="AE100">
        <f>SUM(Data2023[[#This Row],[Number of first year comittee members]:[Number of 4+ year comittee members]])</f>
        <v>0</v>
      </c>
      <c r="AF100">
        <f>COUNTIF('Committee2022'!D:D,Data2023[[#This Row],[organisation_name]])</f>
        <v>1</v>
      </c>
      <c r="AG100">
        <v>2023</v>
      </c>
    </row>
    <row r="101" spans="1:33" x14ac:dyDescent="0.3">
      <c r="A101" t="str">
        <f>General2023[[#This Row],[organisation_name]]</f>
        <v>Duitenberg</v>
      </c>
      <c r="B101" t="str">
        <f>IF(General2023[[#This Row],[sector]]= "",VLOOKUP(Data2023[[#This Row],[organisation_name]],'Response Rate sheet'!A:D,3,FALSE),General2023[[#This Row],[sector]])</f>
        <v>Other</v>
      </c>
      <c r="C101" t="str">
        <f>General2023[[#This Row],[organisation_type]]</f>
        <v>association</v>
      </c>
      <c r="D101">
        <f>IF(ISBLANK(General2023[[#This Row],[number_of_members]]),"N/A",VLOOKUP(A101,General2023[[organisation_name]:[number_of_international_committee_board_members_not_eea]],6,FALSE))</f>
        <v>110</v>
      </c>
      <c r="E101">
        <f>IF(ISBLANK(General2023[[#This Row],[number_of_committee_board_members]]),"N/A",VLOOKUP(A101,General2023!B:M,10,FALSE))</f>
        <v>30</v>
      </c>
      <c r="F101">
        <f>IFERROR(Data2023[[#This Row],[Number of members]]-Data2023[[#This Row],[Number of active members]], "N/A")</f>
        <v>80</v>
      </c>
      <c r="G101">
        <f>IFERROR(Data2023[[#This Row],[Number of active members]]/Data2023[[#This Row],[Number of members]], "N/A")</f>
        <v>0.27272727272727271</v>
      </c>
      <c r="H101">
        <f>IFERROR(1-Data2023[[#This Row],[Percentage active members]],"N/A")</f>
        <v>0.72727272727272729</v>
      </c>
      <c r="I101" t="str">
        <f>IF(Data2023[[#This Row],[Number of members]]=0,"N/A",IF(Data2023[[#This Row],[Number of members]]&lt;50," A. 1 - 50 ",IF(Data2023[[#This Row],[Number of members]]&lt;100, "B. 50 - 100", IF(Data2023[[#This Row],[Number of members]]&lt;400, "C. 100 - 400", IF(Data2023[[#This Row],[Number of members]]&lt;1000,"D. 400 - 1000", "E. 1000 +")))))</f>
        <v>C. 100 - 400</v>
      </c>
      <c r="J101">
        <f>IF(ISBLANK(General2023[[#This Row],[number_of_international_members_not_eea]]),"N/A",VLOOKUP(A101,General2023[[organisation_name]:[number_of_international_committee_board_members_not_eea]],9,FALSE))</f>
        <v>17</v>
      </c>
      <c r="K101">
        <f>IF(ISBLANK(General2023[[#This Row],[number_of_international_members_eea]]),"N/A",VLOOKUP(A101,General2023[[organisation_name]:[number_of_international_committee_board_members_not_eea]],8,FALSE))</f>
        <v>12</v>
      </c>
      <c r="L101">
        <f>IFERROR(IF(Data2023[[#This Row],[Number of members]]-Data2023[[#This Row],[Non-EEA Total]]-Data2023[[#This Row],[EEA total]]&lt;1,"N/A", Data2023[[#This Row],[Number of members]]-Data2023[[#This Row],[Non-EEA Total]]-Data2023[[#This Row],[EEA total]]),"N/A")</f>
        <v>81</v>
      </c>
      <c r="M101">
        <f>VLOOKUP(A101,General2023[[organisation_name]:[number_of_international_committee_board_members_not_eea]],12,FALSE)</f>
        <v>2</v>
      </c>
      <c r="N101">
        <f>VLOOKUP(A101,General2023[[organisation_name]:[number_of_international_committee_board_members_not_eea]],11,FALSE)</f>
        <v>7</v>
      </c>
      <c r="O101">
        <f>IFERROR(IF(Data2023[[#This Row],[Number of active members]]-Data2023[[#This Row],[Non-EEA Active ]]-Data2023[[#This Row],[EEA Active]]&lt;1,"N/A", Data2023[[#This Row],[Number of active members]]-Data2023[[#This Row],[Non-EEA Active ]]-Data2023[[#This Row],[EEA Active]]),"N/A")</f>
        <v>21</v>
      </c>
      <c r="P101">
        <f>IFERROR(Data2023[[#This Row],[Non-EEA Active ]]/Data2023[[#This Row],[Number of active members]],"N/A")</f>
        <v>6.6666666666666666E-2</v>
      </c>
      <c r="Q101">
        <f>IFERROR(Data2023[[#This Row],[EEA Active]]/Data2023[[#This Row],[EEA total]], "N/A")</f>
        <v>0.58333333333333337</v>
      </c>
      <c r="R101">
        <f>IFERROR(Data2023[[#This Row],[Dutch Active]]/Data2023[[#This Row],[Dutch total]],"N/A")</f>
        <v>0.25925925925925924</v>
      </c>
      <c r="S101" t="str">
        <f>IFERROR(IF(Data2023[[#This Row],[Number of members]]=Data2023[[#This Row],[Non-EEA Total]]+Data2023[[#This Row],[EEA total]]+Data2023[[#This Row],[Dutch total]],"T","F"),"F")</f>
        <v>T</v>
      </c>
      <c r="T101" t="str">
        <f>IFERROR(IF(Data2023[[#This Row],[Number of active members]]=Data2023[[#This Row],[Non-EEA Active ]]+Data2023[[#This Row],[EEA Active]]+Data2023[[#This Row],[Dutch Active]],"T","F"),"F")</f>
        <v>T</v>
      </c>
      <c r="U101" t="str">
        <f>IFERROR(IF(Data2023[[#This Row],[Number of members]]-Data2023[[#This Row],[Non-EEA Active ]]-Data2023[[#This Row],[EEA Active]]-Data2023[[#This Row],[Dutch Active]]=Data2023[[#This Row],[Number of  inactive members]],"T","F"),"F")</f>
        <v>T</v>
      </c>
      <c r="V101" t="str">
        <f>IF(Data2023[[#This Row],[EEA Active]]&lt;=Data2023[[#This Row],[EEA total]],"T","F")</f>
        <v>T</v>
      </c>
      <c r="W101" t="str">
        <f>IF(Data2023[[#This Row],[Dutch Active]]&lt;=Data2023[[#This Row],[Dutch total]],"T","F")</f>
        <v>T</v>
      </c>
      <c r="X101" t="str">
        <f>IF(Data2023[[#This Row],[Non-EEA Active ]]&lt;=Data2023[[#This Row],[Non-EEA Total]],"T","F")</f>
        <v>T</v>
      </c>
      <c r="Y101"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01" t="str">
        <f>IFERROR(VLOOKUP(Data2023[[#This Row],[organisation_name]],'Division Study Year Committees'!$A$1:$L$108,2,FALSE),"N/A")</f>
        <v>N/A</v>
      </c>
      <c r="AA101" t="str">
        <f>IFERROR(VLOOKUP(Data2023[[#This Row],[organisation_name]],'Division Study Year Committees'!$A$1:$L$108,3,FALSE),"N/A")</f>
        <v>N/A</v>
      </c>
      <c r="AB101" t="str">
        <f>IFERROR(VLOOKUP(Data2023[[#This Row],[organisation_name]],'Division Study Year Committees'!$A$1:$L$108,4,FALSE),"N/A")</f>
        <v>N/A</v>
      </c>
      <c r="AC101" t="str">
        <f>IFERROR(VLOOKUP(Data2023[[#This Row],[organisation_name]],'Division Study Year Committees'!$A$1:$L$108,5,FALSE), "N/A")</f>
        <v>N/A</v>
      </c>
      <c r="AD101" t="str">
        <f>IFERROR(VLOOKUP(Data2023[[#This Row],[organisation_name]],'Division Study Year Committees'!$A$1:$L$108,6,FALSE), "N/A")</f>
        <v>N/A</v>
      </c>
      <c r="AE101">
        <f>SUM(Data2023[[#This Row],[Number of first year comittee members]:[Number of 4+ year comittee members]])</f>
        <v>0</v>
      </c>
      <c r="AF101">
        <f>COUNTIF('Committee2022'!D:D,Data2023[[#This Row],[organisation_name]])</f>
        <v>0</v>
      </c>
      <c r="AG101">
        <v>2023</v>
      </c>
    </row>
    <row r="102" spans="1:33" x14ac:dyDescent="0.3">
      <c r="A102" t="str">
        <f>General2023[[#This Row],[organisation_name]]</f>
        <v>Integrand Twente</v>
      </c>
      <c r="B102" t="str">
        <f>IF(General2023[[#This Row],[sector]]= "",VLOOKUP(Data2023[[#This Row],[organisation_name]],'Response Rate sheet'!A:D,3,FALSE),General2023[[#This Row],[sector]])</f>
        <v>Other</v>
      </c>
      <c r="C102" t="str">
        <f>General2023[[#This Row],[organisation_type]]</f>
        <v>foundation</v>
      </c>
      <c r="D102">
        <f>IF(ISBLANK(General2023[[#This Row],[number_of_members]]),"N/A",VLOOKUP(A102,General2023[[organisation_name]:[number_of_international_committee_board_members_not_eea]],6,FALSE))</f>
        <v>9</v>
      </c>
      <c r="E102" t="str">
        <f>IF(ISBLANK(General2023[[#This Row],[number_of_committee_board_members]]),"N/A",VLOOKUP(A102,General2023!B:M,10,FALSE))</f>
        <v>N/A</v>
      </c>
      <c r="F102" t="str">
        <f>IFERROR(Data2023[[#This Row],[Number of members]]-Data2023[[#This Row],[Number of active members]], "N/A")</f>
        <v>N/A</v>
      </c>
      <c r="G102" t="str">
        <f>IFERROR(Data2023[[#This Row],[Number of active members]]/Data2023[[#This Row],[Number of members]], "N/A")</f>
        <v>N/A</v>
      </c>
      <c r="H102" t="str">
        <f>IFERROR(1-Data2023[[#This Row],[Percentage active members]],"N/A")</f>
        <v>N/A</v>
      </c>
      <c r="I102"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2" t="str">
        <f>IF(ISBLANK(General2023[[#This Row],[number_of_international_members_not_eea]]),"N/A",VLOOKUP(A102,General2023[[organisation_name]:[number_of_international_committee_board_members_not_eea]],9,FALSE))</f>
        <v>N/A</v>
      </c>
      <c r="K102">
        <f>IF(ISBLANK(General2023[[#This Row],[number_of_international_members_eea]]),"N/A",VLOOKUP(A102,General2023[[organisation_name]:[number_of_international_committee_board_members_not_eea]],8,FALSE))</f>
        <v>0</v>
      </c>
      <c r="L102" t="str">
        <f>IFERROR(IF(Data2023[[#This Row],[Number of members]]-Data2023[[#This Row],[Non-EEA Total]]-Data2023[[#This Row],[EEA total]]&lt;1,"N/A", Data2023[[#This Row],[Number of members]]-Data2023[[#This Row],[Non-EEA Total]]-Data2023[[#This Row],[EEA total]]),"N/A")</f>
        <v>N/A</v>
      </c>
      <c r="M102">
        <f>VLOOKUP(A102,General2023[[organisation_name]:[number_of_international_committee_board_members_not_eea]],12,FALSE)</f>
        <v>0</v>
      </c>
      <c r="N102">
        <f>VLOOKUP(A102,General2023[[organisation_name]:[number_of_international_committee_board_members_not_eea]],11,FALSE)</f>
        <v>0</v>
      </c>
      <c r="O102" t="str">
        <f>IFERROR(IF(Data2023[[#This Row],[Number of active members]]-Data2023[[#This Row],[Non-EEA Active ]]-Data2023[[#This Row],[EEA Active]]&lt;1,"N/A", Data2023[[#This Row],[Number of active members]]-Data2023[[#This Row],[Non-EEA Active ]]-Data2023[[#This Row],[EEA Active]]),"N/A")</f>
        <v>N/A</v>
      </c>
      <c r="P102" t="str">
        <f>IFERROR(Data2023[[#This Row],[Non-EEA Active ]]/Data2023[[#This Row],[Number of active members]],"N/A")</f>
        <v>N/A</v>
      </c>
      <c r="Q102" t="str">
        <f>IFERROR(Data2023[[#This Row],[EEA Active]]/Data2023[[#This Row],[EEA total]], "N/A")</f>
        <v>N/A</v>
      </c>
      <c r="R102" t="str">
        <f>IFERROR(Data2023[[#This Row],[Dutch Active]]/Data2023[[#This Row],[Dutch total]],"N/A")</f>
        <v>N/A</v>
      </c>
      <c r="S102" t="str">
        <f>IFERROR(IF(Data2023[[#This Row],[Number of members]]=Data2023[[#This Row],[Non-EEA Total]]+Data2023[[#This Row],[EEA total]]+Data2023[[#This Row],[Dutch total]],"T","F"),"F")</f>
        <v>F</v>
      </c>
      <c r="T102" t="str">
        <f>IFERROR(IF(Data2023[[#This Row],[Number of active members]]=Data2023[[#This Row],[Non-EEA Active ]]+Data2023[[#This Row],[EEA Active]]+Data2023[[#This Row],[Dutch Active]],"T","F"),"F")</f>
        <v>F</v>
      </c>
      <c r="U102" t="str">
        <f>IFERROR(IF(Data2023[[#This Row],[Number of members]]-Data2023[[#This Row],[Non-EEA Active ]]-Data2023[[#This Row],[EEA Active]]-Data2023[[#This Row],[Dutch Active]]=Data2023[[#This Row],[Number of  inactive members]],"T","F"),"F")</f>
        <v>F</v>
      </c>
      <c r="V102" t="str">
        <f>IF(Data2023[[#This Row],[EEA Active]]&lt;=Data2023[[#This Row],[EEA total]],"T","F")</f>
        <v>T</v>
      </c>
      <c r="W102" t="str">
        <f>IF(Data2023[[#This Row],[Dutch Active]]&lt;=Data2023[[#This Row],[Dutch total]],"T","F")</f>
        <v>T</v>
      </c>
      <c r="X102" t="str">
        <f>IF(Data2023[[#This Row],[Non-EEA Active ]]&lt;=Data2023[[#This Row],[Non-EEA Total]],"T","F")</f>
        <v>T</v>
      </c>
      <c r="Y10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2">
        <f>IFERROR(VLOOKUP(Data2023[[#This Row],[organisation_name]],'Division Study Year Committees'!$A$1:$L$108,2,FALSE),"N/A")</f>
        <v>0</v>
      </c>
      <c r="AA102">
        <f>IFERROR(VLOOKUP(Data2023[[#This Row],[organisation_name]],'Division Study Year Committees'!$A$1:$L$108,3,FALSE),"N/A")</f>
        <v>0</v>
      </c>
      <c r="AB102">
        <f>IFERROR(VLOOKUP(Data2023[[#This Row],[organisation_name]],'Division Study Year Committees'!$A$1:$L$108,4,FALSE),"N/A")</f>
        <v>6</v>
      </c>
      <c r="AC102">
        <f>IFERROR(VLOOKUP(Data2023[[#This Row],[organisation_name]],'Division Study Year Committees'!$A$1:$L$108,5,FALSE), "N/A")</f>
        <v>2</v>
      </c>
      <c r="AD102">
        <f>IFERROR(VLOOKUP(Data2023[[#This Row],[organisation_name]],'Division Study Year Committees'!$A$1:$L$108,6,FALSE), "N/A")</f>
        <v>0</v>
      </c>
      <c r="AE102">
        <f>SUM(Data2023[[#This Row],[Number of first year comittee members]:[Number of 4+ year comittee members]])</f>
        <v>8</v>
      </c>
      <c r="AF102">
        <f>COUNTIF('Committee2022'!D:D,Data2023[[#This Row],[organisation_name]])</f>
        <v>1</v>
      </c>
      <c r="AG102">
        <v>2023</v>
      </c>
    </row>
    <row r="103" spans="1:33" x14ac:dyDescent="0.3">
      <c r="A103" t="str">
        <f>General2023[[#This Row],[organisation_name]]</f>
        <v>KIVI Students Twente</v>
      </c>
      <c r="B103" t="str">
        <f>IF(General2023[[#This Row],[sector]]= "",VLOOKUP(Data2023[[#This Row],[organisation_name]],'Response Rate sheet'!A:D,3,FALSE),General2023[[#This Row],[sector]])</f>
        <v>Other</v>
      </c>
      <c r="C103" t="str">
        <f>General2023[[#This Row],[organisation_type]]</f>
        <v>foundation</v>
      </c>
      <c r="D103">
        <f>IF(ISBLANK(General2023[[#This Row],[number_of_members]]),"N/A",VLOOKUP(A103,General2023[[organisation_name]:[number_of_international_committee_board_members_not_eea]],6,FALSE))</f>
        <v>25</v>
      </c>
      <c r="E103" t="str">
        <f>IF(ISBLANK(General2023[[#This Row],[number_of_committee_board_members]]),"N/A",VLOOKUP(A103,General2023!B:M,10,FALSE))</f>
        <v>N/A</v>
      </c>
      <c r="F103" t="str">
        <f>IFERROR(Data2023[[#This Row],[Number of members]]-Data2023[[#This Row],[Number of active members]], "N/A")</f>
        <v>N/A</v>
      </c>
      <c r="G103" t="str">
        <f>IFERROR(Data2023[[#This Row],[Number of active members]]/Data2023[[#This Row],[Number of members]], "N/A")</f>
        <v>N/A</v>
      </c>
      <c r="H103" t="str">
        <f>IFERROR(1-Data2023[[#This Row],[Percentage active members]],"N/A")</f>
        <v>N/A</v>
      </c>
      <c r="I103"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3" t="str">
        <f>IF(ISBLANK(General2023[[#This Row],[number_of_international_members_not_eea]]),"N/A",VLOOKUP(A103,General2023[[organisation_name]:[number_of_international_committee_board_members_not_eea]],9,FALSE))</f>
        <v>N/A</v>
      </c>
      <c r="K103">
        <f>IF(ISBLANK(General2023[[#This Row],[number_of_international_members_eea]]),"N/A",VLOOKUP(A103,General2023[[organisation_name]:[number_of_international_committee_board_members_not_eea]],8,FALSE))</f>
        <v>2</v>
      </c>
      <c r="L103" t="str">
        <f>IFERROR(IF(Data2023[[#This Row],[Number of members]]-Data2023[[#This Row],[Non-EEA Total]]-Data2023[[#This Row],[EEA total]]&lt;1,"N/A", Data2023[[#This Row],[Number of members]]-Data2023[[#This Row],[Non-EEA Total]]-Data2023[[#This Row],[EEA total]]),"N/A")</f>
        <v>N/A</v>
      </c>
      <c r="M103">
        <f>VLOOKUP(A103,General2023[[organisation_name]:[number_of_international_committee_board_members_not_eea]],12,FALSE)</f>
        <v>0</v>
      </c>
      <c r="N103">
        <f>VLOOKUP(A103,General2023[[organisation_name]:[number_of_international_committee_board_members_not_eea]],11,FALSE)</f>
        <v>0</v>
      </c>
      <c r="O103" t="str">
        <f>IFERROR(IF(Data2023[[#This Row],[Number of active members]]-Data2023[[#This Row],[Non-EEA Active ]]-Data2023[[#This Row],[EEA Active]]&lt;1,"N/A", Data2023[[#This Row],[Number of active members]]-Data2023[[#This Row],[Non-EEA Active ]]-Data2023[[#This Row],[EEA Active]]),"N/A")</f>
        <v>N/A</v>
      </c>
      <c r="P103" t="str">
        <f>IFERROR(Data2023[[#This Row],[Non-EEA Active ]]/Data2023[[#This Row],[Number of active members]],"N/A")</f>
        <v>N/A</v>
      </c>
      <c r="Q103">
        <f>IFERROR(Data2023[[#This Row],[EEA Active]]/Data2023[[#This Row],[EEA total]], "N/A")</f>
        <v>0</v>
      </c>
      <c r="R103" t="str">
        <f>IFERROR(Data2023[[#This Row],[Dutch Active]]/Data2023[[#This Row],[Dutch total]],"N/A")</f>
        <v>N/A</v>
      </c>
      <c r="S103" t="str">
        <f>IFERROR(IF(Data2023[[#This Row],[Number of members]]=Data2023[[#This Row],[Non-EEA Total]]+Data2023[[#This Row],[EEA total]]+Data2023[[#This Row],[Dutch total]],"T","F"),"F")</f>
        <v>F</v>
      </c>
      <c r="T103" t="str">
        <f>IFERROR(IF(Data2023[[#This Row],[Number of active members]]=Data2023[[#This Row],[Non-EEA Active ]]+Data2023[[#This Row],[EEA Active]]+Data2023[[#This Row],[Dutch Active]],"T","F"),"F")</f>
        <v>F</v>
      </c>
      <c r="U103" t="str">
        <f>IFERROR(IF(Data2023[[#This Row],[Number of members]]-Data2023[[#This Row],[Non-EEA Active ]]-Data2023[[#This Row],[EEA Active]]-Data2023[[#This Row],[Dutch Active]]=Data2023[[#This Row],[Number of  inactive members]],"T","F"),"F")</f>
        <v>F</v>
      </c>
      <c r="V103" t="str">
        <f>IF(Data2023[[#This Row],[EEA Active]]&lt;=Data2023[[#This Row],[EEA total]],"T","F")</f>
        <v>T</v>
      </c>
      <c r="W103" t="str">
        <f>IF(Data2023[[#This Row],[Dutch Active]]&lt;=Data2023[[#This Row],[Dutch total]],"T","F")</f>
        <v>T</v>
      </c>
      <c r="X103" t="str">
        <f>IF(Data2023[[#This Row],[Non-EEA Active ]]&lt;=Data2023[[#This Row],[Non-EEA Total]],"T","F")</f>
        <v>T</v>
      </c>
      <c r="Y10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3">
        <f>IFERROR(VLOOKUP(Data2023[[#This Row],[organisation_name]],'Division Study Year Committees'!$A$1:$L$108,2,FALSE),"N/A")</f>
        <v>0</v>
      </c>
      <c r="AA103">
        <f>IFERROR(VLOOKUP(Data2023[[#This Row],[organisation_name]],'Division Study Year Committees'!$A$1:$L$108,3,FALSE),"N/A")</f>
        <v>0</v>
      </c>
      <c r="AB103">
        <f>IFERROR(VLOOKUP(Data2023[[#This Row],[organisation_name]],'Division Study Year Committees'!$A$1:$L$108,4,FALSE),"N/A")</f>
        <v>0</v>
      </c>
      <c r="AC103">
        <f>IFERROR(VLOOKUP(Data2023[[#This Row],[organisation_name]],'Division Study Year Committees'!$A$1:$L$108,5,FALSE), "N/A")</f>
        <v>0</v>
      </c>
      <c r="AD103">
        <f>IFERROR(VLOOKUP(Data2023[[#This Row],[organisation_name]],'Division Study Year Committees'!$A$1:$L$108,6,FALSE), "N/A")</f>
        <v>0</v>
      </c>
      <c r="AE103">
        <f>SUM(Data2023[[#This Row],[Number of first year comittee members]:[Number of 4+ year comittee members]])</f>
        <v>0</v>
      </c>
      <c r="AF103">
        <f>COUNTIF('Committee2022'!D:D,Data2023[[#This Row],[organisation_name]])</f>
        <v>4</v>
      </c>
      <c r="AG103">
        <v>2023</v>
      </c>
    </row>
    <row r="104" spans="1:33" x14ac:dyDescent="0.3">
      <c r="A104" t="str">
        <f>General2023[[#This Row],[organisation_name]]</f>
        <v>Unipartners</v>
      </c>
      <c r="B104" t="str">
        <f>IF(General2023[[#This Row],[sector]]= "",VLOOKUP(Data2023[[#This Row],[organisation_name]],'Response Rate sheet'!A:D,3,FALSE),General2023[[#This Row],[sector]])</f>
        <v>Other</v>
      </c>
      <c r="C104" t="str">
        <f>General2023[[#This Row],[organisation_type]]</f>
        <v>foundation</v>
      </c>
      <c r="D104" t="str">
        <f>IF(ISBLANK(General2023[[#This Row],[number_of_members]]),"N/A",VLOOKUP(A104,General2023[[organisation_name]:[number_of_international_committee_board_members_not_eea]],6,FALSE))</f>
        <v>N/A</v>
      </c>
      <c r="E104" t="str">
        <f>IF(ISBLANK(General2023[[#This Row],[number_of_committee_board_members]]),"N/A",VLOOKUP(A104,General2023!B:M,10,FALSE))</f>
        <v>N/A</v>
      </c>
      <c r="F104" t="str">
        <f>IFERROR(Data2023[[#This Row],[Number of members]]-Data2023[[#This Row],[Number of active members]], "N/A")</f>
        <v>N/A</v>
      </c>
      <c r="G104" t="str">
        <f>IFERROR(Data2023[[#This Row],[Number of active members]]/Data2023[[#This Row],[Number of members]], "N/A")</f>
        <v>N/A</v>
      </c>
      <c r="H104" t="str">
        <f>IFERROR(1-Data2023[[#This Row],[Percentage active members]],"N/A")</f>
        <v>N/A</v>
      </c>
      <c r="I104" t="str">
        <f>IF(Data2023[[#This Row],[Number of members]]=0,"N/A",IF(Data2023[[#This Row],[Number of members]]&lt;50," A. 1 - 50 ",IF(Data2023[[#This Row],[Number of members]]&lt;100, "B. 50 - 100", IF(Data2023[[#This Row],[Number of members]]&lt;400, "C. 100 - 400", IF(Data2023[[#This Row],[Number of members]]&lt;1000,"D. 400 - 1000", "E. 1000 +")))))</f>
        <v>E. 1000 +</v>
      </c>
      <c r="J104" t="str">
        <f>IF(ISBLANK(General2023[[#This Row],[number_of_international_members_not_eea]]),"N/A",VLOOKUP(A104,General2023[[organisation_name]:[number_of_international_committee_board_members_not_eea]],9,FALSE))</f>
        <v>N/A</v>
      </c>
      <c r="K104" t="str">
        <f>IF(ISBLANK(General2023[[#This Row],[number_of_international_members_eea]]),"N/A",VLOOKUP(A104,General2023[[organisation_name]:[number_of_international_committee_board_members_not_eea]],8,FALSE))</f>
        <v>N/A</v>
      </c>
      <c r="L104" t="str">
        <f>IFERROR(IF(Data2023[[#This Row],[Number of members]]-Data2023[[#This Row],[Non-EEA Total]]-Data2023[[#This Row],[EEA total]]&lt;1,"N/A", Data2023[[#This Row],[Number of members]]-Data2023[[#This Row],[Non-EEA Total]]-Data2023[[#This Row],[EEA total]]),"N/A")</f>
        <v>N/A</v>
      </c>
      <c r="M104">
        <f>VLOOKUP(A104,General2023[[organisation_name]:[number_of_international_committee_board_members_not_eea]],12,FALSE)</f>
        <v>0</v>
      </c>
      <c r="N104">
        <f>VLOOKUP(A104,General2023[[organisation_name]:[number_of_international_committee_board_members_not_eea]],11,FALSE)</f>
        <v>0</v>
      </c>
      <c r="O104" t="str">
        <f>IFERROR(IF(Data2023[[#This Row],[Number of active members]]-Data2023[[#This Row],[Non-EEA Active ]]-Data2023[[#This Row],[EEA Active]]&lt;1,"N/A", Data2023[[#This Row],[Number of active members]]-Data2023[[#This Row],[Non-EEA Active ]]-Data2023[[#This Row],[EEA Active]]),"N/A")</f>
        <v>N/A</v>
      </c>
      <c r="P104" t="str">
        <f>IFERROR(Data2023[[#This Row],[Non-EEA Active ]]/Data2023[[#This Row],[Number of active members]],"N/A")</f>
        <v>N/A</v>
      </c>
      <c r="Q104" t="str">
        <f>IFERROR(Data2023[[#This Row],[EEA Active]]/Data2023[[#This Row],[EEA total]], "N/A")</f>
        <v>N/A</v>
      </c>
      <c r="R104" t="str">
        <f>IFERROR(Data2023[[#This Row],[Dutch Active]]/Data2023[[#This Row],[Dutch total]],"N/A")</f>
        <v>N/A</v>
      </c>
      <c r="S104" t="str">
        <f>IFERROR(IF(Data2023[[#This Row],[Number of members]]=Data2023[[#This Row],[Non-EEA Total]]+Data2023[[#This Row],[EEA total]]+Data2023[[#This Row],[Dutch total]],"T","F"),"F")</f>
        <v>F</v>
      </c>
      <c r="T104" t="str">
        <f>IFERROR(IF(Data2023[[#This Row],[Number of active members]]=Data2023[[#This Row],[Non-EEA Active ]]+Data2023[[#This Row],[EEA Active]]+Data2023[[#This Row],[Dutch Active]],"T","F"),"F")</f>
        <v>F</v>
      </c>
      <c r="U104" t="str">
        <f>IFERROR(IF(Data2023[[#This Row],[Number of members]]-Data2023[[#This Row],[Non-EEA Active ]]-Data2023[[#This Row],[EEA Active]]-Data2023[[#This Row],[Dutch Active]]=Data2023[[#This Row],[Number of  inactive members]],"T","F"),"F")</f>
        <v>F</v>
      </c>
      <c r="V104" t="str">
        <f>IF(Data2023[[#This Row],[EEA Active]]&lt;=Data2023[[#This Row],[EEA total]],"T","F")</f>
        <v>T</v>
      </c>
      <c r="W104" t="str">
        <f>IF(Data2023[[#This Row],[Dutch Active]]&lt;=Data2023[[#This Row],[Dutch total]],"T","F")</f>
        <v>T</v>
      </c>
      <c r="X104" t="str">
        <f>IF(Data2023[[#This Row],[Non-EEA Active ]]&lt;=Data2023[[#This Row],[Non-EEA Total]],"T","F")</f>
        <v>T</v>
      </c>
      <c r="Y10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4" t="str">
        <f>IFERROR(VLOOKUP(Data2023[[#This Row],[organisation_name]],'Division Study Year Committees'!$A$1:$L$108,2,FALSE),"N/A")</f>
        <v>N/A</v>
      </c>
      <c r="AA104" t="str">
        <f>IFERROR(VLOOKUP(Data2023[[#This Row],[organisation_name]],'Division Study Year Committees'!$A$1:$L$108,3,FALSE),"N/A")</f>
        <v>N/A</v>
      </c>
      <c r="AB104" t="str">
        <f>IFERROR(VLOOKUP(Data2023[[#This Row],[organisation_name]],'Division Study Year Committees'!$A$1:$L$108,4,FALSE),"N/A")</f>
        <v>N/A</v>
      </c>
      <c r="AC104" t="str">
        <f>IFERROR(VLOOKUP(Data2023[[#This Row],[organisation_name]],'Division Study Year Committees'!$A$1:$L$108,5,FALSE), "N/A")</f>
        <v>N/A</v>
      </c>
      <c r="AD104" t="str">
        <f>IFERROR(VLOOKUP(Data2023[[#This Row],[organisation_name]],'Division Study Year Committees'!$A$1:$L$108,6,FALSE), "N/A")</f>
        <v>N/A</v>
      </c>
      <c r="AE104">
        <f>SUM(Data2023[[#This Row],[Number of first year comittee members]:[Number of 4+ year comittee members]])</f>
        <v>0</v>
      </c>
      <c r="AF104">
        <f>COUNTIF('Committee2022'!D:D,Data2023[[#This Row],[organisation_name]])</f>
        <v>0</v>
      </c>
      <c r="AG104">
        <v>2023</v>
      </c>
    </row>
    <row r="105" spans="1:33" x14ac:dyDescent="0.3">
      <c r="A105" t="str">
        <f>General2023[[#This Row],[organisation_name]]</f>
        <v>DSIF</v>
      </c>
      <c r="B105" t="str">
        <f>IF(General2023[[#This Row],[sector]]= "",VLOOKUP(Data2023[[#This Row],[organisation_name]],'Response Rate sheet'!A:D,3,FALSE),General2023[[#This Row],[sector]])</f>
        <v>Other</v>
      </c>
      <c r="C105" t="str">
        <f>General2023[[#This Row],[organisation_type]]</f>
        <v>foundation</v>
      </c>
      <c r="D105">
        <f>IF(ISBLANK(General2023[[#This Row],[number_of_members]]),"N/A",VLOOKUP(A105,General2023[[organisation_name]:[number_of_international_committee_board_members_not_eea]],6,FALSE))</f>
        <v>8</v>
      </c>
      <c r="E105" t="str">
        <f>IF(ISBLANK(General2023[[#This Row],[number_of_committee_board_members]]),"N/A",VLOOKUP(A105,General2023!B:M,10,FALSE))</f>
        <v>N/A</v>
      </c>
      <c r="F105" t="str">
        <f>IFERROR(Data2023[[#This Row],[Number of members]]-Data2023[[#This Row],[Number of active members]], "N/A")</f>
        <v>N/A</v>
      </c>
      <c r="G105" t="str">
        <f>IFERROR(Data2023[[#This Row],[Number of active members]]/Data2023[[#This Row],[Number of members]], "N/A")</f>
        <v>N/A</v>
      </c>
      <c r="H105" t="str">
        <f>IFERROR(1-Data2023[[#This Row],[Percentage active members]],"N/A")</f>
        <v>N/A</v>
      </c>
      <c r="I105"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5" t="str">
        <f>IF(ISBLANK(General2023[[#This Row],[number_of_international_members_not_eea]]),"N/A",VLOOKUP(A105,General2023[[organisation_name]:[number_of_international_committee_board_members_not_eea]],9,FALSE))</f>
        <v>N/A</v>
      </c>
      <c r="K105">
        <f>IF(ISBLANK(General2023[[#This Row],[number_of_international_members_eea]]),"N/A",VLOOKUP(A105,General2023[[organisation_name]:[number_of_international_committee_board_members_not_eea]],8,FALSE))</f>
        <v>2</v>
      </c>
      <c r="L105" t="str">
        <f>IFERROR(IF(Data2023[[#This Row],[Number of members]]-Data2023[[#This Row],[Non-EEA Total]]-Data2023[[#This Row],[EEA total]]&lt;1,"N/A", Data2023[[#This Row],[Number of members]]-Data2023[[#This Row],[Non-EEA Total]]-Data2023[[#This Row],[EEA total]]),"N/A")</f>
        <v>N/A</v>
      </c>
      <c r="M105">
        <f>VLOOKUP(A105,General2023[[organisation_name]:[number_of_international_committee_board_members_not_eea]],12,FALSE)</f>
        <v>0</v>
      </c>
      <c r="N105">
        <f>VLOOKUP(A105,General2023[[organisation_name]:[number_of_international_committee_board_members_not_eea]],11,FALSE)</f>
        <v>0</v>
      </c>
      <c r="O105" t="str">
        <f>IFERROR(IF(Data2023[[#This Row],[Number of active members]]-Data2023[[#This Row],[Non-EEA Active ]]-Data2023[[#This Row],[EEA Active]]&lt;1,"N/A", Data2023[[#This Row],[Number of active members]]-Data2023[[#This Row],[Non-EEA Active ]]-Data2023[[#This Row],[EEA Active]]),"N/A")</f>
        <v>N/A</v>
      </c>
      <c r="P105" t="str">
        <f>IFERROR(Data2023[[#This Row],[Non-EEA Active ]]/Data2023[[#This Row],[Number of active members]],"N/A")</f>
        <v>N/A</v>
      </c>
      <c r="Q105">
        <f>IFERROR(Data2023[[#This Row],[EEA Active]]/Data2023[[#This Row],[EEA total]], "N/A")</f>
        <v>0</v>
      </c>
      <c r="R105" t="str">
        <f>IFERROR(Data2023[[#This Row],[Dutch Active]]/Data2023[[#This Row],[Dutch total]],"N/A")</f>
        <v>N/A</v>
      </c>
      <c r="S105" t="str">
        <f>IFERROR(IF(Data2023[[#This Row],[Number of members]]=Data2023[[#This Row],[Non-EEA Total]]+Data2023[[#This Row],[EEA total]]+Data2023[[#This Row],[Dutch total]],"T","F"),"F")</f>
        <v>F</v>
      </c>
      <c r="T105" t="str">
        <f>IFERROR(IF(Data2023[[#This Row],[Number of active members]]=Data2023[[#This Row],[Non-EEA Active ]]+Data2023[[#This Row],[EEA Active]]+Data2023[[#This Row],[Dutch Active]],"T","F"),"F")</f>
        <v>F</v>
      </c>
      <c r="U105" t="str">
        <f>IFERROR(IF(Data2023[[#This Row],[Number of members]]-Data2023[[#This Row],[Non-EEA Active ]]-Data2023[[#This Row],[EEA Active]]-Data2023[[#This Row],[Dutch Active]]=Data2023[[#This Row],[Number of  inactive members]],"T","F"),"F")</f>
        <v>F</v>
      </c>
      <c r="V105" t="str">
        <f>IF(Data2023[[#This Row],[EEA Active]]&lt;=Data2023[[#This Row],[EEA total]],"T","F")</f>
        <v>T</v>
      </c>
      <c r="W105" t="str">
        <f>IF(Data2023[[#This Row],[Dutch Active]]&lt;=Data2023[[#This Row],[Dutch total]],"T","F")</f>
        <v>T</v>
      </c>
      <c r="X105" t="str">
        <f>IF(Data2023[[#This Row],[Non-EEA Active ]]&lt;=Data2023[[#This Row],[Non-EEA Total]],"T","F")</f>
        <v>T</v>
      </c>
      <c r="Y10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5" t="str">
        <f>IFERROR(VLOOKUP(Data2023[[#This Row],[organisation_name]],'Division Study Year Committees'!$A$1:$L$108,2,FALSE),"N/A")</f>
        <v>N/A</v>
      </c>
      <c r="AA105" t="str">
        <f>IFERROR(VLOOKUP(Data2023[[#This Row],[organisation_name]],'Division Study Year Committees'!$A$1:$L$108,3,FALSE),"N/A")</f>
        <v>N/A</v>
      </c>
      <c r="AB105" t="str">
        <f>IFERROR(VLOOKUP(Data2023[[#This Row],[organisation_name]],'Division Study Year Committees'!$A$1:$L$108,4,FALSE),"N/A")</f>
        <v>N/A</v>
      </c>
      <c r="AC105" t="str">
        <f>IFERROR(VLOOKUP(Data2023[[#This Row],[organisation_name]],'Division Study Year Committees'!$A$1:$L$108,5,FALSE), "N/A")</f>
        <v>N/A</v>
      </c>
      <c r="AD105" t="str">
        <f>IFERROR(VLOOKUP(Data2023[[#This Row],[organisation_name]],'Division Study Year Committees'!$A$1:$L$108,6,FALSE), "N/A")</f>
        <v>N/A</v>
      </c>
      <c r="AE105">
        <f>SUM(Data2023[[#This Row],[Number of first year comittee members]:[Number of 4+ year comittee members]])</f>
        <v>0</v>
      </c>
      <c r="AF105">
        <f>COUNTIF('Committee2022'!D:D,Data2023[[#This Row],[organisation_name]])</f>
        <v>0</v>
      </c>
      <c r="AG105">
        <v>2023</v>
      </c>
    </row>
    <row r="106" spans="1:33" x14ac:dyDescent="0.3">
      <c r="A106" t="str">
        <f>General2023[[#This Row],[organisation_name]]</f>
        <v>Hive01</v>
      </c>
      <c r="B106" t="str">
        <f>IF(General2023[[#This Row],[sector]]= "",VLOOKUP(Data2023[[#This Row],[organisation_name]],'Response Rate sheet'!A:D,3,FALSE),General2023[[#This Row],[sector]])</f>
        <v>Other</v>
      </c>
      <c r="C106" t="str">
        <f>General2023[[#This Row],[organisation_type]]</f>
        <v>foundation</v>
      </c>
      <c r="D106">
        <f>IF(ISBLANK(General2023[[#This Row],[number_of_members]]),"N/A",VLOOKUP(A106,General2023[[organisation_name]:[number_of_international_committee_board_members_not_eea]],6,FALSE))</f>
        <v>5</v>
      </c>
      <c r="E106">
        <f>IF(ISBLANK(General2023[[#This Row],[number_of_committee_board_members]]),"N/A",VLOOKUP(A106,General2023!B:M,10,FALSE))</f>
        <v>0</v>
      </c>
      <c r="F106">
        <f>IFERROR(Data2023[[#This Row],[Number of members]]-Data2023[[#This Row],[Number of active members]], "N/A")</f>
        <v>5</v>
      </c>
      <c r="G106">
        <f>IFERROR(Data2023[[#This Row],[Number of active members]]/Data2023[[#This Row],[Number of members]], "N/A")</f>
        <v>0</v>
      </c>
      <c r="H106">
        <f>IFERROR(1-Data2023[[#This Row],[Percentage active members]],"N/A")</f>
        <v>1</v>
      </c>
      <c r="I106"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6">
        <f>IF(ISBLANK(General2023[[#This Row],[number_of_international_members_not_eea]]),"N/A",VLOOKUP(A106,General2023[[organisation_name]:[number_of_international_committee_board_members_not_eea]],9,FALSE))</f>
        <v>0</v>
      </c>
      <c r="K106">
        <f>IF(ISBLANK(General2023[[#This Row],[number_of_international_members_eea]]),"N/A",VLOOKUP(A106,General2023[[organisation_name]:[number_of_international_committee_board_members_not_eea]],8,FALSE))</f>
        <v>1</v>
      </c>
      <c r="L106">
        <f>IFERROR(IF(Data2023[[#This Row],[Number of members]]-Data2023[[#This Row],[Non-EEA Total]]-Data2023[[#This Row],[EEA total]]&lt;1,"N/A", Data2023[[#This Row],[Number of members]]-Data2023[[#This Row],[Non-EEA Total]]-Data2023[[#This Row],[EEA total]]),"N/A")</f>
        <v>4</v>
      </c>
      <c r="M106">
        <f>VLOOKUP(A106,General2023[[organisation_name]:[number_of_international_committee_board_members_not_eea]],12,FALSE)</f>
        <v>0</v>
      </c>
      <c r="N106">
        <f>VLOOKUP(A106,General2023[[organisation_name]:[number_of_international_committee_board_members_not_eea]],11,FALSE)</f>
        <v>0</v>
      </c>
      <c r="O106" t="str">
        <f>IFERROR(IF(Data2023[[#This Row],[Number of active members]]-Data2023[[#This Row],[Non-EEA Active ]]-Data2023[[#This Row],[EEA Active]]&lt;1,"N/A", Data2023[[#This Row],[Number of active members]]-Data2023[[#This Row],[Non-EEA Active ]]-Data2023[[#This Row],[EEA Active]]),"N/A")</f>
        <v>N/A</v>
      </c>
      <c r="P106" t="str">
        <f>IFERROR(Data2023[[#This Row],[Non-EEA Active ]]/Data2023[[#This Row],[Number of active members]],"N/A")</f>
        <v>N/A</v>
      </c>
      <c r="Q106">
        <f>IFERROR(Data2023[[#This Row],[EEA Active]]/Data2023[[#This Row],[EEA total]], "N/A")</f>
        <v>0</v>
      </c>
      <c r="R106" t="str">
        <f>IFERROR(Data2023[[#This Row],[Dutch Active]]/Data2023[[#This Row],[Dutch total]],"N/A")</f>
        <v>N/A</v>
      </c>
      <c r="S106" t="str">
        <f>IFERROR(IF(Data2023[[#This Row],[Number of members]]=Data2023[[#This Row],[Non-EEA Total]]+Data2023[[#This Row],[EEA total]]+Data2023[[#This Row],[Dutch total]],"T","F"),"F")</f>
        <v>T</v>
      </c>
      <c r="T106" t="str">
        <f>IFERROR(IF(Data2023[[#This Row],[Number of active members]]=Data2023[[#This Row],[Non-EEA Active ]]+Data2023[[#This Row],[EEA Active]]+Data2023[[#This Row],[Dutch Active]],"T","F"),"F")</f>
        <v>F</v>
      </c>
      <c r="U106" t="str">
        <f>IFERROR(IF(Data2023[[#This Row],[Number of members]]-Data2023[[#This Row],[Non-EEA Active ]]-Data2023[[#This Row],[EEA Active]]-Data2023[[#This Row],[Dutch Active]]=Data2023[[#This Row],[Number of  inactive members]],"T","F"),"F")</f>
        <v>F</v>
      </c>
      <c r="V106" t="str">
        <f>IF(Data2023[[#This Row],[EEA Active]]&lt;=Data2023[[#This Row],[EEA total]],"T","F")</f>
        <v>T</v>
      </c>
      <c r="W106" t="str">
        <f>IF(Data2023[[#This Row],[Dutch Active]]&lt;=Data2023[[#This Row],[Dutch total]],"T","F")</f>
        <v>F</v>
      </c>
      <c r="X106" t="str">
        <f>IF(Data2023[[#This Row],[Non-EEA Active ]]&lt;=Data2023[[#This Row],[Non-EEA Total]],"T","F")</f>
        <v>T</v>
      </c>
      <c r="Y10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6" t="str">
        <f>IFERROR(VLOOKUP(Data2023[[#This Row],[organisation_name]],'Division Study Year Committees'!$A$1:$L$108,2,FALSE),"N/A")</f>
        <v>N/A</v>
      </c>
      <c r="AA106" t="str">
        <f>IFERROR(VLOOKUP(Data2023[[#This Row],[organisation_name]],'Division Study Year Committees'!$A$1:$L$108,3,FALSE),"N/A")</f>
        <v>N/A</v>
      </c>
      <c r="AB106" t="str">
        <f>IFERROR(VLOOKUP(Data2023[[#This Row],[organisation_name]],'Division Study Year Committees'!$A$1:$L$108,4,FALSE),"N/A")</f>
        <v>N/A</v>
      </c>
      <c r="AC106" t="str">
        <f>IFERROR(VLOOKUP(Data2023[[#This Row],[organisation_name]],'Division Study Year Committees'!$A$1:$L$108,5,FALSE), "N/A")</f>
        <v>N/A</v>
      </c>
      <c r="AD106" t="str">
        <f>IFERROR(VLOOKUP(Data2023[[#This Row],[organisation_name]],'Division Study Year Committees'!$A$1:$L$108,6,FALSE), "N/A")</f>
        <v>N/A</v>
      </c>
      <c r="AE106">
        <f>SUM(Data2023[[#This Row],[Number of first year comittee members]:[Number of 4+ year comittee members]])</f>
        <v>0</v>
      </c>
      <c r="AF106">
        <f>COUNTIF('Committee2022'!D:D,Data2023[[#This Row],[organisation_name]])</f>
        <v>0</v>
      </c>
      <c r="AG106">
        <v>2023</v>
      </c>
    </row>
    <row r="107" spans="1:33" x14ac:dyDescent="0.3">
      <c r="A107" t="str">
        <f>General2023[[#This Row],[organisation_name]]</f>
        <v>Green Team Twente</v>
      </c>
      <c r="B107" t="str">
        <f>IF(General2023[[#This Row],[sector]]= "",VLOOKUP(Data2023[[#This Row],[organisation_name]],'Response Rate sheet'!A:D,3,FALSE),General2023[[#This Row],[sector]])</f>
        <v>Other</v>
      </c>
      <c r="C107" t="str">
        <f>General2023[[#This Row],[organisation_type]]</f>
        <v>foundation</v>
      </c>
      <c r="D107">
        <f>IF(ISBLANK(General2023[[#This Row],[number_of_members]]),"N/A",VLOOKUP(A107,General2023[[organisation_name]:[number_of_international_committee_board_members_not_eea]],6,FALSE))</f>
        <v>31</v>
      </c>
      <c r="E107" t="str">
        <f>IF(ISBLANK(General2023[[#This Row],[number_of_committee_board_members]]),"N/A",VLOOKUP(A107,General2023!B:M,10,FALSE))</f>
        <v>N/A</v>
      </c>
      <c r="F107" t="str">
        <f>IFERROR(Data2023[[#This Row],[Number of members]]-Data2023[[#This Row],[Number of active members]], "N/A")</f>
        <v>N/A</v>
      </c>
      <c r="G107" t="str">
        <f>IFERROR(Data2023[[#This Row],[Number of active members]]/Data2023[[#This Row],[Number of members]], "N/A")</f>
        <v>N/A</v>
      </c>
      <c r="H107" t="str">
        <f>IFERROR(1-Data2023[[#This Row],[Percentage active members]],"N/A")</f>
        <v>N/A</v>
      </c>
      <c r="I107"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7" t="str">
        <f>IF(ISBLANK(General2023[[#This Row],[number_of_international_members_not_eea]]),"N/A",VLOOKUP(A107,General2023[[organisation_name]:[number_of_international_committee_board_members_not_eea]],9,FALSE))</f>
        <v>N/A</v>
      </c>
      <c r="K107">
        <f>IF(ISBLANK(General2023[[#This Row],[number_of_international_members_eea]]),"N/A",VLOOKUP(A107,General2023[[organisation_name]:[number_of_international_committee_board_members_not_eea]],8,FALSE))</f>
        <v>0</v>
      </c>
      <c r="L107" t="str">
        <f>IFERROR(IF(Data2023[[#This Row],[Number of members]]-Data2023[[#This Row],[Non-EEA Total]]-Data2023[[#This Row],[EEA total]]&lt;1,"N/A", Data2023[[#This Row],[Number of members]]-Data2023[[#This Row],[Non-EEA Total]]-Data2023[[#This Row],[EEA total]]),"N/A")</f>
        <v>N/A</v>
      </c>
      <c r="M107">
        <f>VLOOKUP(A107,General2023[[organisation_name]:[number_of_international_committee_board_members_not_eea]],12,FALSE)</f>
        <v>0</v>
      </c>
      <c r="N107">
        <f>VLOOKUP(A107,General2023[[organisation_name]:[number_of_international_committee_board_members_not_eea]],11,FALSE)</f>
        <v>0</v>
      </c>
      <c r="O107" t="str">
        <f>IFERROR(IF(Data2023[[#This Row],[Number of active members]]-Data2023[[#This Row],[Non-EEA Active ]]-Data2023[[#This Row],[EEA Active]]&lt;1,"N/A", Data2023[[#This Row],[Number of active members]]-Data2023[[#This Row],[Non-EEA Active ]]-Data2023[[#This Row],[EEA Active]]),"N/A")</f>
        <v>N/A</v>
      </c>
      <c r="P107" t="str">
        <f>IFERROR(Data2023[[#This Row],[Non-EEA Active ]]/Data2023[[#This Row],[Number of active members]],"N/A")</f>
        <v>N/A</v>
      </c>
      <c r="Q107" t="str">
        <f>IFERROR(Data2023[[#This Row],[EEA Active]]/Data2023[[#This Row],[EEA total]], "N/A")</f>
        <v>N/A</v>
      </c>
      <c r="R107" t="str">
        <f>IFERROR(Data2023[[#This Row],[Dutch Active]]/Data2023[[#This Row],[Dutch total]],"N/A")</f>
        <v>N/A</v>
      </c>
      <c r="S107" t="str">
        <f>IFERROR(IF(Data2023[[#This Row],[Number of members]]=Data2023[[#This Row],[Non-EEA Total]]+Data2023[[#This Row],[EEA total]]+Data2023[[#This Row],[Dutch total]],"T","F"),"F")</f>
        <v>F</v>
      </c>
      <c r="T107" t="str">
        <f>IFERROR(IF(Data2023[[#This Row],[Number of active members]]=Data2023[[#This Row],[Non-EEA Active ]]+Data2023[[#This Row],[EEA Active]]+Data2023[[#This Row],[Dutch Active]],"T","F"),"F")</f>
        <v>F</v>
      </c>
      <c r="U107" t="str">
        <f>IFERROR(IF(Data2023[[#This Row],[Number of members]]-Data2023[[#This Row],[Non-EEA Active ]]-Data2023[[#This Row],[EEA Active]]-Data2023[[#This Row],[Dutch Active]]=Data2023[[#This Row],[Number of  inactive members]],"T","F"),"F")</f>
        <v>F</v>
      </c>
      <c r="V107" t="str">
        <f>IF(Data2023[[#This Row],[EEA Active]]&lt;=Data2023[[#This Row],[EEA total]],"T","F")</f>
        <v>T</v>
      </c>
      <c r="W107" t="str">
        <f>IF(Data2023[[#This Row],[Dutch Active]]&lt;=Data2023[[#This Row],[Dutch total]],"T","F")</f>
        <v>T</v>
      </c>
      <c r="X107" t="str">
        <f>IF(Data2023[[#This Row],[Non-EEA Active ]]&lt;=Data2023[[#This Row],[Non-EEA Total]],"T","F")</f>
        <v>T</v>
      </c>
      <c r="Y10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7" t="str">
        <f>IFERROR(VLOOKUP(Data2023[[#This Row],[organisation_name]],'Division Study Year Committees'!$A$1:$L$108,2,FALSE),"N/A")</f>
        <v>N/A</v>
      </c>
      <c r="AA107" t="str">
        <f>IFERROR(VLOOKUP(Data2023[[#This Row],[organisation_name]],'Division Study Year Committees'!$A$1:$L$108,3,FALSE),"N/A")</f>
        <v>N/A</v>
      </c>
      <c r="AB107" t="str">
        <f>IFERROR(VLOOKUP(Data2023[[#This Row],[organisation_name]],'Division Study Year Committees'!$A$1:$L$108,4,FALSE),"N/A")</f>
        <v>N/A</v>
      </c>
      <c r="AC107" t="str">
        <f>IFERROR(VLOOKUP(Data2023[[#This Row],[organisation_name]],'Division Study Year Committees'!$A$1:$L$108,5,FALSE), "N/A")</f>
        <v>N/A</v>
      </c>
      <c r="AD107" t="str">
        <f>IFERROR(VLOOKUP(Data2023[[#This Row],[organisation_name]],'Division Study Year Committees'!$A$1:$L$108,6,FALSE), "N/A")</f>
        <v>N/A</v>
      </c>
      <c r="AE107">
        <f>SUM(Data2023[[#This Row],[Number of first year comittee members]:[Number of 4+ year comittee members]])</f>
        <v>0</v>
      </c>
      <c r="AF107">
        <f>COUNTIF('Committee2022'!D:D,Data2023[[#This Row],[organisation_name]])</f>
        <v>1</v>
      </c>
      <c r="AG107">
        <v>2023</v>
      </c>
    </row>
    <row r="108" spans="1:33" x14ac:dyDescent="0.3">
      <c r="A108" t="str">
        <f>General2023[[#This Row],[organisation_name]]</f>
        <v>IAPC</v>
      </c>
      <c r="B108" t="str">
        <f>IF(General2023[[#This Row],[sector]]= "",VLOOKUP(Data2023[[#This Row],[organisation_name]],'Response Rate sheet'!A:D,3,FALSE),General2023[[#This Row],[sector]])</f>
        <v>Other</v>
      </c>
      <c r="C108" t="str">
        <f>General2023[[#This Row],[organisation_type]]</f>
        <v>foundation</v>
      </c>
      <c r="D108">
        <f>IF(ISBLANK(General2023[[#This Row],[number_of_members]]),"N/A",VLOOKUP(A108,General2023[[organisation_name]:[number_of_international_committee_board_members_not_eea]],6,FALSE))</f>
        <v>30</v>
      </c>
      <c r="E108" t="str">
        <f>IF(ISBLANK(General2023[[#This Row],[number_of_committee_board_members]]),"N/A",VLOOKUP(A108,General2023!B:M,10,FALSE))</f>
        <v>N/A</v>
      </c>
      <c r="F108" t="str">
        <f>IFERROR(Data2023[[#This Row],[Number of members]]-Data2023[[#This Row],[Number of active members]], "N/A")</f>
        <v>N/A</v>
      </c>
      <c r="G108" t="str">
        <f>IFERROR(Data2023[[#This Row],[Number of active members]]/Data2023[[#This Row],[Number of members]], "N/A")</f>
        <v>N/A</v>
      </c>
      <c r="H108" t="str">
        <f>IFERROR(1-Data2023[[#This Row],[Percentage active members]],"N/A")</f>
        <v>N/A</v>
      </c>
      <c r="I108"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8" t="str">
        <f>IF(ISBLANK(General2023[[#This Row],[number_of_international_members_not_eea]]),"N/A",VLOOKUP(A108,General2023[[organisation_name]:[number_of_international_committee_board_members_not_eea]],9,FALSE))</f>
        <v>N/A</v>
      </c>
      <c r="K108">
        <f>IF(ISBLANK(General2023[[#This Row],[number_of_international_members_eea]]),"N/A",VLOOKUP(A108,General2023[[organisation_name]:[number_of_international_committee_board_members_not_eea]],8,FALSE))</f>
        <v>0</v>
      </c>
      <c r="L108" t="str">
        <f>IFERROR(IF(Data2023[[#This Row],[Number of members]]-Data2023[[#This Row],[Non-EEA Total]]-Data2023[[#This Row],[EEA total]]&lt;1,"N/A", Data2023[[#This Row],[Number of members]]-Data2023[[#This Row],[Non-EEA Total]]-Data2023[[#This Row],[EEA total]]),"N/A")</f>
        <v>N/A</v>
      </c>
      <c r="M108">
        <f>VLOOKUP(A108,General2023[[organisation_name]:[number_of_international_committee_board_members_not_eea]],12,FALSE)</f>
        <v>0</v>
      </c>
      <c r="N108">
        <f>VLOOKUP(A108,General2023[[organisation_name]:[number_of_international_committee_board_members_not_eea]],11,FALSE)</f>
        <v>0</v>
      </c>
      <c r="O108" t="str">
        <f>IFERROR(IF(Data2023[[#This Row],[Number of active members]]-Data2023[[#This Row],[Non-EEA Active ]]-Data2023[[#This Row],[EEA Active]]&lt;1,"N/A", Data2023[[#This Row],[Number of active members]]-Data2023[[#This Row],[Non-EEA Active ]]-Data2023[[#This Row],[EEA Active]]),"N/A")</f>
        <v>N/A</v>
      </c>
      <c r="P108" t="str">
        <f>IFERROR(Data2023[[#This Row],[Non-EEA Active ]]/Data2023[[#This Row],[Number of active members]],"N/A")</f>
        <v>N/A</v>
      </c>
      <c r="Q108" t="str">
        <f>IFERROR(Data2023[[#This Row],[EEA Active]]/Data2023[[#This Row],[EEA total]], "N/A")</f>
        <v>N/A</v>
      </c>
      <c r="R108" t="str">
        <f>IFERROR(Data2023[[#This Row],[Dutch Active]]/Data2023[[#This Row],[Dutch total]],"N/A")</f>
        <v>N/A</v>
      </c>
      <c r="S108" t="str">
        <f>IFERROR(IF(Data2023[[#This Row],[Number of members]]=Data2023[[#This Row],[Non-EEA Total]]+Data2023[[#This Row],[EEA total]]+Data2023[[#This Row],[Dutch total]],"T","F"),"F")</f>
        <v>F</v>
      </c>
      <c r="T108" t="str">
        <f>IFERROR(IF(Data2023[[#This Row],[Number of active members]]=Data2023[[#This Row],[Non-EEA Active ]]+Data2023[[#This Row],[EEA Active]]+Data2023[[#This Row],[Dutch Active]],"T","F"),"F")</f>
        <v>F</v>
      </c>
      <c r="U108" t="str">
        <f>IFERROR(IF(Data2023[[#This Row],[Number of members]]-Data2023[[#This Row],[Non-EEA Active ]]-Data2023[[#This Row],[EEA Active]]-Data2023[[#This Row],[Dutch Active]]=Data2023[[#This Row],[Number of  inactive members]],"T","F"),"F")</f>
        <v>F</v>
      </c>
      <c r="V108" t="str">
        <f>IF(Data2023[[#This Row],[EEA Active]]&lt;=Data2023[[#This Row],[EEA total]],"T","F")</f>
        <v>T</v>
      </c>
      <c r="W108" t="str">
        <f>IF(Data2023[[#This Row],[Dutch Active]]&lt;=Data2023[[#This Row],[Dutch total]],"T","F")</f>
        <v>T</v>
      </c>
      <c r="X108" t="str">
        <f>IF(Data2023[[#This Row],[Non-EEA Active ]]&lt;=Data2023[[#This Row],[Non-EEA Total]],"T","F")</f>
        <v>T</v>
      </c>
      <c r="Y10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8">
        <f>IFERROR(VLOOKUP(Data2023[[#This Row],[organisation_name]],'Division Study Year Committees'!$A$1:$L$108,2,FALSE),"N/A")</f>
        <v>0</v>
      </c>
      <c r="AA108">
        <f>IFERROR(VLOOKUP(Data2023[[#This Row],[organisation_name]],'Division Study Year Committees'!$A$1:$L$108,3,FALSE),"N/A")</f>
        <v>13</v>
      </c>
      <c r="AB108">
        <f>IFERROR(VLOOKUP(Data2023[[#This Row],[organisation_name]],'Division Study Year Committees'!$A$1:$L$108,4,FALSE),"N/A")</f>
        <v>5</v>
      </c>
      <c r="AC108">
        <f>IFERROR(VLOOKUP(Data2023[[#This Row],[organisation_name]],'Division Study Year Committees'!$A$1:$L$108,5,FALSE), "N/A")</f>
        <v>0</v>
      </c>
      <c r="AD108">
        <f>IFERROR(VLOOKUP(Data2023[[#This Row],[organisation_name]],'Division Study Year Committees'!$A$1:$L$108,6,FALSE), "N/A")</f>
        <v>1</v>
      </c>
      <c r="AE108">
        <f>SUM(Data2023[[#This Row],[Number of first year comittee members]:[Number of 4+ year comittee members]])</f>
        <v>19</v>
      </c>
      <c r="AF108">
        <f>COUNTIF('Committee2022'!D:D,Data2023[[#This Row],[organisation_name]])</f>
        <v>0</v>
      </c>
      <c r="AG108">
        <v>2023</v>
      </c>
    </row>
    <row r="109" spans="1:33" x14ac:dyDescent="0.3">
      <c r="A109" t="str">
        <f>General2023[[#This Row],[organisation_name]]</f>
        <v>Stichting Borrelbeheer Zilvering</v>
      </c>
      <c r="B109" t="str">
        <f>IF(General2023[[#This Row],[sector]]= "",VLOOKUP(Data2023[[#This Row],[organisation_name]],'Response Rate sheet'!A:D,3,FALSE),General2023[[#This Row],[sector]])</f>
        <v>Social</v>
      </c>
      <c r="C109" t="str">
        <f>General2023[[#This Row],[organisation_type]]</f>
        <v>foundation</v>
      </c>
      <c r="D109">
        <f>IF(ISBLANK(General2023[[#This Row],[number_of_members]]),"N/A",VLOOKUP(A109,General2023[[organisation_name]:[number_of_international_committee_board_members_not_eea]],6,FALSE))</f>
        <v>17</v>
      </c>
      <c r="E109">
        <f>IF(ISBLANK(General2023[[#This Row],[number_of_committee_board_members]]),"N/A",VLOOKUP(A109,General2023!B:M,10,FALSE))</f>
        <v>0</v>
      </c>
      <c r="F109">
        <f>IFERROR(Data2023[[#This Row],[Number of members]]-Data2023[[#This Row],[Number of active members]], "N/A")</f>
        <v>17</v>
      </c>
      <c r="G109">
        <f>IFERROR(Data2023[[#This Row],[Number of active members]]/Data2023[[#This Row],[Number of members]], "N/A")</f>
        <v>0</v>
      </c>
      <c r="H109">
        <f>IFERROR(1-Data2023[[#This Row],[Percentage active members]],"N/A")</f>
        <v>1</v>
      </c>
      <c r="I109"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09">
        <f>IF(ISBLANK(General2023[[#This Row],[number_of_international_members_not_eea]]),"N/A",VLOOKUP(A109,General2023[[organisation_name]:[number_of_international_committee_board_members_not_eea]],9,FALSE))</f>
        <v>0</v>
      </c>
      <c r="K109">
        <f>IF(ISBLANK(General2023[[#This Row],[number_of_international_members_eea]]),"N/A",VLOOKUP(A109,General2023[[organisation_name]:[number_of_international_committee_board_members_not_eea]],8,FALSE))</f>
        <v>0</v>
      </c>
      <c r="L109">
        <f>IFERROR(IF(Data2023[[#This Row],[Number of members]]-Data2023[[#This Row],[Non-EEA Total]]-Data2023[[#This Row],[EEA total]]&lt;1,"N/A", Data2023[[#This Row],[Number of members]]-Data2023[[#This Row],[Non-EEA Total]]-Data2023[[#This Row],[EEA total]]),"N/A")</f>
        <v>17</v>
      </c>
      <c r="M109">
        <f>VLOOKUP(A109,General2023[[organisation_name]:[number_of_international_committee_board_members_not_eea]],12,FALSE)</f>
        <v>0</v>
      </c>
      <c r="N109">
        <f>VLOOKUP(A109,General2023[[organisation_name]:[number_of_international_committee_board_members_not_eea]],11,FALSE)</f>
        <v>0</v>
      </c>
      <c r="O109" t="str">
        <f>IFERROR(IF(Data2023[[#This Row],[Number of active members]]-Data2023[[#This Row],[Non-EEA Active ]]-Data2023[[#This Row],[EEA Active]]&lt;1,"N/A", Data2023[[#This Row],[Number of active members]]-Data2023[[#This Row],[Non-EEA Active ]]-Data2023[[#This Row],[EEA Active]]),"N/A")</f>
        <v>N/A</v>
      </c>
      <c r="P109" t="str">
        <f>IFERROR(Data2023[[#This Row],[Non-EEA Active ]]/Data2023[[#This Row],[Number of active members]],"N/A")</f>
        <v>N/A</v>
      </c>
      <c r="Q109" t="str">
        <f>IFERROR(Data2023[[#This Row],[EEA Active]]/Data2023[[#This Row],[EEA total]], "N/A")</f>
        <v>N/A</v>
      </c>
      <c r="R109" t="str">
        <f>IFERROR(Data2023[[#This Row],[Dutch Active]]/Data2023[[#This Row],[Dutch total]],"N/A")</f>
        <v>N/A</v>
      </c>
      <c r="S109" t="str">
        <f>IFERROR(IF(Data2023[[#This Row],[Number of members]]=Data2023[[#This Row],[Non-EEA Total]]+Data2023[[#This Row],[EEA total]]+Data2023[[#This Row],[Dutch total]],"T","F"),"F")</f>
        <v>T</v>
      </c>
      <c r="T109" t="str">
        <f>IFERROR(IF(Data2023[[#This Row],[Number of active members]]=Data2023[[#This Row],[Non-EEA Active ]]+Data2023[[#This Row],[EEA Active]]+Data2023[[#This Row],[Dutch Active]],"T","F"),"F")</f>
        <v>F</v>
      </c>
      <c r="U109" t="str">
        <f>IFERROR(IF(Data2023[[#This Row],[Number of members]]-Data2023[[#This Row],[Non-EEA Active ]]-Data2023[[#This Row],[EEA Active]]-Data2023[[#This Row],[Dutch Active]]=Data2023[[#This Row],[Number of  inactive members]],"T","F"),"F")</f>
        <v>F</v>
      </c>
      <c r="V109" t="str">
        <f>IF(Data2023[[#This Row],[EEA Active]]&lt;=Data2023[[#This Row],[EEA total]],"T","F")</f>
        <v>T</v>
      </c>
      <c r="W109" t="str">
        <f>IF(Data2023[[#This Row],[Dutch Active]]&lt;=Data2023[[#This Row],[Dutch total]],"T","F")</f>
        <v>F</v>
      </c>
      <c r="X109" t="str">
        <f>IF(Data2023[[#This Row],[Non-EEA Active ]]&lt;=Data2023[[#This Row],[Non-EEA Total]],"T","F")</f>
        <v>T</v>
      </c>
      <c r="Y10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09">
        <f>IFERROR(VLOOKUP(Data2023[[#This Row],[organisation_name]],'Division Study Year Committees'!$A$1:$L$108,2,FALSE),"N/A")</f>
        <v>0</v>
      </c>
      <c r="AA109">
        <f>IFERROR(VLOOKUP(Data2023[[#This Row],[organisation_name]],'Division Study Year Committees'!$A$1:$L$108,3,FALSE),"N/A")</f>
        <v>0</v>
      </c>
      <c r="AB109">
        <f>IFERROR(VLOOKUP(Data2023[[#This Row],[organisation_name]],'Division Study Year Committees'!$A$1:$L$108,4,FALSE),"N/A")</f>
        <v>6</v>
      </c>
      <c r="AC109">
        <f>IFERROR(VLOOKUP(Data2023[[#This Row],[organisation_name]],'Division Study Year Committees'!$A$1:$L$108,5,FALSE), "N/A")</f>
        <v>2</v>
      </c>
      <c r="AD109">
        <f>IFERROR(VLOOKUP(Data2023[[#This Row],[organisation_name]],'Division Study Year Committees'!$A$1:$L$108,6,FALSE), "N/A")</f>
        <v>0</v>
      </c>
      <c r="AE109">
        <f>SUM(Data2023[[#This Row],[Number of first year comittee members]:[Number of 4+ year comittee members]])</f>
        <v>8</v>
      </c>
      <c r="AF109">
        <f>COUNTIF('Committee2022'!D:D,Data2023[[#This Row],[organisation_name]])</f>
        <v>0</v>
      </c>
      <c r="AG109">
        <v>2023</v>
      </c>
    </row>
    <row r="110" spans="1:33" x14ac:dyDescent="0.3">
      <c r="A110" t="str">
        <f>General2023[[#This Row],[organisation_name]]</f>
        <v>Stichting Batavierenrace</v>
      </c>
      <c r="B110" t="str">
        <f>IF(General2023[[#This Row],[sector]]= "",VLOOKUP(Data2023[[#This Row],[organisation_name]],'Response Rate sheet'!A:D,3,FALSE),General2023[[#This Row],[sector]])</f>
        <v>Sports</v>
      </c>
      <c r="C110" t="str">
        <f>General2023[[#This Row],[organisation_type]]</f>
        <v>foundation</v>
      </c>
      <c r="D110">
        <f>IF(ISBLANK(General2023[[#This Row],[number_of_members]]),"N/A",VLOOKUP(A110,General2023[[organisation_name]:[number_of_international_committee_board_members_not_eea]],6,FALSE))</f>
        <v>120</v>
      </c>
      <c r="E110" t="str">
        <f>IF(ISBLANK(General2023[[#This Row],[number_of_committee_board_members]]),"N/A",VLOOKUP(A110,General2023!B:M,10,FALSE))</f>
        <v>N/A</v>
      </c>
      <c r="F110" t="str">
        <f>IFERROR(Data2023[[#This Row],[Number of members]]-Data2023[[#This Row],[Number of active members]], "N/A")</f>
        <v>N/A</v>
      </c>
      <c r="G110" t="str">
        <f>IFERROR(Data2023[[#This Row],[Number of active members]]/Data2023[[#This Row],[Number of members]], "N/A")</f>
        <v>N/A</v>
      </c>
      <c r="H110" t="str">
        <f>IFERROR(1-Data2023[[#This Row],[Percentage active members]],"N/A")</f>
        <v>N/A</v>
      </c>
      <c r="I110" t="str">
        <f>IF(Data2023[[#This Row],[Number of members]]=0,"N/A",IF(Data2023[[#This Row],[Number of members]]&lt;50," A. 1 - 50 ",IF(Data2023[[#This Row],[Number of members]]&lt;100, "B. 50 - 100", IF(Data2023[[#This Row],[Number of members]]&lt;400, "C. 100 - 400", IF(Data2023[[#This Row],[Number of members]]&lt;1000,"D. 400 - 1000", "E. 1000 +")))))</f>
        <v>C. 100 - 400</v>
      </c>
      <c r="J110" t="str">
        <f>IF(ISBLANK(General2023[[#This Row],[number_of_international_members_not_eea]]),"N/A",VLOOKUP(A110,General2023[[organisation_name]:[number_of_international_committee_board_members_not_eea]],9,FALSE))</f>
        <v>N/A</v>
      </c>
      <c r="K110">
        <f>IF(ISBLANK(General2023[[#This Row],[number_of_international_members_eea]]),"N/A",VLOOKUP(A110,General2023[[organisation_name]:[number_of_international_committee_board_members_not_eea]],8,FALSE))</f>
        <v>0</v>
      </c>
      <c r="L110" t="str">
        <f>IFERROR(IF(Data2023[[#This Row],[Number of members]]-Data2023[[#This Row],[Non-EEA Total]]-Data2023[[#This Row],[EEA total]]&lt;1,"N/A", Data2023[[#This Row],[Number of members]]-Data2023[[#This Row],[Non-EEA Total]]-Data2023[[#This Row],[EEA total]]),"N/A")</f>
        <v>N/A</v>
      </c>
      <c r="M110">
        <f>VLOOKUP(A110,General2023[[organisation_name]:[number_of_international_committee_board_members_not_eea]],12,FALSE)</f>
        <v>0</v>
      </c>
      <c r="N110">
        <f>VLOOKUP(A110,General2023[[organisation_name]:[number_of_international_committee_board_members_not_eea]],11,FALSE)</f>
        <v>0</v>
      </c>
      <c r="O110" t="str">
        <f>IFERROR(IF(Data2023[[#This Row],[Number of active members]]-Data2023[[#This Row],[Non-EEA Active ]]-Data2023[[#This Row],[EEA Active]]&lt;1,"N/A", Data2023[[#This Row],[Number of active members]]-Data2023[[#This Row],[Non-EEA Active ]]-Data2023[[#This Row],[EEA Active]]),"N/A")</f>
        <v>N/A</v>
      </c>
      <c r="P110" t="str">
        <f>IFERROR(Data2023[[#This Row],[Non-EEA Active ]]/Data2023[[#This Row],[Number of active members]],"N/A")</f>
        <v>N/A</v>
      </c>
      <c r="Q110" t="str">
        <f>IFERROR(Data2023[[#This Row],[EEA Active]]/Data2023[[#This Row],[EEA total]], "N/A")</f>
        <v>N/A</v>
      </c>
      <c r="R110" t="str">
        <f>IFERROR(Data2023[[#This Row],[Dutch Active]]/Data2023[[#This Row],[Dutch total]],"N/A")</f>
        <v>N/A</v>
      </c>
      <c r="S110" t="str">
        <f>IFERROR(IF(Data2023[[#This Row],[Number of members]]=Data2023[[#This Row],[Non-EEA Total]]+Data2023[[#This Row],[EEA total]]+Data2023[[#This Row],[Dutch total]],"T","F"),"F")</f>
        <v>F</v>
      </c>
      <c r="T110" t="str">
        <f>IFERROR(IF(Data2023[[#This Row],[Number of active members]]=Data2023[[#This Row],[Non-EEA Active ]]+Data2023[[#This Row],[EEA Active]]+Data2023[[#This Row],[Dutch Active]],"T","F"),"F")</f>
        <v>F</v>
      </c>
      <c r="U110" t="str">
        <f>IFERROR(IF(Data2023[[#This Row],[Number of members]]-Data2023[[#This Row],[Non-EEA Active ]]-Data2023[[#This Row],[EEA Active]]-Data2023[[#This Row],[Dutch Active]]=Data2023[[#This Row],[Number of  inactive members]],"T","F"),"F")</f>
        <v>F</v>
      </c>
      <c r="V110" t="str">
        <f>IF(Data2023[[#This Row],[EEA Active]]&lt;=Data2023[[#This Row],[EEA total]],"T","F")</f>
        <v>T</v>
      </c>
      <c r="W110" t="str">
        <f>IF(Data2023[[#This Row],[Dutch Active]]&lt;=Data2023[[#This Row],[Dutch total]],"T","F")</f>
        <v>T</v>
      </c>
      <c r="X110" t="str">
        <f>IF(Data2023[[#This Row],[Non-EEA Active ]]&lt;=Data2023[[#This Row],[Non-EEA Total]],"T","F")</f>
        <v>T</v>
      </c>
      <c r="Y11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0">
        <f>IFERROR(VLOOKUP(Data2023[[#This Row],[organisation_name]],'Division Study Year Committees'!$A$1:$L$108,2,FALSE),"N/A")</f>
        <v>0</v>
      </c>
      <c r="AA110">
        <f>IFERROR(VLOOKUP(Data2023[[#This Row],[organisation_name]],'Division Study Year Committees'!$A$1:$L$108,3,FALSE),"N/A")</f>
        <v>2</v>
      </c>
      <c r="AB110">
        <f>IFERROR(VLOOKUP(Data2023[[#This Row],[organisation_name]],'Division Study Year Committees'!$A$1:$L$108,4,FALSE),"N/A")</f>
        <v>0</v>
      </c>
      <c r="AC110">
        <f>IFERROR(VLOOKUP(Data2023[[#This Row],[organisation_name]],'Division Study Year Committees'!$A$1:$L$108,5,FALSE), "N/A")</f>
        <v>1</v>
      </c>
      <c r="AD110">
        <f>IFERROR(VLOOKUP(Data2023[[#This Row],[organisation_name]],'Division Study Year Committees'!$A$1:$L$108,6,FALSE), "N/A")</f>
        <v>1</v>
      </c>
      <c r="AE110">
        <f>SUM(Data2023[[#This Row],[Number of first year comittee members]:[Number of 4+ year comittee members]])</f>
        <v>4</v>
      </c>
      <c r="AF110">
        <f>COUNTIF('Committee2022'!D:D,Data2023[[#This Row],[organisation_name]])</f>
        <v>16</v>
      </c>
      <c r="AG110">
        <v>2023</v>
      </c>
    </row>
    <row r="111" spans="1:33" x14ac:dyDescent="0.3">
      <c r="A111" t="str">
        <f>General2023[[#This Row],[organisation_name]]</f>
        <v>Stichting Solar Team Twente</v>
      </c>
      <c r="B111" t="str">
        <f>IF(General2023[[#This Row],[sector]]= "",VLOOKUP(Data2023[[#This Row],[organisation_name]],'Response Rate sheet'!A:D,3,FALSE),General2023[[#This Row],[sector]])</f>
        <v>Other</v>
      </c>
      <c r="C111" t="str">
        <f>General2023[[#This Row],[organisation_type]]</f>
        <v>foundation</v>
      </c>
      <c r="D111">
        <f>IF(ISBLANK(General2023[[#This Row],[number_of_members]]),"N/A",VLOOKUP(A111,General2023[[organisation_name]:[number_of_international_committee_board_members_not_eea]],6,FALSE))</f>
        <v>28</v>
      </c>
      <c r="E111" t="str">
        <f>IF(ISBLANK(General2023[[#This Row],[number_of_committee_board_members]]),"N/A",VLOOKUP(A111,General2023!B:M,10,FALSE))</f>
        <v>N/A</v>
      </c>
      <c r="F111" t="str">
        <f>IFERROR(Data2023[[#This Row],[Number of members]]-Data2023[[#This Row],[Number of active members]], "N/A")</f>
        <v>N/A</v>
      </c>
      <c r="G111" t="str">
        <f>IFERROR(Data2023[[#This Row],[Number of active members]]/Data2023[[#This Row],[Number of members]], "N/A")</f>
        <v>N/A</v>
      </c>
      <c r="H111" t="str">
        <f>IFERROR(1-Data2023[[#This Row],[Percentage active members]],"N/A")</f>
        <v>N/A</v>
      </c>
      <c r="I111"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11" t="str">
        <f>IF(ISBLANK(General2023[[#This Row],[number_of_international_members_not_eea]]),"N/A",VLOOKUP(A111,General2023[[organisation_name]:[number_of_international_committee_board_members_not_eea]],9,FALSE))</f>
        <v>N/A</v>
      </c>
      <c r="K111">
        <f>IF(ISBLANK(General2023[[#This Row],[number_of_international_members_eea]]),"N/A",VLOOKUP(A111,General2023[[organisation_name]:[number_of_international_committee_board_members_not_eea]],8,FALSE))</f>
        <v>0</v>
      </c>
      <c r="L111" t="str">
        <f>IFERROR(IF(Data2023[[#This Row],[Number of members]]-Data2023[[#This Row],[Non-EEA Total]]-Data2023[[#This Row],[EEA total]]&lt;1,"N/A", Data2023[[#This Row],[Number of members]]-Data2023[[#This Row],[Non-EEA Total]]-Data2023[[#This Row],[EEA total]]),"N/A")</f>
        <v>N/A</v>
      </c>
      <c r="M111">
        <f>VLOOKUP(A111,General2023[[organisation_name]:[number_of_international_committee_board_members_not_eea]],12,FALSE)</f>
        <v>0</v>
      </c>
      <c r="N111">
        <f>VLOOKUP(A111,General2023[[organisation_name]:[number_of_international_committee_board_members_not_eea]],11,FALSE)</f>
        <v>0</v>
      </c>
      <c r="O111" t="str">
        <f>IFERROR(IF(Data2023[[#This Row],[Number of active members]]-Data2023[[#This Row],[Non-EEA Active ]]-Data2023[[#This Row],[EEA Active]]&lt;1,"N/A", Data2023[[#This Row],[Number of active members]]-Data2023[[#This Row],[Non-EEA Active ]]-Data2023[[#This Row],[EEA Active]]),"N/A")</f>
        <v>N/A</v>
      </c>
      <c r="P111" t="str">
        <f>IFERROR(Data2023[[#This Row],[Non-EEA Active ]]/Data2023[[#This Row],[Number of active members]],"N/A")</f>
        <v>N/A</v>
      </c>
      <c r="Q111" t="str">
        <f>IFERROR(Data2023[[#This Row],[EEA Active]]/Data2023[[#This Row],[EEA total]], "N/A")</f>
        <v>N/A</v>
      </c>
      <c r="R111" t="str">
        <f>IFERROR(Data2023[[#This Row],[Dutch Active]]/Data2023[[#This Row],[Dutch total]],"N/A")</f>
        <v>N/A</v>
      </c>
      <c r="S111" t="str">
        <f>IFERROR(IF(Data2023[[#This Row],[Number of members]]=Data2023[[#This Row],[Non-EEA Total]]+Data2023[[#This Row],[EEA total]]+Data2023[[#This Row],[Dutch total]],"T","F"),"F")</f>
        <v>F</v>
      </c>
      <c r="T111" t="str">
        <f>IFERROR(IF(Data2023[[#This Row],[Number of active members]]=Data2023[[#This Row],[Non-EEA Active ]]+Data2023[[#This Row],[EEA Active]]+Data2023[[#This Row],[Dutch Active]],"T","F"),"F")</f>
        <v>F</v>
      </c>
      <c r="U111" t="str">
        <f>IFERROR(IF(Data2023[[#This Row],[Number of members]]-Data2023[[#This Row],[Non-EEA Active ]]-Data2023[[#This Row],[EEA Active]]-Data2023[[#This Row],[Dutch Active]]=Data2023[[#This Row],[Number of  inactive members]],"T","F"),"F")</f>
        <v>F</v>
      </c>
      <c r="V111" t="str">
        <f>IF(Data2023[[#This Row],[EEA Active]]&lt;=Data2023[[#This Row],[EEA total]],"T","F")</f>
        <v>T</v>
      </c>
      <c r="W111" t="str">
        <f>IF(Data2023[[#This Row],[Dutch Active]]&lt;=Data2023[[#This Row],[Dutch total]],"T","F")</f>
        <v>T</v>
      </c>
      <c r="X111" t="str">
        <f>IF(Data2023[[#This Row],[Non-EEA Active ]]&lt;=Data2023[[#This Row],[Non-EEA Total]],"T","F")</f>
        <v>T</v>
      </c>
      <c r="Y11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1">
        <f>IFERROR(VLOOKUP(Data2023[[#This Row],[organisation_name]],'Division Study Year Committees'!$A$1:$L$108,2,FALSE),"N/A")</f>
        <v>0</v>
      </c>
      <c r="AA111">
        <f>IFERROR(VLOOKUP(Data2023[[#This Row],[organisation_name]],'Division Study Year Committees'!$A$1:$L$108,3,FALSE),"N/A")</f>
        <v>0</v>
      </c>
      <c r="AB111">
        <f>IFERROR(VLOOKUP(Data2023[[#This Row],[organisation_name]],'Division Study Year Committees'!$A$1:$L$108,4,FALSE),"N/A")</f>
        <v>0</v>
      </c>
      <c r="AC111">
        <f>IFERROR(VLOOKUP(Data2023[[#This Row],[organisation_name]],'Division Study Year Committees'!$A$1:$L$108,5,FALSE), "N/A")</f>
        <v>0</v>
      </c>
      <c r="AD111">
        <f>IFERROR(VLOOKUP(Data2023[[#This Row],[organisation_name]],'Division Study Year Committees'!$A$1:$L$108,6,FALSE), "N/A")</f>
        <v>0</v>
      </c>
      <c r="AE111">
        <f>SUM(Data2023[[#This Row],[Number of first year comittee members]:[Number of 4+ year comittee members]])</f>
        <v>0</v>
      </c>
      <c r="AF111">
        <f>COUNTIF('Committee2022'!D:D,Data2023[[#This Row],[organisation_name]])</f>
        <v>3</v>
      </c>
      <c r="AG111">
        <v>2023</v>
      </c>
    </row>
    <row r="112" spans="1:33" x14ac:dyDescent="0.3">
      <c r="A112" t="str">
        <f>General2023[[#This Row],[organisation_name]]</f>
        <v>Studenten Net Twente</v>
      </c>
      <c r="B112" t="str">
        <f>IF(General2023[[#This Row],[sector]]= "",VLOOKUP(Data2023[[#This Row],[organisation_name]],'Response Rate sheet'!A:D,3,FALSE),General2023[[#This Row],[sector]])</f>
        <v>Other</v>
      </c>
      <c r="C112" t="str">
        <f>General2023[[#This Row],[organisation_type]]</f>
        <v>association</v>
      </c>
      <c r="D112">
        <f>IF(ISBLANK(General2023[[#This Row],[number_of_members]]),"N/A",VLOOKUP(A112,General2023[[organisation_name]:[number_of_international_committee_board_members_not_eea]],6,FALSE))</f>
        <v>145</v>
      </c>
      <c r="E112">
        <f>IF(ISBLANK(General2023[[#This Row],[number_of_committee_board_members]]),"N/A",VLOOKUP(A112,General2023!B:M,10,FALSE))</f>
        <v>4</v>
      </c>
      <c r="F112">
        <f>IFERROR(Data2023[[#This Row],[Number of members]]-Data2023[[#This Row],[Number of active members]], "N/A")</f>
        <v>141</v>
      </c>
      <c r="G112">
        <f>IFERROR(Data2023[[#This Row],[Number of active members]]/Data2023[[#This Row],[Number of members]], "N/A")</f>
        <v>2.7586206896551724E-2</v>
      </c>
      <c r="H112">
        <f>IFERROR(1-Data2023[[#This Row],[Percentage active members]],"N/A")</f>
        <v>0.97241379310344822</v>
      </c>
      <c r="I112" t="str">
        <f>IF(Data2023[[#This Row],[Number of members]]=0,"N/A",IF(Data2023[[#This Row],[Number of members]]&lt;50," A. 1 - 50 ",IF(Data2023[[#This Row],[Number of members]]&lt;100, "B. 50 - 100", IF(Data2023[[#This Row],[Number of members]]&lt;400, "C. 100 - 400", IF(Data2023[[#This Row],[Number of members]]&lt;1000,"D. 400 - 1000", "E. 1000 +")))))</f>
        <v>C. 100 - 400</v>
      </c>
      <c r="J112">
        <f>IF(ISBLANK(General2023[[#This Row],[number_of_international_members_not_eea]]),"N/A",VLOOKUP(A112,General2023[[organisation_name]:[number_of_international_committee_board_members_not_eea]],9,FALSE))</f>
        <v>20</v>
      </c>
      <c r="K112">
        <f>IF(ISBLANK(General2023[[#This Row],[number_of_international_members_eea]]),"N/A",VLOOKUP(A112,General2023[[organisation_name]:[number_of_international_committee_board_members_not_eea]],8,FALSE))</f>
        <v>2</v>
      </c>
      <c r="L112">
        <f>IFERROR(IF(Data2023[[#This Row],[Number of members]]-Data2023[[#This Row],[Non-EEA Total]]-Data2023[[#This Row],[EEA total]]&lt;1,"N/A", Data2023[[#This Row],[Number of members]]-Data2023[[#This Row],[Non-EEA Total]]-Data2023[[#This Row],[EEA total]]),"N/A")</f>
        <v>123</v>
      </c>
      <c r="M112">
        <f>VLOOKUP(A112,General2023[[organisation_name]:[number_of_international_committee_board_members_not_eea]],12,FALSE)</f>
        <v>1</v>
      </c>
      <c r="N112">
        <f>VLOOKUP(A112,General2023[[organisation_name]:[number_of_international_committee_board_members_not_eea]],11,FALSE)</f>
        <v>0</v>
      </c>
      <c r="O112">
        <f>IFERROR(IF(Data2023[[#This Row],[Number of active members]]-Data2023[[#This Row],[Non-EEA Active ]]-Data2023[[#This Row],[EEA Active]]&lt;1,"N/A", Data2023[[#This Row],[Number of active members]]-Data2023[[#This Row],[Non-EEA Active ]]-Data2023[[#This Row],[EEA Active]]),"N/A")</f>
        <v>3</v>
      </c>
      <c r="P112">
        <f>IFERROR(Data2023[[#This Row],[Non-EEA Active ]]/Data2023[[#This Row],[Number of active members]],"N/A")</f>
        <v>0.25</v>
      </c>
      <c r="Q112">
        <f>IFERROR(Data2023[[#This Row],[EEA Active]]/Data2023[[#This Row],[EEA total]], "N/A")</f>
        <v>0</v>
      </c>
      <c r="R112">
        <f>IFERROR(Data2023[[#This Row],[Dutch Active]]/Data2023[[#This Row],[Dutch total]],"N/A")</f>
        <v>2.4390243902439025E-2</v>
      </c>
      <c r="S112" t="str">
        <f>IFERROR(IF(Data2023[[#This Row],[Number of members]]=Data2023[[#This Row],[Non-EEA Total]]+Data2023[[#This Row],[EEA total]]+Data2023[[#This Row],[Dutch total]],"T","F"),"F")</f>
        <v>T</v>
      </c>
      <c r="T112" t="str">
        <f>IFERROR(IF(Data2023[[#This Row],[Number of active members]]=Data2023[[#This Row],[Non-EEA Active ]]+Data2023[[#This Row],[EEA Active]]+Data2023[[#This Row],[Dutch Active]],"T","F"),"F")</f>
        <v>T</v>
      </c>
      <c r="U112" t="str">
        <f>IFERROR(IF(Data2023[[#This Row],[Number of members]]-Data2023[[#This Row],[Non-EEA Active ]]-Data2023[[#This Row],[EEA Active]]-Data2023[[#This Row],[Dutch Active]]=Data2023[[#This Row],[Number of  inactive members]],"T","F"),"F")</f>
        <v>T</v>
      </c>
      <c r="V112" t="str">
        <f>IF(Data2023[[#This Row],[EEA Active]]&lt;=Data2023[[#This Row],[EEA total]],"T","F")</f>
        <v>T</v>
      </c>
      <c r="W112" t="str">
        <f>IF(Data2023[[#This Row],[Dutch Active]]&lt;=Data2023[[#This Row],[Dutch total]],"T","F")</f>
        <v>T</v>
      </c>
      <c r="X112" t="str">
        <f>IF(Data2023[[#This Row],[Non-EEA Active ]]&lt;=Data2023[[#This Row],[Non-EEA Total]],"T","F")</f>
        <v>T</v>
      </c>
      <c r="Y112"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12" t="str">
        <f>IFERROR(VLOOKUP(Data2023[[#This Row],[organisation_name]],'Division Study Year Committees'!$A$1:$L$108,2,FALSE),"N/A")</f>
        <v>N/A</v>
      </c>
      <c r="AA112" t="str">
        <f>IFERROR(VLOOKUP(Data2023[[#This Row],[organisation_name]],'Division Study Year Committees'!$A$1:$L$108,3,FALSE),"N/A")</f>
        <v>N/A</v>
      </c>
      <c r="AB112" t="str">
        <f>IFERROR(VLOOKUP(Data2023[[#This Row],[organisation_name]],'Division Study Year Committees'!$A$1:$L$108,4,FALSE),"N/A")</f>
        <v>N/A</v>
      </c>
      <c r="AC112" t="str">
        <f>IFERROR(VLOOKUP(Data2023[[#This Row],[organisation_name]],'Division Study Year Committees'!$A$1:$L$108,5,FALSE), "N/A")</f>
        <v>N/A</v>
      </c>
      <c r="AD112" t="str">
        <f>IFERROR(VLOOKUP(Data2023[[#This Row],[organisation_name]],'Division Study Year Committees'!$A$1:$L$108,6,FALSE), "N/A")</f>
        <v>N/A</v>
      </c>
      <c r="AE112">
        <f>SUM(Data2023[[#This Row],[Number of first year comittee members]:[Number of 4+ year comittee members]])</f>
        <v>0</v>
      </c>
      <c r="AF112">
        <f>COUNTIF('Committee2022'!D:D,Data2023[[#This Row],[organisation_name]])</f>
        <v>0</v>
      </c>
      <c r="AG112">
        <v>2023</v>
      </c>
    </row>
    <row r="113" spans="1:33" x14ac:dyDescent="0.3">
      <c r="A113" t="str">
        <f>General2023[[#This Row],[organisation_name]]</f>
        <v>Vereniging Campus kabel</v>
      </c>
      <c r="B113" t="str">
        <f>IF(General2023[[#This Row],[sector]]= "",VLOOKUP(Data2023[[#This Row],[organisation_name]],'Response Rate sheet'!A:D,3,FALSE),General2023[[#This Row],[sector]])</f>
        <v>Other</v>
      </c>
      <c r="C113" t="str">
        <f>General2023[[#This Row],[organisation_type]]</f>
        <v>association</v>
      </c>
      <c r="D113" t="str">
        <f>IF(ISBLANK(General2023[[#This Row],[number_of_members]]),"N/A",VLOOKUP(A113,General2023[[organisation_name]:[number_of_international_committee_board_members_not_eea]],6,FALSE))</f>
        <v>N/A</v>
      </c>
      <c r="E113" t="str">
        <f>IF(ISBLANK(General2023[[#This Row],[number_of_committee_board_members]]),"N/A",VLOOKUP(A113,General2023!B:M,10,FALSE))</f>
        <v>N/A</v>
      </c>
      <c r="F113" t="str">
        <f>IFERROR(Data2023[[#This Row],[Number of members]]-Data2023[[#This Row],[Number of active members]], "N/A")</f>
        <v>N/A</v>
      </c>
      <c r="G113" t="str">
        <f>IFERROR(Data2023[[#This Row],[Number of active members]]/Data2023[[#This Row],[Number of members]], "N/A")</f>
        <v>N/A</v>
      </c>
      <c r="H113" t="str">
        <f>IFERROR(1-Data2023[[#This Row],[Percentage active members]],"N/A")</f>
        <v>N/A</v>
      </c>
      <c r="I113" t="str">
        <f>IF(Data2023[[#This Row],[Number of members]]=0,"N/A",IF(Data2023[[#This Row],[Number of members]]&lt;50," A. 1 - 50 ",IF(Data2023[[#This Row],[Number of members]]&lt;100, "B. 50 - 100", IF(Data2023[[#This Row],[Number of members]]&lt;400, "C. 100 - 400", IF(Data2023[[#This Row],[Number of members]]&lt;1000,"D. 400 - 1000", "E. 1000 +")))))</f>
        <v>E. 1000 +</v>
      </c>
      <c r="J113" t="str">
        <f>IF(ISBLANK(General2023[[#This Row],[number_of_international_members_not_eea]]),"N/A",VLOOKUP(A113,General2023[[organisation_name]:[number_of_international_committee_board_members_not_eea]],9,FALSE))</f>
        <v>N/A</v>
      </c>
      <c r="K113" t="str">
        <f>IF(ISBLANK(General2023[[#This Row],[number_of_international_members_eea]]),"N/A",VLOOKUP(A113,General2023[[organisation_name]:[number_of_international_committee_board_members_not_eea]],8,FALSE))</f>
        <v>N/A</v>
      </c>
      <c r="L113" t="str">
        <f>IFERROR(IF(Data2023[[#This Row],[Number of members]]-Data2023[[#This Row],[Non-EEA Total]]-Data2023[[#This Row],[EEA total]]&lt;1,"N/A", Data2023[[#This Row],[Number of members]]-Data2023[[#This Row],[Non-EEA Total]]-Data2023[[#This Row],[EEA total]]),"N/A")</f>
        <v>N/A</v>
      </c>
      <c r="M113">
        <f>VLOOKUP(A113,General2023[[organisation_name]:[number_of_international_committee_board_members_not_eea]],12,FALSE)</f>
        <v>0</v>
      </c>
      <c r="N113">
        <f>VLOOKUP(A113,General2023[[organisation_name]:[number_of_international_committee_board_members_not_eea]],11,FALSE)</f>
        <v>0</v>
      </c>
      <c r="O113" t="str">
        <f>IFERROR(IF(Data2023[[#This Row],[Number of active members]]-Data2023[[#This Row],[Non-EEA Active ]]-Data2023[[#This Row],[EEA Active]]&lt;1,"N/A", Data2023[[#This Row],[Number of active members]]-Data2023[[#This Row],[Non-EEA Active ]]-Data2023[[#This Row],[EEA Active]]),"N/A")</f>
        <v>N/A</v>
      </c>
      <c r="P113" t="str">
        <f>IFERROR(Data2023[[#This Row],[Non-EEA Active ]]/Data2023[[#This Row],[Number of active members]],"N/A")</f>
        <v>N/A</v>
      </c>
      <c r="Q113" t="str">
        <f>IFERROR(Data2023[[#This Row],[EEA Active]]/Data2023[[#This Row],[EEA total]], "N/A")</f>
        <v>N/A</v>
      </c>
      <c r="R113" t="str">
        <f>IFERROR(Data2023[[#This Row],[Dutch Active]]/Data2023[[#This Row],[Dutch total]],"N/A")</f>
        <v>N/A</v>
      </c>
      <c r="S113" t="str">
        <f>IFERROR(IF(Data2023[[#This Row],[Number of members]]=Data2023[[#This Row],[Non-EEA Total]]+Data2023[[#This Row],[EEA total]]+Data2023[[#This Row],[Dutch total]],"T","F"),"F")</f>
        <v>F</v>
      </c>
      <c r="T113" t="str">
        <f>IFERROR(IF(Data2023[[#This Row],[Number of active members]]=Data2023[[#This Row],[Non-EEA Active ]]+Data2023[[#This Row],[EEA Active]]+Data2023[[#This Row],[Dutch Active]],"T","F"),"F")</f>
        <v>F</v>
      </c>
      <c r="U113" t="str">
        <f>IFERROR(IF(Data2023[[#This Row],[Number of members]]-Data2023[[#This Row],[Non-EEA Active ]]-Data2023[[#This Row],[EEA Active]]-Data2023[[#This Row],[Dutch Active]]=Data2023[[#This Row],[Number of  inactive members]],"T","F"),"F")</f>
        <v>F</v>
      </c>
      <c r="V113" t="str">
        <f>IF(Data2023[[#This Row],[EEA Active]]&lt;=Data2023[[#This Row],[EEA total]],"T","F")</f>
        <v>T</v>
      </c>
      <c r="W113" t="str">
        <f>IF(Data2023[[#This Row],[Dutch Active]]&lt;=Data2023[[#This Row],[Dutch total]],"T","F")</f>
        <v>T</v>
      </c>
      <c r="X113" t="str">
        <f>IF(Data2023[[#This Row],[Non-EEA Active ]]&lt;=Data2023[[#This Row],[Non-EEA Total]],"T","F")</f>
        <v>T</v>
      </c>
      <c r="Y11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3" t="str">
        <f>IFERROR(VLOOKUP(Data2023[[#This Row],[organisation_name]],'Division Study Year Committees'!$A$1:$L$108,2,FALSE),"N/A")</f>
        <v>N/A</v>
      </c>
      <c r="AA113" t="str">
        <f>IFERROR(VLOOKUP(Data2023[[#This Row],[organisation_name]],'Division Study Year Committees'!$A$1:$L$108,3,FALSE),"N/A")</f>
        <v>N/A</v>
      </c>
      <c r="AB113" t="str">
        <f>IFERROR(VLOOKUP(Data2023[[#This Row],[organisation_name]],'Division Study Year Committees'!$A$1:$L$108,4,FALSE),"N/A")</f>
        <v>N/A</v>
      </c>
      <c r="AC113" t="str">
        <f>IFERROR(VLOOKUP(Data2023[[#This Row],[organisation_name]],'Division Study Year Committees'!$A$1:$L$108,5,FALSE), "N/A")</f>
        <v>N/A</v>
      </c>
      <c r="AD113" t="str">
        <f>IFERROR(VLOOKUP(Data2023[[#This Row],[organisation_name]],'Division Study Year Committees'!$A$1:$L$108,6,FALSE), "N/A")</f>
        <v>N/A</v>
      </c>
      <c r="AE113">
        <f>SUM(Data2023[[#This Row],[Number of first year comittee members]:[Number of 4+ year comittee members]])</f>
        <v>0</v>
      </c>
      <c r="AF113">
        <f>COUNTIF('Committee2022'!D:D,Data2023[[#This Row],[organisation_name]])</f>
        <v>0</v>
      </c>
      <c r="AG113">
        <v>2023</v>
      </c>
    </row>
    <row r="114" spans="1:33" x14ac:dyDescent="0.3">
      <c r="A114" t="str">
        <f>General2023[[#This Row],[organisation_name]]</f>
        <v>Werkgroep OntwikkelingsTechnieken</v>
      </c>
      <c r="B114" t="str">
        <f>IF(General2023[[#This Row],[sector]]= "",VLOOKUP(Data2023[[#This Row],[organisation_name]],'Response Rate sheet'!A:D,3,FALSE),General2023[[#This Row],[sector]])</f>
        <v>Other</v>
      </c>
      <c r="C114" t="str">
        <f>General2023[[#This Row],[organisation_type]]</f>
        <v>association</v>
      </c>
      <c r="D114">
        <f>IF(ISBLANK(General2023[[#This Row],[number_of_members]]),"N/A",VLOOKUP(A114,General2023[[organisation_name]:[number_of_international_committee_board_members_not_eea]],6,FALSE))</f>
        <v>89</v>
      </c>
      <c r="E114">
        <f>IF(ISBLANK(General2023[[#This Row],[number_of_committee_board_members]]),"N/A",VLOOKUP(A114,General2023!B:M,10,FALSE))</f>
        <v>3</v>
      </c>
      <c r="F114">
        <f>IFERROR(Data2023[[#This Row],[Number of members]]-Data2023[[#This Row],[Number of active members]], "N/A")</f>
        <v>86</v>
      </c>
      <c r="G114">
        <f>IFERROR(Data2023[[#This Row],[Number of active members]]/Data2023[[#This Row],[Number of members]], "N/A")</f>
        <v>3.3707865168539325E-2</v>
      </c>
      <c r="H114">
        <f>IFERROR(1-Data2023[[#This Row],[Percentage active members]],"N/A")</f>
        <v>0.9662921348314607</v>
      </c>
      <c r="I114" t="str">
        <f>IF(Data2023[[#This Row],[Number of members]]=0,"N/A",IF(Data2023[[#This Row],[Number of members]]&lt;50," A. 1 - 50 ",IF(Data2023[[#This Row],[Number of members]]&lt;100, "B. 50 - 100", IF(Data2023[[#This Row],[Number of members]]&lt;400, "C. 100 - 400", IF(Data2023[[#This Row],[Number of members]]&lt;1000,"D. 400 - 1000", "E. 1000 +")))))</f>
        <v>B. 50 - 100</v>
      </c>
      <c r="J114">
        <f>IF(ISBLANK(General2023[[#This Row],[number_of_international_members_not_eea]]),"N/A",VLOOKUP(A114,General2023[[organisation_name]:[number_of_international_committee_board_members_not_eea]],9,FALSE))</f>
        <v>13</v>
      </c>
      <c r="K114">
        <f>IF(ISBLANK(General2023[[#This Row],[number_of_international_members_eea]]),"N/A",VLOOKUP(A114,General2023[[organisation_name]:[number_of_international_committee_board_members_not_eea]],8,FALSE))</f>
        <v>2</v>
      </c>
      <c r="L114">
        <f>IFERROR(IF(Data2023[[#This Row],[Number of members]]-Data2023[[#This Row],[Non-EEA Total]]-Data2023[[#This Row],[EEA total]]&lt;1,"N/A", Data2023[[#This Row],[Number of members]]-Data2023[[#This Row],[Non-EEA Total]]-Data2023[[#This Row],[EEA total]]),"N/A")</f>
        <v>74</v>
      </c>
      <c r="M114">
        <f>VLOOKUP(A114,General2023[[organisation_name]:[number_of_international_committee_board_members_not_eea]],12,FALSE)</f>
        <v>0</v>
      </c>
      <c r="N114">
        <f>VLOOKUP(A114,General2023[[organisation_name]:[number_of_international_committee_board_members_not_eea]],11,FALSE)</f>
        <v>0</v>
      </c>
      <c r="O114">
        <f>IFERROR(IF(Data2023[[#This Row],[Number of active members]]-Data2023[[#This Row],[Non-EEA Active ]]-Data2023[[#This Row],[EEA Active]]&lt;1,"N/A", Data2023[[#This Row],[Number of active members]]-Data2023[[#This Row],[Non-EEA Active ]]-Data2023[[#This Row],[EEA Active]]),"N/A")</f>
        <v>3</v>
      </c>
      <c r="P114">
        <f>IFERROR(Data2023[[#This Row],[Non-EEA Active ]]/Data2023[[#This Row],[Number of active members]],"N/A")</f>
        <v>0</v>
      </c>
      <c r="Q114">
        <f>IFERROR(Data2023[[#This Row],[EEA Active]]/Data2023[[#This Row],[EEA total]], "N/A")</f>
        <v>0</v>
      </c>
      <c r="R114">
        <f>IFERROR(Data2023[[#This Row],[Dutch Active]]/Data2023[[#This Row],[Dutch total]],"N/A")</f>
        <v>4.0540540540540543E-2</v>
      </c>
      <c r="S114" t="str">
        <f>IFERROR(IF(Data2023[[#This Row],[Number of members]]=Data2023[[#This Row],[Non-EEA Total]]+Data2023[[#This Row],[EEA total]]+Data2023[[#This Row],[Dutch total]],"T","F"),"F")</f>
        <v>T</v>
      </c>
      <c r="T114" t="str">
        <f>IFERROR(IF(Data2023[[#This Row],[Number of active members]]=Data2023[[#This Row],[Non-EEA Active ]]+Data2023[[#This Row],[EEA Active]]+Data2023[[#This Row],[Dutch Active]],"T","F"),"F")</f>
        <v>T</v>
      </c>
      <c r="U114" t="str">
        <f>IFERROR(IF(Data2023[[#This Row],[Number of members]]-Data2023[[#This Row],[Non-EEA Active ]]-Data2023[[#This Row],[EEA Active]]-Data2023[[#This Row],[Dutch Active]]=Data2023[[#This Row],[Number of  inactive members]],"T","F"),"F")</f>
        <v>T</v>
      </c>
      <c r="V114" t="str">
        <f>IF(Data2023[[#This Row],[EEA Active]]&lt;=Data2023[[#This Row],[EEA total]],"T","F")</f>
        <v>T</v>
      </c>
      <c r="W114" t="str">
        <f>IF(Data2023[[#This Row],[Dutch Active]]&lt;=Data2023[[#This Row],[Dutch total]],"T","F")</f>
        <v>T</v>
      </c>
      <c r="X114" t="str">
        <f>IF(Data2023[[#This Row],[Non-EEA Active ]]&lt;=Data2023[[#This Row],[Non-EEA Total]],"T","F")</f>
        <v>T</v>
      </c>
      <c r="Y114"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14" t="str">
        <f>IFERROR(VLOOKUP(Data2023[[#This Row],[organisation_name]],'Division Study Year Committees'!$A$1:$L$108,2,FALSE),"N/A")</f>
        <v>N/A</v>
      </c>
      <c r="AA114" t="str">
        <f>IFERROR(VLOOKUP(Data2023[[#This Row],[organisation_name]],'Division Study Year Committees'!$A$1:$L$108,3,FALSE),"N/A")</f>
        <v>N/A</v>
      </c>
      <c r="AB114" t="str">
        <f>IFERROR(VLOOKUP(Data2023[[#This Row],[organisation_name]],'Division Study Year Committees'!$A$1:$L$108,4,FALSE),"N/A")</f>
        <v>N/A</v>
      </c>
      <c r="AC114" t="str">
        <f>IFERROR(VLOOKUP(Data2023[[#This Row],[organisation_name]],'Division Study Year Committees'!$A$1:$L$108,5,FALSE), "N/A")</f>
        <v>N/A</v>
      </c>
      <c r="AD114" t="str">
        <f>IFERROR(VLOOKUP(Data2023[[#This Row],[organisation_name]],'Division Study Year Committees'!$A$1:$L$108,6,FALSE), "N/A")</f>
        <v>N/A</v>
      </c>
      <c r="AE114">
        <f>SUM(Data2023[[#This Row],[Number of first year comittee members]:[Number of 4+ year comittee members]])</f>
        <v>0</v>
      </c>
      <c r="AF114">
        <f>COUNTIF('Committee2022'!D:D,Data2023[[#This Row],[organisation_name]])</f>
        <v>0</v>
      </c>
      <c r="AG114">
        <v>2023</v>
      </c>
    </row>
    <row r="115" spans="1:33" x14ac:dyDescent="0.3">
      <c r="A115" t="str">
        <f>General2023[[#This Row],[organisation_name]]</f>
        <v>Borrelbeheer TAP</v>
      </c>
      <c r="B115" t="str">
        <f>IF(General2023[[#This Row],[sector]]= "",VLOOKUP(Data2023[[#This Row],[organisation_name]],'Response Rate sheet'!A:D,3,FALSE),General2023[[#This Row],[sector]])</f>
        <v>Social</v>
      </c>
      <c r="C115" t="str">
        <f>General2023[[#This Row],[organisation_type]]</f>
        <v>foundation</v>
      </c>
      <c r="D115">
        <f>IF(ISBLANK(General2023[[#This Row],[number_of_members]]),"N/A",VLOOKUP(A115,General2023[[organisation_name]:[number_of_international_committee_board_members_not_eea]],6,FALSE))</f>
        <v>0</v>
      </c>
      <c r="E115" t="str">
        <f>IF(ISBLANK(General2023[[#This Row],[number_of_committee_board_members]]),"N/A",VLOOKUP(A115,General2023!B:M,10,FALSE))</f>
        <v>N/A</v>
      </c>
      <c r="F115" t="str">
        <f>IFERROR(Data2023[[#This Row],[Number of members]]-Data2023[[#This Row],[Number of active members]], "N/A")</f>
        <v>N/A</v>
      </c>
      <c r="G115" t="str">
        <f>IFERROR(Data2023[[#This Row],[Number of active members]]/Data2023[[#This Row],[Number of members]], "N/A")</f>
        <v>N/A</v>
      </c>
      <c r="H115" t="str">
        <f>IFERROR(1-Data2023[[#This Row],[Percentage active members]],"N/A")</f>
        <v>N/A</v>
      </c>
      <c r="I115" t="str">
        <f>IF(Data2023[[#This Row],[Number of members]]=0,"N/A",IF(Data2023[[#This Row],[Number of members]]&lt;50," A. 1 - 50 ",IF(Data2023[[#This Row],[Number of members]]&lt;100, "B. 50 - 100", IF(Data2023[[#This Row],[Number of members]]&lt;400, "C. 100 - 400", IF(Data2023[[#This Row],[Number of members]]&lt;1000,"D. 400 - 1000", "E. 1000 +")))))</f>
        <v>N/A</v>
      </c>
      <c r="J115" t="str">
        <f>IF(ISBLANK(General2023[[#This Row],[number_of_international_members_not_eea]]),"N/A",VLOOKUP(A115,General2023[[organisation_name]:[number_of_international_committee_board_members_not_eea]],9,FALSE))</f>
        <v>N/A</v>
      </c>
      <c r="K115">
        <f>IF(ISBLANK(General2023[[#This Row],[number_of_international_members_eea]]),"N/A",VLOOKUP(A115,General2023[[organisation_name]:[number_of_international_committee_board_members_not_eea]],8,FALSE))</f>
        <v>0</v>
      </c>
      <c r="L115" t="str">
        <f>IFERROR(IF(Data2023[[#This Row],[Number of members]]-Data2023[[#This Row],[Non-EEA Total]]-Data2023[[#This Row],[EEA total]]&lt;1,"N/A", Data2023[[#This Row],[Number of members]]-Data2023[[#This Row],[Non-EEA Total]]-Data2023[[#This Row],[EEA total]]),"N/A")</f>
        <v>N/A</v>
      </c>
      <c r="M115">
        <f>VLOOKUP(A115,General2023[[organisation_name]:[number_of_international_committee_board_members_not_eea]],12,FALSE)</f>
        <v>0</v>
      </c>
      <c r="N115">
        <f>VLOOKUP(A115,General2023[[organisation_name]:[number_of_international_committee_board_members_not_eea]],11,FALSE)</f>
        <v>0</v>
      </c>
      <c r="O115" t="str">
        <f>IFERROR(IF(Data2023[[#This Row],[Number of active members]]-Data2023[[#This Row],[Non-EEA Active ]]-Data2023[[#This Row],[EEA Active]]&lt;1,"N/A", Data2023[[#This Row],[Number of active members]]-Data2023[[#This Row],[Non-EEA Active ]]-Data2023[[#This Row],[EEA Active]]),"N/A")</f>
        <v>N/A</v>
      </c>
      <c r="P115" t="str">
        <f>IFERROR(Data2023[[#This Row],[Non-EEA Active ]]/Data2023[[#This Row],[Number of active members]],"N/A")</f>
        <v>N/A</v>
      </c>
      <c r="Q115" t="str">
        <f>IFERROR(Data2023[[#This Row],[EEA Active]]/Data2023[[#This Row],[EEA total]], "N/A")</f>
        <v>N/A</v>
      </c>
      <c r="R115" t="str">
        <f>IFERROR(Data2023[[#This Row],[Dutch Active]]/Data2023[[#This Row],[Dutch total]],"N/A")</f>
        <v>N/A</v>
      </c>
      <c r="S115" t="str">
        <f>IFERROR(IF(Data2023[[#This Row],[Number of members]]=Data2023[[#This Row],[Non-EEA Total]]+Data2023[[#This Row],[EEA total]]+Data2023[[#This Row],[Dutch total]],"T","F"),"F")</f>
        <v>F</v>
      </c>
      <c r="T115" t="str">
        <f>IFERROR(IF(Data2023[[#This Row],[Number of active members]]=Data2023[[#This Row],[Non-EEA Active ]]+Data2023[[#This Row],[EEA Active]]+Data2023[[#This Row],[Dutch Active]],"T","F"),"F")</f>
        <v>F</v>
      </c>
      <c r="U115" t="str">
        <f>IFERROR(IF(Data2023[[#This Row],[Number of members]]-Data2023[[#This Row],[Non-EEA Active ]]-Data2023[[#This Row],[EEA Active]]-Data2023[[#This Row],[Dutch Active]]=Data2023[[#This Row],[Number of  inactive members]],"T","F"),"F")</f>
        <v>F</v>
      </c>
      <c r="V115" t="str">
        <f>IF(Data2023[[#This Row],[EEA Active]]&lt;=Data2023[[#This Row],[EEA total]],"T","F")</f>
        <v>T</v>
      </c>
      <c r="W115" t="str">
        <f>IF(Data2023[[#This Row],[Dutch Active]]&lt;=Data2023[[#This Row],[Dutch total]],"T","F")</f>
        <v>T</v>
      </c>
      <c r="X115" t="str">
        <f>IF(Data2023[[#This Row],[Non-EEA Active ]]&lt;=Data2023[[#This Row],[Non-EEA Total]],"T","F")</f>
        <v>T</v>
      </c>
      <c r="Y11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5" t="str">
        <f>IFERROR(VLOOKUP(Data2023[[#This Row],[organisation_name]],'Division Study Year Committees'!$A$1:$L$108,2,FALSE),"N/A")</f>
        <v>N/A</v>
      </c>
      <c r="AA115" t="str">
        <f>IFERROR(VLOOKUP(Data2023[[#This Row],[organisation_name]],'Division Study Year Committees'!$A$1:$L$108,3,FALSE),"N/A")</f>
        <v>N/A</v>
      </c>
      <c r="AB115" t="str">
        <f>IFERROR(VLOOKUP(Data2023[[#This Row],[organisation_name]],'Division Study Year Committees'!$A$1:$L$108,4,FALSE),"N/A")</f>
        <v>N/A</v>
      </c>
      <c r="AC115" t="str">
        <f>IFERROR(VLOOKUP(Data2023[[#This Row],[organisation_name]],'Division Study Year Committees'!$A$1:$L$108,5,FALSE), "N/A")</f>
        <v>N/A</v>
      </c>
      <c r="AD115" t="str">
        <f>IFERROR(VLOOKUP(Data2023[[#This Row],[organisation_name]],'Division Study Year Committees'!$A$1:$L$108,6,FALSE), "N/A")</f>
        <v>N/A</v>
      </c>
      <c r="AE115">
        <f>SUM(Data2023[[#This Row],[Number of first year comittee members]:[Number of 4+ year comittee members]])</f>
        <v>0</v>
      </c>
      <c r="AF115">
        <f>COUNTIF('Committee2022'!D:D,Data2023[[#This Row],[organisation_name]])</f>
        <v>1</v>
      </c>
      <c r="AG115">
        <v>2023</v>
      </c>
    </row>
    <row r="116" spans="1:33" x14ac:dyDescent="0.3">
      <c r="A116" t="str">
        <f>General2023[[#This Row],[organisation_name]]</f>
        <v>Studentenstam Radix</v>
      </c>
      <c r="B116" t="str">
        <f>IF(General2023[[#This Row],[sector]]= "",VLOOKUP(Data2023[[#This Row],[organisation_name]],'Response Rate sheet'!A:D,3,FALSE),General2023[[#This Row],[sector]])</f>
        <v>Other</v>
      </c>
      <c r="C116" t="str">
        <f>General2023[[#This Row],[organisation_type]]</f>
        <v>association</v>
      </c>
      <c r="D116">
        <f>IF(ISBLANK(General2023[[#This Row],[number_of_members]]),"N/A",VLOOKUP(A116,General2023[[organisation_name]:[number_of_international_committee_board_members_not_eea]],6,FALSE))</f>
        <v>38</v>
      </c>
      <c r="E116">
        <f>IF(ISBLANK(General2023[[#This Row],[number_of_committee_board_members]]),"N/A",VLOOKUP(A116,General2023!B:M,10,FALSE))</f>
        <v>5</v>
      </c>
      <c r="F116">
        <f>IFERROR(Data2023[[#This Row],[Number of members]]-Data2023[[#This Row],[Number of active members]], "N/A")</f>
        <v>33</v>
      </c>
      <c r="G116">
        <f>IFERROR(Data2023[[#This Row],[Number of active members]]/Data2023[[#This Row],[Number of members]], "N/A")</f>
        <v>0.13157894736842105</v>
      </c>
      <c r="H116">
        <f>IFERROR(1-Data2023[[#This Row],[Percentage active members]],"N/A")</f>
        <v>0.86842105263157898</v>
      </c>
      <c r="I116"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16">
        <f>IF(ISBLANK(General2023[[#This Row],[number_of_international_members_not_eea]]),"N/A",VLOOKUP(A116,General2023[[organisation_name]:[number_of_international_committee_board_members_not_eea]],9,FALSE))</f>
        <v>15</v>
      </c>
      <c r="K116">
        <f>IF(ISBLANK(General2023[[#This Row],[number_of_international_members_eea]]),"N/A",VLOOKUP(A116,General2023[[organisation_name]:[number_of_international_committee_board_members_not_eea]],8,FALSE))</f>
        <v>0</v>
      </c>
      <c r="L116">
        <f>IFERROR(IF(Data2023[[#This Row],[Number of members]]-Data2023[[#This Row],[Non-EEA Total]]-Data2023[[#This Row],[EEA total]]&lt;1,"N/A", Data2023[[#This Row],[Number of members]]-Data2023[[#This Row],[Non-EEA Total]]-Data2023[[#This Row],[EEA total]]),"N/A")</f>
        <v>23</v>
      </c>
      <c r="M116">
        <f>VLOOKUP(A116,General2023[[organisation_name]:[number_of_international_committee_board_members_not_eea]],12,FALSE)</f>
        <v>0</v>
      </c>
      <c r="N116">
        <f>VLOOKUP(A116,General2023[[organisation_name]:[number_of_international_committee_board_members_not_eea]],11,FALSE)</f>
        <v>0</v>
      </c>
      <c r="O116">
        <f>IFERROR(IF(Data2023[[#This Row],[Number of active members]]-Data2023[[#This Row],[Non-EEA Active ]]-Data2023[[#This Row],[EEA Active]]&lt;1,"N/A", Data2023[[#This Row],[Number of active members]]-Data2023[[#This Row],[Non-EEA Active ]]-Data2023[[#This Row],[EEA Active]]),"N/A")</f>
        <v>5</v>
      </c>
      <c r="P116">
        <f>IFERROR(Data2023[[#This Row],[Non-EEA Active ]]/Data2023[[#This Row],[Number of active members]],"N/A")</f>
        <v>0</v>
      </c>
      <c r="Q116" t="str">
        <f>IFERROR(Data2023[[#This Row],[EEA Active]]/Data2023[[#This Row],[EEA total]], "N/A")</f>
        <v>N/A</v>
      </c>
      <c r="R116">
        <f>IFERROR(Data2023[[#This Row],[Dutch Active]]/Data2023[[#This Row],[Dutch total]],"N/A")</f>
        <v>0.21739130434782608</v>
      </c>
      <c r="S116" t="str">
        <f>IFERROR(IF(Data2023[[#This Row],[Number of members]]=Data2023[[#This Row],[Non-EEA Total]]+Data2023[[#This Row],[EEA total]]+Data2023[[#This Row],[Dutch total]],"T","F"),"F")</f>
        <v>T</v>
      </c>
      <c r="T116" t="str">
        <f>IFERROR(IF(Data2023[[#This Row],[Number of active members]]=Data2023[[#This Row],[Non-EEA Active ]]+Data2023[[#This Row],[EEA Active]]+Data2023[[#This Row],[Dutch Active]],"T","F"),"F")</f>
        <v>T</v>
      </c>
      <c r="U116" t="str">
        <f>IFERROR(IF(Data2023[[#This Row],[Number of members]]-Data2023[[#This Row],[Non-EEA Active ]]-Data2023[[#This Row],[EEA Active]]-Data2023[[#This Row],[Dutch Active]]=Data2023[[#This Row],[Number of  inactive members]],"T","F"),"F")</f>
        <v>T</v>
      </c>
      <c r="V116" t="str">
        <f>IF(Data2023[[#This Row],[EEA Active]]&lt;=Data2023[[#This Row],[EEA total]],"T","F")</f>
        <v>T</v>
      </c>
      <c r="W116" t="str">
        <f>IF(Data2023[[#This Row],[Dutch Active]]&lt;=Data2023[[#This Row],[Dutch total]],"T","F")</f>
        <v>T</v>
      </c>
      <c r="X116" t="str">
        <f>IF(Data2023[[#This Row],[Non-EEA Active ]]&lt;=Data2023[[#This Row],[Non-EEA Total]],"T","F")</f>
        <v>T</v>
      </c>
      <c r="Y116"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16">
        <f>IFERROR(VLOOKUP(Data2023[[#This Row],[organisation_name]],'Division Study Year Committees'!$A$1:$L$108,2,FALSE),"N/A")</f>
        <v>0</v>
      </c>
      <c r="AA116">
        <f>IFERROR(VLOOKUP(Data2023[[#This Row],[organisation_name]],'Division Study Year Committees'!$A$1:$L$108,3,FALSE),"N/A")</f>
        <v>0</v>
      </c>
      <c r="AB116">
        <f>IFERROR(VLOOKUP(Data2023[[#This Row],[organisation_name]],'Division Study Year Committees'!$A$1:$L$108,4,FALSE),"N/A")</f>
        <v>0</v>
      </c>
      <c r="AC116">
        <f>IFERROR(VLOOKUP(Data2023[[#This Row],[organisation_name]],'Division Study Year Committees'!$A$1:$L$108,5,FALSE), "N/A")</f>
        <v>0</v>
      </c>
      <c r="AD116">
        <f>IFERROR(VLOOKUP(Data2023[[#This Row],[organisation_name]],'Division Study Year Committees'!$A$1:$L$108,6,FALSE), "N/A")</f>
        <v>0</v>
      </c>
      <c r="AE116">
        <f>SUM(Data2023[[#This Row],[Number of first year comittee members]:[Number of 4+ year comittee members]])</f>
        <v>0</v>
      </c>
      <c r="AF116">
        <f>COUNTIF('Committee2022'!D:D,Data2023[[#This Row],[organisation_name]])</f>
        <v>5</v>
      </c>
      <c r="AG116">
        <v>2023</v>
      </c>
    </row>
    <row r="117" spans="1:33" x14ac:dyDescent="0.3">
      <c r="A117" t="str">
        <f>General2023[[#This Row],[organisation_name]]</f>
        <v>IEEE Student Branch</v>
      </c>
      <c r="B117" t="str">
        <f>IF(General2023[[#This Row],[sector]]= "",VLOOKUP(Data2023[[#This Row],[organisation_name]],'Response Rate sheet'!A:D,3,FALSE),General2023[[#This Row],[sector]])</f>
        <v>other</v>
      </c>
      <c r="C117" t="str">
        <f>General2023[[#This Row],[organisation_type]]</f>
        <v>foundation</v>
      </c>
      <c r="D117" t="str">
        <f>IF(ISBLANK(General2023[[#This Row],[number_of_members]]),"N/A",VLOOKUP(A117,General2023[[organisation_name]:[number_of_international_committee_board_members_not_eea]],6,FALSE))</f>
        <v>N/A</v>
      </c>
      <c r="E117" t="str">
        <f>IF(ISBLANK(General2023[[#This Row],[number_of_committee_board_members]]),"N/A",VLOOKUP(A117,General2023!B:M,10,FALSE))</f>
        <v>N/A</v>
      </c>
      <c r="F117" t="str">
        <f>IFERROR(Data2023[[#This Row],[Number of members]]-Data2023[[#This Row],[Number of active members]], "N/A")</f>
        <v>N/A</v>
      </c>
      <c r="G117" t="str">
        <f>IFERROR(Data2023[[#This Row],[Number of active members]]/Data2023[[#This Row],[Number of members]], "N/A")</f>
        <v>N/A</v>
      </c>
      <c r="H117" t="str">
        <f>IFERROR(1-Data2023[[#This Row],[Percentage active members]],"N/A")</f>
        <v>N/A</v>
      </c>
      <c r="I117" t="str">
        <f>IF(Data2023[[#This Row],[Number of members]]=0,"N/A",IF(Data2023[[#This Row],[Number of members]]&lt;50," A. 1 - 50 ",IF(Data2023[[#This Row],[Number of members]]&lt;100, "B. 50 - 100", IF(Data2023[[#This Row],[Number of members]]&lt;400, "C. 100 - 400", IF(Data2023[[#This Row],[Number of members]]&lt;1000,"D. 400 - 1000", "E. 1000 +")))))</f>
        <v>E. 1000 +</v>
      </c>
      <c r="J117" t="str">
        <f>IF(ISBLANK(General2023[[#This Row],[number_of_international_members_not_eea]]),"N/A",VLOOKUP(A117,General2023[[organisation_name]:[number_of_international_committee_board_members_not_eea]],9,FALSE))</f>
        <v>N/A</v>
      </c>
      <c r="K117" t="str">
        <f>IF(ISBLANK(General2023[[#This Row],[number_of_international_members_eea]]),"N/A",VLOOKUP(A117,General2023[[organisation_name]:[number_of_international_committee_board_members_not_eea]],8,FALSE))</f>
        <v>N/A</v>
      </c>
      <c r="L117" t="str">
        <f>IFERROR(IF(Data2023[[#This Row],[Number of members]]-Data2023[[#This Row],[Non-EEA Total]]-Data2023[[#This Row],[EEA total]]&lt;1,"N/A", Data2023[[#This Row],[Number of members]]-Data2023[[#This Row],[Non-EEA Total]]-Data2023[[#This Row],[EEA total]]),"N/A")</f>
        <v>N/A</v>
      </c>
      <c r="M117">
        <f>VLOOKUP(A117,General2023[[organisation_name]:[number_of_international_committee_board_members_not_eea]],12,FALSE)</f>
        <v>0</v>
      </c>
      <c r="N117">
        <f>VLOOKUP(A117,General2023[[organisation_name]:[number_of_international_committee_board_members_not_eea]],11,FALSE)</f>
        <v>0</v>
      </c>
      <c r="O117" t="str">
        <f>IFERROR(IF(Data2023[[#This Row],[Number of active members]]-Data2023[[#This Row],[Non-EEA Active ]]-Data2023[[#This Row],[EEA Active]]&lt;1,"N/A", Data2023[[#This Row],[Number of active members]]-Data2023[[#This Row],[Non-EEA Active ]]-Data2023[[#This Row],[EEA Active]]),"N/A")</f>
        <v>N/A</v>
      </c>
      <c r="P117" t="str">
        <f>IFERROR(Data2023[[#This Row],[Non-EEA Active ]]/Data2023[[#This Row],[Number of active members]],"N/A")</f>
        <v>N/A</v>
      </c>
      <c r="Q117" t="str">
        <f>IFERROR(Data2023[[#This Row],[EEA Active]]/Data2023[[#This Row],[EEA total]], "N/A")</f>
        <v>N/A</v>
      </c>
      <c r="R117" t="str">
        <f>IFERROR(Data2023[[#This Row],[Dutch Active]]/Data2023[[#This Row],[Dutch total]],"N/A")</f>
        <v>N/A</v>
      </c>
      <c r="S117" t="str">
        <f>IFERROR(IF(Data2023[[#This Row],[Number of members]]=Data2023[[#This Row],[Non-EEA Total]]+Data2023[[#This Row],[EEA total]]+Data2023[[#This Row],[Dutch total]],"T","F"),"F")</f>
        <v>F</v>
      </c>
      <c r="T117" t="str">
        <f>IFERROR(IF(Data2023[[#This Row],[Number of active members]]=Data2023[[#This Row],[Non-EEA Active ]]+Data2023[[#This Row],[EEA Active]]+Data2023[[#This Row],[Dutch Active]],"T","F"),"F")</f>
        <v>F</v>
      </c>
      <c r="U117" t="str">
        <f>IFERROR(IF(Data2023[[#This Row],[Number of members]]-Data2023[[#This Row],[Non-EEA Active ]]-Data2023[[#This Row],[EEA Active]]-Data2023[[#This Row],[Dutch Active]]=Data2023[[#This Row],[Number of  inactive members]],"T","F"),"F")</f>
        <v>F</v>
      </c>
      <c r="V117" t="str">
        <f>IF(Data2023[[#This Row],[EEA Active]]&lt;=Data2023[[#This Row],[EEA total]],"T","F")</f>
        <v>T</v>
      </c>
      <c r="W117" t="str">
        <f>IF(Data2023[[#This Row],[Dutch Active]]&lt;=Data2023[[#This Row],[Dutch total]],"T","F")</f>
        <v>T</v>
      </c>
      <c r="X117" t="str">
        <f>IF(Data2023[[#This Row],[Non-EEA Active ]]&lt;=Data2023[[#This Row],[Non-EEA Total]],"T","F")</f>
        <v>T</v>
      </c>
      <c r="Y11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7" t="str">
        <f>IFERROR(VLOOKUP(Data2023[[#This Row],[organisation_name]],'Division Study Year Committees'!$A$1:$L$108,2,FALSE),"N/A")</f>
        <v>N/A</v>
      </c>
      <c r="AA117" t="str">
        <f>IFERROR(VLOOKUP(Data2023[[#This Row],[organisation_name]],'Division Study Year Committees'!$A$1:$L$108,3,FALSE),"N/A")</f>
        <v>N/A</v>
      </c>
      <c r="AB117" t="str">
        <f>IFERROR(VLOOKUP(Data2023[[#This Row],[organisation_name]],'Division Study Year Committees'!$A$1:$L$108,4,FALSE),"N/A")</f>
        <v>N/A</v>
      </c>
      <c r="AC117" t="str">
        <f>IFERROR(VLOOKUP(Data2023[[#This Row],[organisation_name]],'Division Study Year Committees'!$A$1:$L$108,5,FALSE), "N/A")</f>
        <v>N/A</v>
      </c>
      <c r="AD117" t="str">
        <f>IFERROR(VLOOKUP(Data2023[[#This Row],[organisation_name]],'Division Study Year Committees'!$A$1:$L$108,6,FALSE), "N/A")</f>
        <v>N/A</v>
      </c>
      <c r="AE117">
        <f>SUM(Data2023[[#This Row],[Number of first year comittee members]:[Number of 4+ year comittee members]])</f>
        <v>0</v>
      </c>
      <c r="AF117">
        <f>COUNTIF('Committee2022'!D:D,Data2023[[#This Row],[organisation_name]])</f>
        <v>0</v>
      </c>
      <c r="AG117">
        <v>2023</v>
      </c>
    </row>
    <row r="118" spans="1:33" x14ac:dyDescent="0.3">
      <c r="A118" t="str">
        <f>General2023[[#This Row],[organisation_name]]</f>
        <v>Stichting Solar Boat Twente</v>
      </c>
      <c r="B118" t="str">
        <f>IF(General2023[[#This Row],[sector]]= "",VLOOKUP(Data2023[[#This Row],[organisation_name]],'Response Rate sheet'!A:D,3,FALSE),General2023[[#This Row],[sector]])</f>
        <v>Other</v>
      </c>
      <c r="C118" t="str">
        <f>General2023[[#This Row],[organisation_type]]</f>
        <v>foundation</v>
      </c>
      <c r="D118">
        <f>IF(ISBLANK(General2023[[#This Row],[number_of_members]]),"N/A",VLOOKUP(A118,General2023[[organisation_name]:[number_of_international_committee_board_members_not_eea]],6,FALSE))</f>
        <v>21</v>
      </c>
      <c r="E118" t="str">
        <f>IF(ISBLANK(General2023[[#This Row],[number_of_committee_board_members]]),"N/A",VLOOKUP(A118,General2023!B:M,10,FALSE))</f>
        <v>N/A</v>
      </c>
      <c r="F118" t="str">
        <f>IFERROR(Data2023[[#This Row],[Number of members]]-Data2023[[#This Row],[Number of active members]], "N/A")</f>
        <v>N/A</v>
      </c>
      <c r="G118" t="str">
        <f>IFERROR(Data2023[[#This Row],[Number of active members]]/Data2023[[#This Row],[Number of members]], "N/A")</f>
        <v>N/A</v>
      </c>
      <c r="H118" t="str">
        <f>IFERROR(1-Data2023[[#This Row],[Percentage active members]],"N/A")</f>
        <v>N/A</v>
      </c>
      <c r="I118"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18" t="str">
        <f>IF(ISBLANK(General2023[[#This Row],[number_of_international_members_not_eea]]),"N/A",VLOOKUP(A118,General2023[[organisation_name]:[number_of_international_committee_board_members_not_eea]],9,FALSE))</f>
        <v>N/A</v>
      </c>
      <c r="K118">
        <f>IF(ISBLANK(General2023[[#This Row],[number_of_international_members_eea]]),"N/A",VLOOKUP(A118,General2023[[organisation_name]:[number_of_international_committee_board_members_not_eea]],8,FALSE))</f>
        <v>0</v>
      </c>
      <c r="L118" t="str">
        <f>IFERROR(IF(Data2023[[#This Row],[Number of members]]-Data2023[[#This Row],[Non-EEA Total]]-Data2023[[#This Row],[EEA total]]&lt;1,"N/A", Data2023[[#This Row],[Number of members]]-Data2023[[#This Row],[Non-EEA Total]]-Data2023[[#This Row],[EEA total]]),"N/A")</f>
        <v>N/A</v>
      </c>
      <c r="M118">
        <f>VLOOKUP(A118,General2023[[organisation_name]:[number_of_international_committee_board_members_not_eea]],12,FALSE)</f>
        <v>0</v>
      </c>
      <c r="N118">
        <f>VLOOKUP(A118,General2023[[organisation_name]:[number_of_international_committee_board_members_not_eea]],11,FALSE)</f>
        <v>0</v>
      </c>
      <c r="O118" t="str">
        <f>IFERROR(IF(Data2023[[#This Row],[Number of active members]]-Data2023[[#This Row],[Non-EEA Active ]]-Data2023[[#This Row],[EEA Active]]&lt;1,"N/A", Data2023[[#This Row],[Number of active members]]-Data2023[[#This Row],[Non-EEA Active ]]-Data2023[[#This Row],[EEA Active]]),"N/A")</f>
        <v>N/A</v>
      </c>
      <c r="P118" t="str">
        <f>IFERROR(Data2023[[#This Row],[Non-EEA Active ]]/Data2023[[#This Row],[Number of active members]],"N/A")</f>
        <v>N/A</v>
      </c>
      <c r="Q118" t="str">
        <f>IFERROR(Data2023[[#This Row],[EEA Active]]/Data2023[[#This Row],[EEA total]], "N/A")</f>
        <v>N/A</v>
      </c>
      <c r="R118" t="str">
        <f>IFERROR(Data2023[[#This Row],[Dutch Active]]/Data2023[[#This Row],[Dutch total]],"N/A")</f>
        <v>N/A</v>
      </c>
      <c r="S118" t="str">
        <f>IFERROR(IF(Data2023[[#This Row],[Number of members]]=Data2023[[#This Row],[Non-EEA Total]]+Data2023[[#This Row],[EEA total]]+Data2023[[#This Row],[Dutch total]],"T","F"),"F")</f>
        <v>F</v>
      </c>
      <c r="T118" t="str">
        <f>IFERROR(IF(Data2023[[#This Row],[Number of active members]]=Data2023[[#This Row],[Non-EEA Active ]]+Data2023[[#This Row],[EEA Active]]+Data2023[[#This Row],[Dutch Active]],"T","F"),"F")</f>
        <v>F</v>
      </c>
      <c r="U118" t="str">
        <f>IFERROR(IF(Data2023[[#This Row],[Number of members]]-Data2023[[#This Row],[Non-EEA Active ]]-Data2023[[#This Row],[EEA Active]]-Data2023[[#This Row],[Dutch Active]]=Data2023[[#This Row],[Number of  inactive members]],"T","F"),"F")</f>
        <v>F</v>
      </c>
      <c r="V118" t="str">
        <f>IF(Data2023[[#This Row],[EEA Active]]&lt;=Data2023[[#This Row],[EEA total]],"T","F")</f>
        <v>T</v>
      </c>
      <c r="W118" t="str">
        <f>IF(Data2023[[#This Row],[Dutch Active]]&lt;=Data2023[[#This Row],[Dutch total]],"T","F")</f>
        <v>T</v>
      </c>
      <c r="X118" t="str">
        <f>IF(Data2023[[#This Row],[Non-EEA Active ]]&lt;=Data2023[[#This Row],[Non-EEA Total]],"T","F")</f>
        <v>T</v>
      </c>
      <c r="Y11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8" t="str">
        <f>IFERROR(VLOOKUP(Data2023[[#This Row],[organisation_name]],'Division Study Year Committees'!$A$1:$L$108,2,FALSE),"N/A")</f>
        <v>N/A</v>
      </c>
      <c r="AA118" t="str">
        <f>IFERROR(VLOOKUP(Data2023[[#This Row],[organisation_name]],'Division Study Year Committees'!$A$1:$L$108,3,FALSE),"N/A")</f>
        <v>N/A</v>
      </c>
      <c r="AB118" t="str">
        <f>IFERROR(VLOOKUP(Data2023[[#This Row],[organisation_name]],'Division Study Year Committees'!$A$1:$L$108,4,FALSE),"N/A")</f>
        <v>N/A</v>
      </c>
      <c r="AC118" t="str">
        <f>IFERROR(VLOOKUP(Data2023[[#This Row],[organisation_name]],'Division Study Year Committees'!$A$1:$L$108,5,FALSE), "N/A")</f>
        <v>N/A</v>
      </c>
      <c r="AD118" t="str">
        <f>IFERROR(VLOOKUP(Data2023[[#This Row],[organisation_name]],'Division Study Year Committees'!$A$1:$L$108,6,FALSE), "N/A")</f>
        <v>N/A</v>
      </c>
      <c r="AE118">
        <f>SUM(Data2023[[#This Row],[Number of first year comittee members]:[Number of 4+ year comittee members]])</f>
        <v>0</v>
      </c>
      <c r="AF118">
        <f>COUNTIF('Committee2022'!D:D,Data2023[[#This Row],[organisation_name]])</f>
        <v>1</v>
      </c>
      <c r="AG118">
        <v>2023</v>
      </c>
    </row>
    <row r="119" spans="1:33" x14ac:dyDescent="0.3">
      <c r="A119" t="str">
        <f>General2023[[#This Row],[organisation_name]]</f>
        <v>Stichting Robo Team Twente</v>
      </c>
      <c r="B119" t="str">
        <f>IF(General2023[[#This Row],[sector]]= "",VLOOKUP(Data2023[[#This Row],[organisation_name]],'Response Rate sheet'!A:D,3,FALSE),General2023[[#This Row],[sector]])</f>
        <v>Other</v>
      </c>
      <c r="C119" t="str">
        <f>General2023[[#This Row],[organisation_type]]</f>
        <v>foundation</v>
      </c>
      <c r="D119">
        <f>IF(ISBLANK(General2023[[#This Row],[number_of_members]]),"N/A",VLOOKUP(A119,General2023[[organisation_name]:[number_of_international_committee_board_members_not_eea]],6,FALSE))</f>
        <v>18</v>
      </c>
      <c r="E119" t="str">
        <f>IF(ISBLANK(General2023[[#This Row],[number_of_committee_board_members]]),"N/A",VLOOKUP(A119,General2023!B:M,10,FALSE))</f>
        <v>N/A</v>
      </c>
      <c r="F119" t="str">
        <f>IFERROR(Data2023[[#This Row],[Number of members]]-Data2023[[#This Row],[Number of active members]], "N/A")</f>
        <v>N/A</v>
      </c>
      <c r="G119" t="str">
        <f>IFERROR(Data2023[[#This Row],[Number of active members]]/Data2023[[#This Row],[Number of members]], "N/A")</f>
        <v>N/A</v>
      </c>
      <c r="H119" t="str">
        <f>IFERROR(1-Data2023[[#This Row],[Percentage active members]],"N/A")</f>
        <v>N/A</v>
      </c>
      <c r="I119"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19" t="str">
        <f>IF(ISBLANK(General2023[[#This Row],[number_of_international_members_not_eea]]),"N/A",VLOOKUP(A119,General2023[[organisation_name]:[number_of_international_committee_board_members_not_eea]],9,FALSE))</f>
        <v>N/A</v>
      </c>
      <c r="K119">
        <f>IF(ISBLANK(General2023[[#This Row],[number_of_international_members_eea]]),"N/A",VLOOKUP(A119,General2023[[organisation_name]:[number_of_international_committee_board_members_not_eea]],8,FALSE))</f>
        <v>3</v>
      </c>
      <c r="L119" t="str">
        <f>IFERROR(IF(Data2023[[#This Row],[Number of members]]-Data2023[[#This Row],[Non-EEA Total]]-Data2023[[#This Row],[EEA total]]&lt;1,"N/A", Data2023[[#This Row],[Number of members]]-Data2023[[#This Row],[Non-EEA Total]]-Data2023[[#This Row],[EEA total]]),"N/A")</f>
        <v>N/A</v>
      </c>
      <c r="M119">
        <f>VLOOKUP(A119,General2023[[organisation_name]:[number_of_international_committee_board_members_not_eea]],12,FALSE)</f>
        <v>0</v>
      </c>
      <c r="N119">
        <f>VLOOKUP(A119,General2023[[organisation_name]:[number_of_international_committee_board_members_not_eea]],11,FALSE)</f>
        <v>0</v>
      </c>
      <c r="O119" t="str">
        <f>IFERROR(IF(Data2023[[#This Row],[Number of active members]]-Data2023[[#This Row],[Non-EEA Active ]]-Data2023[[#This Row],[EEA Active]]&lt;1,"N/A", Data2023[[#This Row],[Number of active members]]-Data2023[[#This Row],[Non-EEA Active ]]-Data2023[[#This Row],[EEA Active]]),"N/A")</f>
        <v>N/A</v>
      </c>
      <c r="P119" t="str">
        <f>IFERROR(Data2023[[#This Row],[Non-EEA Active ]]/Data2023[[#This Row],[Number of active members]],"N/A")</f>
        <v>N/A</v>
      </c>
      <c r="Q119">
        <f>IFERROR(Data2023[[#This Row],[EEA Active]]/Data2023[[#This Row],[EEA total]], "N/A")</f>
        <v>0</v>
      </c>
      <c r="R119" t="str">
        <f>IFERROR(Data2023[[#This Row],[Dutch Active]]/Data2023[[#This Row],[Dutch total]],"N/A")</f>
        <v>N/A</v>
      </c>
      <c r="S119" t="str">
        <f>IFERROR(IF(Data2023[[#This Row],[Number of members]]=Data2023[[#This Row],[Non-EEA Total]]+Data2023[[#This Row],[EEA total]]+Data2023[[#This Row],[Dutch total]],"T","F"),"F")</f>
        <v>F</v>
      </c>
      <c r="T119" t="str">
        <f>IFERROR(IF(Data2023[[#This Row],[Number of active members]]=Data2023[[#This Row],[Non-EEA Active ]]+Data2023[[#This Row],[EEA Active]]+Data2023[[#This Row],[Dutch Active]],"T","F"),"F")</f>
        <v>F</v>
      </c>
      <c r="U119" t="str">
        <f>IFERROR(IF(Data2023[[#This Row],[Number of members]]-Data2023[[#This Row],[Non-EEA Active ]]-Data2023[[#This Row],[EEA Active]]-Data2023[[#This Row],[Dutch Active]]=Data2023[[#This Row],[Number of  inactive members]],"T","F"),"F")</f>
        <v>F</v>
      </c>
      <c r="V119" t="str">
        <f>IF(Data2023[[#This Row],[EEA Active]]&lt;=Data2023[[#This Row],[EEA total]],"T","F")</f>
        <v>T</v>
      </c>
      <c r="W119" t="str">
        <f>IF(Data2023[[#This Row],[Dutch Active]]&lt;=Data2023[[#This Row],[Dutch total]],"T","F")</f>
        <v>T</v>
      </c>
      <c r="X119" t="str">
        <f>IF(Data2023[[#This Row],[Non-EEA Active ]]&lt;=Data2023[[#This Row],[Non-EEA Total]],"T","F")</f>
        <v>T</v>
      </c>
      <c r="Y11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19">
        <f>IFERROR(VLOOKUP(Data2023[[#This Row],[organisation_name]],'Division Study Year Committees'!$A$1:$L$108,2,FALSE),"N/A")</f>
        <v>0</v>
      </c>
      <c r="AA119">
        <f>IFERROR(VLOOKUP(Data2023[[#This Row],[organisation_name]],'Division Study Year Committees'!$A$1:$L$108,3,FALSE),"N/A")</f>
        <v>0</v>
      </c>
      <c r="AB119">
        <f>IFERROR(VLOOKUP(Data2023[[#This Row],[organisation_name]],'Division Study Year Committees'!$A$1:$L$108,4,FALSE),"N/A")</f>
        <v>0</v>
      </c>
      <c r="AC119">
        <f>IFERROR(VLOOKUP(Data2023[[#This Row],[organisation_name]],'Division Study Year Committees'!$A$1:$L$108,5,FALSE), "N/A")</f>
        <v>0</v>
      </c>
      <c r="AD119">
        <f>IFERROR(VLOOKUP(Data2023[[#This Row],[organisation_name]],'Division Study Year Committees'!$A$1:$L$108,6,FALSE), "N/A")</f>
        <v>0</v>
      </c>
      <c r="AE119">
        <f>SUM(Data2023[[#This Row],[Number of first year comittee members]:[Number of 4+ year comittee members]])</f>
        <v>0</v>
      </c>
      <c r="AF119">
        <f>COUNTIF('Committee2022'!D:D,Data2023[[#This Row],[organisation_name]])</f>
        <v>1</v>
      </c>
      <c r="AG119">
        <v>2023</v>
      </c>
    </row>
    <row r="120" spans="1:33" x14ac:dyDescent="0.3">
      <c r="A120" t="str">
        <f>General2023[[#This Row],[organisation_name]]</f>
        <v>Stichting Electric Superbike Twente</v>
      </c>
      <c r="B120" t="str">
        <f>IF(General2023[[#This Row],[sector]]= "",VLOOKUP(Data2023[[#This Row],[organisation_name]],'Response Rate sheet'!A:D,3,FALSE),General2023[[#This Row],[sector]])</f>
        <v>Other</v>
      </c>
      <c r="C120" t="str">
        <f>General2023[[#This Row],[organisation_type]]</f>
        <v>foundation</v>
      </c>
      <c r="D120">
        <f>IF(ISBLANK(General2023[[#This Row],[number_of_members]]),"N/A",VLOOKUP(A120,General2023[[organisation_name]:[number_of_international_committee_board_members_not_eea]],6,FALSE))</f>
        <v>14</v>
      </c>
      <c r="E120" t="str">
        <f>IF(ISBLANK(General2023[[#This Row],[number_of_committee_board_members]]),"N/A",VLOOKUP(A120,General2023!B:M,10,FALSE))</f>
        <v>N/A</v>
      </c>
      <c r="F120" t="str">
        <f>IFERROR(Data2023[[#This Row],[Number of members]]-Data2023[[#This Row],[Number of active members]], "N/A")</f>
        <v>N/A</v>
      </c>
      <c r="G120" t="str">
        <f>IFERROR(Data2023[[#This Row],[Number of active members]]/Data2023[[#This Row],[Number of members]], "N/A")</f>
        <v>N/A</v>
      </c>
      <c r="H120" t="str">
        <f>IFERROR(1-Data2023[[#This Row],[Percentage active members]],"N/A")</f>
        <v>N/A</v>
      </c>
      <c r="I120"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20" t="str">
        <f>IF(ISBLANK(General2023[[#This Row],[number_of_international_members_not_eea]]),"N/A",VLOOKUP(A120,General2023[[organisation_name]:[number_of_international_committee_board_members_not_eea]],9,FALSE))</f>
        <v>N/A</v>
      </c>
      <c r="K120">
        <f>IF(ISBLANK(General2023[[#This Row],[number_of_international_members_eea]]),"N/A",VLOOKUP(A120,General2023[[organisation_name]:[number_of_international_committee_board_members_not_eea]],8,FALSE))</f>
        <v>1</v>
      </c>
      <c r="L120" t="str">
        <f>IFERROR(IF(Data2023[[#This Row],[Number of members]]-Data2023[[#This Row],[Non-EEA Total]]-Data2023[[#This Row],[EEA total]]&lt;1,"N/A", Data2023[[#This Row],[Number of members]]-Data2023[[#This Row],[Non-EEA Total]]-Data2023[[#This Row],[EEA total]]),"N/A")</f>
        <v>N/A</v>
      </c>
      <c r="M120">
        <f>VLOOKUP(A120,General2023[[organisation_name]:[number_of_international_committee_board_members_not_eea]],12,FALSE)</f>
        <v>0</v>
      </c>
      <c r="N120">
        <f>VLOOKUP(A120,General2023[[organisation_name]:[number_of_international_committee_board_members_not_eea]],11,FALSE)</f>
        <v>0</v>
      </c>
      <c r="O120" t="str">
        <f>IFERROR(IF(Data2023[[#This Row],[Number of active members]]-Data2023[[#This Row],[Non-EEA Active ]]-Data2023[[#This Row],[EEA Active]]&lt;1,"N/A", Data2023[[#This Row],[Number of active members]]-Data2023[[#This Row],[Non-EEA Active ]]-Data2023[[#This Row],[EEA Active]]),"N/A")</f>
        <v>N/A</v>
      </c>
      <c r="P120" t="str">
        <f>IFERROR(Data2023[[#This Row],[Non-EEA Active ]]/Data2023[[#This Row],[Number of active members]],"N/A")</f>
        <v>N/A</v>
      </c>
      <c r="Q120">
        <f>IFERROR(Data2023[[#This Row],[EEA Active]]/Data2023[[#This Row],[EEA total]], "N/A")</f>
        <v>0</v>
      </c>
      <c r="R120" t="str">
        <f>IFERROR(Data2023[[#This Row],[Dutch Active]]/Data2023[[#This Row],[Dutch total]],"N/A")</f>
        <v>N/A</v>
      </c>
      <c r="S120" t="str">
        <f>IFERROR(IF(Data2023[[#This Row],[Number of members]]=Data2023[[#This Row],[Non-EEA Total]]+Data2023[[#This Row],[EEA total]]+Data2023[[#This Row],[Dutch total]],"T","F"),"F")</f>
        <v>F</v>
      </c>
      <c r="T120" t="str">
        <f>IFERROR(IF(Data2023[[#This Row],[Number of active members]]=Data2023[[#This Row],[Non-EEA Active ]]+Data2023[[#This Row],[EEA Active]]+Data2023[[#This Row],[Dutch Active]],"T","F"),"F")</f>
        <v>F</v>
      </c>
      <c r="U120" t="str">
        <f>IFERROR(IF(Data2023[[#This Row],[Number of members]]-Data2023[[#This Row],[Non-EEA Active ]]-Data2023[[#This Row],[EEA Active]]-Data2023[[#This Row],[Dutch Active]]=Data2023[[#This Row],[Number of  inactive members]],"T","F"),"F")</f>
        <v>F</v>
      </c>
      <c r="V120" t="str">
        <f>IF(Data2023[[#This Row],[EEA Active]]&lt;=Data2023[[#This Row],[EEA total]],"T","F")</f>
        <v>T</v>
      </c>
      <c r="W120" t="str">
        <f>IF(Data2023[[#This Row],[Dutch Active]]&lt;=Data2023[[#This Row],[Dutch total]],"T","F")</f>
        <v>T</v>
      </c>
      <c r="X120" t="str">
        <f>IF(Data2023[[#This Row],[Non-EEA Active ]]&lt;=Data2023[[#This Row],[Non-EEA Total]],"T","F")</f>
        <v>T</v>
      </c>
      <c r="Y12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0" t="str">
        <f>IFERROR(VLOOKUP(Data2023[[#This Row],[organisation_name]],'Division Study Year Committees'!$A$1:$L$108,2,FALSE),"N/A")</f>
        <v>N/A</v>
      </c>
      <c r="AA120" t="str">
        <f>IFERROR(VLOOKUP(Data2023[[#This Row],[organisation_name]],'Division Study Year Committees'!$A$1:$L$108,3,FALSE),"N/A")</f>
        <v>N/A</v>
      </c>
      <c r="AB120" t="str">
        <f>IFERROR(VLOOKUP(Data2023[[#This Row],[organisation_name]],'Division Study Year Committees'!$A$1:$L$108,4,FALSE),"N/A")</f>
        <v>N/A</v>
      </c>
      <c r="AC120" t="str">
        <f>IFERROR(VLOOKUP(Data2023[[#This Row],[organisation_name]],'Division Study Year Committees'!$A$1:$L$108,5,FALSE), "N/A")</f>
        <v>N/A</v>
      </c>
      <c r="AD120" t="str">
        <f>IFERROR(VLOOKUP(Data2023[[#This Row],[organisation_name]],'Division Study Year Committees'!$A$1:$L$108,6,FALSE), "N/A")</f>
        <v>N/A</v>
      </c>
      <c r="AE120">
        <f>SUM(Data2023[[#This Row],[Number of first year comittee members]:[Number of 4+ year comittee members]])</f>
        <v>0</v>
      </c>
      <c r="AF120">
        <f>COUNTIF('Committee2022'!D:D,Data2023[[#This Row],[organisation_name]])</f>
        <v>0</v>
      </c>
      <c r="AG120">
        <v>2023</v>
      </c>
    </row>
    <row r="121" spans="1:33" x14ac:dyDescent="0.3">
      <c r="A121" t="str">
        <f>General2023[[#This Row],[organisation_name]]</f>
        <v>De sevende camer</v>
      </c>
      <c r="B121" t="str">
        <f>IF(General2023[[#This Row],[sector]]= "",VLOOKUP(Data2023[[#This Row],[organisation_name]],'Response Rate sheet'!A:D,3,FALSE),General2023[[#This Row],[sector]])</f>
        <v>Sports</v>
      </c>
      <c r="C121" t="str">
        <f>General2023[[#This Row],[organisation_type]]</f>
        <v>foundation</v>
      </c>
      <c r="D121">
        <f>IF(ISBLANK(General2023[[#This Row],[number_of_members]]),"N/A",VLOOKUP(A121,General2023[[organisation_name]:[number_of_international_committee_board_members_not_eea]],6,FALSE))</f>
        <v>500</v>
      </c>
      <c r="E121" t="str">
        <f>IF(ISBLANK(General2023[[#This Row],[number_of_committee_board_members]]),"N/A",VLOOKUP(A121,General2023!B:M,10,FALSE))</f>
        <v>N/A</v>
      </c>
      <c r="F121" t="str">
        <f>IFERROR(Data2023[[#This Row],[Number of members]]-Data2023[[#This Row],[Number of active members]], "N/A")</f>
        <v>N/A</v>
      </c>
      <c r="G121" t="str">
        <f>IFERROR(Data2023[[#This Row],[Number of active members]]/Data2023[[#This Row],[Number of members]], "N/A")</f>
        <v>N/A</v>
      </c>
      <c r="H121" t="str">
        <f>IFERROR(1-Data2023[[#This Row],[Percentage active members]],"N/A")</f>
        <v>N/A</v>
      </c>
      <c r="I121" t="str">
        <f>IF(Data2023[[#This Row],[Number of members]]=0,"N/A",IF(Data2023[[#This Row],[Number of members]]&lt;50," A. 1 - 50 ",IF(Data2023[[#This Row],[Number of members]]&lt;100, "B. 50 - 100", IF(Data2023[[#This Row],[Number of members]]&lt;400, "C. 100 - 400", IF(Data2023[[#This Row],[Number of members]]&lt;1000,"D. 400 - 1000", "E. 1000 +")))))</f>
        <v>D. 400 - 1000</v>
      </c>
      <c r="J121" t="str">
        <f>IF(ISBLANK(General2023[[#This Row],[number_of_international_members_not_eea]]),"N/A",VLOOKUP(A121,General2023[[organisation_name]:[number_of_international_committee_board_members_not_eea]],9,FALSE))</f>
        <v>N/A</v>
      </c>
      <c r="K121">
        <f>IF(ISBLANK(General2023[[#This Row],[number_of_international_members_eea]]),"N/A",VLOOKUP(A121,General2023[[organisation_name]:[number_of_international_committee_board_members_not_eea]],8,FALSE))</f>
        <v>5</v>
      </c>
      <c r="L121" t="str">
        <f>IFERROR(IF(Data2023[[#This Row],[Number of members]]-Data2023[[#This Row],[Non-EEA Total]]-Data2023[[#This Row],[EEA total]]&lt;1,"N/A", Data2023[[#This Row],[Number of members]]-Data2023[[#This Row],[Non-EEA Total]]-Data2023[[#This Row],[EEA total]]),"N/A")</f>
        <v>N/A</v>
      </c>
      <c r="M121">
        <f>VLOOKUP(A121,General2023[[organisation_name]:[number_of_international_committee_board_members_not_eea]],12,FALSE)</f>
        <v>0</v>
      </c>
      <c r="N121">
        <f>VLOOKUP(A121,General2023[[organisation_name]:[number_of_international_committee_board_members_not_eea]],11,FALSE)</f>
        <v>0</v>
      </c>
      <c r="O121" t="str">
        <f>IFERROR(IF(Data2023[[#This Row],[Number of active members]]-Data2023[[#This Row],[Non-EEA Active ]]-Data2023[[#This Row],[EEA Active]]&lt;1,"N/A", Data2023[[#This Row],[Number of active members]]-Data2023[[#This Row],[Non-EEA Active ]]-Data2023[[#This Row],[EEA Active]]),"N/A")</f>
        <v>N/A</v>
      </c>
      <c r="P121" t="str">
        <f>IFERROR(Data2023[[#This Row],[Non-EEA Active ]]/Data2023[[#This Row],[Number of active members]],"N/A")</f>
        <v>N/A</v>
      </c>
      <c r="Q121">
        <f>IFERROR(Data2023[[#This Row],[EEA Active]]/Data2023[[#This Row],[EEA total]], "N/A")</f>
        <v>0</v>
      </c>
      <c r="R121" t="str">
        <f>IFERROR(Data2023[[#This Row],[Dutch Active]]/Data2023[[#This Row],[Dutch total]],"N/A")</f>
        <v>N/A</v>
      </c>
      <c r="S121" t="str">
        <f>IFERROR(IF(Data2023[[#This Row],[Number of members]]=Data2023[[#This Row],[Non-EEA Total]]+Data2023[[#This Row],[EEA total]]+Data2023[[#This Row],[Dutch total]],"T","F"),"F")</f>
        <v>F</v>
      </c>
      <c r="T121" t="str">
        <f>IFERROR(IF(Data2023[[#This Row],[Number of active members]]=Data2023[[#This Row],[Non-EEA Active ]]+Data2023[[#This Row],[EEA Active]]+Data2023[[#This Row],[Dutch Active]],"T","F"),"F")</f>
        <v>F</v>
      </c>
      <c r="U121" t="str">
        <f>IFERROR(IF(Data2023[[#This Row],[Number of members]]-Data2023[[#This Row],[Non-EEA Active ]]-Data2023[[#This Row],[EEA Active]]-Data2023[[#This Row],[Dutch Active]]=Data2023[[#This Row],[Number of  inactive members]],"T","F"),"F")</f>
        <v>F</v>
      </c>
      <c r="V121" t="str">
        <f>IF(Data2023[[#This Row],[EEA Active]]&lt;=Data2023[[#This Row],[EEA total]],"T","F")</f>
        <v>T</v>
      </c>
      <c r="W121" t="str">
        <f>IF(Data2023[[#This Row],[Dutch Active]]&lt;=Data2023[[#This Row],[Dutch total]],"T","F")</f>
        <v>T</v>
      </c>
      <c r="X121" t="str">
        <f>IF(Data2023[[#This Row],[Non-EEA Active ]]&lt;=Data2023[[#This Row],[Non-EEA Total]],"T","F")</f>
        <v>T</v>
      </c>
      <c r="Y12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1" t="str">
        <f>IFERROR(VLOOKUP(Data2023[[#This Row],[organisation_name]],'Division Study Year Committees'!$A$1:$L$108,2,FALSE),"N/A")</f>
        <v>N/A</v>
      </c>
      <c r="AA121" t="str">
        <f>IFERROR(VLOOKUP(Data2023[[#This Row],[organisation_name]],'Division Study Year Committees'!$A$1:$L$108,3,FALSE),"N/A")</f>
        <v>N/A</v>
      </c>
      <c r="AB121" t="str">
        <f>IFERROR(VLOOKUP(Data2023[[#This Row],[organisation_name]],'Division Study Year Committees'!$A$1:$L$108,4,FALSE),"N/A")</f>
        <v>N/A</v>
      </c>
      <c r="AC121" t="str">
        <f>IFERROR(VLOOKUP(Data2023[[#This Row],[organisation_name]],'Division Study Year Committees'!$A$1:$L$108,5,FALSE), "N/A")</f>
        <v>N/A</v>
      </c>
      <c r="AD121" t="str">
        <f>IFERROR(VLOOKUP(Data2023[[#This Row],[organisation_name]],'Division Study Year Committees'!$A$1:$L$108,6,FALSE), "N/A")</f>
        <v>N/A</v>
      </c>
      <c r="AE121">
        <f>SUM(Data2023[[#This Row],[Number of first year comittee members]:[Number of 4+ year comittee members]])</f>
        <v>0</v>
      </c>
      <c r="AF121">
        <f>COUNTIF('Committee2022'!D:D,Data2023[[#This Row],[organisation_name]])</f>
        <v>0</v>
      </c>
      <c r="AG121">
        <v>2023</v>
      </c>
    </row>
    <row r="122" spans="1:33" x14ac:dyDescent="0.3">
      <c r="A122" t="str">
        <f>General2023[[#This Row],[organisation_name]]</f>
        <v>The negotiation project</v>
      </c>
      <c r="B122" t="str">
        <f>IF(General2023[[#This Row],[sector]]= "",VLOOKUP(Data2023[[#This Row],[organisation_name]],'Response Rate sheet'!A:D,3,FALSE),General2023[[#This Row],[sector]])</f>
        <v>Social</v>
      </c>
      <c r="C122" t="str">
        <f>General2023[[#This Row],[organisation_type]]</f>
        <v>foundation</v>
      </c>
      <c r="D122">
        <f>IF(ISBLANK(General2023[[#This Row],[number_of_members]]),"N/A",VLOOKUP(A122,General2023[[organisation_name]:[number_of_international_committee_board_members_not_eea]],6,FALSE))</f>
        <v>25</v>
      </c>
      <c r="E122">
        <f>IF(ISBLANK(General2023[[#This Row],[number_of_committee_board_members]]),"N/A",VLOOKUP(A122,General2023!B:M,10,FALSE))</f>
        <v>0</v>
      </c>
      <c r="F122">
        <f>IFERROR(Data2023[[#This Row],[Number of members]]-Data2023[[#This Row],[Number of active members]], "N/A")</f>
        <v>25</v>
      </c>
      <c r="G122">
        <f>IFERROR(Data2023[[#This Row],[Number of active members]]/Data2023[[#This Row],[Number of members]], "N/A")</f>
        <v>0</v>
      </c>
      <c r="H122">
        <f>IFERROR(1-Data2023[[#This Row],[Percentage active members]],"N/A")</f>
        <v>1</v>
      </c>
      <c r="I122"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22">
        <f>IF(ISBLANK(General2023[[#This Row],[number_of_international_members_not_eea]]),"N/A",VLOOKUP(A122,General2023[[organisation_name]:[number_of_international_committee_board_members_not_eea]],9,FALSE))</f>
        <v>0</v>
      </c>
      <c r="K122">
        <f>IF(ISBLANK(General2023[[#This Row],[number_of_international_members_eea]]),"N/A",VLOOKUP(A122,General2023[[organisation_name]:[number_of_international_committee_board_members_not_eea]],8,FALSE))</f>
        <v>6</v>
      </c>
      <c r="L122">
        <f>IFERROR(IF(Data2023[[#This Row],[Number of members]]-Data2023[[#This Row],[Non-EEA Total]]-Data2023[[#This Row],[EEA total]]&lt;1,"N/A", Data2023[[#This Row],[Number of members]]-Data2023[[#This Row],[Non-EEA Total]]-Data2023[[#This Row],[EEA total]]),"N/A")</f>
        <v>19</v>
      </c>
      <c r="M122">
        <f>VLOOKUP(A122,General2023[[organisation_name]:[number_of_international_committee_board_members_not_eea]],12,FALSE)</f>
        <v>0</v>
      </c>
      <c r="N122">
        <f>VLOOKUP(A122,General2023[[organisation_name]:[number_of_international_committee_board_members_not_eea]],11,FALSE)</f>
        <v>0</v>
      </c>
      <c r="O122" t="str">
        <f>IFERROR(IF(Data2023[[#This Row],[Number of active members]]-Data2023[[#This Row],[Non-EEA Active ]]-Data2023[[#This Row],[EEA Active]]&lt;1,"N/A", Data2023[[#This Row],[Number of active members]]-Data2023[[#This Row],[Non-EEA Active ]]-Data2023[[#This Row],[EEA Active]]),"N/A")</f>
        <v>N/A</v>
      </c>
      <c r="P122" t="str">
        <f>IFERROR(Data2023[[#This Row],[Non-EEA Active ]]/Data2023[[#This Row],[Number of active members]],"N/A")</f>
        <v>N/A</v>
      </c>
      <c r="Q122">
        <f>IFERROR(Data2023[[#This Row],[EEA Active]]/Data2023[[#This Row],[EEA total]], "N/A")</f>
        <v>0</v>
      </c>
      <c r="R122" t="str">
        <f>IFERROR(Data2023[[#This Row],[Dutch Active]]/Data2023[[#This Row],[Dutch total]],"N/A")</f>
        <v>N/A</v>
      </c>
      <c r="S122" t="str">
        <f>IFERROR(IF(Data2023[[#This Row],[Number of members]]=Data2023[[#This Row],[Non-EEA Total]]+Data2023[[#This Row],[EEA total]]+Data2023[[#This Row],[Dutch total]],"T","F"),"F")</f>
        <v>T</v>
      </c>
      <c r="T122" t="str">
        <f>IFERROR(IF(Data2023[[#This Row],[Number of active members]]=Data2023[[#This Row],[Non-EEA Active ]]+Data2023[[#This Row],[EEA Active]]+Data2023[[#This Row],[Dutch Active]],"T","F"),"F")</f>
        <v>F</v>
      </c>
      <c r="U122" t="str">
        <f>IFERROR(IF(Data2023[[#This Row],[Number of members]]-Data2023[[#This Row],[Non-EEA Active ]]-Data2023[[#This Row],[EEA Active]]-Data2023[[#This Row],[Dutch Active]]=Data2023[[#This Row],[Number of  inactive members]],"T","F"),"F")</f>
        <v>F</v>
      </c>
      <c r="V122" t="str">
        <f>IF(Data2023[[#This Row],[EEA Active]]&lt;=Data2023[[#This Row],[EEA total]],"T","F")</f>
        <v>T</v>
      </c>
      <c r="W122" t="str">
        <f>IF(Data2023[[#This Row],[Dutch Active]]&lt;=Data2023[[#This Row],[Dutch total]],"T","F")</f>
        <v>F</v>
      </c>
      <c r="X122" t="str">
        <f>IF(Data2023[[#This Row],[Non-EEA Active ]]&lt;=Data2023[[#This Row],[Non-EEA Total]],"T","F")</f>
        <v>T</v>
      </c>
      <c r="Y12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2">
        <f>IFERROR(VLOOKUP(Data2023[[#This Row],[organisation_name]],'Division Study Year Committees'!$A$1:$L$108,2,FALSE),"N/A")</f>
        <v>0</v>
      </c>
      <c r="AA122">
        <f>IFERROR(VLOOKUP(Data2023[[#This Row],[organisation_name]],'Division Study Year Committees'!$A$1:$L$108,3,FALSE),"N/A")</f>
        <v>3</v>
      </c>
      <c r="AB122">
        <f>IFERROR(VLOOKUP(Data2023[[#This Row],[organisation_name]],'Division Study Year Committees'!$A$1:$L$108,4,FALSE),"N/A")</f>
        <v>2</v>
      </c>
      <c r="AC122">
        <f>IFERROR(VLOOKUP(Data2023[[#This Row],[organisation_name]],'Division Study Year Committees'!$A$1:$L$108,5,FALSE), "N/A")</f>
        <v>0</v>
      </c>
      <c r="AD122">
        <f>IFERROR(VLOOKUP(Data2023[[#This Row],[organisation_name]],'Division Study Year Committees'!$A$1:$L$108,6,FALSE), "N/A")</f>
        <v>0</v>
      </c>
      <c r="AE122">
        <f>SUM(Data2023[[#This Row],[Number of first year comittee members]:[Number of 4+ year comittee members]])</f>
        <v>5</v>
      </c>
      <c r="AF122">
        <f>COUNTIF('Committee2022'!D:D,Data2023[[#This Row],[organisation_name]])</f>
        <v>2</v>
      </c>
      <c r="AG122">
        <v>2023</v>
      </c>
    </row>
    <row r="123" spans="1:33" x14ac:dyDescent="0.3">
      <c r="A123" t="str">
        <f>General2023[[#This Row],[organisation_name]]</f>
        <v>Drone Team Twente</v>
      </c>
      <c r="B123" t="str">
        <f>IF(General2023[[#This Row],[sector]]= "",VLOOKUP(Data2023[[#This Row],[organisation_name]],'Response Rate sheet'!A:D,3,FALSE),General2023[[#This Row],[sector]])</f>
        <v>Other</v>
      </c>
      <c r="C123" t="str">
        <f>General2023[[#This Row],[organisation_type]]</f>
        <v>foundation</v>
      </c>
      <c r="D123">
        <f>IF(ISBLANK(General2023[[#This Row],[number_of_members]]),"N/A",VLOOKUP(A123,General2023[[organisation_name]:[number_of_international_committee_board_members_not_eea]],6,FALSE))</f>
        <v>16</v>
      </c>
      <c r="E123" t="str">
        <f>IF(ISBLANK(General2023[[#This Row],[number_of_committee_board_members]]),"N/A",VLOOKUP(A123,General2023!B:M,10,FALSE))</f>
        <v>N/A</v>
      </c>
      <c r="F123" t="str">
        <f>IFERROR(Data2023[[#This Row],[Number of members]]-Data2023[[#This Row],[Number of active members]], "N/A")</f>
        <v>N/A</v>
      </c>
      <c r="G123" t="str">
        <f>IFERROR(Data2023[[#This Row],[Number of active members]]/Data2023[[#This Row],[Number of members]], "N/A")</f>
        <v>N/A</v>
      </c>
      <c r="H123" t="str">
        <f>IFERROR(1-Data2023[[#This Row],[Percentage active members]],"N/A")</f>
        <v>N/A</v>
      </c>
      <c r="I123"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23" t="str">
        <f>IF(ISBLANK(General2023[[#This Row],[number_of_international_members_not_eea]]),"N/A",VLOOKUP(A123,General2023[[organisation_name]:[number_of_international_committee_board_members_not_eea]],9,FALSE))</f>
        <v>N/A</v>
      </c>
      <c r="K123">
        <f>IF(ISBLANK(General2023[[#This Row],[number_of_international_members_eea]]),"N/A",VLOOKUP(A123,General2023[[organisation_name]:[number_of_international_committee_board_members_not_eea]],8,FALSE))</f>
        <v>1</v>
      </c>
      <c r="L123" t="str">
        <f>IFERROR(IF(Data2023[[#This Row],[Number of members]]-Data2023[[#This Row],[Non-EEA Total]]-Data2023[[#This Row],[EEA total]]&lt;1,"N/A", Data2023[[#This Row],[Number of members]]-Data2023[[#This Row],[Non-EEA Total]]-Data2023[[#This Row],[EEA total]]),"N/A")</f>
        <v>N/A</v>
      </c>
      <c r="M123">
        <f>VLOOKUP(A123,General2023[[organisation_name]:[number_of_international_committee_board_members_not_eea]],12,FALSE)</f>
        <v>0</v>
      </c>
      <c r="N123">
        <f>VLOOKUP(A123,General2023[[organisation_name]:[number_of_international_committee_board_members_not_eea]],11,FALSE)</f>
        <v>0</v>
      </c>
      <c r="O123" t="str">
        <f>IFERROR(IF(Data2023[[#This Row],[Number of active members]]-Data2023[[#This Row],[Non-EEA Active ]]-Data2023[[#This Row],[EEA Active]]&lt;1,"N/A", Data2023[[#This Row],[Number of active members]]-Data2023[[#This Row],[Non-EEA Active ]]-Data2023[[#This Row],[EEA Active]]),"N/A")</f>
        <v>N/A</v>
      </c>
      <c r="P123" t="str">
        <f>IFERROR(Data2023[[#This Row],[Non-EEA Active ]]/Data2023[[#This Row],[Number of active members]],"N/A")</f>
        <v>N/A</v>
      </c>
      <c r="Q123">
        <f>IFERROR(Data2023[[#This Row],[EEA Active]]/Data2023[[#This Row],[EEA total]], "N/A")</f>
        <v>0</v>
      </c>
      <c r="R123" t="str">
        <f>IFERROR(Data2023[[#This Row],[Dutch Active]]/Data2023[[#This Row],[Dutch total]],"N/A")</f>
        <v>N/A</v>
      </c>
      <c r="S123" t="str">
        <f>IFERROR(IF(Data2023[[#This Row],[Number of members]]=Data2023[[#This Row],[Non-EEA Total]]+Data2023[[#This Row],[EEA total]]+Data2023[[#This Row],[Dutch total]],"T","F"),"F")</f>
        <v>F</v>
      </c>
      <c r="T123" t="str">
        <f>IFERROR(IF(Data2023[[#This Row],[Number of active members]]=Data2023[[#This Row],[Non-EEA Active ]]+Data2023[[#This Row],[EEA Active]]+Data2023[[#This Row],[Dutch Active]],"T","F"),"F")</f>
        <v>F</v>
      </c>
      <c r="U123" t="str">
        <f>IFERROR(IF(Data2023[[#This Row],[Number of members]]-Data2023[[#This Row],[Non-EEA Active ]]-Data2023[[#This Row],[EEA Active]]-Data2023[[#This Row],[Dutch Active]]=Data2023[[#This Row],[Number of  inactive members]],"T","F"),"F")</f>
        <v>F</v>
      </c>
      <c r="V123" t="str">
        <f>IF(Data2023[[#This Row],[EEA Active]]&lt;=Data2023[[#This Row],[EEA total]],"T","F")</f>
        <v>T</v>
      </c>
      <c r="W123" t="str">
        <f>IF(Data2023[[#This Row],[Dutch Active]]&lt;=Data2023[[#This Row],[Dutch total]],"T","F")</f>
        <v>T</v>
      </c>
      <c r="X123" t="str">
        <f>IF(Data2023[[#This Row],[Non-EEA Active ]]&lt;=Data2023[[#This Row],[Non-EEA Total]],"T","F")</f>
        <v>T</v>
      </c>
      <c r="Y12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3">
        <f>IFERROR(VLOOKUP(Data2023[[#This Row],[organisation_name]],'Division Study Year Committees'!$A$1:$L$108,2,FALSE),"N/A")</f>
        <v>2</v>
      </c>
      <c r="AA123">
        <f>IFERROR(VLOOKUP(Data2023[[#This Row],[organisation_name]],'Division Study Year Committees'!$A$1:$L$108,3,FALSE),"N/A")</f>
        <v>3</v>
      </c>
      <c r="AB123">
        <f>IFERROR(VLOOKUP(Data2023[[#This Row],[organisation_name]],'Division Study Year Committees'!$A$1:$L$108,4,FALSE),"N/A")</f>
        <v>3</v>
      </c>
      <c r="AC123">
        <f>IFERROR(VLOOKUP(Data2023[[#This Row],[organisation_name]],'Division Study Year Committees'!$A$1:$L$108,5,FALSE), "N/A")</f>
        <v>0</v>
      </c>
      <c r="AD123">
        <f>IFERROR(VLOOKUP(Data2023[[#This Row],[organisation_name]],'Division Study Year Committees'!$A$1:$L$108,6,FALSE), "N/A")</f>
        <v>2</v>
      </c>
      <c r="AE123">
        <f>SUM(Data2023[[#This Row],[Number of first year comittee members]:[Number of 4+ year comittee members]])</f>
        <v>10</v>
      </c>
      <c r="AF123">
        <f>COUNTIF('Committee2022'!D:D,Data2023[[#This Row],[organisation_name]])</f>
        <v>2</v>
      </c>
      <c r="AG123">
        <v>2023</v>
      </c>
    </row>
    <row r="124" spans="1:33" x14ac:dyDescent="0.3">
      <c r="A124" t="str">
        <f>General2023[[#This Row],[organisation_name]]</f>
        <v>Sustain</v>
      </c>
      <c r="B124" t="str">
        <f>IF(General2023[[#This Row],[sector]]= "",VLOOKUP(Data2023[[#This Row],[organisation_name]],'Response Rate sheet'!A:D,3,FALSE),General2023[[#This Row],[sector]])</f>
        <v>Other</v>
      </c>
      <c r="C124" t="str">
        <f>General2023[[#This Row],[organisation_type]]</f>
        <v>association</v>
      </c>
      <c r="D124" t="str">
        <f>IF(ISBLANK(General2023[[#This Row],[number_of_members]]),"N/A",VLOOKUP(A124,General2023[[organisation_name]:[number_of_international_committee_board_members_not_eea]],6,FALSE))</f>
        <v>N/A</v>
      </c>
      <c r="E124" t="str">
        <f>IF(ISBLANK(General2023[[#This Row],[number_of_committee_board_members]]),"N/A",VLOOKUP(A124,General2023!B:M,10,FALSE))</f>
        <v>N/A</v>
      </c>
      <c r="F124" t="str">
        <f>IFERROR(Data2023[[#This Row],[Number of members]]-Data2023[[#This Row],[Number of active members]], "N/A")</f>
        <v>N/A</v>
      </c>
      <c r="G124" t="str">
        <f>IFERROR(Data2023[[#This Row],[Number of active members]]/Data2023[[#This Row],[Number of members]], "N/A")</f>
        <v>N/A</v>
      </c>
      <c r="H124" t="str">
        <f>IFERROR(1-Data2023[[#This Row],[Percentage active members]],"N/A")</f>
        <v>N/A</v>
      </c>
      <c r="I124" t="str">
        <f>IF(Data2023[[#This Row],[Number of members]]=0,"N/A",IF(Data2023[[#This Row],[Number of members]]&lt;50," A. 1 - 50 ",IF(Data2023[[#This Row],[Number of members]]&lt;100, "B. 50 - 100", IF(Data2023[[#This Row],[Number of members]]&lt;400, "C. 100 - 400", IF(Data2023[[#This Row],[Number of members]]&lt;1000,"D. 400 - 1000", "E. 1000 +")))))</f>
        <v>E. 1000 +</v>
      </c>
      <c r="J124" t="str">
        <f>IF(ISBLANK(General2023[[#This Row],[number_of_international_members_not_eea]]),"N/A",VLOOKUP(A124,General2023[[organisation_name]:[number_of_international_committee_board_members_not_eea]],9,FALSE))</f>
        <v>N/A</v>
      </c>
      <c r="K124" t="str">
        <f>IF(ISBLANK(General2023[[#This Row],[number_of_international_members_eea]]),"N/A",VLOOKUP(A124,General2023[[organisation_name]:[number_of_international_committee_board_members_not_eea]],8,FALSE))</f>
        <v>N/A</v>
      </c>
      <c r="L124" t="str">
        <f>IFERROR(IF(Data2023[[#This Row],[Number of members]]-Data2023[[#This Row],[Non-EEA Total]]-Data2023[[#This Row],[EEA total]]&lt;1,"N/A", Data2023[[#This Row],[Number of members]]-Data2023[[#This Row],[Non-EEA Total]]-Data2023[[#This Row],[EEA total]]),"N/A")</f>
        <v>N/A</v>
      </c>
      <c r="M124">
        <f>VLOOKUP(A124,General2023[[organisation_name]:[number_of_international_committee_board_members_not_eea]],12,FALSE)</f>
        <v>0</v>
      </c>
      <c r="N124">
        <f>VLOOKUP(A124,General2023[[organisation_name]:[number_of_international_committee_board_members_not_eea]],11,FALSE)</f>
        <v>0</v>
      </c>
      <c r="O124" t="str">
        <f>IFERROR(IF(Data2023[[#This Row],[Number of active members]]-Data2023[[#This Row],[Non-EEA Active ]]-Data2023[[#This Row],[EEA Active]]&lt;1,"N/A", Data2023[[#This Row],[Number of active members]]-Data2023[[#This Row],[Non-EEA Active ]]-Data2023[[#This Row],[EEA Active]]),"N/A")</f>
        <v>N/A</v>
      </c>
      <c r="P124" t="str">
        <f>IFERROR(Data2023[[#This Row],[Non-EEA Active ]]/Data2023[[#This Row],[Number of active members]],"N/A")</f>
        <v>N/A</v>
      </c>
      <c r="Q124" t="str">
        <f>IFERROR(Data2023[[#This Row],[EEA Active]]/Data2023[[#This Row],[EEA total]], "N/A")</f>
        <v>N/A</v>
      </c>
      <c r="R124" t="str">
        <f>IFERROR(Data2023[[#This Row],[Dutch Active]]/Data2023[[#This Row],[Dutch total]],"N/A")</f>
        <v>N/A</v>
      </c>
      <c r="S124" t="str">
        <f>IFERROR(IF(Data2023[[#This Row],[Number of members]]=Data2023[[#This Row],[Non-EEA Total]]+Data2023[[#This Row],[EEA total]]+Data2023[[#This Row],[Dutch total]],"T","F"),"F")</f>
        <v>F</v>
      </c>
      <c r="T124" t="str">
        <f>IFERROR(IF(Data2023[[#This Row],[Number of active members]]=Data2023[[#This Row],[Non-EEA Active ]]+Data2023[[#This Row],[EEA Active]]+Data2023[[#This Row],[Dutch Active]],"T","F"),"F")</f>
        <v>F</v>
      </c>
      <c r="U124" t="str">
        <f>IFERROR(IF(Data2023[[#This Row],[Number of members]]-Data2023[[#This Row],[Non-EEA Active ]]-Data2023[[#This Row],[EEA Active]]-Data2023[[#This Row],[Dutch Active]]=Data2023[[#This Row],[Number of  inactive members]],"T","F"),"F")</f>
        <v>F</v>
      </c>
      <c r="V124" t="str">
        <f>IF(Data2023[[#This Row],[EEA Active]]&lt;=Data2023[[#This Row],[EEA total]],"T","F")</f>
        <v>T</v>
      </c>
      <c r="W124" t="str">
        <f>IF(Data2023[[#This Row],[Dutch Active]]&lt;=Data2023[[#This Row],[Dutch total]],"T","F")</f>
        <v>T</v>
      </c>
      <c r="X124" t="str">
        <f>IF(Data2023[[#This Row],[Non-EEA Active ]]&lt;=Data2023[[#This Row],[Non-EEA Total]],"T","F")</f>
        <v>T</v>
      </c>
      <c r="Y124"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4" t="str">
        <f>IFERROR(VLOOKUP(Data2023[[#This Row],[organisation_name]],'Division Study Year Committees'!$A$1:$L$108,2,FALSE),"N/A")</f>
        <v>N/A</v>
      </c>
      <c r="AA124" t="str">
        <f>IFERROR(VLOOKUP(Data2023[[#This Row],[organisation_name]],'Division Study Year Committees'!$A$1:$L$108,3,FALSE),"N/A")</f>
        <v>N/A</v>
      </c>
      <c r="AB124" t="str">
        <f>IFERROR(VLOOKUP(Data2023[[#This Row],[organisation_name]],'Division Study Year Committees'!$A$1:$L$108,4,FALSE),"N/A")</f>
        <v>N/A</v>
      </c>
      <c r="AC124" t="str">
        <f>IFERROR(VLOOKUP(Data2023[[#This Row],[organisation_name]],'Division Study Year Committees'!$A$1:$L$108,5,FALSE), "N/A")</f>
        <v>N/A</v>
      </c>
      <c r="AD124" t="str">
        <f>IFERROR(VLOOKUP(Data2023[[#This Row],[organisation_name]],'Division Study Year Committees'!$A$1:$L$108,6,FALSE), "N/A")</f>
        <v>N/A</v>
      </c>
      <c r="AE124">
        <f>SUM(Data2023[[#This Row],[Number of first year comittee members]:[Number of 4+ year comittee members]])</f>
        <v>0</v>
      </c>
      <c r="AF124">
        <f>COUNTIF('Committee2022'!D:D,Data2023[[#This Row],[organisation_name]])</f>
        <v>0</v>
      </c>
      <c r="AG124">
        <v>2023</v>
      </c>
    </row>
    <row r="125" spans="1:33" x14ac:dyDescent="0.3">
      <c r="A125" t="str">
        <f>General2023[[#This Row],[organisation_name]]</f>
        <v>Space Society</v>
      </c>
      <c r="B125" t="str">
        <f>IF(General2023[[#This Row],[sector]]= "",VLOOKUP(Data2023[[#This Row],[organisation_name]],'Response Rate sheet'!A:D,3,FALSE),General2023[[#This Row],[sector]])</f>
        <v>Other</v>
      </c>
      <c r="C125" t="str">
        <f>General2023[[#This Row],[organisation_type]]</f>
        <v>association</v>
      </c>
      <c r="D125">
        <f>IF(ISBLANK(General2023[[#This Row],[number_of_members]]),"N/A",VLOOKUP(A125,General2023[[organisation_name]:[number_of_international_committee_board_members_not_eea]],6,FALSE))</f>
        <v>38</v>
      </c>
      <c r="E125">
        <f>IF(ISBLANK(General2023[[#This Row],[number_of_committee_board_members]]),"N/A",VLOOKUP(A125,General2023!B:M,10,FALSE))</f>
        <v>5</v>
      </c>
      <c r="F125">
        <f>IFERROR(Data2023[[#This Row],[Number of members]]-Data2023[[#This Row],[Number of active members]], "N/A")</f>
        <v>33</v>
      </c>
      <c r="G125">
        <f>IFERROR(Data2023[[#This Row],[Number of active members]]/Data2023[[#This Row],[Number of members]], "N/A")</f>
        <v>0.13157894736842105</v>
      </c>
      <c r="H125">
        <f>IFERROR(1-Data2023[[#This Row],[Percentage active members]],"N/A")</f>
        <v>0.86842105263157898</v>
      </c>
      <c r="I125"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25">
        <f>IF(ISBLANK(General2023[[#This Row],[number_of_international_members_not_eea]]),"N/A",VLOOKUP(A125,General2023[[organisation_name]:[number_of_international_committee_board_members_not_eea]],9,FALSE))</f>
        <v>16</v>
      </c>
      <c r="K125">
        <f>IF(ISBLANK(General2023[[#This Row],[number_of_international_members_eea]]),"N/A",VLOOKUP(A125,General2023[[organisation_name]:[number_of_international_committee_board_members_not_eea]],8,FALSE))</f>
        <v>12</v>
      </c>
      <c r="L125">
        <f>IFERROR(IF(Data2023[[#This Row],[Number of members]]-Data2023[[#This Row],[Non-EEA Total]]-Data2023[[#This Row],[EEA total]]&lt;1,"N/A", Data2023[[#This Row],[Number of members]]-Data2023[[#This Row],[Non-EEA Total]]-Data2023[[#This Row],[EEA total]]),"N/A")</f>
        <v>10</v>
      </c>
      <c r="M125">
        <f>VLOOKUP(A125,General2023[[organisation_name]:[number_of_international_committee_board_members_not_eea]],12,FALSE)</f>
        <v>6</v>
      </c>
      <c r="N125">
        <f>VLOOKUP(A125,General2023[[organisation_name]:[number_of_international_committee_board_members_not_eea]],11,FALSE)</f>
        <v>4</v>
      </c>
      <c r="O125" t="str">
        <f>IFERROR(IF(Data2023[[#This Row],[Number of active members]]-Data2023[[#This Row],[Non-EEA Active ]]-Data2023[[#This Row],[EEA Active]]&lt;1,"N/A", Data2023[[#This Row],[Number of active members]]-Data2023[[#This Row],[Non-EEA Active ]]-Data2023[[#This Row],[EEA Active]]),"N/A")</f>
        <v>N/A</v>
      </c>
      <c r="P125">
        <f>IFERROR(Data2023[[#This Row],[Non-EEA Active ]]/Data2023[[#This Row],[Number of active members]],"N/A")</f>
        <v>1.2</v>
      </c>
      <c r="Q125">
        <f>IFERROR(Data2023[[#This Row],[EEA Active]]/Data2023[[#This Row],[EEA total]], "N/A")</f>
        <v>0.33333333333333331</v>
      </c>
      <c r="R125" t="str">
        <f>IFERROR(Data2023[[#This Row],[Dutch Active]]/Data2023[[#This Row],[Dutch total]],"N/A")</f>
        <v>N/A</v>
      </c>
      <c r="S125" t="str">
        <f>IFERROR(IF(Data2023[[#This Row],[Number of members]]=Data2023[[#This Row],[Non-EEA Total]]+Data2023[[#This Row],[EEA total]]+Data2023[[#This Row],[Dutch total]],"T","F"),"F")</f>
        <v>T</v>
      </c>
      <c r="T125" t="str">
        <f>IFERROR(IF(Data2023[[#This Row],[Number of active members]]=Data2023[[#This Row],[Non-EEA Active ]]+Data2023[[#This Row],[EEA Active]]+Data2023[[#This Row],[Dutch Active]],"T","F"),"F")</f>
        <v>F</v>
      </c>
      <c r="U125" t="str">
        <f>IFERROR(IF(Data2023[[#This Row],[Number of members]]-Data2023[[#This Row],[Non-EEA Active ]]-Data2023[[#This Row],[EEA Active]]-Data2023[[#This Row],[Dutch Active]]=Data2023[[#This Row],[Number of  inactive members]],"T","F"),"F")</f>
        <v>F</v>
      </c>
      <c r="V125" t="str">
        <f>IF(Data2023[[#This Row],[EEA Active]]&lt;=Data2023[[#This Row],[EEA total]],"T","F")</f>
        <v>T</v>
      </c>
      <c r="W125" t="str">
        <f>IF(Data2023[[#This Row],[Dutch Active]]&lt;=Data2023[[#This Row],[Dutch total]],"T","F")</f>
        <v>F</v>
      </c>
      <c r="X125" t="str">
        <f>IF(Data2023[[#This Row],[Non-EEA Active ]]&lt;=Data2023[[#This Row],[Non-EEA Total]],"T","F")</f>
        <v>T</v>
      </c>
      <c r="Y12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5" t="str">
        <f>IFERROR(VLOOKUP(Data2023[[#This Row],[organisation_name]],'Division Study Year Committees'!$A$1:$L$108,2,FALSE),"N/A")</f>
        <v>N/A</v>
      </c>
      <c r="AA125" t="str">
        <f>IFERROR(VLOOKUP(Data2023[[#This Row],[organisation_name]],'Division Study Year Committees'!$A$1:$L$108,3,FALSE),"N/A")</f>
        <v>N/A</v>
      </c>
      <c r="AB125" t="str">
        <f>IFERROR(VLOOKUP(Data2023[[#This Row],[organisation_name]],'Division Study Year Committees'!$A$1:$L$108,4,FALSE),"N/A")</f>
        <v>N/A</v>
      </c>
      <c r="AC125" t="str">
        <f>IFERROR(VLOOKUP(Data2023[[#This Row],[organisation_name]],'Division Study Year Committees'!$A$1:$L$108,5,FALSE), "N/A")</f>
        <v>N/A</v>
      </c>
      <c r="AD125" t="str">
        <f>IFERROR(VLOOKUP(Data2023[[#This Row],[organisation_name]],'Division Study Year Committees'!$A$1:$L$108,6,FALSE), "N/A")</f>
        <v>N/A</v>
      </c>
      <c r="AE125">
        <f>SUM(Data2023[[#This Row],[Number of first year comittee members]:[Number of 4+ year comittee members]])</f>
        <v>0</v>
      </c>
      <c r="AF125">
        <f>COUNTIF('Committee2022'!D:D,Data2023[[#This Row],[organisation_name]])</f>
        <v>4</v>
      </c>
      <c r="AG125">
        <v>2023</v>
      </c>
    </row>
    <row r="126" spans="1:33" x14ac:dyDescent="0.3">
      <c r="A126" t="str">
        <f>General2023[[#This Row],[organisation_name]]</f>
        <v>Drienerlose Stichting Torenhoog</v>
      </c>
      <c r="B126" t="str">
        <f>IF(General2023[[#This Row],[sector]]= "",VLOOKUP(Data2023[[#This Row],[organisation_name]],'Response Rate sheet'!A:D,3,FALSE),General2023[[#This Row],[sector]])</f>
        <v>other</v>
      </c>
      <c r="C126" t="str">
        <f>General2023[[#This Row],[organisation_type]]</f>
        <v>foundation</v>
      </c>
      <c r="D126" t="str">
        <f>IF(ISBLANK(General2023[[#This Row],[number_of_members]]),"N/A",VLOOKUP(A126,General2023[[organisation_name]:[number_of_international_committee_board_members_not_eea]],6,FALSE))</f>
        <v>N/A</v>
      </c>
      <c r="E126" t="str">
        <f>IF(ISBLANK(General2023[[#This Row],[number_of_committee_board_members]]),"N/A",VLOOKUP(A126,General2023!B:M,10,FALSE))</f>
        <v>N/A</v>
      </c>
      <c r="F126" t="str">
        <f>IFERROR(Data2023[[#This Row],[Number of members]]-Data2023[[#This Row],[Number of active members]], "N/A")</f>
        <v>N/A</v>
      </c>
      <c r="G126" t="str">
        <f>IFERROR(Data2023[[#This Row],[Number of active members]]/Data2023[[#This Row],[Number of members]], "N/A")</f>
        <v>N/A</v>
      </c>
      <c r="H126" t="str">
        <f>IFERROR(1-Data2023[[#This Row],[Percentage active members]],"N/A")</f>
        <v>N/A</v>
      </c>
      <c r="I126" t="str">
        <f>IF(Data2023[[#This Row],[Number of members]]=0,"N/A",IF(Data2023[[#This Row],[Number of members]]&lt;50," A. 1 - 50 ",IF(Data2023[[#This Row],[Number of members]]&lt;100, "B. 50 - 100", IF(Data2023[[#This Row],[Number of members]]&lt;400, "C. 100 - 400", IF(Data2023[[#This Row],[Number of members]]&lt;1000,"D. 400 - 1000", "E. 1000 +")))))</f>
        <v>E. 1000 +</v>
      </c>
      <c r="J126" t="str">
        <f>IF(ISBLANK(General2023[[#This Row],[number_of_international_members_not_eea]]),"N/A",VLOOKUP(A126,General2023[[organisation_name]:[number_of_international_committee_board_members_not_eea]],9,FALSE))</f>
        <v>N/A</v>
      </c>
      <c r="K126" t="str">
        <f>IF(ISBLANK(General2023[[#This Row],[number_of_international_members_eea]]),"N/A",VLOOKUP(A126,General2023[[organisation_name]:[number_of_international_committee_board_members_not_eea]],8,FALSE))</f>
        <v>N/A</v>
      </c>
      <c r="L126" t="str">
        <f>IFERROR(IF(Data2023[[#This Row],[Number of members]]-Data2023[[#This Row],[Non-EEA Total]]-Data2023[[#This Row],[EEA total]]&lt;1,"N/A", Data2023[[#This Row],[Number of members]]-Data2023[[#This Row],[Non-EEA Total]]-Data2023[[#This Row],[EEA total]]),"N/A")</f>
        <v>N/A</v>
      </c>
      <c r="M126">
        <f>VLOOKUP(A126,General2023[[organisation_name]:[number_of_international_committee_board_members_not_eea]],12,FALSE)</f>
        <v>0</v>
      </c>
      <c r="N126">
        <f>VLOOKUP(A126,General2023[[organisation_name]:[number_of_international_committee_board_members_not_eea]],11,FALSE)</f>
        <v>0</v>
      </c>
      <c r="O126" t="str">
        <f>IFERROR(IF(Data2023[[#This Row],[Number of active members]]-Data2023[[#This Row],[Non-EEA Active ]]-Data2023[[#This Row],[EEA Active]]&lt;1,"N/A", Data2023[[#This Row],[Number of active members]]-Data2023[[#This Row],[Non-EEA Active ]]-Data2023[[#This Row],[EEA Active]]),"N/A")</f>
        <v>N/A</v>
      </c>
      <c r="P126" t="str">
        <f>IFERROR(Data2023[[#This Row],[Non-EEA Active ]]/Data2023[[#This Row],[Number of active members]],"N/A")</f>
        <v>N/A</v>
      </c>
      <c r="Q126" t="str">
        <f>IFERROR(Data2023[[#This Row],[EEA Active]]/Data2023[[#This Row],[EEA total]], "N/A")</f>
        <v>N/A</v>
      </c>
      <c r="R126" t="str">
        <f>IFERROR(Data2023[[#This Row],[Dutch Active]]/Data2023[[#This Row],[Dutch total]],"N/A")</f>
        <v>N/A</v>
      </c>
      <c r="S126" t="str">
        <f>IFERROR(IF(Data2023[[#This Row],[Number of members]]=Data2023[[#This Row],[Non-EEA Total]]+Data2023[[#This Row],[EEA total]]+Data2023[[#This Row],[Dutch total]],"T","F"),"F")</f>
        <v>F</v>
      </c>
      <c r="T126" t="str">
        <f>IFERROR(IF(Data2023[[#This Row],[Number of active members]]=Data2023[[#This Row],[Non-EEA Active ]]+Data2023[[#This Row],[EEA Active]]+Data2023[[#This Row],[Dutch Active]],"T","F"),"F")</f>
        <v>F</v>
      </c>
      <c r="U126" t="str">
        <f>IFERROR(IF(Data2023[[#This Row],[Number of members]]-Data2023[[#This Row],[Non-EEA Active ]]-Data2023[[#This Row],[EEA Active]]-Data2023[[#This Row],[Dutch Active]]=Data2023[[#This Row],[Number of  inactive members]],"T","F"),"F")</f>
        <v>F</v>
      </c>
      <c r="V126" t="str">
        <f>IF(Data2023[[#This Row],[EEA Active]]&lt;=Data2023[[#This Row],[EEA total]],"T","F")</f>
        <v>T</v>
      </c>
      <c r="W126" t="str">
        <f>IF(Data2023[[#This Row],[Dutch Active]]&lt;=Data2023[[#This Row],[Dutch total]],"T","F")</f>
        <v>T</v>
      </c>
      <c r="X126" t="str">
        <f>IF(Data2023[[#This Row],[Non-EEA Active ]]&lt;=Data2023[[#This Row],[Non-EEA Total]],"T","F")</f>
        <v>T</v>
      </c>
      <c r="Y12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6" t="str">
        <f>IFERROR(VLOOKUP(Data2023[[#This Row],[organisation_name]],'Division Study Year Committees'!$A$1:$L$108,2,FALSE),"N/A")</f>
        <v>N/A</v>
      </c>
      <c r="AA126" t="str">
        <f>IFERROR(VLOOKUP(Data2023[[#This Row],[organisation_name]],'Division Study Year Committees'!$A$1:$L$108,3,FALSE),"N/A")</f>
        <v>N/A</v>
      </c>
      <c r="AB126" t="str">
        <f>IFERROR(VLOOKUP(Data2023[[#This Row],[organisation_name]],'Division Study Year Committees'!$A$1:$L$108,4,FALSE),"N/A")</f>
        <v>N/A</v>
      </c>
      <c r="AC126" t="str">
        <f>IFERROR(VLOOKUP(Data2023[[#This Row],[organisation_name]],'Division Study Year Committees'!$A$1:$L$108,5,FALSE), "N/A")</f>
        <v>N/A</v>
      </c>
      <c r="AD126" t="str">
        <f>IFERROR(VLOOKUP(Data2023[[#This Row],[organisation_name]],'Division Study Year Committees'!$A$1:$L$108,6,FALSE), "N/A")</f>
        <v>N/A</v>
      </c>
      <c r="AE126">
        <f>SUM(Data2023[[#This Row],[Number of first year comittee members]:[Number of 4+ year comittee members]])</f>
        <v>0</v>
      </c>
      <c r="AF126">
        <f>COUNTIF('Committee2022'!D:D,Data2023[[#This Row],[organisation_name]])</f>
        <v>0</v>
      </c>
      <c r="AG126">
        <v>2023</v>
      </c>
    </row>
    <row r="127" spans="1:33" x14ac:dyDescent="0.3">
      <c r="A127" t="str">
        <f>General2023[[#This Row],[organisation_name]]</f>
        <v>Vereniging Overleg Studieverenigingen</v>
      </c>
      <c r="B127" t="str">
        <f>IF(General2023[[#This Row],[sector]]= "",VLOOKUP(Data2023[[#This Row],[organisation_name]],'Response Rate sheet'!A:D,3,FALSE),General2023[[#This Row],[sector]])</f>
        <v>Study</v>
      </c>
      <c r="C127" t="str">
        <f>General2023[[#This Row],[organisation_type]]</f>
        <v>association</v>
      </c>
      <c r="D127">
        <f>IF(ISBLANK(General2023[[#This Row],[number_of_members]]),"N/A",VLOOKUP(A127,General2023[[organisation_name]:[number_of_international_committee_board_members_not_eea]],6,FALSE))</f>
        <v>20</v>
      </c>
      <c r="E127">
        <f>IF(ISBLANK(General2023[[#This Row],[number_of_committee_board_members]]),"N/A",VLOOKUP(A127,General2023!B:M,10,FALSE))</f>
        <v>0</v>
      </c>
      <c r="F127">
        <f>IFERROR(Data2023[[#This Row],[Number of members]]-Data2023[[#This Row],[Number of active members]], "N/A")</f>
        <v>20</v>
      </c>
      <c r="G127">
        <f>IFERROR(Data2023[[#This Row],[Number of active members]]/Data2023[[#This Row],[Number of members]], "N/A")</f>
        <v>0</v>
      </c>
      <c r="H127">
        <f>IFERROR(1-Data2023[[#This Row],[Percentage active members]],"N/A")</f>
        <v>1</v>
      </c>
      <c r="I127"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27">
        <f>IF(ISBLANK(General2023[[#This Row],[number_of_international_members_not_eea]]),"N/A",VLOOKUP(A127,General2023[[organisation_name]:[number_of_international_committee_board_members_not_eea]],9,FALSE))</f>
        <v>20</v>
      </c>
      <c r="K127">
        <f>IF(ISBLANK(General2023[[#This Row],[number_of_international_members_eea]]),"N/A",VLOOKUP(A127,General2023[[organisation_name]:[number_of_international_committee_board_members_not_eea]],8,FALSE))</f>
        <v>0</v>
      </c>
      <c r="L127" t="str">
        <f>IFERROR(IF(Data2023[[#This Row],[Number of members]]-Data2023[[#This Row],[Non-EEA Total]]-Data2023[[#This Row],[EEA total]]&lt;1,"N/A", Data2023[[#This Row],[Number of members]]-Data2023[[#This Row],[Non-EEA Total]]-Data2023[[#This Row],[EEA total]]),"N/A")</f>
        <v>N/A</v>
      </c>
      <c r="M127">
        <f>VLOOKUP(A127,General2023[[organisation_name]:[number_of_international_committee_board_members_not_eea]],12,FALSE)</f>
        <v>0</v>
      </c>
      <c r="N127">
        <f>VLOOKUP(A127,General2023[[organisation_name]:[number_of_international_committee_board_members_not_eea]],11,FALSE)</f>
        <v>20</v>
      </c>
      <c r="O127" t="str">
        <f>IFERROR(IF(Data2023[[#This Row],[Number of active members]]-Data2023[[#This Row],[Non-EEA Active ]]-Data2023[[#This Row],[EEA Active]]&lt;1,"N/A", Data2023[[#This Row],[Number of active members]]-Data2023[[#This Row],[Non-EEA Active ]]-Data2023[[#This Row],[EEA Active]]),"N/A")</f>
        <v>N/A</v>
      </c>
      <c r="P127" t="str">
        <f>IFERROR(Data2023[[#This Row],[Non-EEA Active ]]/Data2023[[#This Row],[Number of active members]],"N/A")</f>
        <v>N/A</v>
      </c>
      <c r="Q127" t="str">
        <f>IFERROR(Data2023[[#This Row],[EEA Active]]/Data2023[[#This Row],[EEA total]], "N/A")</f>
        <v>N/A</v>
      </c>
      <c r="R127" t="str">
        <f>IFERROR(Data2023[[#This Row],[Dutch Active]]/Data2023[[#This Row],[Dutch total]],"N/A")</f>
        <v>N/A</v>
      </c>
      <c r="S127" t="str">
        <f>IFERROR(IF(Data2023[[#This Row],[Number of members]]=Data2023[[#This Row],[Non-EEA Total]]+Data2023[[#This Row],[EEA total]]+Data2023[[#This Row],[Dutch total]],"T","F"),"F")</f>
        <v>F</v>
      </c>
      <c r="T127" t="str">
        <f>IFERROR(IF(Data2023[[#This Row],[Number of active members]]=Data2023[[#This Row],[Non-EEA Active ]]+Data2023[[#This Row],[EEA Active]]+Data2023[[#This Row],[Dutch Active]],"T","F"),"F")</f>
        <v>F</v>
      </c>
      <c r="U127" t="str">
        <f>IFERROR(IF(Data2023[[#This Row],[Number of members]]-Data2023[[#This Row],[Non-EEA Active ]]-Data2023[[#This Row],[EEA Active]]-Data2023[[#This Row],[Dutch Active]]=Data2023[[#This Row],[Number of  inactive members]],"T","F"),"F")</f>
        <v>F</v>
      </c>
      <c r="V127" t="str">
        <f>IF(Data2023[[#This Row],[EEA Active]]&lt;=Data2023[[#This Row],[EEA total]],"T","F")</f>
        <v>F</v>
      </c>
      <c r="W127" t="str">
        <f>IF(Data2023[[#This Row],[Dutch Active]]&lt;=Data2023[[#This Row],[Dutch total]],"T","F")</f>
        <v>T</v>
      </c>
      <c r="X127" t="str">
        <f>IF(Data2023[[#This Row],[Non-EEA Active ]]&lt;=Data2023[[#This Row],[Non-EEA Total]],"T","F")</f>
        <v>T</v>
      </c>
      <c r="Y12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7">
        <f>IFERROR(VLOOKUP(Data2023[[#This Row],[organisation_name]],'Division Study Year Committees'!$A$1:$L$108,2,FALSE),"N/A")</f>
        <v>0</v>
      </c>
      <c r="AA127">
        <f>IFERROR(VLOOKUP(Data2023[[#This Row],[organisation_name]],'Division Study Year Committees'!$A$1:$L$108,3,FALSE),"N/A")</f>
        <v>0</v>
      </c>
      <c r="AB127">
        <f>IFERROR(VLOOKUP(Data2023[[#This Row],[organisation_name]],'Division Study Year Committees'!$A$1:$L$108,4,FALSE),"N/A")</f>
        <v>14</v>
      </c>
      <c r="AC127">
        <f>IFERROR(VLOOKUP(Data2023[[#This Row],[organisation_name]],'Division Study Year Committees'!$A$1:$L$108,5,FALSE), "N/A")</f>
        <v>6</v>
      </c>
      <c r="AD127">
        <f>IFERROR(VLOOKUP(Data2023[[#This Row],[organisation_name]],'Division Study Year Committees'!$A$1:$L$108,6,FALSE), "N/A")</f>
        <v>0</v>
      </c>
      <c r="AE127">
        <f>SUM(Data2023[[#This Row],[Number of first year comittee members]:[Number of 4+ year comittee members]])</f>
        <v>20</v>
      </c>
      <c r="AF127">
        <f>COUNTIF('Committee2022'!D:D,Data2023[[#This Row],[organisation_name]])</f>
        <v>7</v>
      </c>
      <c r="AG127">
        <v>2023</v>
      </c>
    </row>
    <row r="128" spans="1:33" x14ac:dyDescent="0.3">
      <c r="A128" t="str">
        <f>General2023[[#This Row],[organisation_name]]</f>
        <v>IrNUT</v>
      </c>
      <c r="B128" t="str">
        <f>IF(General2023[[#This Row],[sector]]= "",VLOOKUP(Data2023[[#This Row],[organisation_name]],'Response Rate sheet'!A:D,3,FALSE),General2023[[#This Row],[sector]])</f>
        <v>other</v>
      </c>
      <c r="C128" t="str">
        <f>General2023[[#This Row],[organisation_type]]</f>
        <v>association</v>
      </c>
      <c r="D128" t="str">
        <f>IF(ISBLANK(General2023[[#This Row],[number_of_members]]),"N/A",VLOOKUP(A128,General2023[[organisation_name]:[number_of_international_committee_board_members_not_eea]],6,FALSE))</f>
        <v>N/A</v>
      </c>
      <c r="E128" t="str">
        <f>IF(ISBLANK(General2023[[#This Row],[number_of_committee_board_members]]),"N/A",VLOOKUP(A128,General2023!B:M,10,FALSE))</f>
        <v>N/A</v>
      </c>
      <c r="F128" t="str">
        <f>IFERROR(Data2023[[#This Row],[Number of members]]-Data2023[[#This Row],[Number of active members]], "N/A")</f>
        <v>N/A</v>
      </c>
      <c r="G128" t="str">
        <f>IFERROR(Data2023[[#This Row],[Number of active members]]/Data2023[[#This Row],[Number of members]], "N/A")</f>
        <v>N/A</v>
      </c>
      <c r="H128" t="str">
        <f>IFERROR(1-Data2023[[#This Row],[Percentage active members]],"N/A")</f>
        <v>N/A</v>
      </c>
      <c r="I128" t="str">
        <f>IF(Data2023[[#This Row],[Number of members]]=0,"N/A",IF(Data2023[[#This Row],[Number of members]]&lt;50," A. 1 - 50 ",IF(Data2023[[#This Row],[Number of members]]&lt;100, "B. 50 - 100", IF(Data2023[[#This Row],[Number of members]]&lt;400, "C. 100 - 400", IF(Data2023[[#This Row],[Number of members]]&lt;1000,"D. 400 - 1000", "E. 1000 +")))))</f>
        <v>E. 1000 +</v>
      </c>
      <c r="J128" t="str">
        <f>IF(ISBLANK(General2023[[#This Row],[number_of_international_members_not_eea]]),"N/A",VLOOKUP(A128,General2023[[organisation_name]:[number_of_international_committee_board_members_not_eea]],9,FALSE))</f>
        <v>N/A</v>
      </c>
      <c r="K128" t="str">
        <f>IF(ISBLANK(General2023[[#This Row],[number_of_international_members_eea]]),"N/A",VLOOKUP(A128,General2023[[organisation_name]:[number_of_international_committee_board_members_not_eea]],8,FALSE))</f>
        <v>N/A</v>
      </c>
      <c r="L128" t="str">
        <f>IFERROR(IF(Data2023[[#This Row],[Number of members]]-Data2023[[#This Row],[Non-EEA Total]]-Data2023[[#This Row],[EEA total]]&lt;1,"N/A", Data2023[[#This Row],[Number of members]]-Data2023[[#This Row],[Non-EEA Total]]-Data2023[[#This Row],[EEA total]]),"N/A")</f>
        <v>N/A</v>
      </c>
      <c r="M128">
        <f>VLOOKUP(A128,General2023[[organisation_name]:[number_of_international_committee_board_members_not_eea]],12,FALSE)</f>
        <v>0</v>
      </c>
      <c r="N128">
        <f>VLOOKUP(A128,General2023[[organisation_name]:[number_of_international_committee_board_members_not_eea]],11,FALSE)</f>
        <v>0</v>
      </c>
      <c r="O128" t="str">
        <f>IFERROR(IF(Data2023[[#This Row],[Number of active members]]-Data2023[[#This Row],[Non-EEA Active ]]-Data2023[[#This Row],[EEA Active]]&lt;1,"N/A", Data2023[[#This Row],[Number of active members]]-Data2023[[#This Row],[Non-EEA Active ]]-Data2023[[#This Row],[EEA Active]]),"N/A")</f>
        <v>N/A</v>
      </c>
      <c r="P128" t="str">
        <f>IFERROR(Data2023[[#This Row],[Non-EEA Active ]]/Data2023[[#This Row],[Number of active members]],"N/A")</f>
        <v>N/A</v>
      </c>
      <c r="Q128" t="str">
        <f>IFERROR(Data2023[[#This Row],[EEA Active]]/Data2023[[#This Row],[EEA total]], "N/A")</f>
        <v>N/A</v>
      </c>
      <c r="R128" t="str">
        <f>IFERROR(Data2023[[#This Row],[Dutch Active]]/Data2023[[#This Row],[Dutch total]],"N/A")</f>
        <v>N/A</v>
      </c>
      <c r="S128" t="str">
        <f>IFERROR(IF(Data2023[[#This Row],[Number of members]]=Data2023[[#This Row],[Non-EEA Total]]+Data2023[[#This Row],[EEA total]]+Data2023[[#This Row],[Dutch total]],"T","F"),"F")</f>
        <v>F</v>
      </c>
      <c r="T128" t="str">
        <f>IFERROR(IF(Data2023[[#This Row],[Number of active members]]=Data2023[[#This Row],[Non-EEA Active ]]+Data2023[[#This Row],[EEA Active]]+Data2023[[#This Row],[Dutch Active]],"T","F"),"F")</f>
        <v>F</v>
      </c>
      <c r="U128" t="str">
        <f>IFERROR(IF(Data2023[[#This Row],[Number of members]]-Data2023[[#This Row],[Non-EEA Active ]]-Data2023[[#This Row],[EEA Active]]-Data2023[[#This Row],[Dutch Active]]=Data2023[[#This Row],[Number of  inactive members]],"T","F"),"F")</f>
        <v>F</v>
      </c>
      <c r="V128" t="str">
        <f>IF(Data2023[[#This Row],[EEA Active]]&lt;=Data2023[[#This Row],[EEA total]],"T","F")</f>
        <v>T</v>
      </c>
      <c r="W128" t="str">
        <f>IF(Data2023[[#This Row],[Dutch Active]]&lt;=Data2023[[#This Row],[Dutch total]],"T","F")</f>
        <v>T</v>
      </c>
      <c r="X128" t="str">
        <f>IF(Data2023[[#This Row],[Non-EEA Active ]]&lt;=Data2023[[#This Row],[Non-EEA Total]],"T","F")</f>
        <v>T</v>
      </c>
      <c r="Y12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8" t="str">
        <f>IFERROR(VLOOKUP(Data2023[[#This Row],[organisation_name]],'Division Study Year Committees'!$A$1:$L$108,2,FALSE),"N/A")</f>
        <v>N/A</v>
      </c>
      <c r="AA128" t="str">
        <f>IFERROR(VLOOKUP(Data2023[[#This Row],[organisation_name]],'Division Study Year Committees'!$A$1:$L$108,3,FALSE),"N/A")</f>
        <v>N/A</v>
      </c>
      <c r="AB128" t="str">
        <f>IFERROR(VLOOKUP(Data2023[[#This Row],[organisation_name]],'Division Study Year Committees'!$A$1:$L$108,4,FALSE),"N/A")</f>
        <v>N/A</v>
      </c>
      <c r="AC128" t="str">
        <f>IFERROR(VLOOKUP(Data2023[[#This Row],[organisation_name]],'Division Study Year Committees'!$A$1:$L$108,5,FALSE), "N/A")</f>
        <v>N/A</v>
      </c>
      <c r="AD128" t="str">
        <f>IFERROR(VLOOKUP(Data2023[[#This Row],[organisation_name]],'Division Study Year Committees'!$A$1:$L$108,6,FALSE), "N/A")</f>
        <v>N/A</v>
      </c>
      <c r="AE128">
        <f>SUM(Data2023[[#This Row],[Number of first year comittee members]:[Number of 4+ year comittee members]])</f>
        <v>0</v>
      </c>
      <c r="AF128">
        <f>COUNTIF('Committee2022'!D:D,Data2023[[#This Row],[organisation_name]])</f>
        <v>0</v>
      </c>
      <c r="AG128">
        <v>2023</v>
      </c>
    </row>
    <row r="129" spans="1:33" x14ac:dyDescent="0.3">
      <c r="A129" t="str">
        <f>General2023[[#This Row],[organisation_name]]</f>
        <v>Stichting Societeit Antigoon</v>
      </c>
      <c r="B129" t="str">
        <f>IF(General2023[[#This Row],[sector]]= "",VLOOKUP(Data2023[[#This Row],[organisation_name]],'Response Rate sheet'!A:D,3,FALSE),General2023[[#This Row],[sector]])</f>
        <v>Social</v>
      </c>
      <c r="C129" t="str">
        <f>General2023[[#This Row],[organisation_type]]</f>
        <v>foundation</v>
      </c>
      <c r="D129">
        <f>IF(ISBLANK(General2023[[#This Row],[number_of_members]]),"N/A",VLOOKUP(A129,General2023[[organisation_name]:[number_of_international_committee_board_members_not_eea]],6,FALSE))</f>
        <v>467</v>
      </c>
      <c r="E129" t="str">
        <f>IF(ISBLANK(General2023[[#This Row],[number_of_committee_board_members]]),"N/A",VLOOKUP(A129,General2023!B:M,10,FALSE))</f>
        <v>N/A</v>
      </c>
      <c r="F129" t="str">
        <f>IFERROR(Data2023[[#This Row],[Number of members]]-Data2023[[#This Row],[Number of active members]], "N/A")</f>
        <v>N/A</v>
      </c>
      <c r="G129" t="str">
        <f>IFERROR(Data2023[[#This Row],[Number of active members]]/Data2023[[#This Row],[Number of members]], "N/A")</f>
        <v>N/A</v>
      </c>
      <c r="H129" t="str">
        <f>IFERROR(1-Data2023[[#This Row],[Percentage active members]],"N/A")</f>
        <v>N/A</v>
      </c>
      <c r="I129" t="str">
        <f>IF(Data2023[[#This Row],[Number of members]]=0,"N/A",IF(Data2023[[#This Row],[Number of members]]&lt;50," A. 1 - 50 ",IF(Data2023[[#This Row],[Number of members]]&lt;100, "B. 50 - 100", IF(Data2023[[#This Row],[Number of members]]&lt;400, "C. 100 - 400", IF(Data2023[[#This Row],[Number of members]]&lt;1000,"D. 400 - 1000", "E. 1000 +")))))</f>
        <v>D. 400 - 1000</v>
      </c>
      <c r="J129" t="str">
        <f>IF(ISBLANK(General2023[[#This Row],[number_of_international_members_not_eea]]),"N/A",VLOOKUP(A129,General2023[[organisation_name]:[number_of_international_committee_board_members_not_eea]],9,FALSE))</f>
        <v>N/A</v>
      </c>
      <c r="K129">
        <f>IF(ISBLANK(General2023[[#This Row],[number_of_international_members_eea]]),"N/A",VLOOKUP(A129,General2023[[organisation_name]:[number_of_international_committee_board_members_not_eea]],8,FALSE))</f>
        <v>0</v>
      </c>
      <c r="L129" t="str">
        <f>IFERROR(IF(Data2023[[#This Row],[Number of members]]-Data2023[[#This Row],[Non-EEA Total]]-Data2023[[#This Row],[EEA total]]&lt;1,"N/A", Data2023[[#This Row],[Number of members]]-Data2023[[#This Row],[Non-EEA Total]]-Data2023[[#This Row],[EEA total]]),"N/A")</f>
        <v>N/A</v>
      </c>
      <c r="M129">
        <f>VLOOKUP(A129,General2023[[organisation_name]:[number_of_international_committee_board_members_not_eea]],12,FALSE)</f>
        <v>0</v>
      </c>
      <c r="N129">
        <f>VLOOKUP(A129,General2023[[organisation_name]:[number_of_international_committee_board_members_not_eea]],11,FALSE)</f>
        <v>0</v>
      </c>
      <c r="O129" t="str">
        <f>IFERROR(IF(Data2023[[#This Row],[Number of active members]]-Data2023[[#This Row],[Non-EEA Active ]]-Data2023[[#This Row],[EEA Active]]&lt;1,"N/A", Data2023[[#This Row],[Number of active members]]-Data2023[[#This Row],[Non-EEA Active ]]-Data2023[[#This Row],[EEA Active]]),"N/A")</f>
        <v>N/A</v>
      </c>
      <c r="P129" t="str">
        <f>IFERROR(Data2023[[#This Row],[Non-EEA Active ]]/Data2023[[#This Row],[Number of active members]],"N/A")</f>
        <v>N/A</v>
      </c>
      <c r="Q129" t="str">
        <f>IFERROR(Data2023[[#This Row],[EEA Active]]/Data2023[[#This Row],[EEA total]], "N/A")</f>
        <v>N/A</v>
      </c>
      <c r="R129" t="str">
        <f>IFERROR(Data2023[[#This Row],[Dutch Active]]/Data2023[[#This Row],[Dutch total]],"N/A")</f>
        <v>N/A</v>
      </c>
      <c r="S129" t="str">
        <f>IFERROR(IF(Data2023[[#This Row],[Number of members]]=Data2023[[#This Row],[Non-EEA Total]]+Data2023[[#This Row],[EEA total]]+Data2023[[#This Row],[Dutch total]],"T","F"),"F")</f>
        <v>F</v>
      </c>
      <c r="T129" t="str">
        <f>IFERROR(IF(Data2023[[#This Row],[Number of active members]]=Data2023[[#This Row],[Non-EEA Active ]]+Data2023[[#This Row],[EEA Active]]+Data2023[[#This Row],[Dutch Active]],"T","F"),"F")</f>
        <v>F</v>
      </c>
      <c r="U129" t="str">
        <f>IFERROR(IF(Data2023[[#This Row],[Number of members]]-Data2023[[#This Row],[Non-EEA Active ]]-Data2023[[#This Row],[EEA Active]]-Data2023[[#This Row],[Dutch Active]]=Data2023[[#This Row],[Number of  inactive members]],"T","F"),"F")</f>
        <v>F</v>
      </c>
      <c r="V129" t="str">
        <f>IF(Data2023[[#This Row],[EEA Active]]&lt;=Data2023[[#This Row],[EEA total]],"T","F")</f>
        <v>T</v>
      </c>
      <c r="W129" t="str">
        <f>IF(Data2023[[#This Row],[Dutch Active]]&lt;=Data2023[[#This Row],[Dutch total]],"T","F")</f>
        <v>T</v>
      </c>
      <c r="X129" t="str">
        <f>IF(Data2023[[#This Row],[Non-EEA Active ]]&lt;=Data2023[[#This Row],[Non-EEA Total]],"T","F")</f>
        <v>T</v>
      </c>
      <c r="Y129"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29" t="str">
        <f>IFERROR(VLOOKUP(Data2023[[#This Row],[organisation_name]],'Division Study Year Committees'!$A$1:$L$108,2,FALSE),"N/A")</f>
        <v>N/A</v>
      </c>
      <c r="AA129" t="str">
        <f>IFERROR(VLOOKUP(Data2023[[#This Row],[organisation_name]],'Division Study Year Committees'!$A$1:$L$108,3,FALSE),"N/A")</f>
        <v>N/A</v>
      </c>
      <c r="AB129" t="str">
        <f>IFERROR(VLOOKUP(Data2023[[#This Row],[organisation_name]],'Division Study Year Committees'!$A$1:$L$108,4,FALSE),"N/A")</f>
        <v>N/A</v>
      </c>
      <c r="AC129" t="str">
        <f>IFERROR(VLOOKUP(Data2023[[#This Row],[organisation_name]],'Division Study Year Committees'!$A$1:$L$108,5,FALSE), "N/A")</f>
        <v>N/A</v>
      </c>
      <c r="AD129" t="str">
        <f>IFERROR(VLOOKUP(Data2023[[#This Row],[organisation_name]],'Division Study Year Committees'!$A$1:$L$108,6,FALSE), "N/A")</f>
        <v>N/A</v>
      </c>
      <c r="AE129">
        <f>SUM(Data2023[[#This Row],[Number of first year comittee members]:[Number of 4+ year comittee members]])</f>
        <v>0</v>
      </c>
      <c r="AF129">
        <f>COUNTIF('Committee2022'!D:D,Data2023[[#This Row],[organisation_name]])</f>
        <v>0</v>
      </c>
      <c r="AG129">
        <v>2023</v>
      </c>
    </row>
    <row r="130" spans="1:33" x14ac:dyDescent="0.3">
      <c r="A130" t="str">
        <f>General2023[[#This Row],[organisation_name]]</f>
        <v>Stichting Societeit TRAM</v>
      </c>
      <c r="B130" t="str">
        <f>IF(General2023[[#This Row],[sector]]= "",VLOOKUP(Data2023[[#This Row],[organisation_name]],'Response Rate sheet'!A:D,3,FALSE),General2023[[#This Row],[sector]])</f>
        <v>Culture</v>
      </c>
      <c r="C130" t="str">
        <f>General2023[[#This Row],[organisation_type]]</f>
        <v>foundation</v>
      </c>
      <c r="D130">
        <f>IF(ISBLANK(General2023[[#This Row],[number_of_members]]),"N/A",VLOOKUP(A130,General2023[[organisation_name]:[number_of_international_committee_board_members_not_eea]],6,FALSE))</f>
        <v>0</v>
      </c>
      <c r="E130" t="str">
        <f>IF(ISBLANK(General2023[[#This Row],[number_of_committee_board_members]]),"N/A",VLOOKUP(A130,General2023!B:M,10,FALSE))</f>
        <v>N/A</v>
      </c>
      <c r="F130" t="str">
        <f>IFERROR(Data2023[[#This Row],[Number of members]]-Data2023[[#This Row],[Number of active members]], "N/A")</f>
        <v>N/A</v>
      </c>
      <c r="G130" t="str">
        <f>IFERROR(Data2023[[#This Row],[Number of active members]]/Data2023[[#This Row],[Number of members]], "N/A")</f>
        <v>N/A</v>
      </c>
      <c r="H130" t="str">
        <f>IFERROR(1-Data2023[[#This Row],[Percentage active members]],"N/A")</f>
        <v>N/A</v>
      </c>
      <c r="I130" t="str">
        <f>IF(Data2023[[#This Row],[Number of members]]=0,"N/A",IF(Data2023[[#This Row],[Number of members]]&lt;50," A. 1 - 50 ",IF(Data2023[[#This Row],[Number of members]]&lt;100, "B. 50 - 100", IF(Data2023[[#This Row],[Number of members]]&lt;400, "C. 100 - 400", IF(Data2023[[#This Row],[Number of members]]&lt;1000,"D. 400 - 1000", "E. 1000 +")))))</f>
        <v>N/A</v>
      </c>
      <c r="J130" t="str">
        <f>IF(ISBLANK(General2023[[#This Row],[number_of_international_members_not_eea]]),"N/A",VLOOKUP(A130,General2023[[organisation_name]:[number_of_international_committee_board_members_not_eea]],9,FALSE))</f>
        <v>N/A</v>
      </c>
      <c r="K130">
        <f>IF(ISBLANK(General2023[[#This Row],[number_of_international_members_eea]]),"N/A",VLOOKUP(A130,General2023[[organisation_name]:[number_of_international_committee_board_members_not_eea]],8,FALSE))</f>
        <v>0</v>
      </c>
      <c r="L130" t="str">
        <f>IFERROR(IF(Data2023[[#This Row],[Number of members]]-Data2023[[#This Row],[Non-EEA Total]]-Data2023[[#This Row],[EEA total]]&lt;1,"N/A", Data2023[[#This Row],[Number of members]]-Data2023[[#This Row],[Non-EEA Total]]-Data2023[[#This Row],[EEA total]]),"N/A")</f>
        <v>N/A</v>
      </c>
      <c r="M130">
        <f>VLOOKUP(A130,General2023[[organisation_name]:[number_of_international_committee_board_members_not_eea]],12,FALSE)</f>
        <v>0</v>
      </c>
      <c r="N130">
        <f>VLOOKUP(A130,General2023[[organisation_name]:[number_of_international_committee_board_members_not_eea]],11,FALSE)</f>
        <v>0</v>
      </c>
      <c r="O130" t="str">
        <f>IFERROR(IF(Data2023[[#This Row],[Number of active members]]-Data2023[[#This Row],[Non-EEA Active ]]-Data2023[[#This Row],[EEA Active]]&lt;1,"N/A", Data2023[[#This Row],[Number of active members]]-Data2023[[#This Row],[Non-EEA Active ]]-Data2023[[#This Row],[EEA Active]]),"N/A")</f>
        <v>N/A</v>
      </c>
      <c r="P130" t="str">
        <f>IFERROR(Data2023[[#This Row],[Non-EEA Active ]]/Data2023[[#This Row],[Number of active members]],"N/A")</f>
        <v>N/A</v>
      </c>
      <c r="Q130" t="str">
        <f>IFERROR(Data2023[[#This Row],[EEA Active]]/Data2023[[#This Row],[EEA total]], "N/A")</f>
        <v>N/A</v>
      </c>
      <c r="R130" t="str">
        <f>IFERROR(Data2023[[#This Row],[Dutch Active]]/Data2023[[#This Row],[Dutch total]],"N/A")</f>
        <v>N/A</v>
      </c>
      <c r="S130" t="str">
        <f>IFERROR(IF(Data2023[[#This Row],[Number of members]]=Data2023[[#This Row],[Non-EEA Total]]+Data2023[[#This Row],[EEA total]]+Data2023[[#This Row],[Dutch total]],"T","F"),"F")</f>
        <v>F</v>
      </c>
      <c r="T130" t="str">
        <f>IFERROR(IF(Data2023[[#This Row],[Number of active members]]=Data2023[[#This Row],[Non-EEA Active ]]+Data2023[[#This Row],[EEA Active]]+Data2023[[#This Row],[Dutch Active]],"T","F"),"F")</f>
        <v>F</v>
      </c>
      <c r="U130" t="str">
        <f>IFERROR(IF(Data2023[[#This Row],[Number of members]]-Data2023[[#This Row],[Non-EEA Active ]]-Data2023[[#This Row],[EEA Active]]-Data2023[[#This Row],[Dutch Active]]=Data2023[[#This Row],[Number of  inactive members]],"T","F"),"F")</f>
        <v>F</v>
      </c>
      <c r="V130" t="str">
        <f>IF(Data2023[[#This Row],[EEA Active]]&lt;=Data2023[[#This Row],[EEA total]],"T","F")</f>
        <v>T</v>
      </c>
      <c r="W130" t="str">
        <f>IF(Data2023[[#This Row],[Dutch Active]]&lt;=Data2023[[#This Row],[Dutch total]],"T","F")</f>
        <v>T</v>
      </c>
      <c r="X130" t="str">
        <f>IF(Data2023[[#This Row],[Non-EEA Active ]]&lt;=Data2023[[#This Row],[Non-EEA Total]],"T","F")</f>
        <v>T</v>
      </c>
      <c r="Y130"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0" t="str">
        <f>IFERROR(VLOOKUP(Data2023[[#This Row],[organisation_name]],'Division Study Year Committees'!$A$1:$L$108,2,FALSE),"N/A")</f>
        <v>N/A</v>
      </c>
      <c r="AA130" t="str">
        <f>IFERROR(VLOOKUP(Data2023[[#This Row],[organisation_name]],'Division Study Year Committees'!$A$1:$L$108,3,FALSE),"N/A")</f>
        <v>N/A</v>
      </c>
      <c r="AB130" t="str">
        <f>IFERROR(VLOOKUP(Data2023[[#This Row],[organisation_name]],'Division Study Year Committees'!$A$1:$L$108,4,FALSE),"N/A")</f>
        <v>N/A</v>
      </c>
      <c r="AC130" t="str">
        <f>IFERROR(VLOOKUP(Data2023[[#This Row],[organisation_name]],'Division Study Year Committees'!$A$1:$L$108,5,FALSE), "N/A")</f>
        <v>N/A</v>
      </c>
      <c r="AD130" t="str">
        <f>IFERROR(VLOOKUP(Data2023[[#This Row],[organisation_name]],'Division Study Year Committees'!$A$1:$L$108,6,FALSE), "N/A")</f>
        <v>N/A</v>
      </c>
      <c r="AE130">
        <f>SUM(Data2023[[#This Row],[Number of first year comittee members]:[Number of 4+ year comittee members]])</f>
        <v>0</v>
      </c>
      <c r="AF130">
        <f>COUNTIF('Committee2022'!D:D,Data2023[[#This Row],[organisation_name]])</f>
        <v>0</v>
      </c>
      <c r="AG130">
        <v>2023</v>
      </c>
    </row>
    <row r="131" spans="1:33" x14ac:dyDescent="0.3">
      <c r="A131" t="str">
        <f>General2023[[#This Row],[organisation_name]]</f>
        <v>Stichting Societeit Flux</v>
      </c>
      <c r="B131" t="str">
        <f>IF(General2023[[#This Row],[sector]]= "",VLOOKUP(Data2023[[#This Row],[organisation_name]],'Response Rate sheet'!A:D,3,FALSE),General2023[[#This Row],[sector]])</f>
        <v>Social</v>
      </c>
      <c r="C131" t="str">
        <f>General2023[[#This Row],[organisation_type]]</f>
        <v>foundation</v>
      </c>
      <c r="D131">
        <f>IF(ISBLANK(General2023[[#This Row],[number_of_members]]),"N/A",VLOOKUP(A131,General2023[[organisation_name]:[number_of_international_committee_board_members_not_eea]],6,FALSE))</f>
        <v>0</v>
      </c>
      <c r="E131" t="str">
        <f>IF(ISBLANK(General2023[[#This Row],[number_of_committee_board_members]]),"N/A",VLOOKUP(A131,General2023!B:M,10,FALSE))</f>
        <v>N/A</v>
      </c>
      <c r="F131" t="str">
        <f>IFERROR(Data2023[[#This Row],[Number of members]]-Data2023[[#This Row],[Number of active members]], "N/A")</f>
        <v>N/A</v>
      </c>
      <c r="G131" t="str">
        <f>IFERROR(Data2023[[#This Row],[Number of active members]]/Data2023[[#This Row],[Number of members]], "N/A")</f>
        <v>N/A</v>
      </c>
      <c r="H131" t="str">
        <f>IFERROR(1-Data2023[[#This Row],[Percentage active members]],"N/A")</f>
        <v>N/A</v>
      </c>
      <c r="I131" t="str">
        <f>IF(Data2023[[#This Row],[Number of members]]=0,"N/A",IF(Data2023[[#This Row],[Number of members]]&lt;50," A. 1 - 50 ",IF(Data2023[[#This Row],[Number of members]]&lt;100, "B. 50 - 100", IF(Data2023[[#This Row],[Number of members]]&lt;400, "C. 100 - 400", IF(Data2023[[#This Row],[Number of members]]&lt;1000,"D. 400 - 1000", "E. 1000 +")))))</f>
        <v>N/A</v>
      </c>
      <c r="J131" t="str">
        <f>IF(ISBLANK(General2023[[#This Row],[number_of_international_members_not_eea]]),"N/A",VLOOKUP(A131,General2023[[organisation_name]:[number_of_international_committee_board_members_not_eea]],9,FALSE))</f>
        <v>N/A</v>
      </c>
      <c r="K131">
        <f>IF(ISBLANK(General2023[[#This Row],[number_of_international_members_eea]]),"N/A",VLOOKUP(A131,General2023[[organisation_name]:[number_of_international_committee_board_members_not_eea]],8,FALSE))</f>
        <v>0</v>
      </c>
      <c r="L131" t="str">
        <f>IFERROR(IF(Data2023[[#This Row],[Number of members]]-Data2023[[#This Row],[Non-EEA Total]]-Data2023[[#This Row],[EEA total]]&lt;1,"N/A", Data2023[[#This Row],[Number of members]]-Data2023[[#This Row],[Non-EEA Total]]-Data2023[[#This Row],[EEA total]]),"N/A")</f>
        <v>N/A</v>
      </c>
      <c r="M131">
        <f>VLOOKUP(A131,General2023[[organisation_name]:[number_of_international_committee_board_members_not_eea]],12,FALSE)</f>
        <v>0</v>
      </c>
      <c r="N131">
        <f>VLOOKUP(A131,General2023[[organisation_name]:[number_of_international_committee_board_members_not_eea]],11,FALSE)</f>
        <v>0</v>
      </c>
      <c r="O131" t="str">
        <f>IFERROR(IF(Data2023[[#This Row],[Number of active members]]-Data2023[[#This Row],[Non-EEA Active ]]-Data2023[[#This Row],[EEA Active]]&lt;1,"N/A", Data2023[[#This Row],[Number of active members]]-Data2023[[#This Row],[Non-EEA Active ]]-Data2023[[#This Row],[EEA Active]]),"N/A")</f>
        <v>N/A</v>
      </c>
      <c r="P131" t="str">
        <f>IFERROR(Data2023[[#This Row],[Non-EEA Active ]]/Data2023[[#This Row],[Number of active members]],"N/A")</f>
        <v>N/A</v>
      </c>
      <c r="Q131" t="str">
        <f>IFERROR(Data2023[[#This Row],[EEA Active]]/Data2023[[#This Row],[EEA total]], "N/A")</f>
        <v>N/A</v>
      </c>
      <c r="R131" t="str">
        <f>IFERROR(Data2023[[#This Row],[Dutch Active]]/Data2023[[#This Row],[Dutch total]],"N/A")</f>
        <v>N/A</v>
      </c>
      <c r="S131" t="str">
        <f>IFERROR(IF(Data2023[[#This Row],[Number of members]]=Data2023[[#This Row],[Non-EEA Total]]+Data2023[[#This Row],[EEA total]]+Data2023[[#This Row],[Dutch total]],"T","F"),"F")</f>
        <v>F</v>
      </c>
      <c r="T131" t="str">
        <f>IFERROR(IF(Data2023[[#This Row],[Number of active members]]=Data2023[[#This Row],[Non-EEA Active ]]+Data2023[[#This Row],[EEA Active]]+Data2023[[#This Row],[Dutch Active]],"T","F"),"F")</f>
        <v>F</v>
      </c>
      <c r="U131" t="str">
        <f>IFERROR(IF(Data2023[[#This Row],[Number of members]]-Data2023[[#This Row],[Non-EEA Active ]]-Data2023[[#This Row],[EEA Active]]-Data2023[[#This Row],[Dutch Active]]=Data2023[[#This Row],[Number of  inactive members]],"T","F"),"F")</f>
        <v>F</v>
      </c>
      <c r="V131" t="str">
        <f>IF(Data2023[[#This Row],[EEA Active]]&lt;=Data2023[[#This Row],[EEA total]],"T","F")</f>
        <v>T</v>
      </c>
      <c r="W131" t="str">
        <f>IF(Data2023[[#This Row],[Dutch Active]]&lt;=Data2023[[#This Row],[Dutch total]],"T","F")</f>
        <v>T</v>
      </c>
      <c r="X131" t="str">
        <f>IF(Data2023[[#This Row],[Non-EEA Active ]]&lt;=Data2023[[#This Row],[Non-EEA Total]],"T","F")</f>
        <v>T</v>
      </c>
      <c r="Y131"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1" t="str">
        <f>IFERROR(VLOOKUP(Data2023[[#This Row],[organisation_name]],'Division Study Year Committees'!$A$1:$L$108,2,FALSE),"N/A")</f>
        <v>N/A</v>
      </c>
      <c r="AA131" t="str">
        <f>IFERROR(VLOOKUP(Data2023[[#This Row],[organisation_name]],'Division Study Year Committees'!$A$1:$L$108,3,FALSE),"N/A")</f>
        <v>N/A</v>
      </c>
      <c r="AB131" t="str">
        <f>IFERROR(VLOOKUP(Data2023[[#This Row],[organisation_name]],'Division Study Year Committees'!$A$1:$L$108,4,FALSE),"N/A")</f>
        <v>N/A</v>
      </c>
      <c r="AC131" t="str">
        <f>IFERROR(VLOOKUP(Data2023[[#This Row],[organisation_name]],'Division Study Year Committees'!$A$1:$L$108,5,FALSE), "N/A")</f>
        <v>N/A</v>
      </c>
      <c r="AD131" t="str">
        <f>IFERROR(VLOOKUP(Data2023[[#This Row],[organisation_name]],'Division Study Year Committees'!$A$1:$L$108,6,FALSE), "N/A")</f>
        <v>N/A</v>
      </c>
      <c r="AE131">
        <f>SUM(Data2023[[#This Row],[Number of first year comittee members]:[Number of 4+ year comittee members]])</f>
        <v>0</v>
      </c>
      <c r="AF131">
        <f>COUNTIF('Committee2022'!D:D,Data2023[[#This Row],[organisation_name]])</f>
        <v>3</v>
      </c>
      <c r="AG131">
        <v>2023</v>
      </c>
    </row>
    <row r="132" spans="1:33" x14ac:dyDescent="0.3">
      <c r="A132" t="str">
        <f>General2023[[#This Row],[organisation_name]]</f>
        <v>Stichting Societeit Asterion</v>
      </c>
      <c r="B132" t="str">
        <f>IF(General2023[[#This Row],[sector]]= "",VLOOKUP(Data2023[[#This Row],[organisation_name]],'Response Rate sheet'!A:D,3,FALSE),General2023[[#This Row],[sector]])</f>
        <v>Social</v>
      </c>
      <c r="C132" t="str">
        <f>General2023[[#This Row],[organisation_type]]</f>
        <v>foundation</v>
      </c>
      <c r="D132">
        <f>IF(ISBLANK(General2023[[#This Row],[number_of_members]]),"N/A",VLOOKUP(A132,General2023[[organisation_name]:[number_of_international_committee_board_members_not_eea]],6,FALSE))</f>
        <v>0</v>
      </c>
      <c r="E132">
        <f>IF(ISBLANK(General2023[[#This Row],[number_of_committee_board_members]]),"N/A",VLOOKUP(A132,General2023!B:M,10,FALSE))</f>
        <v>0</v>
      </c>
      <c r="F132">
        <f>IFERROR(Data2023[[#This Row],[Number of members]]-Data2023[[#This Row],[Number of active members]], "N/A")</f>
        <v>0</v>
      </c>
      <c r="G132" t="str">
        <f>IFERROR(Data2023[[#This Row],[Number of active members]]/Data2023[[#This Row],[Number of members]], "N/A")</f>
        <v>N/A</v>
      </c>
      <c r="H132" t="str">
        <f>IFERROR(1-Data2023[[#This Row],[Percentage active members]],"N/A")</f>
        <v>N/A</v>
      </c>
      <c r="I132" t="str">
        <f>IF(Data2023[[#This Row],[Number of members]]=0,"N/A",IF(Data2023[[#This Row],[Number of members]]&lt;50," A. 1 - 50 ",IF(Data2023[[#This Row],[Number of members]]&lt;100, "B. 50 - 100", IF(Data2023[[#This Row],[Number of members]]&lt;400, "C. 100 - 400", IF(Data2023[[#This Row],[Number of members]]&lt;1000,"D. 400 - 1000", "E. 1000 +")))))</f>
        <v>N/A</v>
      </c>
      <c r="J132">
        <f>IF(ISBLANK(General2023[[#This Row],[number_of_international_members_not_eea]]),"N/A",VLOOKUP(A132,General2023[[organisation_name]:[number_of_international_committee_board_members_not_eea]],9,FALSE))</f>
        <v>0</v>
      </c>
      <c r="K132">
        <f>IF(ISBLANK(General2023[[#This Row],[number_of_international_members_eea]]),"N/A",VLOOKUP(A132,General2023[[organisation_name]:[number_of_international_committee_board_members_not_eea]],8,FALSE))</f>
        <v>0</v>
      </c>
      <c r="L132" t="str">
        <f>IFERROR(IF(Data2023[[#This Row],[Number of members]]-Data2023[[#This Row],[Non-EEA Total]]-Data2023[[#This Row],[EEA total]]&lt;1,"N/A", Data2023[[#This Row],[Number of members]]-Data2023[[#This Row],[Non-EEA Total]]-Data2023[[#This Row],[EEA total]]),"N/A")</f>
        <v>N/A</v>
      </c>
      <c r="M132">
        <f>VLOOKUP(A132,General2023[[organisation_name]:[number_of_international_committee_board_members_not_eea]],12,FALSE)</f>
        <v>0</v>
      </c>
      <c r="N132">
        <f>VLOOKUP(A132,General2023[[organisation_name]:[number_of_international_committee_board_members_not_eea]],11,FALSE)</f>
        <v>0</v>
      </c>
      <c r="O132" t="str">
        <f>IFERROR(IF(Data2023[[#This Row],[Number of active members]]-Data2023[[#This Row],[Non-EEA Active ]]-Data2023[[#This Row],[EEA Active]]&lt;1,"N/A", Data2023[[#This Row],[Number of active members]]-Data2023[[#This Row],[Non-EEA Active ]]-Data2023[[#This Row],[EEA Active]]),"N/A")</f>
        <v>N/A</v>
      </c>
      <c r="P132" t="str">
        <f>IFERROR(Data2023[[#This Row],[Non-EEA Active ]]/Data2023[[#This Row],[Number of active members]],"N/A")</f>
        <v>N/A</v>
      </c>
      <c r="Q132" t="str">
        <f>IFERROR(Data2023[[#This Row],[EEA Active]]/Data2023[[#This Row],[EEA total]], "N/A")</f>
        <v>N/A</v>
      </c>
      <c r="R132" t="str">
        <f>IFERROR(Data2023[[#This Row],[Dutch Active]]/Data2023[[#This Row],[Dutch total]],"N/A")</f>
        <v>N/A</v>
      </c>
      <c r="S132" t="str">
        <f>IFERROR(IF(Data2023[[#This Row],[Number of members]]=Data2023[[#This Row],[Non-EEA Total]]+Data2023[[#This Row],[EEA total]]+Data2023[[#This Row],[Dutch total]],"T","F"),"F")</f>
        <v>F</v>
      </c>
      <c r="T132" t="str">
        <f>IFERROR(IF(Data2023[[#This Row],[Number of active members]]=Data2023[[#This Row],[Non-EEA Active ]]+Data2023[[#This Row],[EEA Active]]+Data2023[[#This Row],[Dutch Active]],"T","F"),"F")</f>
        <v>F</v>
      </c>
      <c r="U132" t="str">
        <f>IFERROR(IF(Data2023[[#This Row],[Number of members]]-Data2023[[#This Row],[Non-EEA Active ]]-Data2023[[#This Row],[EEA Active]]-Data2023[[#This Row],[Dutch Active]]=Data2023[[#This Row],[Number of  inactive members]],"T","F"),"F")</f>
        <v>F</v>
      </c>
      <c r="V132" t="str">
        <f>IF(Data2023[[#This Row],[EEA Active]]&lt;=Data2023[[#This Row],[EEA total]],"T","F")</f>
        <v>T</v>
      </c>
      <c r="W132" t="str">
        <f>IF(Data2023[[#This Row],[Dutch Active]]&lt;=Data2023[[#This Row],[Dutch total]],"T","F")</f>
        <v>T</v>
      </c>
      <c r="X132" t="str">
        <f>IF(Data2023[[#This Row],[Non-EEA Active ]]&lt;=Data2023[[#This Row],[Non-EEA Total]],"T","F")</f>
        <v>T</v>
      </c>
      <c r="Y132"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2" t="str">
        <f>IFERROR(VLOOKUP(Data2023[[#This Row],[organisation_name]],'Division Study Year Committees'!$A$1:$L$108,2,FALSE),"N/A")</f>
        <v>N/A</v>
      </c>
      <c r="AA132" t="str">
        <f>IFERROR(VLOOKUP(Data2023[[#This Row],[organisation_name]],'Division Study Year Committees'!$A$1:$L$108,3,FALSE),"N/A")</f>
        <v>N/A</v>
      </c>
      <c r="AB132" t="str">
        <f>IFERROR(VLOOKUP(Data2023[[#This Row],[organisation_name]],'Division Study Year Committees'!$A$1:$L$108,4,FALSE),"N/A")</f>
        <v>N/A</v>
      </c>
      <c r="AC132" t="str">
        <f>IFERROR(VLOOKUP(Data2023[[#This Row],[organisation_name]],'Division Study Year Committees'!$A$1:$L$108,5,FALSE), "N/A")</f>
        <v>N/A</v>
      </c>
      <c r="AD132" t="str">
        <f>IFERROR(VLOOKUP(Data2023[[#This Row],[organisation_name]],'Division Study Year Committees'!$A$1:$L$108,6,FALSE), "N/A")</f>
        <v>N/A</v>
      </c>
      <c r="AE132">
        <f>SUM(Data2023[[#This Row],[Number of first year comittee members]:[Number of 4+ year comittee members]])</f>
        <v>0</v>
      </c>
      <c r="AF132">
        <f>COUNTIF('Committee2022'!D:D,Data2023[[#This Row],[organisation_name]])</f>
        <v>5</v>
      </c>
      <c r="AG132">
        <v>2023</v>
      </c>
    </row>
    <row r="133" spans="1:33" x14ac:dyDescent="0.3">
      <c r="A133" t="str">
        <f>General2023[[#This Row],[organisation_name]]</f>
        <v>Stichting Kantine Sportcentrum</v>
      </c>
      <c r="B133" t="str">
        <f>IF(General2023[[#This Row],[sector]]= "",VLOOKUP(Data2023[[#This Row],[organisation_name]],'Response Rate sheet'!A:D,3,FALSE),General2023[[#This Row],[sector]])</f>
        <v>other</v>
      </c>
      <c r="C133" t="str">
        <f>General2023[[#This Row],[organisation_type]]</f>
        <v>foundation</v>
      </c>
      <c r="D133" t="str">
        <f>IF(ISBLANK(General2023[[#This Row],[number_of_members]]),"N/A",VLOOKUP(A133,General2023[[organisation_name]:[number_of_international_committee_board_members_not_eea]],6,FALSE))</f>
        <v>N/A</v>
      </c>
      <c r="E133" t="str">
        <f>IF(ISBLANK(General2023[[#This Row],[number_of_committee_board_members]]),"N/A",VLOOKUP(A133,General2023!B:M,10,FALSE))</f>
        <v>N/A</v>
      </c>
      <c r="F133" t="str">
        <f>IFERROR(Data2023[[#This Row],[Number of members]]-Data2023[[#This Row],[Number of active members]], "N/A")</f>
        <v>N/A</v>
      </c>
      <c r="G133" t="str">
        <f>IFERROR(Data2023[[#This Row],[Number of active members]]/Data2023[[#This Row],[Number of members]], "N/A")</f>
        <v>N/A</v>
      </c>
      <c r="H133" t="str">
        <f>IFERROR(1-Data2023[[#This Row],[Percentage active members]],"N/A")</f>
        <v>N/A</v>
      </c>
      <c r="I133" t="str">
        <f>IF(Data2023[[#This Row],[Number of members]]=0,"N/A",IF(Data2023[[#This Row],[Number of members]]&lt;50," A. 1 - 50 ",IF(Data2023[[#This Row],[Number of members]]&lt;100, "B. 50 - 100", IF(Data2023[[#This Row],[Number of members]]&lt;400, "C. 100 - 400", IF(Data2023[[#This Row],[Number of members]]&lt;1000,"D. 400 - 1000", "E. 1000 +")))))</f>
        <v>E. 1000 +</v>
      </c>
      <c r="J133" t="str">
        <f>IF(ISBLANK(General2023[[#This Row],[number_of_international_members_not_eea]]),"N/A",VLOOKUP(A133,General2023[[organisation_name]:[number_of_international_committee_board_members_not_eea]],9,FALSE))</f>
        <v>N/A</v>
      </c>
      <c r="K133" t="str">
        <f>IF(ISBLANK(General2023[[#This Row],[number_of_international_members_eea]]),"N/A",VLOOKUP(A133,General2023[[organisation_name]:[number_of_international_committee_board_members_not_eea]],8,FALSE))</f>
        <v>N/A</v>
      </c>
      <c r="L133" t="str">
        <f>IFERROR(IF(Data2023[[#This Row],[Number of members]]-Data2023[[#This Row],[Non-EEA Total]]-Data2023[[#This Row],[EEA total]]&lt;1,"N/A", Data2023[[#This Row],[Number of members]]-Data2023[[#This Row],[Non-EEA Total]]-Data2023[[#This Row],[EEA total]]),"N/A")</f>
        <v>N/A</v>
      </c>
      <c r="M133">
        <f>VLOOKUP(A133,General2023[[organisation_name]:[number_of_international_committee_board_members_not_eea]],12,FALSE)</f>
        <v>0</v>
      </c>
      <c r="N133">
        <f>VLOOKUP(A133,General2023[[organisation_name]:[number_of_international_committee_board_members_not_eea]],11,FALSE)</f>
        <v>0</v>
      </c>
      <c r="O133" t="str">
        <f>IFERROR(IF(Data2023[[#This Row],[Number of active members]]-Data2023[[#This Row],[Non-EEA Active ]]-Data2023[[#This Row],[EEA Active]]&lt;1,"N/A", Data2023[[#This Row],[Number of active members]]-Data2023[[#This Row],[Non-EEA Active ]]-Data2023[[#This Row],[EEA Active]]),"N/A")</f>
        <v>N/A</v>
      </c>
      <c r="P133" t="str">
        <f>IFERROR(Data2023[[#This Row],[Non-EEA Active ]]/Data2023[[#This Row],[Number of active members]],"N/A")</f>
        <v>N/A</v>
      </c>
      <c r="Q133" t="str">
        <f>IFERROR(Data2023[[#This Row],[EEA Active]]/Data2023[[#This Row],[EEA total]], "N/A")</f>
        <v>N/A</v>
      </c>
      <c r="R133" t="str">
        <f>IFERROR(Data2023[[#This Row],[Dutch Active]]/Data2023[[#This Row],[Dutch total]],"N/A")</f>
        <v>N/A</v>
      </c>
      <c r="S133" t="str">
        <f>IFERROR(IF(Data2023[[#This Row],[Number of members]]=Data2023[[#This Row],[Non-EEA Total]]+Data2023[[#This Row],[EEA total]]+Data2023[[#This Row],[Dutch total]],"T","F"),"F")</f>
        <v>F</v>
      </c>
      <c r="T133" t="str">
        <f>IFERROR(IF(Data2023[[#This Row],[Number of active members]]=Data2023[[#This Row],[Non-EEA Active ]]+Data2023[[#This Row],[EEA Active]]+Data2023[[#This Row],[Dutch Active]],"T","F"),"F")</f>
        <v>F</v>
      </c>
      <c r="U133" t="str">
        <f>IFERROR(IF(Data2023[[#This Row],[Number of members]]-Data2023[[#This Row],[Non-EEA Active ]]-Data2023[[#This Row],[EEA Active]]-Data2023[[#This Row],[Dutch Active]]=Data2023[[#This Row],[Number of  inactive members]],"T","F"),"F")</f>
        <v>F</v>
      </c>
      <c r="V133" t="str">
        <f>IF(Data2023[[#This Row],[EEA Active]]&lt;=Data2023[[#This Row],[EEA total]],"T","F")</f>
        <v>T</v>
      </c>
      <c r="W133" t="str">
        <f>IF(Data2023[[#This Row],[Dutch Active]]&lt;=Data2023[[#This Row],[Dutch total]],"T","F")</f>
        <v>T</v>
      </c>
      <c r="X133" t="str">
        <f>IF(Data2023[[#This Row],[Non-EEA Active ]]&lt;=Data2023[[#This Row],[Non-EEA Total]],"T","F")</f>
        <v>T</v>
      </c>
      <c r="Y133"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3" t="str">
        <f>IFERROR(VLOOKUP(Data2023[[#This Row],[organisation_name]],'Division Study Year Committees'!$A$1:$L$108,2,FALSE),"N/A")</f>
        <v>N/A</v>
      </c>
      <c r="AA133" t="str">
        <f>IFERROR(VLOOKUP(Data2023[[#This Row],[organisation_name]],'Division Study Year Committees'!$A$1:$L$108,3,FALSE),"N/A")</f>
        <v>N/A</v>
      </c>
      <c r="AB133" t="str">
        <f>IFERROR(VLOOKUP(Data2023[[#This Row],[organisation_name]],'Division Study Year Committees'!$A$1:$L$108,4,FALSE),"N/A")</f>
        <v>N/A</v>
      </c>
      <c r="AC133" t="str">
        <f>IFERROR(VLOOKUP(Data2023[[#This Row],[organisation_name]],'Division Study Year Committees'!$A$1:$L$108,5,FALSE), "N/A")</f>
        <v>N/A</v>
      </c>
      <c r="AD133" t="str">
        <f>IFERROR(VLOOKUP(Data2023[[#This Row],[organisation_name]],'Division Study Year Committees'!$A$1:$L$108,6,FALSE), "N/A")</f>
        <v>N/A</v>
      </c>
      <c r="AE133">
        <f>SUM(Data2023[[#This Row],[Number of first year comittee members]:[Number of 4+ year comittee members]])</f>
        <v>0</v>
      </c>
      <c r="AF133">
        <f>COUNTIF('Committee2022'!D:D,Data2023[[#This Row],[organisation_name]])</f>
        <v>0</v>
      </c>
      <c r="AG133">
        <v>2023</v>
      </c>
    </row>
    <row r="134" spans="1:33" x14ac:dyDescent="0.3">
      <c r="A134" t="str">
        <f>General2023[[#This Row],[organisation_name]]</f>
        <v>VGST</v>
      </c>
      <c r="B134" t="str">
        <f>IF(General2023[[#This Row],[sector]]= "",VLOOKUP(Data2023[[#This Row],[organisation_name]],'Response Rate sheet'!A:D,3,FALSE),General2023[[#This Row],[sector]])</f>
        <v>Other</v>
      </c>
      <c r="C134" t="str">
        <f>General2023[[#This Row],[organisation_type]]</f>
        <v>association</v>
      </c>
      <c r="D134">
        <f>IF(ISBLANK(General2023[[#This Row],[number_of_members]]),"N/A",VLOOKUP(A134,General2023[[organisation_name]:[number_of_international_committee_board_members_not_eea]],6,FALSE))</f>
        <v>79</v>
      </c>
      <c r="E134">
        <f>IF(ISBLANK(General2023[[#This Row],[number_of_committee_board_members]]),"N/A",VLOOKUP(A134,General2023!B:M,10,FALSE))</f>
        <v>1</v>
      </c>
      <c r="F134">
        <f>IFERROR(Data2023[[#This Row],[Number of members]]-Data2023[[#This Row],[Number of active members]], "N/A")</f>
        <v>78</v>
      </c>
      <c r="G134">
        <f>IFERROR(Data2023[[#This Row],[Number of active members]]/Data2023[[#This Row],[Number of members]], "N/A")</f>
        <v>1.2658227848101266E-2</v>
      </c>
      <c r="H134">
        <f>IFERROR(1-Data2023[[#This Row],[Percentage active members]],"N/A")</f>
        <v>0.98734177215189878</v>
      </c>
      <c r="I134" t="str">
        <f>IF(Data2023[[#This Row],[Number of members]]=0,"N/A",IF(Data2023[[#This Row],[Number of members]]&lt;50," A. 1 - 50 ",IF(Data2023[[#This Row],[Number of members]]&lt;100, "B. 50 - 100", IF(Data2023[[#This Row],[Number of members]]&lt;400, "C. 100 - 400", IF(Data2023[[#This Row],[Number of members]]&lt;1000,"D. 400 - 1000", "E. 1000 +")))))</f>
        <v>B. 50 - 100</v>
      </c>
      <c r="J134">
        <f>IF(ISBLANK(General2023[[#This Row],[number_of_international_members_not_eea]]),"N/A",VLOOKUP(A134,General2023[[organisation_name]:[number_of_international_committee_board_members_not_eea]],9,FALSE))</f>
        <v>65</v>
      </c>
      <c r="K134">
        <f>IF(ISBLANK(General2023[[#This Row],[number_of_international_members_eea]]),"N/A",VLOOKUP(A134,General2023[[organisation_name]:[number_of_international_committee_board_members_not_eea]],8,FALSE))</f>
        <v>0</v>
      </c>
      <c r="L134">
        <f>IFERROR(IF(Data2023[[#This Row],[Number of members]]-Data2023[[#This Row],[Non-EEA Total]]-Data2023[[#This Row],[EEA total]]&lt;1,"N/A", Data2023[[#This Row],[Number of members]]-Data2023[[#This Row],[Non-EEA Total]]-Data2023[[#This Row],[EEA total]]),"N/A")</f>
        <v>14</v>
      </c>
      <c r="M134">
        <f>VLOOKUP(A134,General2023[[organisation_name]:[number_of_international_committee_board_members_not_eea]],12,FALSE)</f>
        <v>0</v>
      </c>
      <c r="N134">
        <f>VLOOKUP(A134,General2023[[organisation_name]:[number_of_international_committee_board_members_not_eea]],11,FALSE)</f>
        <v>0</v>
      </c>
      <c r="O134">
        <f>IFERROR(IF(Data2023[[#This Row],[Number of active members]]-Data2023[[#This Row],[Non-EEA Active ]]-Data2023[[#This Row],[EEA Active]]&lt;1,"N/A", Data2023[[#This Row],[Number of active members]]-Data2023[[#This Row],[Non-EEA Active ]]-Data2023[[#This Row],[EEA Active]]),"N/A")</f>
        <v>1</v>
      </c>
      <c r="P134">
        <f>IFERROR(Data2023[[#This Row],[Non-EEA Active ]]/Data2023[[#This Row],[Number of active members]],"N/A")</f>
        <v>0</v>
      </c>
      <c r="Q134" t="str">
        <f>IFERROR(Data2023[[#This Row],[EEA Active]]/Data2023[[#This Row],[EEA total]], "N/A")</f>
        <v>N/A</v>
      </c>
      <c r="R134">
        <f>IFERROR(Data2023[[#This Row],[Dutch Active]]/Data2023[[#This Row],[Dutch total]],"N/A")</f>
        <v>7.1428571428571425E-2</v>
      </c>
      <c r="S134" t="str">
        <f>IFERROR(IF(Data2023[[#This Row],[Number of members]]=Data2023[[#This Row],[Non-EEA Total]]+Data2023[[#This Row],[EEA total]]+Data2023[[#This Row],[Dutch total]],"T","F"),"F")</f>
        <v>T</v>
      </c>
      <c r="T134" t="str">
        <f>IFERROR(IF(Data2023[[#This Row],[Number of active members]]=Data2023[[#This Row],[Non-EEA Active ]]+Data2023[[#This Row],[EEA Active]]+Data2023[[#This Row],[Dutch Active]],"T","F"),"F")</f>
        <v>T</v>
      </c>
      <c r="U134" t="str">
        <f>IFERROR(IF(Data2023[[#This Row],[Number of members]]-Data2023[[#This Row],[Non-EEA Active ]]-Data2023[[#This Row],[EEA Active]]-Data2023[[#This Row],[Dutch Active]]=Data2023[[#This Row],[Number of  inactive members]],"T","F"),"F")</f>
        <v>T</v>
      </c>
      <c r="V134" t="str">
        <f>IF(Data2023[[#This Row],[EEA Active]]&lt;=Data2023[[#This Row],[EEA total]],"T","F")</f>
        <v>T</v>
      </c>
      <c r="W134" t="str">
        <f>IF(Data2023[[#This Row],[Dutch Active]]&lt;=Data2023[[#This Row],[Dutch total]],"T","F")</f>
        <v>T</v>
      </c>
      <c r="X134" t="str">
        <f>IF(Data2023[[#This Row],[Non-EEA Active ]]&lt;=Data2023[[#This Row],[Non-EEA Total]],"T","F")</f>
        <v>T</v>
      </c>
      <c r="Y134" t="str">
        <f>IF(OR(Data2023[[#This Row],[Test total number of members]]="F",Data2023[[#This Row],[Test total number of active members]]="F",Data2023[[#This Row],[Test total number inactive members]]="F",Data2023[[#This Row],[Test max EEA active]]="F",Data2023[[#This Row],[Test max Dutch active]]="F",Data2023[[#This Row],[Test max non-EEA active]]="F"),"F","T")</f>
        <v>T</v>
      </c>
      <c r="Z134" t="str">
        <f>IFERROR(VLOOKUP(Data2023[[#This Row],[organisation_name]],'Division Study Year Committees'!$A$1:$L$108,2,FALSE),"N/A")</f>
        <v>N/A</v>
      </c>
      <c r="AA134" t="str">
        <f>IFERROR(VLOOKUP(Data2023[[#This Row],[organisation_name]],'Division Study Year Committees'!$A$1:$L$108,3,FALSE),"N/A")</f>
        <v>N/A</v>
      </c>
      <c r="AB134" t="str">
        <f>IFERROR(VLOOKUP(Data2023[[#This Row],[organisation_name]],'Division Study Year Committees'!$A$1:$L$108,4,FALSE),"N/A")</f>
        <v>N/A</v>
      </c>
      <c r="AC134" t="str">
        <f>IFERROR(VLOOKUP(Data2023[[#This Row],[organisation_name]],'Division Study Year Committees'!$A$1:$L$108,5,FALSE), "N/A")</f>
        <v>N/A</v>
      </c>
      <c r="AD134" t="str">
        <f>IFERROR(VLOOKUP(Data2023[[#This Row],[organisation_name]],'Division Study Year Committees'!$A$1:$L$108,6,FALSE), "N/A")</f>
        <v>N/A</v>
      </c>
      <c r="AE134">
        <f>SUM(Data2023[[#This Row],[Number of first year comittee members]:[Number of 4+ year comittee members]])</f>
        <v>0</v>
      </c>
      <c r="AF134">
        <f>COUNTIF('Committee2022'!D:D,Data2023[[#This Row],[organisation_name]])</f>
        <v>0</v>
      </c>
      <c r="AG134">
        <v>2023</v>
      </c>
    </row>
    <row r="135" spans="1:33" x14ac:dyDescent="0.3">
      <c r="A135" t="str">
        <f>General2023[[#This Row],[organisation_name]]</f>
        <v>Stichting t Fluitje</v>
      </c>
      <c r="B135" t="str">
        <f>IF(General2023[[#This Row],[sector]]= "",VLOOKUP(Data2023[[#This Row],[organisation_name]],'Response Rate sheet'!A:D,3,FALSE),General2023[[#This Row],[sector]])</f>
        <v>Other</v>
      </c>
      <c r="C135" t="str">
        <f>General2023[[#This Row],[organisation_type]]</f>
        <v>foundation</v>
      </c>
      <c r="D135">
        <f>IF(ISBLANK(General2023[[#This Row],[number_of_members]]),"N/A",VLOOKUP(A135,General2023[[organisation_name]:[number_of_international_committee_board_members_not_eea]],6,FALSE))</f>
        <v>4</v>
      </c>
      <c r="E135" t="str">
        <f>IF(ISBLANK(General2023[[#This Row],[number_of_committee_board_members]]),"N/A",VLOOKUP(A135,General2023!B:M,10,FALSE))</f>
        <v>N/A</v>
      </c>
      <c r="F135" t="str">
        <f>IFERROR(Data2023[[#This Row],[Number of members]]-Data2023[[#This Row],[Number of active members]], "N/A")</f>
        <v>N/A</v>
      </c>
      <c r="G135" t="str">
        <f>IFERROR(Data2023[[#This Row],[Number of active members]]/Data2023[[#This Row],[Number of members]], "N/A")</f>
        <v>N/A</v>
      </c>
      <c r="H135" t="str">
        <f>IFERROR(1-Data2023[[#This Row],[Percentage active members]],"N/A")</f>
        <v>N/A</v>
      </c>
      <c r="I135"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35" t="str">
        <f>IF(ISBLANK(General2023[[#This Row],[number_of_international_members_not_eea]]),"N/A",VLOOKUP(A135,General2023[[organisation_name]:[number_of_international_committee_board_members_not_eea]],9,FALSE))</f>
        <v>N/A</v>
      </c>
      <c r="K135">
        <f>IF(ISBLANK(General2023[[#This Row],[number_of_international_members_eea]]),"N/A",VLOOKUP(A135,General2023[[organisation_name]:[number_of_international_committee_board_members_not_eea]],8,FALSE))</f>
        <v>0</v>
      </c>
      <c r="L135" t="str">
        <f>IFERROR(IF(Data2023[[#This Row],[Number of members]]-Data2023[[#This Row],[Non-EEA Total]]-Data2023[[#This Row],[EEA total]]&lt;1,"N/A", Data2023[[#This Row],[Number of members]]-Data2023[[#This Row],[Non-EEA Total]]-Data2023[[#This Row],[EEA total]]),"N/A")</f>
        <v>N/A</v>
      </c>
      <c r="M135">
        <f>VLOOKUP(A135,General2023[[organisation_name]:[number_of_international_committee_board_members_not_eea]],12,FALSE)</f>
        <v>0</v>
      </c>
      <c r="N135">
        <f>VLOOKUP(A135,General2023[[organisation_name]:[number_of_international_committee_board_members_not_eea]],11,FALSE)</f>
        <v>0</v>
      </c>
      <c r="O135" t="str">
        <f>IFERROR(IF(Data2023[[#This Row],[Number of active members]]-Data2023[[#This Row],[Non-EEA Active ]]-Data2023[[#This Row],[EEA Active]]&lt;1,"N/A", Data2023[[#This Row],[Number of active members]]-Data2023[[#This Row],[Non-EEA Active ]]-Data2023[[#This Row],[EEA Active]]),"N/A")</f>
        <v>N/A</v>
      </c>
      <c r="P135" t="str">
        <f>IFERROR(Data2023[[#This Row],[Non-EEA Active ]]/Data2023[[#This Row],[Number of active members]],"N/A")</f>
        <v>N/A</v>
      </c>
      <c r="Q135" t="str">
        <f>IFERROR(Data2023[[#This Row],[EEA Active]]/Data2023[[#This Row],[EEA total]], "N/A")</f>
        <v>N/A</v>
      </c>
      <c r="R135" t="str">
        <f>IFERROR(Data2023[[#This Row],[Dutch Active]]/Data2023[[#This Row],[Dutch total]],"N/A")</f>
        <v>N/A</v>
      </c>
      <c r="S135" t="str">
        <f>IFERROR(IF(Data2023[[#This Row],[Number of members]]=Data2023[[#This Row],[Non-EEA Total]]+Data2023[[#This Row],[EEA total]]+Data2023[[#This Row],[Dutch total]],"T","F"),"F")</f>
        <v>F</v>
      </c>
      <c r="T135" t="str">
        <f>IFERROR(IF(Data2023[[#This Row],[Number of active members]]=Data2023[[#This Row],[Non-EEA Active ]]+Data2023[[#This Row],[EEA Active]]+Data2023[[#This Row],[Dutch Active]],"T","F"),"F")</f>
        <v>F</v>
      </c>
      <c r="U135" t="str">
        <f>IFERROR(IF(Data2023[[#This Row],[Number of members]]-Data2023[[#This Row],[Non-EEA Active ]]-Data2023[[#This Row],[EEA Active]]-Data2023[[#This Row],[Dutch Active]]=Data2023[[#This Row],[Number of  inactive members]],"T","F"),"F")</f>
        <v>F</v>
      </c>
      <c r="V135" t="str">
        <f>IF(Data2023[[#This Row],[EEA Active]]&lt;=Data2023[[#This Row],[EEA total]],"T","F")</f>
        <v>T</v>
      </c>
      <c r="W135" t="str">
        <f>IF(Data2023[[#This Row],[Dutch Active]]&lt;=Data2023[[#This Row],[Dutch total]],"T","F")</f>
        <v>T</v>
      </c>
      <c r="X135" t="str">
        <f>IF(Data2023[[#This Row],[Non-EEA Active ]]&lt;=Data2023[[#This Row],[Non-EEA Total]],"T","F")</f>
        <v>T</v>
      </c>
      <c r="Y135"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5">
        <f>IFERROR(VLOOKUP(Data2023[[#This Row],[organisation_name]],'Division Study Year Committees'!$A$1:$L$108,2,FALSE),"N/A")</f>
        <v>0</v>
      </c>
      <c r="AA135">
        <f>IFERROR(VLOOKUP(Data2023[[#This Row],[organisation_name]],'Division Study Year Committees'!$A$1:$L$108,3,FALSE),"N/A")</f>
        <v>0</v>
      </c>
      <c r="AB135">
        <f>IFERROR(VLOOKUP(Data2023[[#This Row],[organisation_name]],'Division Study Year Committees'!$A$1:$L$108,4,FALSE),"N/A")</f>
        <v>1</v>
      </c>
      <c r="AC135">
        <f>IFERROR(VLOOKUP(Data2023[[#This Row],[organisation_name]],'Division Study Year Committees'!$A$1:$L$108,5,FALSE), "N/A")</f>
        <v>3</v>
      </c>
      <c r="AD135">
        <f>IFERROR(VLOOKUP(Data2023[[#This Row],[organisation_name]],'Division Study Year Committees'!$A$1:$L$108,6,FALSE), "N/A")</f>
        <v>2</v>
      </c>
      <c r="AE135">
        <f>SUM(Data2023[[#This Row],[Number of first year comittee members]:[Number of 4+ year comittee members]])</f>
        <v>6</v>
      </c>
      <c r="AF135">
        <f>COUNTIF('Committee2022'!D:D,Data2023[[#This Row],[organisation_name]])</f>
        <v>3</v>
      </c>
      <c r="AG135">
        <v>2023</v>
      </c>
    </row>
    <row r="136" spans="1:33" x14ac:dyDescent="0.3">
      <c r="A136" t="str">
        <f>General2023[[#This Row],[organisation_name]]</f>
        <v>Enactus Twente</v>
      </c>
      <c r="B136" t="str">
        <f>IF(General2023[[#This Row],[sector]]= "",VLOOKUP(Data2023[[#This Row],[organisation_name]],'Response Rate sheet'!A:D,3,FALSE),General2023[[#This Row],[sector]])</f>
        <v>Social</v>
      </c>
      <c r="C136" t="str">
        <f>General2023[[#This Row],[organisation_type]]</f>
        <v>foundation</v>
      </c>
      <c r="D136" t="str">
        <f>IF(ISBLANK(General2023[[#This Row],[number_of_members]]),"N/A",VLOOKUP(A136,General2023[[organisation_name]:[number_of_international_committee_board_members_not_eea]],6,FALSE))</f>
        <v>N/A</v>
      </c>
      <c r="E136" t="str">
        <f>IF(ISBLANK(General2023[[#This Row],[number_of_committee_board_members]]),"N/A",VLOOKUP(A136,General2023!B:M,10,FALSE))</f>
        <v>N/A</v>
      </c>
      <c r="F136" t="str">
        <f>IFERROR(Data2023[[#This Row],[Number of members]]-Data2023[[#This Row],[Number of active members]], "N/A")</f>
        <v>N/A</v>
      </c>
      <c r="G136" t="str">
        <f>IFERROR(Data2023[[#This Row],[Number of active members]]/Data2023[[#This Row],[Number of members]], "N/A")</f>
        <v>N/A</v>
      </c>
      <c r="H136" t="str">
        <f>IFERROR(1-Data2023[[#This Row],[Percentage active members]],"N/A")</f>
        <v>N/A</v>
      </c>
      <c r="I136" t="str">
        <f>IF(Data2023[[#This Row],[Number of members]]=0,"N/A",IF(Data2023[[#This Row],[Number of members]]&lt;50," A. 1 - 50 ",IF(Data2023[[#This Row],[Number of members]]&lt;100, "B. 50 - 100", IF(Data2023[[#This Row],[Number of members]]&lt;400, "C. 100 - 400", IF(Data2023[[#This Row],[Number of members]]&lt;1000,"D. 400 - 1000", "E. 1000 +")))))</f>
        <v>E. 1000 +</v>
      </c>
      <c r="J136" t="str">
        <f>IF(ISBLANK(General2023[[#This Row],[number_of_international_members_not_eea]]),"N/A",VLOOKUP(A136,General2023[[organisation_name]:[number_of_international_committee_board_members_not_eea]],9,FALSE))</f>
        <v>N/A</v>
      </c>
      <c r="K136" t="str">
        <f>IF(ISBLANK(General2023[[#This Row],[number_of_international_members_eea]]),"N/A",VLOOKUP(A136,General2023[[organisation_name]:[number_of_international_committee_board_members_not_eea]],8,FALSE))</f>
        <v>N/A</v>
      </c>
      <c r="L136" t="str">
        <f>IFERROR(IF(Data2023[[#This Row],[Number of members]]-Data2023[[#This Row],[Non-EEA Total]]-Data2023[[#This Row],[EEA total]]&lt;1,"N/A", Data2023[[#This Row],[Number of members]]-Data2023[[#This Row],[Non-EEA Total]]-Data2023[[#This Row],[EEA total]]),"N/A")</f>
        <v>N/A</v>
      </c>
      <c r="M136">
        <f>VLOOKUP(A136,General2023[[organisation_name]:[number_of_international_committee_board_members_not_eea]],12,FALSE)</f>
        <v>0</v>
      </c>
      <c r="N136">
        <f>VLOOKUP(A136,General2023[[organisation_name]:[number_of_international_committee_board_members_not_eea]],11,FALSE)</f>
        <v>0</v>
      </c>
      <c r="O136" t="str">
        <f>IFERROR(IF(Data2023[[#This Row],[Number of active members]]-Data2023[[#This Row],[Non-EEA Active ]]-Data2023[[#This Row],[EEA Active]]&lt;1,"N/A", Data2023[[#This Row],[Number of active members]]-Data2023[[#This Row],[Non-EEA Active ]]-Data2023[[#This Row],[EEA Active]]),"N/A")</f>
        <v>N/A</v>
      </c>
      <c r="P136" t="str">
        <f>IFERROR(Data2023[[#This Row],[Non-EEA Active ]]/Data2023[[#This Row],[Number of active members]],"N/A")</f>
        <v>N/A</v>
      </c>
      <c r="Q136" t="str">
        <f>IFERROR(Data2023[[#This Row],[EEA Active]]/Data2023[[#This Row],[EEA total]], "N/A")</f>
        <v>N/A</v>
      </c>
      <c r="R136" t="str">
        <f>IFERROR(Data2023[[#This Row],[Dutch Active]]/Data2023[[#This Row],[Dutch total]],"N/A")</f>
        <v>N/A</v>
      </c>
      <c r="S136" t="str">
        <f>IFERROR(IF(Data2023[[#This Row],[Number of members]]=Data2023[[#This Row],[Non-EEA Total]]+Data2023[[#This Row],[EEA total]]+Data2023[[#This Row],[Dutch total]],"T","F"),"F")</f>
        <v>F</v>
      </c>
      <c r="T136" t="str">
        <f>IFERROR(IF(Data2023[[#This Row],[Number of active members]]=Data2023[[#This Row],[Non-EEA Active ]]+Data2023[[#This Row],[EEA Active]]+Data2023[[#This Row],[Dutch Active]],"T","F"),"F")</f>
        <v>F</v>
      </c>
      <c r="U136" t="str">
        <f>IFERROR(IF(Data2023[[#This Row],[Number of members]]-Data2023[[#This Row],[Non-EEA Active ]]-Data2023[[#This Row],[EEA Active]]-Data2023[[#This Row],[Dutch Active]]=Data2023[[#This Row],[Number of  inactive members]],"T","F"),"F")</f>
        <v>F</v>
      </c>
      <c r="V136" t="str">
        <f>IF(Data2023[[#This Row],[EEA Active]]&lt;=Data2023[[#This Row],[EEA total]],"T","F")</f>
        <v>T</v>
      </c>
      <c r="W136" t="str">
        <f>IF(Data2023[[#This Row],[Dutch Active]]&lt;=Data2023[[#This Row],[Dutch total]],"T","F")</f>
        <v>T</v>
      </c>
      <c r="X136" t="str">
        <f>IF(Data2023[[#This Row],[Non-EEA Active ]]&lt;=Data2023[[#This Row],[Non-EEA Total]],"T","F")</f>
        <v>T</v>
      </c>
      <c r="Y136"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6" t="str">
        <f>IFERROR(VLOOKUP(Data2023[[#This Row],[organisation_name]],'Division Study Year Committees'!$A$1:$L$108,2,FALSE),"N/A")</f>
        <v>N/A</v>
      </c>
      <c r="AA136" t="str">
        <f>IFERROR(VLOOKUP(Data2023[[#This Row],[organisation_name]],'Division Study Year Committees'!$A$1:$L$108,3,FALSE),"N/A")</f>
        <v>N/A</v>
      </c>
      <c r="AB136" t="str">
        <f>IFERROR(VLOOKUP(Data2023[[#This Row],[organisation_name]],'Division Study Year Committees'!$A$1:$L$108,4,FALSE),"N/A")</f>
        <v>N/A</v>
      </c>
      <c r="AC136" t="str">
        <f>IFERROR(VLOOKUP(Data2023[[#This Row],[organisation_name]],'Division Study Year Committees'!$A$1:$L$108,5,FALSE), "N/A")</f>
        <v>N/A</v>
      </c>
      <c r="AD136" t="str">
        <f>IFERROR(VLOOKUP(Data2023[[#This Row],[organisation_name]],'Division Study Year Committees'!$A$1:$L$108,6,FALSE), "N/A")</f>
        <v>N/A</v>
      </c>
      <c r="AE136">
        <f>SUM(Data2023[[#This Row],[Number of first year comittee members]:[Number of 4+ year comittee members]])</f>
        <v>0</v>
      </c>
      <c r="AF136">
        <f>COUNTIF('Committee2022'!D:D,Data2023[[#This Row],[organisation_name]])</f>
        <v>0</v>
      </c>
      <c r="AG136">
        <v>2023</v>
      </c>
    </row>
    <row r="137" spans="1:33" x14ac:dyDescent="0.3">
      <c r="A137" t="str">
        <f>General2023[[#This Row],[organisation_name]]</f>
        <v>Eurasian Student Organisation</v>
      </c>
      <c r="B137" t="str">
        <f>IF(General2023[[#This Row],[sector]]= "",VLOOKUP(Data2023[[#This Row],[organisation_name]],'Response Rate sheet'!A:D,3,FALSE),General2023[[#This Row],[sector]])</f>
        <v>World</v>
      </c>
      <c r="C137" t="str">
        <f>General2023[[#This Row],[organisation_type]]</f>
        <v>association</v>
      </c>
      <c r="D137">
        <f>IF(ISBLANK(General2023[[#This Row],[number_of_members]]),"N/A",VLOOKUP(A137,General2023[[organisation_name]:[number_of_international_committee_board_members_not_eea]],6,FALSE))</f>
        <v>200</v>
      </c>
      <c r="E137">
        <f>IF(ISBLANK(General2023[[#This Row],[number_of_committee_board_members]]),"N/A",VLOOKUP(A137,General2023!B:M,10,FALSE))</f>
        <v>15</v>
      </c>
      <c r="F137">
        <f>IFERROR(Data2023[[#This Row],[Number of members]]-Data2023[[#This Row],[Number of active members]], "N/A")</f>
        <v>185</v>
      </c>
      <c r="G137">
        <f>IFERROR(Data2023[[#This Row],[Number of active members]]/Data2023[[#This Row],[Number of members]], "N/A")</f>
        <v>7.4999999999999997E-2</v>
      </c>
      <c r="H137">
        <f>IFERROR(1-Data2023[[#This Row],[Percentage active members]],"N/A")</f>
        <v>0.92500000000000004</v>
      </c>
      <c r="I137" t="str">
        <f>IF(Data2023[[#This Row],[Number of members]]=0,"N/A",IF(Data2023[[#This Row],[Number of members]]&lt;50," A. 1 - 50 ",IF(Data2023[[#This Row],[Number of members]]&lt;100, "B. 50 - 100", IF(Data2023[[#This Row],[Number of members]]&lt;400, "C. 100 - 400", IF(Data2023[[#This Row],[Number of members]]&lt;1000,"D. 400 - 1000", "E. 1000 +")))))</f>
        <v>C. 100 - 400</v>
      </c>
      <c r="J137">
        <f>IF(ISBLANK(General2023[[#This Row],[number_of_international_members_not_eea]]),"N/A",VLOOKUP(A137,General2023[[organisation_name]:[number_of_international_committee_board_members_not_eea]],9,FALSE))</f>
        <v>20</v>
      </c>
      <c r="K137">
        <f>IF(ISBLANK(General2023[[#This Row],[number_of_international_members_eea]]),"N/A",VLOOKUP(A137,General2023[[organisation_name]:[number_of_international_committee_board_members_not_eea]],8,FALSE))</f>
        <v>200</v>
      </c>
      <c r="L137" t="str">
        <f>IFERROR(IF(Data2023[[#This Row],[Number of members]]-Data2023[[#This Row],[Non-EEA Total]]-Data2023[[#This Row],[EEA total]]&lt;1,"N/A", Data2023[[#This Row],[Number of members]]-Data2023[[#This Row],[Non-EEA Total]]-Data2023[[#This Row],[EEA total]]),"N/A")</f>
        <v>N/A</v>
      </c>
      <c r="M137">
        <f>VLOOKUP(A137,General2023[[organisation_name]:[number_of_international_committee_board_members_not_eea]],12,FALSE)</f>
        <v>20</v>
      </c>
      <c r="N137">
        <f>VLOOKUP(A137,General2023[[organisation_name]:[number_of_international_committee_board_members_not_eea]],11,FALSE)</f>
        <v>5</v>
      </c>
      <c r="O137" t="str">
        <f>IFERROR(IF(Data2023[[#This Row],[Number of active members]]-Data2023[[#This Row],[Non-EEA Active ]]-Data2023[[#This Row],[EEA Active]]&lt;1,"N/A", Data2023[[#This Row],[Number of active members]]-Data2023[[#This Row],[Non-EEA Active ]]-Data2023[[#This Row],[EEA Active]]),"N/A")</f>
        <v>N/A</v>
      </c>
      <c r="P137">
        <f>IFERROR(Data2023[[#This Row],[Non-EEA Active ]]/Data2023[[#This Row],[Number of active members]],"N/A")</f>
        <v>1.3333333333333333</v>
      </c>
      <c r="Q137">
        <f>IFERROR(Data2023[[#This Row],[EEA Active]]/Data2023[[#This Row],[EEA total]], "N/A")</f>
        <v>2.5000000000000001E-2</v>
      </c>
      <c r="R137" t="str">
        <f>IFERROR(Data2023[[#This Row],[Dutch Active]]/Data2023[[#This Row],[Dutch total]],"N/A")</f>
        <v>N/A</v>
      </c>
      <c r="S137" t="str">
        <f>IFERROR(IF(Data2023[[#This Row],[Number of members]]=Data2023[[#This Row],[Non-EEA Total]]+Data2023[[#This Row],[EEA total]]+Data2023[[#This Row],[Dutch total]],"T","F"),"F")</f>
        <v>F</v>
      </c>
      <c r="T137" t="str">
        <f>IFERROR(IF(Data2023[[#This Row],[Number of active members]]=Data2023[[#This Row],[Non-EEA Active ]]+Data2023[[#This Row],[EEA Active]]+Data2023[[#This Row],[Dutch Active]],"T","F"),"F")</f>
        <v>F</v>
      </c>
      <c r="U137" t="str">
        <f>IFERROR(IF(Data2023[[#This Row],[Number of members]]-Data2023[[#This Row],[Non-EEA Active ]]-Data2023[[#This Row],[EEA Active]]-Data2023[[#This Row],[Dutch Active]]=Data2023[[#This Row],[Number of  inactive members]],"T","F"),"F")</f>
        <v>F</v>
      </c>
      <c r="V137" t="str">
        <f>IF(Data2023[[#This Row],[EEA Active]]&lt;=Data2023[[#This Row],[EEA total]],"T","F")</f>
        <v>T</v>
      </c>
      <c r="W137" t="str">
        <f>IF(Data2023[[#This Row],[Dutch Active]]&lt;=Data2023[[#This Row],[Dutch total]],"T","F")</f>
        <v>T</v>
      </c>
      <c r="X137" t="str">
        <f>IF(Data2023[[#This Row],[Non-EEA Active ]]&lt;=Data2023[[#This Row],[Non-EEA Total]],"T","F")</f>
        <v>T</v>
      </c>
      <c r="Y137"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7">
        <f>IFERROR(VLOOKUP(Data2023[[#This Row],[organisation_name]],'Division Study Year Committees'!$A$1:$L$108,2,FALSE),"N/A")</f>
        <v>5</v>
      </c>
      <c r="AA137">
        <f>IFERROR(VLOOKUP(Data2023[[#This Row],[organisation_name]],'Division Study Year Committees'!$A$1:$L$108,3,FALSE),"N/A")</f>
        <v>1</v>
      </c>
      <c r="AB137">
        <f>IFERROR(VLOOKUP(Data2023[[#This Row],[organisation_name]],'Division Study Year Committees'!$A$1:$L$108,4,FALSE),"N/A")</f>
        <v>2</v>
      </c>
      <c r="AC137">
        <f>IFERROR(VLOOKUP(Data2023[[#This Row],[organisation_name]],'Division Study Year Committees'!$A$1:$L$108,5,FALSE), "N/A")</f>
        <v>0</v>
      </c>
      <c r="AD137">
        <f>IFERROR(VLOOKUP(Data2023[[#This Row],[organisation_name]],'Division Study Year Committees'!$A$1:$L$108,6,FALSE), "N/A")</f>
        <v>0</v>
      </c>
      <c r="AE137">
        <f>SUM(Data2023[[#This Row],[Number of first year comittee members]:[Number of 4+ year comittee members]])</f>
        <v>8</v>
      </c>
      <c r="AF137">
        <f>COUNTIF('Committee2022'!D:D,Data2023[[#This Row],[organisation_name]])</f>
        <v>3</v>
      </c>
      <c r="AG137">
        <v>2023</v>
      </c>
    </row>
    <row r="138" spans="1:33" x14ac:dyDescent="0.3">
      <c r="A138" t="str">
        <f>General2023[[#This Row],[organisation_name]]</f>
        <v>Ultimate Frisbee Twente</v>
      </c>
      <c r="B138" t="str">
        <f>IF(General2023[[#This Row],[sector]]= "",VLOOKUP(Data2023[[#This Row],[organisation_name]],'Response Rate sheet'!A:D,3,FALSE),General2023[[#This Row],[sector]])</f>
        <v>Sports</v>
      </c>
      <c r="C138" t="str">
        <f>General2023[[#This Row],[organisation_type]]</f>
        <v>association</v>
      </c>
      <c r="D138" t="str">
        <f>IF(ISBLANK(General2023[[#This Row],[number_of_members]]),"N/A",VLOOKUP(A138,General2023[[organisation_name]:[number_of_international_committee_board_members_not_eea]],6,FALSE))</f>
        <v>N/A</v>
      </c>
      <c r="E138" t="str">
        <f>IF(ISBLANK(General2023[[#This Row],[number_of_committee_board_members]]),"N/A",VLOOKUP(A138,General2023!B:M,10,FALSE))</f>
        <v>N/A</v>
      </c>
      <c r="F138" t="str">
        <f>IFERROR(Data2023[[#This Row],[Number of members]]-Data2023[[#This Row],[Number of active members]], "N/A")</f>
        <v>N/A</v>
      </c>
      <c r="G138" t="str">
        <f>IFERROR(Data2023[[#This Row],[Number of active members]]/Data2023[[#This Row],[Number of members]], "N/A")</f>
        <v>N/A</v>
      </c>
      <c r="H138" t="str">
        <f>IFERROR(1-Data2023[[#This Row],[Percentage active members]],"N/A")</f>
        <v>N/A</v>
      </c>
      <c r="I138" t="str">
        <f>IF(Data2023[[#This Row],[Number of members]]=0,"N/A",IF(Data2023[[#This Row],[Number of members]]&lt;50," A. 1 - 50 ",IF(Data2023[[#This Row],[Number of members]]&lt;100, "B. 50 - 100", IF(Data2023[[#This Row],[Number of members]]&lt;400, "C. 100 - 400", IF(Data2023[[#This Row],[Number of members]]&lt;1000,"D. 400 - 1000", "E. 1000 +")))))</f>
        <v>E. 1000 +</v>
      </c>
      <c r="J138" t="str">
        <f>IF(ISBLANK(General2023[[#This Row],[number_of_international_members_not_eea]]),"N/A",VLOOKUP(A138,General2023[[organisation_name]:[number_of_international_committee_board_members_not_eea]],9,FALSE))</f>
        <v>N/A</v>
      </c>
      <c r="K138" t="str">
        <f>IF(ISBLANK(General2023[[#This Row],[number_of_international_members_eea]]),"N/A",VLOOKUP(A138,General2023[[organisation_name]:[number_of_international_committee_board_members_not_eea]],8,FALSE))</f>
        <v>N/A</v>
      </c>
      <c r="L138" t="str">
        <f>IFERROR(IF(Data2023[[#This Row],[Number of members]]-Data2023[[#This Row],[Non-EEA Total]]-Data2023[[#This Row],[EEA total]]&lt;1,"N/A", Data2023[[#This Row],[Number of members]]-Data2023[[#This Row],[Non-EEA Total]]-Data2023[[#This Row],[EEA total]]),"N/A")</f>
        <v>N/A</v>
      </c>
      <c r="M138">
        <f>VLOOKUP(A138,General2023[[organisation_name]:[number_of_international_committee_board_members_not_eea]],12,FALSE)</f>
        <v>0</v>
      </c>
      <c r="N138">
        <f>VLOOKUP(A138,General2023[[organisation_name]:[number_of_international_committee_board_members_not_eea]],11,FALSE)</f>
        <v>0</v>
      </c>
      <c r="O138" t="str">
        <f>IFERROR(IF(Data2023[[#This Row],[Number of active members]]-Data2023[[#This Row],[Non-EEA Active ]]-Data2023[[#This Row],[EEA Active]]&lt;1,"N/A", Data2023[[#This Row],[Number of active members]]-Data2023[[#This Row],[Non-EEA Active ]]-Data2023[[#This Row],[EEA Active]]),"N/A")</f>
        <v>N/A</v>
      </c>
      <c r="P138" t="str">
        <f>IFERROR(Data2023[[#This Row],[Non-EEA Active ]]/Data2023[[#This Row],[Number of active members]],"N/A")</f>
        <v>N/A</v>
      </c>
      <c r="Q138" t="str">
        <f>IFERROR(Data2023[[#This Row],[EEA Active]]/Data2023[[#This Row],[EEA total]], "N/A")</f>
        <v>N/A</v>
      </c>
      <c r="R138" t="str">
        <f>IFERROR(Data2023[[#This Row],[Dutch Active]]/Data2023[[#This Row],[Dutch total]],"N/A")</f>
        <v>N/A</v>
      </c>
      <c r="S138" t="str">
        <f>IFERROR(IF(Data2023[[#This Row],[Number of members]]=Data2023[[#This Row],[Non-EEA Total]]+Data2023[[#This Row],[EEA total]]+Data2023[[#This Row],[Dutch total]],"T","F"),"F")</f>
        <v>F</v>
      </c>
      <c r="T138" t="str">
        <f>IFERROR(IF(Data2023[[#This Row],[Number of active members]]=Data2023[[#This Row],[Non-EEA Active ]]+Data2023[[#This Row],[EEA Active]]+Data2023[[#This Row],[Dutch Active]],"T","F"),"F")</f>
        <v>F</v>
      </c>
      <c r="U138" t="str">
        <f>IFERROR(IF(Data2023[[#This Row],[Number of members]]-Data2023[[#This Row],[Non-EEA Active ]]-Data2023[[#This Row],[EEA Active]]-Data2023[[#This Row],[Dutch Active]]=Data2023[[#This Row],[Number of  inactive members]],"T","F"),"F")</f>
        <v>F</v>
      </c>
      <c r="V138" t="str">
        <f>IF(Data2023[[#This Row],[EEA Active]]&lt;=Data2023[[#This Row],[EEA total]],"T","F")</f>
        <v>T</v>
      </c>
      <c r="W138" t="str">
        <f>IF(Data2023[[#This Row],[Dutch Active]]&lt;=Data2023[[#This Row],[Dutch total]],"T","F")</f>
        <v>T</v>
      </c>
      <c r="X138" t="str">
        <f>IF(Data2023[[#This Row],[Non-EEA Active ]]&lt;=Data2023[[#This Row],[Non-EEA Total]],"T","F")</f>
        <v>T</v>
      </c>
      <c r="Y138" t="str">
        <f>IF(OR(Data2023[[#This Row],[Test total number of members]]="F",Data2023[[#This Row],[Test total number of active members]]="F",Data2023[[#This Row],[Test total number inactive members]]="F",Data2023[[#This Row],[Test max EEA active]]="F",Data2023[[#This Row],[Test max Dutch active]]="F",Data2023[[#This Row],[Test max non-EEA active]]="F"),"F","T")</f>
        <v>F</v>
      </c>
      <c r="Z138" t="str">
        <f>IFERROR(VLOOKUP(Data2023[[#This Row],[organisation_name]],'Division Study Year Committees'!$A$1:$L$108,2,FALSE),"N/A")</f>
        <v>N/A</v>
      </c>
      <c r="AA138" t="str">
        <f>IFERROR(VLOOKUP(Data2023[[#This Row],[organisation_name]],'Division Study Year Committees'!$A$1:$L$108,3,FALSE),"N/A")</f>
        <v>N/A</v>
      </c>
      <c r="AB138" t="str">
        <f>IFERROR(VLOOKUP(Data2023[[#This Row],[organisation_name]],'Division Study Year Committees'!$A$1:$L$108,4,FALSE),"N/A")</f>
        <v>N/A</v>
      </c>
      <c r="AC138" t="str">
        <f>IFERROR(VLOOKUP(Data2023[[#This Row],[organisation_name]],'Division Study Year Committees'!$A$1:$L$108,5,FALSE), "N/A")</f>
        <v>N/A</v>
      </c>
      <c r="AD138" t="str">
        <f>IFERROR(VLOOKUP(Data2023[[#This Row],[organisation_name]],'Division Study Year Committees'!$A$1:$L$108,6,FALSE), "N/A")</f>
        <v>N/A</v>
      </c>
      <c r="AE138">
        <f>SUM(Data2023[[#This Row],[Number of first year comittee members]:[Number of 4+ year comittee members]])</f>
        <v>0</v>
      </c>
      <c r="AF138">
        <f>COUNTIF('Committee2022'!D:D,Data2023[[#This Row],[organisation_name]])</f>
        <v>0</v>
      </c>
      <c r="AG138">
        <v>2023</v>
      </c>
    </row>
    <row r="139" spans="1:33" x14ac:dyDescent="0.3">
      <c r="A139" t="str">
        <f>General2023[[#This Row],[organisation_name]]</f>
        <v>Ambitious Women UT</v>
      </c>
      <c r="B139" t="str">
        <f>IF(General2023[[#This Row],[sector]]= "",VLOOKUP(Data2023[[#This Row],[organisation_name]],'Response Rate sheet'!A:D,3,FALSE),General2023[[#This Row],[sector]])</f>
        <v>Other</v>
      </c>
      <c r="C139" t="str">
        <f>General2023[[#This Row],[organisation_type]]</f>
        <v>association</v>
      </c>
      <c r="D139">
        <f>IF(ISBLANK(General2023[[#This Row],[number_of_members]]),"N/A",VLOOKUP(A139,General2023[[organisation_name]:[number_of_international_committee_board_members_not_eea]],6,FALSE))</f>
        <v>28</v>
      </c>
      <c r="E139">
        <f>IF(ISBLANK(General2023[[#This Row],[number_of_committee_board_members]]),"N/A",VLOOKUP(A139,General2023!B:M,10,FALSE))</f>
        <v>7</v>
      </c>
      <c r="F139">
        <f>IFERROR(Data2023[[#This Row],[Number of members]]-Data2023[[#This Row],[Number of active members]], "N/A")</f>
        <v>21</v>
      </c>
      <c r="G139">
        <f>IFERROR(Data2023[[#This Row],[Number of active members]]/Data2023[[#This Row],[Number of members]], "N/A")</f>
        <v>0.25</v>
      </c>
      <c r="H139">
        <f>IFERROR(1-Data2023[[#This Row],[Percentage active members]],"N/A")</f>
        <v>0.75</v>
      </c>
      <c r="I139" t="str">
        <f>IF(Data2023[[#This Row],[Number of members]]=0,"N/A",IF(Data2023[[#This Row],[Number of members]]&lt;50," A. 1 - 50 ",IF(Data2023[[#This Row],[Number of members]]&lt;100, "B. 50 - 100", IF(Data2023[[#This Row],[Number of members]]&lt;400, "C. 100 - 400", IF(Data2023[[#This Row],[Number of members]]&lt;1000,"D. 400 - 1000", "E. 1000 +")))))</f>
        <v xml:space="preserve"> A. 1 - 50 </v>
      </c>
      <c r="J139">
        <f>IF(ISBLANK(General2023[[#This Row],[number_of_international_members_not_eea]]),"N/A",VLOOKUP(A139,General2023[[organisation_name]:[number_of_international_committee_board_members_not_eea]],9,FALSE))</f>
        <v>4</v>
      </c>
      <c r="K139">
        <f>IF(ISBLANK(General2023[[#This Row],[number_of_international_members_eea]]),"N/A",VLOOKUP(A139,General2023[[organisation_name]:[number_of_international_committee_board_members_not_eea]],8,FALSE))</f>
        <v>17</v>
      </c>
      <c r="L139">
        <f>IFERROR(IF(Data2023[[#This Row],[Number of members]]-Data2023[[#This Row],[Non-EEA Total]]-Data2023[[#This Row],[EEA total]]&lt;1,"N/A", Data2023[[#This Row],[Number of members]]-Data2023[[#This Row],[Non-EEA Total]]-Data2023[[#This Row],[EEA total]]),"N/A")</f>
        <v>7</v>
      </c>
      <c r="M139">
        <f>VLOOKUP(A139,General2023[[organisation_name]:[number_of_international_committee_board_members_not_eea]],12,FALSE)</f>
        <v>9</v>
      </c>
      <c r="N139">
        <f>VLOOKUP(A139,General2023[[organisation_name]:[number_of_international_committee_board_members_not_eea]],11,FALSE)</f>
        <v>7</v>
      </c>
      <c r="O139" t="str">
        <f>IFERROR(IF(Data2023[[#This Row],[Number of active members]]-Data2023[[#This Row],[Non-EEA Active ]]-Data2023[[#This Row],[EEA Active]]&lt;1,"N/A", Data2023[[#This Row],[Number of active members]]-Data2023[[#This Row],[Non-EEA Active ]]-Data2023[[#This Row],[EEA Active]]),"N/A")</f>
        <v>N/A</v>
      </c>
      <c r="P139">
        <f>IFERROR(Data2023[[#This Row],[Non-EEA Active ]]/Data2023[[#This Row],[Number of active members]],"N/A")</f>
        <v>1.2857142857142858</v>
      </c>
      <c r="Q139">
        <f>IFERROR(Data2023[[#This Row],[EEA Active]]/Data2023[[#This Row],[EEA total]], "N/A")</f>
        <v>0.41176470588235292</v>
      </c>
      <c r="R139" t="str">
        <f>IFERROR(Data2023[[#This Row],[Dutch Active]]/Data2023[[#This Row],[Dutch total]],"N/A")</f>
        <v>N/A</v>
      </c>
      <c r="S139" t="str">
        <f>IFERROR(IF(Data2023[[#This Row],[Number of members]]=Data2023[[#This Row],[Non-EEA Total]]+Data2023[[#This Row],[EEA total]]+Data2023[[#This Row],[Dutch total]],"T","F"),"F")</f>
        <v>T</v>
      </c>
      <c r="T139" t="str">
        <f>IFERROR(IF(Data2023[[#This Row],[Number of active members]]=Data2023[[#This Row],[Non-EEA Active ]]+Data2023[[#This Row],[EEA Active]]+Data2023[[#This Row],[Dutch Active]],"T","F"),"F")</f>
        <v>F</v>
      </c>
      <c r="U139" t="str">
        <f>IFERROR(IF(Data2023[[#This Row],[Number of members]]-Data2023[[#This Row],[Non-EEA Active ]]-Data2023[[#This Row],[EEA Active]]-Data2023[[#This Row],[Dutch Active]]=Data2023[[#This Row],[Number of  inactive members]],"T","F"),"F")</f>
        <v>F</v>
      </c>
      <c r="V139" t="str">
        <f>IF(Data2023[[#This Row],[EEA Active]]&lt;=Data2023[[#This Row],[EEA total]],"T","F")</f>
        <v>T</v>
      </c>
      <c r="W139" t="str">
        <f>IF(Data2023[[#This Row],[Dutch Active]]&lt;=Data2023[[#This Row],[Dutch total]],"T","F")</f>
        <v>F</v>
      </c>
      <c r="X139" t="str">
        <f>IF(Data2023[[#This Row],[Non-EEA Active ]]&lt;=Data2023[[#This Row],[Non-EEA Total]],"T","F")</f>
        <v>F</v>
      </c>
      <c r="Z139" t="str">
        <f>IFERROR(VLOOKUP(Data2023[[#This Row],[organisation_name]],'Division Study Year Committees'!$A$1:$L$108,2,FALSE),"N/A")</f>
        <v>N/A</v>
      </c>
      <c r="AA139" t="str">
        <f>IFERROR(VLOOKUP(Data2023[[#This Row],[organisation_name]],'Division Study Year Committees'!$A$1:$L$108,3,FALSE),"N/A")</f>
        <v>N/A</v>
      </c>
      <c r="AB139" t="str">
        <f>IFERROR(VLOOKUP(Data2023[[#This Row],[organisation_name]],'Division Study Year Committees'!$A$1:$L$108,4,FALSE),"N/A")</f>
        <v>N/A</v>
      </c>
      <c r="AC139" t="str">
        <f>IFERROR(VLOOKUP(Data2023[[#This Row],[organisation_name]],'Division Study Year Committees'!$A$1:$L$108,5,FALSE), "N/A")</f>
        <v>N/A</v>
      </c>
      <c r="AD139" t="str">
        <f>IFERROR(VLOOKUP(Data2023[[#This Row],[organisation_name]],'Division Study Year Committees'!$A$1:$L$108,6,FALSE), "N/A")</f>
        <v>N/A</v>
      </c>
      <c r="AE139">
        <f>SUM(Data2023[[#This Row],[Number of first year comittee members]:[Number of 4+ year comittee members]])</f>
        <v>0</v>
      </c>
      <c r="AF139">
        <f>COUNTIF('Committee2022'!D:D,Data2023[[#This Row],[organisation_name]])</f>
        <v>5</v>
      </c>
      <c r="AG139">
        <v>2023</v>
      </c>
    </row>
    <row r="140" spans="1:33" x14ac:dyDescent="0.3">
      <c r="A140" t="str">
        <f>General2023[[#This Row],[organisation_name]]</f>
        <v>IAESTE Twente</v>
      </c>
      <c r="B140" t="str">
        <f>IF(General2023[[#This Row],[sector]]= "",VLOOKUP(Data2023[[#This Row],[organisation_name]],'Response Rate sheet'!A:D,3,FALSE),General2023[[#This Row],[sector]])</f>
        <v>Sports</v>
      </c>
      <c r="C140" t="str">
        <f>General2023[[#This Row],[organisation_type]]</f>
        <v>foundation</v>
      </c>
      <c r="D140" t="str">
        <f>IF(ISBLANK(General2023[[#This Row],[number_of_members]]),"N/A",VLOOKUP(A140,General2023[[organisation_name]:[number_of_international_committee_board_members_not_eea]],6,FALSE))</f>
        <v>N/A</v>
      </c>
      <c r="E140" t="str">
        <f>IF(ISBLANK(General2023[[#This Row],[number_of_committee_board_members]]),"N/A",VLOOKUP(A140,General2023!B:M,10,FALSE))</f>
        <v>N/A</v>
      </c>
      <c r="F140" t="str">
        <f>IFERROR(Data2023[[#This Row],[Number of members]]-Data2023[[#This Row],[Number of active members]], "N/A")</f>
        <v>N/A</v>
      </c>
      <c r="G140" t="str">
        <f>IFERROR(Data2023[[#This Row],[Number of active members]]/Data2023[[#This Row],[Number of members]], "N/A")</f>
        <v>N/A</v>
      </c>
      <c r="H140" t="str">
        <f>IFERROR(1-Data2023[[#This Row],[Percentage active members]],"N/A")</f>
        <v>N/A</v>
      </c>
      <c r="I140" t="str">
        <f>IF(Data2023[[#This Row],[Number of members]]=0,"N/A",IF(Data2023[[#This Row],[Number of members]]&lt;50," A. 1 - 50 ",IF(Data2023[[#This Row],[Number of members]]&lt;100, "B. 50 - 100", IF(Data2023[[#This Row],[Number of members]]&lt;400, "C. 100 - 400", IF(Data2023[[#This Row],[Number of members]]&lt;1000,"D. 400 - 1000", "E. 1000 +")))))</f>
        <v>E. 1000 +</v>
      </c>
      <c r="J140" t="str">
        <f>IF(ISBLANK(General2023[[#This Row],[number_of_international_members_not_eea]]),"N/A",VLOOKUP(A140,General2023[[organisation_name]:[number_of_international_committee_board_members_not_eea]],9,FALSE))</f>
        <v>N/A</v>
      </c>
      <c r="K140" t="str">
        <f>IF(ISBLANK(General2023[[#This Row],[number_of_international_members_eea]]),"N/A",VLOOKUP(A140,General2023[[organisation_name]:[number_of_international_committee_board_members_not_eea]],8,FALSE))</f>
        <v>N/A</v>
      </c>
      <c r="L140" t="str">
        <f>IFERROR(IF(Data2023[[#This Row],[Number of members]]-Data2023[[#This Row],[Non-EEA Total]]-Data2023[[#This Row],[EEA total]]&lt;1,"N/A", Data2023[[#This Row],[Number of members]]-Data2023[[#This Row],[Non-EEA Total]]-Data2023[[#This Row],[EEA total]]),"N/A")</f>
        <v>N/A</v>
      </c>
      <c r="M140">
        <f>VLOOKUP(A140,General2023[[organisation_name]:[number_of_international_committee_board_members_not_eea]],12,FALSE)</f>
        <v>0</v>
      </c>
      <c r="N140">
        <f>VLOOKUP(A140,General2023[[organisation_name]:[number_of_international_committee_board_members_not_eea]],11,FALSE)</f>
        <v>0</v>
      </c>
      <c r="O140" t="str">
        <f>IFERROR(IF(Data2023[[#This Row],[Number of active members]]-Data2023[[#This Row],[Non-EEA Active ]]-Data2023[[#This Row],[EEA Active]]&lt;1,"N/A", Data2023[[#This Row],[Number of active members]]-Data2023[[#This Row],[Non-EEA Active ]]-Data2023[[#This Row],[EEA Active]]),"N/A")</f>
        <v>N/A</v>
      </c>
      <c r="P140" t="str">
        <f>IFERROR(Data2023[[#This Row],[Non-EEA Active ]]/Data2023[[#This Row],[Number of active members]],"N/A")</f>
        <v>N/A</v>
      </c>
      <c r="Q140" t="str">
        <f>IFERROR(Data2023[[#This Row],[EEA Active]]/Data2023[[#This Row],[EEA total]], "N/A")</f>
        <v>N/A</v>
      </c>
      <c r="R140" t="str">
        <f>IFERROR(Data2023[[#This Row],[Dutch Active]]/Data2023[[#This Row],[Dutch total]],"N/A")</f>
        <v>N/A</v>
      </c>
      <c r="S140" t="str">
        <f>IFERROR(IF(Data2023[[#This Row],[Number of members]]=Data2023[[#This Row],[Non-EEA Total]]+Data2023[[#This Row],[EEA total]]+Data2023[[#This Row],[Dutch total]],"T","F"),"F")</f>
        <v>F</v>
      </c>
      <c r="T140" t="str">
        <f>IFERROR(IF(Data2023[[#This Row],[Number of active members]]=Data2023[[#This Row],[Non-EEA Active ]]+Data2023[[#This Row],[EEA Active]]+Data2023[[#This Row],[Dutch Active]],"T","F"),"F")</f>
        <v>F</v>
      </c>
      <c r="U140" t="str">
        <f>IFERROR(IF(Data2023[[#This Row],[Number of members]]-Data2023[[#This Row],[Non-EEA Active ]]-Data2023[[#This Row],[EEA Active]]-Data2023[[#This Row],[Dutch Active]]=Data2023[[#This Row],[Number of  inactive members]],"T","F"),"F")</f>
        <v>F</v>
      </c>
      <c r="V140" t="str">
        <f>IF(Data2023[[#This Row],[EEA Active]]&lt;=Data2023[[#This Row],[EEA total]],"T","F")</f>
        <v>T</v>
      </c>
      <c r="W140" t="str">
        <f>IF(Data2023[[#This Row],[Dutch Active]]&lt;=Data2023[[#This Row],[Dutch total]],"T","F")</f>
        <v>T</v>
      </c>
      <c r="X140" t="str">
        <f>IF(Data2023[[#This Row],[Non-EEA Active ]]&lt;=Data2023[[#This Row],[Non-EEA Total]],"T","F")</f>
        <v>T</v>
      </c>
      <c r="Y140" t="e">
        <f>IF(OR(Data2023[[#This Row],[Test total number of members]],Data2023[[#This Row],[Test total number of active members]],Data2023[[#This Row],[Test total number inactive members]],Data2023[[#This Row],[Test max EEA active]],Data2023[[#This Row],[Test max Dutch active]],Data2023[[#This Row],[Test max non-EEA active]])="F",0,1)</f>
        <v>#VALUE!</v>
      </c>
      <c r="Z140" t="str">
        <f>IFERROR(VLOOKUP(Data2023[[#This Row],[organisation_name]],'Division Study Year Committees'!$A$1:$L$108,2,FALSE),"N/A")</f>
        <v>N/A</v>
      </c>
      <c r="AA140" t="str">
        <f>IFERROR(VLOOKUP(Data2023[[#This Row],[organisation_name]],'Division Study Year Committees'!$A$1:$L$108,3,FALSE),"N/A")</f>
        <v>N/A</v>
      </c>
      <c r="AB140" t="str">
        <f>IFERROR(VLOOKUP(Data2023[[#This Row],[organisation_name]],'Division Study Year Committees'!$A$1:$L$108,4,FALSE),"N/A")</f>
        <v>N/A</v>
      </c>
      <c r="AC140" t="str">
        <f>IFERROR(VLOOKUP(Data2023[[#This Row],[organisation_name]],'Division Study Year Committees'!$A$1:$L$108,5,FALSE), "N/A")</f>
        <v>N/A</v>
      </c>
      <c r="AD140" t="str">
        <f>IFERROR(VLOOKUP(Data2023[[#This Row],[organisation_name]],'Division Study Year Committees'!$A$1:$L$108,6,FALSE), "N/A")</f>
        <v>N/A</v>
      </c>
      <c r="AE140">
        <f>SUM(Data2023[[#This Row],[Number of first year comittee members]:[Number of 4+ year comittee members]])</f>
        <v>0</v>
      </c>
      <c r="AF140">
        <f>COUNTIF('Committee2022'!D:D,Data2023[[#This Row],[organisation_name]])</f>
        <v>0</v>
      </c>
      <c r="AG140">
        <v>2023</v>
      </c>
    </row>
  </sheetData>
  <sheetProtection selectLockedCells="1" autoFilter="0" pivotTables="0" selectUnlockedCells="1"/>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5B23F-DA66-43BC-BA26-6744EFB6935E}">
  <sheetPr codeName="Sheet19">
    <tabColor rgb="FFF2F0F5"/>
  </sheetPr>
  <dimension ref="A1:O915"/>
  <sheetViews>
    <sheetView topLeftCell="A2" workbookViewId="0">
      <selection activeCell="K39" sqref="K39"/>
    </sheetView>
  </sheetViews>
  <sheetFormatPr defaultRowHeight="14.4" x14ac:dyDescent="0.3"/>
  <cols>
    <col min="1" max="1" width="15.6640625" bestFit="1" customWidth="1"/>
    <col min="2" max="2" width="19.33203125" bestFit="1" customWidth="1"/>
    <col min="3" max="3" width="16.6640625" bestFit="1" customWidth="1"/>
    <col min="4" max="4" width="38.33203125" bestFit="1" customWidth="1"/>
    <col min="5" max="5" width="15.44140625" bestFit="1" customWidth="1"/>
    <col min="6" max="6" width="46" bestFit="1" customWidth="1"/>
    <col min="7" max="7" width="11.33203125" bestFit="1" customWidth="1"/>
    <col min="8" max="8" width="11.88671875" bestFit="1" customWidth="1"/>
    <col min="9" max="10" width="11.5546875" bestFit="1" customWidth="1"/>
    <col min="11" max="11" width="16.33203125" bestFit="1" customWidth="1"/>
    <col min="12" max="12" width="11.33203125" bestFit="1" customWidth="1"/>
    <col min="13" max="13" width="33.6640625" bestFit="1" customWidth="1"/>
    <col min="14" max="14" width="35.6640625" bestFit="1" customWidth="1"/>
    <col min="15" max="15" width="14.6640625" bestFit="1" customWidth="1"/>
  </cols>
  <sheetData>
    <row r="1" spans="1:15" x14ac:dyDescent="0.3">
      <c r="A1" t="s">
        <v>300</v>
      </c>
      <c r="B1" t="s">
        <v>301</v>
      </c>
      <c r="C1" t="s">
        <v>0</v>
      </c>
      <c r="D1" t="s">
        <v>1</v>
      </c>
      <c r="E1" t="s">
        <v>302</v>
      </c>
      <c r="F1" t="s">
        <v>303</v>
      </c>
      <c r="G1" t="s">
        <v>304</v>
      </c>
      <c r="H1" t="s">
        <v>305</v>
      </c>
      <c r="I1" t="s">
        <v>306</v>
      </c>
      <c r="J1" t="s">
        <v>307</v>
      </c>
      <c r="K1" t="s">
        <v>308</v>
      </c>
      <c r="L1" t="s">
        <v>309</v>
      </c>
      <c r="M1" t="s">
        <v>310</v>
      </c>
      <c r="N1" t="s">
        <v>311</v>
      </c>
      <c r="O1" t="s">
        <v>312</v>
      </c>
    </row>
    <row r="2" spans="1:15" x14ac:dyDescent="0.3">
      <c r="A2">
        <v>142</v>
      </c>
      <c r="B2" t="s">
        <v>313</v>
      </c>
      <c r="C2">
        <v>107</v>
      </c>
      <c r="D2" t="s">
        <v>13</v>
      </c>
      <c r="E2">
        <v>1561</v>
      </c>
      <c r="F2" t="s">
        <v>314</v>
      </c>
      <c r="G2">
        <v>0</v>
      </c>
      <c r="H2">
        <v>0</v>
      </c>
      <c r="I2">
        <v>0</v>
      </c>
      <c r="J2">
        <v>0</v>
      </c>
      <c r="K2">
        <v>0</v>
      </c>
      <c r="L2">
        <v>0</v>
      </c>
      <c r="M2" t="s">
        <v>1116</v>
      </c>
      <c r="N2" t="s">
        <v>1116</v>
      </c>
      <c r="O2" t="s">
        <v>1116</v>
      </c>
    </row>
    <row r="3" spans="1:15" x14ac:dyDescent="0.3">
      <c r="A3">
        <v>142</v>
      </c>
      <c r="B3" t="s">
        <v>313</v>
      </c>
      <c r="C3">
        <v>107</v>
      </c>
      <c r="D3" t="s">
        <v>13</v>
      </c>
      <c r="E3">
        <v>1562</v>
      </c>
      <c r="F3" t="s">
        <v>315</v>
      </c>
      <c r="M3" t="s">
        <v>1116</v>
      </c>
      <c r="N3" t="s">
        <v>1116</v>
      </c>
      <c r="O3" t="s">
        <v>1116</v>
      </c>
    </row>
    <row r="4" spans="1:15" x14ac:dyDescent="0.3">
      <c r="A4">
        <v>142</v>
      </c>
      <c r="B4" t="s">
        <v>313</v>
      </c>
      <c r="C4">
        <v>107</v>
      </c>
      <c r="D4" t="s">
        <v>13</v>
      </c>
      <c r="E4">
        <v>1563</v>
      </c>
      <c r="F4" t="s">
        <v>316</v>
      </c>
      <c r="M4" t="s">
        <v>1116</v>
      </c>
      <c r="N4" t="s">
        <v>1116</v>
      </c>
      <c r="O4" t="s">
        <v>1116</v>
      </c>
    </row>
    <row r="5" spans="1:15" x14ac:dyDescent="0.3">
      <c r="A5">
        <v>142</v>
      </c>
      <c r="B5" t="s">
        <v>313</v>
      </c>
      <c r="C5">
        <v>107</v>
      </c>
      <c r="D5" t="s">
        <v>13</v>
      </c>
      <c r="E5">
        <v>1564</v>
      </c>
      <c r="F5" t="s">
        <v>317</v>
      </c>
      <c r="M5" t="s">
        <v>1116</v>
      </c>
      <c r="N5" t="s">
        <v>1116</v>
      </c>
      <c r="O5" t="s">
        <v>1116</v>
      </c>
    </row>
    <row r="6" spans="1:15" x14ac:dyDescent="0.3">
      <c r="A6">
        <v>142</v>
      </c>
      <c r="B6" t="s">
        <v>313</v>
      </c>
      <c r="C6">
        <v>107</v>
      </c>
      <c r="D6" t="s">
        <v>13</v>
      </c>
      <c r="E6">
        <v>1565</v>
      </c>
      <c r="F6" t="s">
        <v>318</v>
      </c>
      <c r="M6" t="s">
        <v>1116</v>
      </c>
      <c r="N6" t="s">
        <v>1116</v>
      </c>
      <c r="O6" t="s">
        <v>1116</v>
      </c>
    </row>
    <row r="7" spans="1:15" x14ac:dyDescent="0.3">
      <c r="A7">
        <v>142</v>
      </c>
      <c r="B7" t="s">
        <v>313</v>
      </c>
      <c r="C7">
        <v>107</v>
      </c>
      <c r="D7" t="s">
        <v>13</v>
      </c>
      <c r="E7">
        <v>1566</v>
      </c>
      <c r="F7" t="s">
        <v>319</v>
      </c>
      <c r="M7" t="s">
        <v>1116</v>
      </c>
      <c r="N7" t="s">
        <v>1116</v>
      </c>
      <c r="O7" t="s">
        <v>1116</v>
      </c>
    </row>
    <row r="8" spans="1:15" x14ac:dyDescent="0.3">
      <c r="A8">
        <v>142</v>
      </c>
      <c r="B8" t="s">
        <v>313</v>
      </c>
      <c r="C8">
        <v>107</v>
      </c>
      <c r="D8" t="s">
        <v>13</v>
      </c>
      <c r="E8">
        <v>1567</v>
      </c>
      <c r="F8" t="s">
        <v>320</v>
      </c>
      <c r="M8" t="s">
        <v>1116</v>
      </c>
      <c r="N8" t="s">
        <v>1116</v>
      </c>
      <c r="O8" t="s">
        <v>1116</v>
      </c>
    </row>
    <row r="9" spans="1:15" x14ac:dyDescent="0.3">
      <c r="A9">
        <v>142</v>
      </c>
      <c r="B9" t="s">
        <v>313</v>
      </c>
      <c r="C9">
        <v>107</v>
      </c>
      <c r="D9" t="s">
        <v>13</v>
      </c>
      <c r="E9">
        <v>1568</v>
      </c>
      <c r="F9" t="s">
        <v>321</v>
      </c>
      <c r="M9" t="s">
        <v>1116</v>
      </c>
      <c r="N9" t="s">
        <v>1116</v>
      </c>
      <c r="O9" t="s">
        <v>1116</v>
      </c>
    </row>
    <row r="10" spans="1:15" x14ac:dyDescent="0.3">
      <c r="A10">
        <v>142</v>
      </c>
      <c r="B10" t="s">
        <v>313</v>
      </c>
      <c r="C10">
        <v>107</v>
      </c>
      <c r="D10" t="s">
        <v>13</v>
      </c>
      <c r="E10">
        <v>1569</v>
      </c>
      <c r="F10" t="s">
        <v>322</v>
      </c>
      <c r="M10" t="s">
        <v>1116</v>
      </c>
      <c r="N10" t="s">
        <v>1116</v>
      </c>
      <c r="O10" t="s">
        <v>1116</v>
      </c>
    </row>
    <row r="11" spans="1:15" x14ac:dyDescent="0.3">
      <c r="A11">
        <v>143</v>
      </c>
      <c r="B11" t="s">
        <v>323</v>
      </c>
      <c r="C11">
        <v>108</v>
      </c>
      <c r="D11" t="s">
        <v>18</v>
      </c>
      <c r="E11">
        <v>1599</v>
      </c>
      <c r="F11" t="s">
        <v>324</v>
      </c>
      <c r="G11">
        <v>1</v>
      </c>
      <c r="H11">
        <v>2</v>
      </c>
      <c r="I11">
        <v>2</v>
      </c>
      <c r="J11">
        <v>0</v>
      </c>
      <c r="K11">
        <v>1</v>
      </c>
      <c r="L11">
        <v>0</v>
      </c>
      <c r="M11" t="s">
        <v>325</v>
      </c>
      <c r="N11" t="s">
        <v>326</v>
      </c>
      <c r="O11" t="s">
        <v>327</v>
      </c>
    </row>
    <row r="12" spans="1:15" x14ac:dyDescent="0.3">
      <c r="A12">
        <v>143</v>
      </c>
      <c r="B12" t="s">
        <v>323</v>
      </c>
      <c r="C12">
        <v>108</v>
      </c>
      <c r="D12" t="s">
        <v>18</v>
      </c>
      <c r="E12">
        <v>1600</v>
      </c>
      <c r="F12" t="s">
        <v>328</v>
      </c>
      <c r="G12">
        <v>2</v>
      </c>
      <c r="H12">
        <v>2</v>
      </c>
      <c r="I12">
        <v>0</v>
      </c>
      <c r="J12">
        <v>0</v>
      </c>
      <c r="K12">
        <v>0</v>
      </c>
      <c r="L12">
        <v>0</v>
      </c>
      <c r="M12" t="s">
        <v>325</v>
      </c>
      <c r="N12" t="s">
        <v>329</v>
      </c>
      <c r="O12" t="s">
        <v>330</v>
      </c>
    </row>
    <row r="13" spans="1:15" x14ac:dyDescent="0.3">
      <c r="A13">
        <v>143</v>
      </c>
      <c r="B13" t="s">
        <v>323</v>
      </c>
      <c r="C13">
        <v>108</v>
      </c>
      <c r="D13" t="s">
        <v>18</v>
      </c>
      <c r="E13">
        <v>1601</v>
      </c>
      <c r="F13" t="s">
        <v>331</v>
      </c>
      <c r="G13">
        <v>0</v>
      </c>
      <c r="H13">
        <v>1</v>
      </c>
      <c r="I13">
        <v>1</v>
      </c>
      <c r="J13">
        <v>2</v>
      </c>
      <c r="K13">
        <v>2</v>
      </c>
      <c r="L13">
        <v>1</v>
      </c>
      <c r="M13" t="s">
        <v>325</v>
      </c>
      <c r="N13" t="s">
        <v>326</v>
      </c>
      <c r="O13" t="s">
        <v>330</v>
      </c>
    </row>
    <row r="14" spans="1:15" x14ac:dyDescent="0.3">
      <c r="A14">
        <v>143</v>
      </c>
      <c r="B14" t="s">
        <v>323</v>
      </c>
      <c r="C14">
        <v>108</v>
      </c>
      <c r="D14" t="s">
        <v>18</v>
      </c>
      <c r="E14">
        <v>1602</v>
      </c>
      <c r="F14" t="s">
        <v>332</v>
      </c>
      <c r="G14">
        <v>0</v>
      </c>
      <c r="H14">
        <v>0</v>
      </c>
      <c r="I14">
        <v>1</v>
      </c>
      <c r="J14">
        <v>0</v>
      </c>
      <c r="K14">
        <v>2</v>
      </c>
      <c r="L14">
        <v>0</v>
      </c>
      <c r="M14" t="s">
        <v>333</v>
      </c>
      <c r="N14" t="s">
        <v>326</v>
      </c>
      <c r="O14" t="s">
        <v>330</v>
      </c>
    </row>
    <row r="15" spans="1:15" x14ac:dyDescent="0.3">
      <c r="A15">
        <v>143</v>
      </c>
      <c r="B15" t="s">
        <v>323</v>
      </c>
      <c r="C15">
        <v>108</v>
      </c>
      <c r="D15" t="s">
        <v>18</v>
      </c>
      <c r="E15">
        <v>1603</v>
      </c>
      <c r="F15" t="s">
        <v>334</v>
      </c>
      <c r="G15">
        <v>2</v>
      </c>
      <c r="H15">
        <v>1</v>
      </c>
      <c r="I15">
        <v>1</v>
      </c>
      <c r="J15">
        <v>0</v>
      </c>
      <c r="K15">
        <v>3</v>
      </c>
      <c r="L15">
        <v>0</v>
      </c>
      <c r="M15" t="s">
        <v>325</v>
      </c>
      <c r="N15" t="s">
        <v>326</v>
      </c>
      <c r="O15" t="s">
        <v>330</v>
      </c>
    </row>
    <row r="16" spans="1:15" x14ac:dyDescent="0.3">
      <c r="A16">
        <v>143</v>
      </c>
      <c r="B16" t="s">
        <v>323</v>
      </c>
      <c r="C16">
        <v>108</v>
      </c>
      <c r="D16" t="s">
        <v>18</v>
      </c>
      <c r="E16">
        <v>1604</v>
      </c>
      <c r="F16" t="s">
        <v>335</v>
      </c>
      <c r="G16">
        <v>0</v>
      </c>
      <c r="H16">
        <v>1</v>
      </c>
      <c r="I16">
        <v>2</v>
      </c>
      <c r="J16">
        <v>0</v>
      </c>
      <c r="K16">
        <v>1</v>
      </c>
      <c r="L16">
        <v>0</v>
      </c>
      <c r="M16" t="s">
        <v>325</v>
      </c>
      <c r="N16" t="s">
        <v>336</v>
      </c>
      <c r="O16" t="s">
        <v>327</v>
      </c>
    </row>
    <row r="17" spans="1:15" x14ac:dyDescent="0.3">
      <c r="A17">
        <v>143</v>
      </c>
      <c r="B17" t="s">
        <v>323</v>
      </c>
      <c r="C17">
        <v>108</v>
      </c>
      <c r="D17" t="s">
        <v>18</v>
      </c>
      <c r="E17">
        <v>1605</v>
      </c>
      <c r="F17" t="s">
        <v>337</v>
      </c>
      <c r="G17">
        <v>2</v>
      </c>
      <c r="H17">
        <v>2</v>
      </c>
      <c r="I17">
        <v>1</v>
      </c>
      <c r="J17">
        <v>0</v>
      </c>
      <c r="K17">
        <v>0</v>
      </c>
      <c r="L17">
        <v>0</v>
      </c>
      <c r="M17" t="s">
        <v>325</v>
      </c>
      <c r="N17" t="s">
        <v>336</v>
      </c>
      <c r="O17" t="s">
        <v>338</v>
      </c>
    </row>
    <row r="18" spans="1:15" x14ac:dyDescent="0.3">
      <c r="A18">
        <v>143</v>
      </c>
      <c r="B18" t="s">
        <v>323</v>
      </c>
      <c r="C18">
        <v>108</v>
      </c>
      <c r="D18" t="s">
        <v>18</v>
      </c>
      <c r="E18">
        <v>1606</v>
      </c>
      <c r="F18" t="s">
        <v>339</v>
      </c>
      <c r="G18">
        <v>4</v>
      </c>
      <c r="H18">
        <v>2</v>
      </c>
      <c r="I18">
        <v>0</v>
      </c>
      <c r="J18">
        <v>0</v>
      </c>
      <c r="K18">
        <v>0</v>
      </c>
      <c r="L18">
        <v>0</v>
      </c>
      <c r="M18" t="s">
        <v>333</v>
      </c>
      <c r="N18" t="s">
        <v>326</v>
      </c>
      <c r="O18" t="s">
        <v>340</v>
      </c>
    </row>
    <row r="19" spans="1:15" x14ac:dyDescent="0.3">
      <c r="A19">
        <v>143</v>
      </c>
      <c r="B19" t="s">
        <v>323</v>
      </c>
      <c r="C19">
        <v>108</v>
      </c>
      <c r="D19" t="s">
        <v>18</v>
      </c>
      <c r="E19">
        <v>1607</v>
      </c>
      <c r="F19" t="s">
        <v>341</v>
      </c>
      <c r="G19">
        <v>0</v>
      </c>
      <c r="H19">
        <v>2</v>
      </c>
      <c r="I19">
        <v>2</v>
      </c>
      <c r="J19">
        <v>0</v>
      </c>
      <c r="K19">
        <v>0</v>
      </c>
      <c r="L19">
        <v>0</v>
      </c>
      <c r="M19" t="s">
        <v>325</v>
      </c>
      <c r="N19" t="s">
        <v>329</v>
      </c>
      <c r="O19" t="s">
        <v>330</v>
      </c>
    </row>
    <row r="20" spans="1:15" x14ac:dyDescent="0.3">
      <c r="A20">
        <v>143</v>
      </c>
      <c r="B20" t="s">
        <v>323</v>
      </c>
      <c r="C20">
        <v>108</v>
      </c>
      <c r="D20" t="s">
        <v>18</v>
      </c>
      <c r="E20">
        <v>1608</v>
      </c>
      <c r="F20" t="s">
        <v>342</v>
      </c>
      <c r="G20">
        <v>0</v>
      </c>
      <c r="H20">
        <v>0</v>
      </c>
      <c r="I20">
        <v>2</v>
      </c>
      <c r="J20">
        <v>2</v>
      </c>
      <c r="K20">
        <v>2</v>
      </c>
      <c r="L20">
        <v>0</v>
      </c>
      <c r="M20" t="s">
        <v>325</v>
      </c>
      <c r="N20" t="s">
        <v>343</v>
      </c>
      <c r="O20" t="s">
        <v>327</v>
      </c>
    </row>
    <row r="21" spans="1:15" x14ac:dyDescent="0.3">
      <c r="A21">
        <v>143</v>
      </c>
      <c r="B21" t="s">
        <v>323</v>
      </c>
      <c r="C21">
        <v>108</v>
      </c>
      <c r="D21" t="s">
        <v>18</v>
      </c>
      <c r="E21">
        <v>1609</v>
      </c>
      <c r="F21" t="s">
        <v>344</v>
      </c>
      <c r="G21">
        <v>1</v>
      </c>
      <c r="H21">
        <v>0</v>
      </c>
      <c r="I21">
        <v>2</v>
      </c>
      <c r="J21">
        <v>2</v>
      </c>
      <c r="K21">
        <v>2</v>
      </c>
      <c r="L21">
        <v>0</v>
      </c>
      <c r="M21" t="s">
        <v>333</v>
      </c>
      <c r="N21" t="s">
        <v>326</v>
      </c>
      <c r="O21" t="s">
        <v>330</v>
      </c>
    </row>
    <row r="22" spans="1:15" x14ac:dyDescent="0.3">
      <c r="A22">
        <v>143</v>
      </c>
      <c r="B22" t="s">
        <v>323</v>
      </c>
      <c r="C22">
        <v>108</v>
      </c>
      <c r="D22" t="s">
        <v>18</v>
      </c>
      <c r="E22">
        <v>1610</v>
      </c>
      <c r="F22" t="s">
        <v>345</v>
      </c>
      <c r="G22">
        <v>0</v>
      </c>
      <c r="H22">
        <v>0</v>
      </c>
      <c r="I22">
        <v>2</v>
      </c>
      <c r="J22">
        <v>1</v>
      </c>
      <c r="K22">
        <v>0</v>
      </c>
      <c r="L22">
        <v>0</v>
      </c>
      <c r="M22" t="s">
        <v>333</v>
      </c>
      <c r="N22" t="s">
        <v>326</v>
      </c>
      <c r="O22" t="s">
        <v>338</v>
      </c>
    </row>
    <row r="23" spans="1:15" x14ac:dyDescent="0.3">
      <c r="A23">
        <v>143</v>
      </c>
      <c r="B23" t="s">
        <v>323</v>
      </c>
      <c r="C23">
        <v>108</v>
      </c>
      <c r="D23" t="s">
        <v>18</v>
      </c>
      <c r="E23">
        <v>1611</v>
      </c>
      <c r="F23" t="s">
        <v>346</v>
      </c>
      <c r="G23">
        <v>0</v>
      </c>
      <c r="H23">
        <v>1</v>
      </c>
      <c r="I23">
        <v>0</v>
      </c>
      <c r="J23">
        <v>0</v>
      </c>
      <c r="K23">
        <v>0</v>
      </c>
      <c r="L23">
        <v>0</v>
      </c>
      <c r="M23" t="s">
        <v>333</v>
      </c>
      <c r="N23" t="s">
        <v>343</v>
      </c>
      <c r="O23" t="s">
        <v>338</v>
      </c>
    </row>
    <row r="24" spans="1:15" x14ac:dyDescent="0.3">
      <c r="A24">
        <v>143</v>
      </c>
      <c r="B24" t="s">
        <v>323</v>
      </c>
      <c r="C24">
        <v>108</v>
      </c>
      <c r="D24" t="s">
        <v>18</v>
      </c>
      <c r="E24">
        <v>1612</v>
      </c>
      <c r="F24" t="s">
        <v>347</v>
      </c>
      <c r="G24">
        <v>2</v>
      </c>
      <c r="H24">
        <v>2</v>
      </c>
      <c r="I24">
        <v>2</v>
      </c>
      <c r="J24">
        <v>0</v>
      </c>
      <c r="K24">
        <v>0</v>
      </c>
      <c r="L24">
        <v>0</v>
      </c>
      <c r="M24" t="s">
        <v>325</v>
      </c>
      <c r="N24" t="s">
        <v>348</v>
      </c>
      <c r="O24" t="s">
        <v>338</v>
      </c>
    </row>
    <row r="25" spans="1:15" x14ac:dyDescent="0.3">
      <c r="A25">
        <v>145</v>
      </c>
      <c r="B25" t="s">
        <v>323</v>
      </c>
      <c r="C25">
        <v>111</v>
      </c>
      <c r="D25" t="s">
        <v>23</v>
      </c>
      <c r="E25">
        <v>1423</v>
      </c>
      <c r="F25" t="s">
        <v>349</v>
      </c>
      <c r="G25">
        <v>0</v>
      </c>
      <c r="H25">
        <v>1</v>
      </c>
      <c r="I25">
        <v>0</v>
      </c>
      <c r="J25">
        <v>2</v>
      </c>
      <c r="K25">
        <v>0</v>
      </c>
      <c r="L25">
        <v>0</v>
      </c>
      <c r="M25" t="s">
        <v>325</v>
      </c>
      <c r="N25" t="s">
        <v>326</v>
      </c>
      <c r="O25" t="s">
        <v>338</v>
      </c>
    </row>
    <row r="26" spans="1:15" x14ac:dyDescent="0.3">
      <c r="A26">
        <v>145</v>
      </c>
      <c r="B26" t="s">
        <v>323</v>
      </c>
      <c r="C26">
        <v>111</v>
      </c>
      <c r="D26" t="s">
        <v>23</v>
      </c>
      <c r="E26">
        <v>1424</v>
      </c>
      <c r="F26" t="s">
        <v>350</v>
      </c>
      <c r="G26">
        <v>0</v>
      </c>
      <c r="H26">
        <v>0</v>
      </c>
      <c r="I26">
        <v>0</v>
      </c>
      <c r="J26">
        <v>0</v>
      </c>
      <c r="K26">
        <v>4</v>
      </c>
      <c r="L26">
        <v>0</v>
      </c>
      <c r="M26" t="s">
        <v>333</v>
      </c>
      <c r="N26" t="s">
        <v>326</v>
      </c>
      <c r="O26" t="s">
        <v>338</v>
      </c>
    </row>
    <row r="27" spans="1:15" x14ac:dyDescent="0.3">
      <c r="A27">
        <v>145</v>
      </c>
      <c r="B27" t="s">
        <v>323</v>
      </c>
      <c r="C27">
        <v>111</v>
      </c>
      <c r="D27" t="s">
        <v>23</v>
      </c>
      <c r="E27">
        <v>1425</v>
      </c>
      <c r="F27" t="s">
        <v>351</v>
      </c>
      <c r="G27">
        <v>0</v>
      </c>
      <c r="H27">
        <v>0</v>
      </c>
      <c r="I27">
        <v>0</v>
      </c>
      <c r="J27">
        <v>0</v>
      </c>
      <c r="K27">
        <v>5</v>
      </c>
      <c r="L27">
        <v>0</v>
      </c>
      <c r="M27" t="s">
        <v>333</v>
      </c>
      <c r="N27" t="s">
        <v>326</v>
      </c>
      <c r="O27" t="s">
        <v>352</v>
      </c>
    </row>
    <row r="28" spans="1:15" x14ac:dyDescent="0.3">
      <c r="A28">
        <v>145</v>
      </c>
      <c r="B28" t="s">
        <v>323</v>
      </c>
      <c r="C28">
        <v>111</v>
      </c>
      <c r="D28" t="s">
        <v>23</v>
      </c>
      <c r="E28">
        <v>1426</v>
      </c>
      <c r="F28" t="s">
        <v>353</v>
      </c>
      <c r="G28">
        <v>0</v>
      </c>
      <c r="H28">
        <v>0</v>
      </c>
      <c r="I28">
        <v>0</v>
      </c>
      <c r="J28">
        <v>1</v>
      </c>
      <c r="K28">
        <v>2</v>
      </c>
      <c r="L28">
        <v>0</v>
      </c>
      <c r="M28" t="s">
        <v>333</v>
      </c>
      <c r="N28" t="s">
        <v>326</v>
      </c>
      <c r="O28" t="s">
        <v>330</v>
      </c>
    </row>
    <row r="29" spans="1:15" x14ac:dyDescent="0.3">
      <c r="A29">
        <v>145</v>
      </c>
      <c r="B29" t="s">
        <v>323</v>
      </c>
      <c r="C29">
        <v>111</v>
      </c>
      <c r="D29" t="s">
        <v>23</v>
      </c>
      <c r="E29">
        <v>1427</v>
      </c>
      <c r="F29" t="s">
        <v>354</v>
      </c>
      <c r="G29">
        <v>0</v>
      </c>
      <c r="H29">
        <v>0</v>
      </c>
      <c r="I29">
        <v>0</v>
      </c>
      <c r="J29">
        <v>0</v>
      </c>
      <c r="K29">
        <v>4</v>
      </c>
      <c r="L29">
        <v>0</v>
      </c>
      <c r="M29" t="s">
        <v>333</v>
      </c>
      <c r="N29" t="s">
        <v>326</v>
      </c>
      <c r="O29" t="s">
        <v>352</v>
      </c>
    </row>
    <row r="30" spans="1:15" x14ac:dyDescent="0.3">
      <c r="A30">
        <v>145</v>
      </c>
      <c r="B30" t="s">
        <v>323</v>
      </c>
      <c r="C30">
        <v>111</v>
      </c>
      <c r="D30" t="s">
        <v>23</v>
      </c>
      <c r="E30">
        <v>1428</v>
      </c>
      <c r="F30" t="s">
        <v>355</v>
      </c>
      <c r="G30">
        <v>0</v>
      </c>
      <c r="H30">
        <v>0</v>
      </c>
      <c r="I30">
        <v>0</v>
      </c>
      <c r="J30">
        <v>0</v>
      </c>
      <c r="K30">
        <v>2</v>
      </c>
      <c r="L30">
        <v>0</v>
      </c>
      <c r="M30" t="s">
        <v>333</v>
      </c>
      <c r="N30" t="s">
        <v>326</v>
      </c>
      <c r="O30" t="s">
        <v>352</v>
      </c>
    </row>
    <row r="31" spans="1:15" x14ac:dyDescent="0.3">
      <c r="A31">
        <v>145</v>
      </c>
      <c r="B31" t="s">
        <v>323</v>
      </c>
      <c r="C31">
        <v>111</v>
      </c>
      <c r="D31" t="s">
        <v>23</v>
      </c>
      <c r="E31">
        <v>1429</v>
      </c>
      <c r="F31" t="s">
        <v>356</v>
      </c>
      <c r="G31">
        <v>0</v>
      </c>
      <c r="H31">
        <v>0</v>
      </c>
      <c r="I31">
        <v>0</v>
      </c>
      <c r="J31">
        <v>2</v>
      </c>
      <c r="K31">
        <v>1</v>
      </c>
      <c r="L31">
        <v>0</v>
      </c>
      <c r="M31" t="s">
        <v>333</v>
      </c>
      <c r="N31" t="s">
        <v>326</v>
      </c>
      <c r="O31" t="s">
        <v>330</v>
      </c>
    </row>
    <row r="32" spans="1:15" x14ac:dyDescent="0.3">
      <c r="A32">
        <v>145</v>
      </c>
      <c r="B32" t="s">
        <v>323</v>
      </c>
      <c r="C32">
        <v>111</v>
      </c>
      <c r="D32" t="s">
        <v>23</v>
      </c>
      <c r="E32">
        <v>1430</v>
      </c>
      <c r="F32" t="s">
        <v>357</v>
      </c>
      <c r="G32">
        <v>0</v>
      </c>
      <c r="H32">
        <v>0</v>
      </c>
      <c r="I32">
        <v>0</v>
      </c>
      <c r="J32">
        <v>0</v>
      </c>
      <c r="K32">
        <v>2</v>
      </c>
      <c r="L32">
        <v>0</v>
      </c>
      <c r="M32" t="s">
        <v>333</v>
      </c>
      <c r="N32" t="s">
        <v>348</v>
      </c>
      <c r="O32" t="s">
        <v>352</v>
      </c>
    </row>
    <row r="33" spans="1:15" x14ac:dyDescent="0.3">
      <c r="A33">
        <v>145</v>
      </c>
      <c r="B33" t="s">
        <v>323</v>
      </c>
      <c r="C33">
        <v>111</v>
      </c>
      <c r="D33" t="s">
        <v>23</v>
      </c>
      <c r="E33">
        <v>1431</v>
      </c>
      <c r="F33" t="s">
        <v>358</v>
      </c>
      <c r="G33">
        <v>0</v>
      </c>
      <c r="H33">
        <v>0</v>
      </c>
      <c r="I33">
        <v>0</v>
      </c>
      <c r="J33">
        <v>1</v>
      </c>
      <c r="K33">
        <v>1</v>
      </c>
      <c r="L33">
        <v>0</v>
      </c>
      <c r="M33" t="s">
        <v>333</v>
      </c>
      <c r="N33" t="s">
        <v>348</v>
      </c>
      <c r="O33" t="s">
        <v>338</v>
      </c>
    </row>
    <row r="34" spans="1:15" x14ac:dyDescent="0.3">
      <c r="A34">
        <v>145</v>
      </c>
      <c r="B34" t="s">
        <v>323</v>
      </c>
      <c r="C34">
        <v>111</v>
      </c>
      <c r="D34" t="s">
        <v>23</v>
      </c>
      <c r="E34">
        <v>1432</v>
      </c>
      <c r="F34" t="s">
        <v>359</v>
      </c>
      <c r="G34">
        <v>1</v>
      </c>
      <c r="H34">
        <v>0</v>
      </c>
      <c r="I34">
        <v>0</v>
      </c>
      <c r="J34">
        <v>1</v>
      </c>
      <c r="K34">
        <v>0</v>
      </c>
      <c r="L34">
        <v>0</v>
      </c>
      <c r="M34" t="s">
        <v>333</v>
      </c>
      <c r="N34" t="s">
        <v>329</v>
      </c>
      <c r="O34" t="s">
        <v>340</v>
      </c>
    </row>
    <row r="35" spans="1:15" x14ac:dyDescent="0.3">
      <c r="A35">
        <v>145</v>
      </c>
      <c r="B35" t="s">
        <v>323</v>
      </c>
      <c r="C35">
        <v>111</v>
      </c>
      <c r="D35" t="s">
        <v>23</v>
      </c>
      <c r="E35">
        <v>1433</v>
      </c>
      <c r="F35" t="s">
        <v>360</v>
      </c>
      <c r="G35">
        <v>0</v>
      </c>
      <c r="H35">
        <v>0</v>
      </c>
      <c r="I35">
        <v>0</v>
      </c>
      <c r="J35">
        <v>2</v>
      </c>
      <c r="K35">
        <v>1</v>
      </c>
      <c r="L35">
        <v>0</v>
      </c>
      <c r="M35" t="s">
        <v>333</v>
      </c>
      <c r="N35" t="s">
        <v>348</v>
      </c>
      <c r="O35" t="s">
        <v>352</v>
      </c>
    </row>
    <row r="36" spans="1:15" x14ac:dyDescent="0.3">
      <c r="A36">
        <v>145</v>
      </c>
      <c r="B36" t="s">
        <v>323</v>
      </c>
      <c r="C36">
        <v>111</v>
      </c>
      <c r="D36" t="s">
        <v>23</v>
      </c>
      <c r="E36">
        <v>1434</v>
      </c>
      <c r="F36" t="s">
        <v>361</v>
      </c>
      <c r="G36">
        <v>0</v>
      </c>
      <c r="H36">
        <v>0</v>
      </c>
      <c r="I36">
        <v>0</v>
      </c>
      <c r="J36">
        <v>0</v>
      </c>
      <c r="K36">
        <v>2</v>
      </c>
      <c r="L36">
        <v>0</v>
      </c>
      <c r="M36" t="s">
        <v>333</v>
      </c>
      <c r="N36" t="s">
        <v>326</v>
      </c>
      <c r="O36" t="s">
        <v>340</v>
      </c>
    </row>
    <row r="37" spans="1:15" x14ac:dyDescent="0.3">
      <c r="A37">
        <v>145</v>
      </c>
      <c r="B37" t="s">
        <v>323</v>
      </c>
      <c r="C37">
        <v>111</v>
      </c>
      <c r="D37" t="s">
        <v>23</v>
      </c>
      <c r="E37">
        <v>1435</v>
      </c>
      <c r="F37" t="s">
        <v>362</v>
      </c>
      <c r="G37">
        <v>0</v>
      </c>
      <c r="H37">
        <v>0</v>
      </c>
      <c r="I37">
        <v>0</v>
      </c>
      <c r="J37">
        <v>0</v>
      </c>
      <c r="K37">
        <v>0</v>
      </c>
      <c r="L37">
        <v>0</v>
      </c>
      <c r="M37" t="s">
        <v>333</v>
      </c>
      <c r="N37" t="s">
        <v>329</v>
      </c>
      <c r="O37" t="s">
        <v>327</v>
      </c>
    </row>
    <row r="38" spans="1:15" x14ac:dyDescent="0.3">
      <c r="A38">
        <v>145</v>
      </c>
      <c r="B38" t="s">
        <v>323</v>
      </c>
      <c r="C38">
        <v>111</v>
      </c>
      <c r="D38" t="s">
        <v>23</v>
      </c>
      <c r="E38">
        <v>1436</v>
      </c>
      <c r="F38" t="s">
        <v>363</v>
      </c>
      <c r="G38">
        <v>0</v>
      </c>
      <c r="H38">
        <v>0</v>
      </c>
      <c r="I38">
        <v>0</v>
      </c>
      <c r="J38">
        <v>0</v>
      </c>
      <c r="K38">
        <v>0</v>
      </c>
      <c r="L38">
        <v>0</v>
      </c>
      <c r="M38" t="s">
        <v>325</v>
      </c>
      <c r="N38" t="s">
        <v>348</v>
      </c>
      <c r="O38" t="s">
        <v>330</v>
      </c>
    </row>
    <row r="39" spans="1:15" x14ac:dyDescent="0.3">
      <c r="A39">
        <v>145</v>
      </c>
      <c r="B39" t="s">
        <v>323</v>
      </c>
      <c r="C39">
        <v>111</v>
      </c>
      <c r="D39" t="s">
        <v>23</v>
      </c>
      <c r="E39">
        <v>1437</v>
      </c>
      <c r="F39" t="s">
        <v>364</v>
      </c>
      <c r="G39">
        <v>0</v>
      </c>
      <c r="H39">
        <v>0</v>
      </c>
      <c r="I39">
        <v>0</v>
      </c>
      <c r="J39">
        <v>0</v>
      </c>
      <c r="K39">
        <v>0</v>
      </c>
      <c r="L39">
        <v>0</v>
      </c>
      <c r="M39" t="s">
        <v>325</v>
      </c>
      <c r="N39" t="s">
        <v>329</v>
      </c>
      <c r="O39" t="s">
        <v>330</v>
      </c>
    </row>
    <row r="40" spans="1:15" x14ac:dyDescent="0.3">
      <c r="A40">
        <v>146</v>
      </c>
      <c r="B40" t="s">
        <v>313</v>
      </c>
      <c r="C40">
        <v>112</v>
      </c>
      <c r="D40" t="s">
        <v>25</v>
      </c>
      <c r="E40">
        <v>1143</v>
      </c>
      <c r="F40" t="s">
        <v>365</v>
      </c>
      <c r="M40" t="s">
        <v>1116</v>
      </c>
      <c r="N40" t="s">
        <v>1116</v>
      </c>
      <c r="O40" t="s">
        <v>1116</v>
      </c>
    </row>
    <row r="41" spans="1:15" x14ac:dyDescent="0.3">
      <c r="A41">
        <v>146</v>
      </c>
      <c r="B41" t="s">
        <v>313</v>
      </c>
      <c r="C41">
        <v>112</v>
      </c>
      <c r="D41" t="s">
        <v>25</v>
      </c>
      <c r="E41">
        <v>1144</v>
      </c>
      <c r="F41" t="s">
        <v>339</v>
      </c>
      <c r="M41" t="s">
        <v>1116</v>
      </c>
      <c r="N41" t="s">
        <v>1116</v>
      </c>
      <c r="O41" t="s">
        <v>1116</v>
      </c>
    </row>
    <row r="42" spans="1:15" x14ac:dyDescent="0.3">
      <c r="A42">
        <v>146</v>
      </c>
      <c r="B42" t="s">
        <v>313</v>
      </c>
      <c r="C42">
        <v>112</v>
      </c>
      <c r="D42" t="s">
        <v>25</v>
      </c>
      <c r="E42">
        <v>1145</v>
      </c>
      <c r="F42" t="s">
        <v>366</v>
      </c>
      <c r="M42" t="s">
        <v>1116</v>
      </c>
      <c r="N42" t="s">
        <v>1116</v>
      </c>
      <c r="O42" t="s">
        <v>1116</v>
      </c>
    </row>
    <row r="43" spans="1:15" x14ac:dyDescent="0.3">
      <c r="A43">
        <v>146</v>
      </c>
      <c r="B43" t="s">
        <v>313</v>
      </c>
      <c r="C43">
        <v>112</v>
      </c>
      <c r="D43" t="s">
        <v>25</v>
      </c>
      <c r="E43">
        <v>1146</v>
      </c>
      <c r="F43" t="s">
        <v>367</v>
      </c>
      <c r="M43" t="s">
        <v>1116</v>
      </c>
      <c r="N43" t="s">
        <v>1116</v>
      </c>
      <c r="O43" t="s">
        <v>1116</v>
      </c>
    </row>
    <row r="44" spans="1:15" x14ac:dyDescent="0.3">
      <c r="A44">
        <v>146</v>
      </c>
      <c r="B44" t="s">
        <v>313</v>
      </c>
      <c r="C44">
        <v>112</v>
      </c>
      <c r="D44" t="s">
        <v>25</v>
      </c>
      <c r="E44">
        <v>1147</v>
      </c>
      <c r="F44" t="s">
        <v>368</v>
      </c>
      <c r="M44" t="s">
        <v>1116</v>
      </c>
      <c r="N44" t="s">
        <v>1116</v>
      </c>
      <c r="O44" t="s">
        <v>1116</v>
      </c>
    </row>
    <row r="45" spans="1:15" x14ac:dyDescent="0.3">
      <c r="A45">
        <v>146</v>
      </c>
      <c r="B45" t="s">
        <v>313</v>
      </c>
      <c r="C45">
        <v>112</v>
      </c>
      <c r="D45" t="s">
        <v>25</v>
      </c>
      <c r="E45">
        <v>1148</v>
      </c>
      <c r="F45" t="s">
        <v>369</v>
      </c>
      <c r="M45" t="s">
        <v>1116</v>
      </c>
      <c r="N45" t="s">
        <v>1116</v>
      </c>
      <c r="O45" t="s">
        <v>1116</v>
      </c>
    </row>
    <row r="46" spans="1:15" x14ac:dyDescent="0.3">
      <c r="A46">
        <v>146</v>
      </c>
      <c r="B46" t="s">
        <v>313</v>
      </c>
      <c r="C46">
        <v>112</v>
      </c>
      <c r="D46" t="s">
        <v>25</v>
      </c>
      <c r="E46">
        <v>1149</v>
      </c>
      <c r="F46" t="s">
        <v>370</v>
      </c>
      <c r="M46" t="s">
        <v>1116</v>
      </c>
      <c r="N46" t="s">
        <v>1116</v>
      </c>
      <c r="O46" t="s">
        <v>1116</v>
      </c>
    </row>
    <row r="47" spans="1:15" x14ac:dyDescent="0.3">
      <c r="A47">
        <v>146</v>
      </c>
      <c r="B47" t="s">
        <v>313</v>
      </c>
      <c r="C47">
        <v>112</v>
      </c>
      <c r="D47" t="s">
        <v>25</v>
      </c>
      <c r="E47">
        <v>1150</v>
      </c>
      <c r="F47" t="s">
        <v>371</v>
      </c>
      <c r="M47" t="s">
        <v>1116</v>
      </c>
      <c r="N47" t="s">
        <v>1116</v>
      </c>
      <c r="O47" t="s">
        <v>1116</v>
      </c>
    </row>
    <row r="48" spans="1:15" x14ac:dyDescent="0.3">
      <c r="A48">
        <v>146</v>
      </c>
      <c r="B48" t="s">
        <v>313</v>
      </c>
      <c r="C48">
        <v>112</v>
      </c>
      <c r="D48" t="s">
        <v>25</v>
      </c>
      <c r="E48">
        <v>1151</v>
      </c>
      <c r="F48" t="s">
        <v>372</v>
      </c>
      <c r="M48" t="s">
        <v>1116</v>
      </c>
      <c r="N48" t="s">
        <v>1116</v>
      </c>
      <c r="O48" t="s">
        <v>1116</v>
      </c>
    </row>
    <row r="49" spans="1:15" x14ac:dyDescent="0.3">
      <c r="A49">
        <v>146</v>
      </c>
      <c r="B49" t="s">
        <v>313</v>
      </c>
      <c r="C49">
        <v>112</v>
      </c>
      <c r="D49" t="s">
        <v>25</v>
      </c>
      <c r="E49">
        <v>1152</v>
      </c>
      <c r="F49" t="s">
        <v>373</v>
      </c>
      <c r="M49" t="s">
        <v>1116</v>
      </c>
      <c r="N49" t="s">
        <v>1116</v>
      </c>
      <c r="O49" t="s">
        <v>1116</v>
      </c>
    </row>
    <row r="50" spans="1:15" x14ac:dyDescent="0.3">
      <c r="A50">
        <v>146</v>
      </c>
      <c r="B50" t="s">
        <v>313</v>
      </c>
      <c r="C50">
        <v>112</v>
      </c>
      <c r="D50" t="s">
        <v>25</v>
      </c>
      <c r="E50">
        <v>1153</v>
      </c>
      <c r="F50" t="s">
        <v>374</v>
      </c>
      <c r="M50" t="s">
        <v>1116</v>
      </c>
      <c r="N50" t="s">
        <v>1116</v>
      </c>
      <c r="O50" t="s">
        <v>1116</v>
      </c>
    </row>
    <row r="51" spans="1:15" x14ac:dyDescent="0.3">
      <c r="A51">
        <v>146</v>
      </c>
      <c r="B51" t="s">
        <v>313</v>
      </c>
      <c r="C51">
        <v>112</v>
      </c>
      <c r="D51" t="s">
        <v>25</v>
      </c>
      <c r="E51">
        <v>1154</v>
      </c>
      <c r="F51" t="s">
        <v>375</v>
      </c>
      <c r="M51" t="s">
        <v>1116</v>
      </c>
      <c r="N51" t="s">
        <v>1116</v>
      </c>
      <c r="O51" t="s">
        <v>1116</v>
      </c>
    </row>
    <row r="52" spans="1:15" x14ac:dyDescent="0.3">
      <c r="A52">
        <v>146</v>
      </c>
      <c r="B52" t="s">
        <v>313</v>
      </c>
      <c r="C52">
        <v>112</v>
      </c>
      <c r="D52" t="s">
        <v>25</v>
      </c>
      <c r="E52">
        <v>1155</v>
      </c>
      <c r="F52" t="s">
        <v>376</v>
      </c>
      <c r="M52" t="s">
        <v>1116</v>
      </c>
      <c r="N52" t="s">
        <v>1116</v>
      </c>
      <c r="O52" t="s">
        <v>1116</v>
      </c>
    </row>
    <row r="53" spans="1:15" x14ac:dyDescent="0.3">
      <c r="A53">
        <v>146</v>
      </c>
      <c r="B53" t="s">
        <v>313</v>
      </c>
      <c r="C53">
        <v>112</v>
      </c>
      <c r="D53" t="s">
        <v>25</v>
      </c>
      <c r="E53">
        <v>1156</v>
      </c>
      <c r="F53" t="s">
        <v>377</v>
      </c>
      <c r="M53" t="s">
        <v>1116</v>
      </c>
      <c r="N53" t="s">
        <v>1116</v>
      </c>
      <c r="O53" t="s">
        <v>1116</v>
      </c>
    </row>
    <row r="54" spans="1:15" x14ac:dyDescent="0.3">
      <c r="A54">
        <v>146</v>
      </c>
      <c r="B54" t="s">
        <v>313</v>
      </c>
      <c r="C54">
        <v>112</v>
      </c>
      <c r="D54" t="s">
        <v>25</v>
      </c>
      <c r="E54">
        <v>1157</v>
      </c>
      <c r="F54" t="s">
        <v>378</v>
      </c>
      <c r="M54" t="s">
        <v>1116</v>
      </c>
      <c r="N54" t="s">
        <v>1116</v>
      </c>
      <c r="O54" t="s">
        <v>1116</v>
      </c>
    </row>
    <row r="55" spans="1:15" x14ac:dyDescent="0.3">
      <c r="A55">
        <v>146</v>
      </c>
      <c r="B55" t="s">
        <v>313</v>
      </c>
      <c r="C55">
        <v>112</v>
      </c>
      <c r="D55" t="s">
        <v>25</v>
      </c>
      <c r="E55">
        <v>1158</v>
      </c>
      <c r="F55" t="s">
        <v>379</v>
      </c>
      <c r="M55" t="s">
        <v>1116</v>
      </c>
      <c r="N55" t="s">
        <v>1116</v>
      </c>
      <c r="O55" t="s">
        <v>1116</v>
      </c>
    </row>
    <row r="56" spans="1:15" x14ac:dyDescent="0.3">
      <c r="A56">
        <v>146</v>
      </c>
      <c r="B56" t="s">
        <v>313</v>
      </c>
      <c r="C56">
        <v>112</v>
      </c>
      <c r="D56" t="s">
        <v>25</v>
      </c>
      <c r="E56">
        <v>1159</v>
      </c>
      <c r="F56" t="s">
        <v>380</v>
      </c>
      <c r="M56" t="s">
        <v>1116</v>
      </c>
      <c r="N56" t="s">
        <v>1116</v>
      </c>
      <c r="O56" t="s">
        <v>1116</v>
      </c>
    </row>
    <row r="57" spans="1:15" x14ac:dyDescent="0.3">
      <c r="A57">
        <v>146</v>
      </c>
      <c r="B57" t="s">
        <v>313</v>
      </c>
      <c r="C57">
        <v>112</v>
      </c>
      <c r="D57" t="s">
        <v>25</v>
      </c>
      <c r="E57">
        <v>1160</v>
      </c>
      <c r="F57" t="s">
        <v>381</v>
      </c>
      <c r="M57" t="s">
        <v>1116</v>
      </c>
      <c r="N57" t="s">
        <v>1116</v>
      </c>
      <c r="O57" t="s">
        <v>1116</v>
      </c>
    </row>
    <row r="58" spans="1:15" x14ac:dyDescent="0.3">
      <c r="A58">
        <v>146</v>
      </c>
      <c r="B58" t="s">
        <v>313</v>
      </c>
      <c r="C58">
        <v>112</v>
      </c>
      <c r="D58" t="s">
        <v>25</v>
      </c>
      <c r="E58">
        <v>1161</v>
      </c>
      <c r="F58" t="s">
        <v>382</v>
      </c>
      <c r="M58" t="s">
        <v>1116</v>
      </c>
      <c r="N58" t="s">
        <v>1116</v>
      </c>
      <c r="O58" t="s">
        <v>1116</v>
      </c>
    </row>
    <row r="59" spans="1:15" x14ac:dyDescent="0.3">
      <c r="A59">
        <v>146</v>
      </c>
      <c r="B59" t="s">
        <v>313</v>
      </c>
      <c r="C59">
        <v>112</v>
      </c>
      <c r="D59" t="s">
        <v>25</v>
      </c>
      <c r="E59">
        <v>1162</v>
      </c>
      <c r="F59" t="s">
        <v>383</v>
      </c>
      <c r="M59" t="s">
        <v>1116</v>
      </c>
      <c r="N59" t="s">
        <v>1116</v>
      </c>
      <c r="O59" t="s">
        <v>1116</v>
      </c>
    </row>
    <row r="60" spans="1:15" x14ac:dyDescent="0.3">
      <c r="A60">
        <v>146</v>
      </c>
      <c r="B60" t="s">
        <v>313</v>
      </c>
      <c r="C60">
        <v>112</v>
      </c>
      <c r="D60" t="s">
        <v>25</v>
      </c>
      <c r="E60">
        <v>1163</v>
      </c>
      <c r="F60" t="s">
        <v>384</v>
      </c>
      <c r="M60" t="s">
        <v>1116</v>
      </c>
      <c r="N60" t="s">
        <v>1116</v>
      </c>
      <c r="O60" t="s">
        <v>1116</v>
      </c>
    </row>
    <row r="61" spans="1:15" x14ac:dyDescent="0.3">
      <c r="A61">
        <v>146</v>
      </c>
      <c r="B61" t="s">
        <v>313</v>
      </c>
      <c r="C61">
        <v>112</v>
      </c>
      <c r="D61" t="s">
        <v>25</v>
      </c>
      <c r="E61">
        <v>1164</v>
      </c>
      <c r="F61" t="s">
        <v>385</v>
      </c>
      <c r="M61" t="s">
        <v>1116</v>
      </c>
      <c r="N61" t="s">
        <v>1116</v>
      </c>
      <c r="O61" t="s">
        <v>1116</v>
      </c>
    </row>
    <row r="62" spans="1:15" x14ac:dyDescent="0.3">
      <c r="A62">
        <v>146</v>
      </c>
      <c r="B62" t="s">
        <v>313</v>
      </c>
      <c r="C62">
        <v>112</v>
      </c>
      <c r="D62" t="s">
        <v>25</v>
      </c>
      <c r="E62">
        <v>1165</v>
      </c>
      <c r="F62" t="s">
        <v>386</v>
      </c>
      <c r="M62" t="s">
        <v>1116</v>
      </c>
      <c r="N62" t="s">
        <v>1116</v>
      </c>
      <c r="O62" t="s">
        <v>1116</v>
      </c>
    </row>
    <row r="63" spans="1:15" x14ac:dyDescent="0.3">
      <c r="A63">
        <v>146</v>
      </c>
      <c r="B63" t="s">
        <v>313</v>
      </c>
      <c r="C63">
        <v>112</v>
      </c>
      <c r="D63" t="s">
        <v>25</v>
      </c>
      <c r="E63">
        <v>1166</v>
      </c>
      <c r="F63" t="s">
        <v>387</v>
      </c>
      <c r="M63" t="s">
        <v>1116</v>
      </c>
      <c r="N63" t="s">
        <v>1116</v>
      </c>
      <c r="O63" t="s">
        <v>1116</v>
      </c>
    </row>
    <row r="64" spans="1:15" x14ac:dyDescent="0.3">
      <c r="A64">
        <v>146</v>
      </c>
      <c r="B64" t="s">
        <v>313</v>
      </c>
      <c r="C64">
        <v>112</v>
      </c>
      <c r="D64" t="s">
        <v>25</v>
      </c>
      <c r="E64">
        <v>1167</v>
      </c>
      <c r="F64" t="s">
        <v>388</v>
      </c>
      <c r="M64" t="s">
        <v>1116</v>
      </c>
      <c r="N64" t="s">
        <v>1116</v>
      </c>
      <c r="O64" t="s">
        <v>1116</v>
      </c>
    </row>
    <row r="65" spans="1:15" x14ac:dyDescent="0.3">
      <c r="A65">
        <v>146</v>
      </c>
      <c r="B65" t="s">
        <v>313</v>
      </c>
      <c r="C65">
        <v>112</v>
      </c>
      <c r="D65" t="s">
        <v>25</v>
      </c>
      <c r="E65">
        <v>1168</v>
      </c>
      <c r="F65" t="s">
        <v>389</v>
      </c>
      <c r="M65" t="s">
        <v>1116</v>
      </c>
      <c r="N65" t="s">
        <v>1116</v>
      </c>
      <c r="O65" t="s">
        <v>1116</v>
      </c>
    </row>
    <row r="66" spans="1:15" x14ac:dyDescent="0.3">
      <c r="A66">
        <v>146</v>
      </c>
      <c r="B66" t="s">
        <v>313</v>
      </c>
      <c r="C66">
        <v>112</v>
      </c>
      <c r="D66" t="s">
        <v>25</v>
      </c>
      <c r="E66">
        <v>1398</v>
      </c>
      <c r="F66" t="s">
        <v>390</v>
      </c>
      <c r="M66" t="s">
        <v>1116</v>
      </c>
      <c r="N66" t="s">
        <v>1116</v>
      </c>
      <c r="O66" t="s">
        <v>1116</v>
      </c>
    </row>
    <row r="67" spans="1:15" x14ac:dyDescent="0.3">
      <c r="A67">
        <v>147</v>
      </c>
      <c r="B67" t="s">
        <v>323</v>
      </c>
      <c r="C67">
        <v>113</v>
      </c>
      <c r="D67" t="s">
        <v>27</v>
      </c>
      <c r="E67">
        <v>615</v>
      </c>
      <c r="F67" t="s">
        <v>391</v>
      </c>
      <c r="G67">
        <v>0</v>
      </c>
      <c r="H67">
        <v>0</v>
      </c>
      <c r="I67">
        <v>1</v>
      </c>
      <c r="J67">
        <v>0</v>
      </c>
      <c r="K67">
        <v>3</v>
      </c>
      <c r="L67">
        <v>0</v>
      </c>
      <c r="M67" t="s">
        <v>333</v>
      </c>
      <c r="N67" t="s">
        <v>326</v>
      </c>
      <c r="O67" t="s">
        <v>330</v>
      </c>
    </row>
    <row r="68" spans="1:15" x14ac:dyDescent="0.3">
      <c r="A68">
        <v>147</v>
      </c>
      <c r="B68" t="s">
        <v>323</v>
      </c>
      <c r="C68">
        <v>113</v>
      </c>
      <c r="D68" t="s">
        <v>27</v>
      </c>
      <c r="E68">
        <v>617</v>
      </c>
      <c r="F68" t="s">
        <v>392</v>
      </c>
      <c r="G68">
        <v>0</v>
      </c>
      <c r="H68">
        <v>0</v>
      </c>
      <c r="I68">
        <v>0</v>
      </c>
      <c r="J68">
        <v>0</v>
      </c>
      <c r="K68">
        <v>2</v>
      </c>
      <c r="L68">
        <v>0</v>
      </c>
      <c r="M68" t="s">
        <v>333</v>
      </c>
      <c r="N68" t="s">
        <v>326</v>
      </c>
      <c r="O68" t="s">
        <v>352</v>
      </c>
    </row>
    <row r="69" spans="1:15" x14ac:dyDescent="0.3">
      <c r="A69">
        <v>147</v>
      </c>
      <c r="B69" t="s">
        <v>323</v>
      </c>
      <c r="C69">
        <v>113</v>
      </c>
      <c r="D69" t="s">
        <v>27</v>
      </c>
      <c r="E69">
        <v>618</v>
      </c>
      <c r="F69" t="s">
        <v>376</v>
      </c>
      <c r="G69">
        <v>0</v>
      </c>
      <c r="H69">
        <v>0</v>
      </c>
      <c r="I69">
        <v>0</v>
      </c>
      <c r="J69">
        <v>0</v>
      </c>
      <c r="K69">
        <v>2</v>
      </c>
      <c r="L69">
        <v>0</v>
      </c>
      <c r="M69" t="s">
        <v>333</v>
      </c>
      <c r="N69" t="s">
        <v>336</v>
      </c>
      <c r="O69" t="s">
        <v>330</v>
      </c>
    </row>
    <row r="70" spans="1:15" x14ac:dyDescent="0.3">
      <c r="A70">
        <v>147</v>
      </c>
      <c r="B70" t="s">
        <v>323</v>
      </c>
      <c r="C70">
        <v>113</v>
      </c>
      <c r="D70" t="s">
        <v>27</v>
      </c>
      <c r="E70">
        <v>619</v>
      </c>
      <c r="F70" t="s">
        <v>393</v>
      </c>
      <c r="G70">
        <v>0</v>
      </c>
      <c r="H70">
        <v>0</v>
      </c>
      <c r="I70">
        <v>0</v>
      </c>
      <c r="J70">
        <v>1</v>
      </c>
      <c r="K70">
        <v>2</v>
      </c>
      <c r="L70">
        <v>0</v>
      </c>
      <c r="M70" t="s">
        <v>325</v>
      </c>
      <c r="N70" t="s">
        <v>336</v>
      </c>
      <c r="O70" t="s">
        <v>340</v>
      </c>
    </row>
    <row r="71" spans="1:15" x14ac:dyDescent="0.3">
      <c r="A71">
        <v>147</v>
      </c>
      <c r="B71" t="s">
        <v>323</v>
      </c>
      <c r="C71">
        <v>113</v>
      </c>
      <c r="D71" t="s">
        <v>27</v>
      </c>
      <c r="E71">
        <v>620</v>
      </c>
      <c r="F71" t="s">
        <v>351</v>
      </c>
      <c r="G71">
        <v>0</v>
      </c>
      <c r="H71">
        <v>0</v>
      </c>
      <c r="I71">
        <v>0</v>
      </c>
      <c r="J71">
        <v>0</v>
      </c>
      <c r="K71">
        <v>0</v>
      </c>
      <c r="L71">
        <v>0</v>
      </c>
      <c r="M71" t="s">
        <v>325</v>
      </c>
      <c r="N71" t="s">
        <v>343</v>
      </c>
      <c r="O71" t="s">
        <v>352</v>
      </c>
    </row>
    <row r="72" spans="1:15" x14ac:dyDescent="0.3">
      <c r="A72">
        <v>147</v>
      </c>
      <c r="B72" t="s">
        <v>323</v>
      </c>
      <c r="C72">
        <v>113</v>
      </c>
      <c r="D72" t="s">
        <v>27</v>
      </c>
      <c r="E72">
        <v>621</v>
      </c>
      <c r="F72" t="s">
        <v>394</v>
      </c>
      <c r="G72">
        <v>0</v>
      </c>
      <c r="H72">
        <v>0</v>
      </c>
      <c r="I72">
        <v>0</v>
      </c>
      <c r="J72">
        <v>2</v>
      </c>
      <c r="K72">
        <v>4</v>
      </c>
      <c r="L72">
        <v>0</v>
      </c>
      <c r="M72" t="s">
        <v>333</v>
      </c>
      <c r="N72" t="s">
        <v>326</v>
      </c>
      <c r="O72" t="s">
        <v>330</v>
      </c>
    </row>
    <row r="73" spans="1:15" x14ac:dyDescent="0.3">
      <c r="A73">
        <v>147</v>
      </c>
      <c r="B73" t="s">
        <v>323</v>
      </c>
      <c r="C73">
        <v>113</v>
      </c>
      <c r="D73" t="s">
        <v>27</v>
      </c>
      <c r="E73">
        <v>1559</v>
      </c>
      <c r="F73" t="s">
        <v>395</v>
      </c>
      <c r="G73">
        <v>1</v>
      </c>
      <c r="H73">
        <v>0</v>
      </c>
      <c r="I73">
        <v>0</v>
      </c>
      <c r="J73">
        <v>0</v>
      </c>
      <c r="K73">
        <v>2</v>
      </c>
      <c r="L73">
        <v>0</v>
      </c>
      <c r="M73" t="s">
        <v>333</v>
      </c>
      <c r="N73" t="s">
        <v>336</v>
      </c>
      <c r="O73" t="s">
        <v>340</v>
      </c>
    </row>
    <row r="74" spans="1:15" x14ac:dyDescent="0.3">
      <c r="A74">
        <v>148</v>
      </c>
      <c r="B74" t="s">
        <v>313</v>
      </c>
      <c r="C74">
        <v>114</v>
      </c>
      <c r="D74" t="s">
        <v>29</v>
      </c>
      <c r="E74">
        <v>354</v>
      </c>
      <c r="F74" t="s">
        <v>339</v>
      </c>
      <c r="M74" t="s">
        <v>1116</v>
      </c>
      <c r="N74" t="s">
        <v>1116</v>
      </c>
      <c r="O74" t="s">
        <v>1116</v>
      </c>
    </row>
    <row r="75" spans="1:15" x14ac:dyDescent="0.3">
      <c r="A75">
        <v>148</v>
      </c>
      <c r="B75" t="s">
        <v>313</v>
      </c>
      <c r="C75">
        <v>114</v>
      </c>
      <c r="D75" t="s">
        <v>29</v>
      </c>
      <c r="E75">
        <v>355</v>
      </c>
      <c r="F75" t="s">
        <v>396</v>
      </c>
      <c r="M75" t="s">
        <v>1116</v>
      </c>
      <c r="N75" t="s">
        <v>1116</v>
      </c>
      <c r="O75" t="s">
        <v>1116</v>
      </c>
    </row>
    <row r="76" spans="1:15" x14ac:dyDescent="0.3">
      <c r="A76">
        <v>148</v>
      </c>
      <c r="B76" t="s">
        <v>313</v>
      </c>
      <c r="C76">
        <v>114</v>
      </c>
      <c r="D76" t="s">
        <v>29</v>
      </c>
      <c r="E76">
        <v>356</v>
      </c>
      <c r="F76" t="s">
        <v>397</v>
      </c>
      <c r="M76" t="s">
        <v>1116</v>
      </c>
      <c r="N76" t="s">
        <v>1116</v>
      </c>
      <c r="O76" t="s">
        <v>1116</v>
      </c>
    </row>
    <row r="77" spans="1:15" x14ac:dyDescent="0.3">
      <c r="A77">
        <v>148</v>
      </c>
      <c r="B77" t="s">
        <v>313</v>
      </c>
      <c r="C77">
        <v>114</v>
      </c>
      <c r="D77" t="s">
        <v>29</v>
      </c>
      <c r="E77">
        <v>357</v>
      </c>
      <c r="F77" t="s">
        <v>398</v>
      </c>
      <c r="M77" t="s">
        <v>1116</v>
      </c>
      <c r="N77" t="s">
        <v>1116</v>
      </c>
      <c r="O77" t="s">
        <v>1116</v>
      </c>
    </row>
    <row r="78" spans="1:15" x14ac:dyDescent="0.3">
      <c r="A78">
        <v>148</v>
      </c>
      <c r="B78" t="s">
        <v>313</v>
      </c>
      <c r="C78">
        <v>114</v>
      </c>
      <c r="D78" t="s">
        <v>29</v>
      </c>
      <c r="E78">
        <v>359</v>
      </c>
      <c r="F78" t="s">
        <v>376</v>
      </c>
      <c r="M78" t="s">
        <v>1116</v>
      </c>
      <c r="N78" t="s">
        <v>1116</v>
      </c>
      <c r="O78" t="s">
        <v>1116</v>
      </c>
    </row>
    <row r="79" spans="1:15" x14ac:dyDescent="0.3">
      <c r="A79">
        <v>148</v>
      </c>
      <c r="B79" t="s">
        <v>313</v>
      </c>
      <c r="C79">
        <v>114</v>
      </c>
      <c r="D79" t="s">
        <v>29</v>
      </c>
      <c r="E79">
        <v>360</v>
      </c>
      <c r="F79" t="s">
        <v>399</v>
      </c>
      <c r="M79" t="s">
        <v>1116</v>
      </c>
      <c r="N79" t="s">
        <v>1116</v>
      </c>
      <c r="O79" t="s">
        <v>1116</v>
      </c>
    </row>
    <row r="80" spans="1:15" x14ac:dyDescent="0.3">
      <c r="A80">
        <v>148</v>
      </c>
      <c r="B80" t="s">
        <v>313</v>
      </c>
      <c r="C80">
        <v>114</v>
      </c>
      <c r="D80" t="s">
        <v>29</v>
      </c>
      <c r="E80">
        <v>361</v>
      </c>
      <c r="F80" t="s">
        <v>400</v>
      </c>
      <c r="M80" t="s">
        <v>1116</v>
      </c>
      <c r="N80" t="s">
        <v>1116</v>
      </c>
      <c r="O80" t="s">
        <v>1116</v>
      </c>
    </row>
    <row r="81" spans="1:15" x14ac:dyDescent="0.3">
      <c r="A81">
        <v>148</v>
      </c>
      <c r="B81" t="s">
        <v>313</v>
      </c>
      <c r="C81">
        <v>114</v>
      </c>
      <c r="D81" t="s">
        <v>29</v>
      </c>
      <c r="E81">
        <v>362</v>
      </c>
      <c r="F81" t="s">
        <v>401</v>
      </c>
      <c r="M81" t="s">
        <v>1116</v>
      </c>
      <c r="N81" t="s">
        <v>1116</v>
      </c>
      <c r="O81" t="s">
        <v>1116</v>
      </c>
    </row>
    <row r="82" spans="1:15" x14ac:dyDescent="0.3">
      <c r="A82">
        <v>148</v>
      </c>
      <c r="B82" t="s">
        <v>313</v>
      </c>
      <c r="C82">
        <v>114</v>
      </c>
      <c r="D82" t="s">
        <v>29</v>
      </c>
      <c r="E82">
        <v>363</v>
      </c>
      <c r="F82" t="s">
        <v>402</v>
      </c>
      <c r="M82" t="s">
        <v>1116</v>
      </c>
      <c r="N82" t="s">
        <v>1116</v>
      </c>
      <c r="O82" t="s">
        <v>1116</v>
      </c>
    </row>
    <row r="83" spans="1:15" x14ac:dyDescent="0.3">
      <c r="A83">
        <v>148</v>
      </c>
      <c r="B83" t="s">
        <v>313</v>
      </c>
      <c r="C83">
        <v>114</v>
      </c>
      <c r="D83" t="s">
        <v>29</v>
      </c>
      <c r="E83">
        <v>364</v>
      </c>
      <c r="F83" t="s">
        <v>390</v>
      </c>
      <c r="M83" t="s">
        <v>1116</v>
      </c>
      <c r="N83" t="s">
        <v>1116</v>
      </c>
      <c r="O83" t="s">
        <v>1116</v>
      </c>
    </row>
    <row r="84" spans="1:15" x14ac:dyDescent="0.3">
      <c r="A84">
        <v>148</v>
      </c>
      <c r="B84" t="s">
        <v>313</v>
      </c>
      <c r="C84">
        <v>114</v>
      </c>
      <c r="D84" t="s">
        <v>29</v>
      </c>
      <c r="E84">
        <v>365</v>
      </c>
      <c r="F84" t="s">
        <v>403</v>
      </c>
      <c r="M84" t="s">
        <v>1116</v>
      </c>
      <c r="N84" t="s">
        <v>1116</v>
      </c>
      <c r="O84" t="s">
        <v>1116</v>
      </c>
    </row>
    <row r="85" spans="1:15" x14ac:dyDescent="0.3">
      <c r="A85">
        <v>148</v>
      </c>
      <c r="B85" t="s">
        <v>313</v>
      </c>
      <c r="C85">
        <v>114</v>
      </c>
      <c r="D85" t="s">
        <v>29</v>
      </c>
      <c r="E85">
        <v>366</v>
      </c>
      <c r="F85" t="s">
        <v>404</v>
      </c>
      <c r="M85" t="s">
        <v>1116</v>
      </c>
      <c r="N85" t="s">
        <v>1116</v>
      </c>
      <c r="O85" t="s">
        <v>1116</v>
      </c>
    </row>
    <row r="86" spans="1:15" x14ac:dyDescent="0.3">
      <c r="A86">
        <v>148</v>
      </c>
      <c r="B86" t="s">
        <v>313</v>
      </c>
      <c r="C86">
        <v>114</v>
      </c>
      <c r="D86" t="s">
        <v>29</v>
      </c>
      <c r="E86">
        <v>368</v>
      </c>
      <c r="F86" t="s">
        <v>405</v>
      </c>
      <c r="M86" t="s">
        <v>1116</v>
      </c>
      <c r="N86" t="s">
        <v>1116</v>
      </c>
      <c r="O86" t="s">
        <v>1116</v>
      </c>
    </row>
    <row r="87" spans="1:15" x14ac:dyDescent="0.3">
      <c r="A87">
        <v>148</v>
      </c>
      <c r="B87" t="s">
        <v>313</v>
      </c>
      <c r="C87">
        <v>114</v>
      </c>
      <c r="D87" t="s">
        <v>29</v>
      </c>
      <c r="E87">
        <v>369</v>
      </c>
      <c r="F87" t="s">
        <v>406</v>
      </c>
      <c r="M87" t="s">
        <v>1116</v>
      </c>
      <c r="N87" t="s">
        <v>1116</v>
      </c>
      <c r="O87" t="s">
        <v>1116</v>
      </c>
    </row>
    <row r="88" spans="1:15" x14ac:dyDescent="0.3">
      <c r="A88">
        <v>148</v>
      </c>
      <c r="B88" t="s">
        <v>313</v>
      </c>
      <c r="C88">
        <v>114</v>
      </c>
      <c r="D88" t="s">
        <v>29</v>
      </c>
      <c r="E88">
        <v>370</v>
      </c>
      <c r="F88" t="s">
        <v>407</v>
      </c>
      <c r="M88" t="s">
        <v>1116</v>
      </c>
      <c r="N88" t="s">
        <v>1116</v>
      </c>
      <c r="O88" t="s">
        <v>1116</v>
      </c>
    </row>
    <row r="89" spans="1:15" x14ac:dyDescent="0.3">
      <c r="A89">
        <v>148</v>
      </c>
      <c r="B89" t="s">
        <v>313</v>
      </c>
      <c r="C89">
        <v>114</v>
      </c>
      <c r="D89" t="s">
        <v>29</v>
      </c>
      <c r="E89">
        <v>371</v>
      </c>
      <c r="F89" t="s">
        <v>408</v>
      </c>
      <c r="M89" t="s">
        <v>1116</v>
      </c>
      <c r="N89" t="s">
        <v>1116</v>
      </c>
      <c r="O89" t="s">
        <v>1116</v>
      </c>
    </row>
    <row r="90" spans="1:15" x14ac:dyDescent="0.3">
      <c r="A90">
        <v>148</v>
      </c>
      <c r="B90" t="s">
        <v>313</v>
      </c>
      <c r="C90">
        <v>114</v>
      </c>
      <c r="D90" t="s">
        <v>29</v>
      </c>
      <c r="E90">
        <v>1385</v>
      </c>
      <c r="F90" t="s">
        <v>409</v>
      </c>
      <c r="M90" t="s">
        <v>1116</v>
      </c>
      <c r="N90" t="s">
        <v>1116</v>
      </c>
      <c r="O90" t="s">
        <v>1116</v>
      </c>
    </row>
    <row r="91" spans="1:15" x14ac:dyDescent="0.3">
      <c r="A91">
        <v>151</v>
      </c>
      <c r="B91" t="s">
        <v>323</v>
      </c>
      <c r="C91">
        <v>117</v>
      </c>
      <c r="D91" t="s">
        <v>35</v>
      </c>
      <c r="E91">
        <v>333</v>
      </c>
      <c r="F91" t="s">
        <v>393</v>
      </c>
      <c r="G91">
        <v>0</v>
      </c>
      <c r="H91">
        <v>1</v>
      </c>
      <c r="I91">
        <v>0</v>
      </c>
      <c r="J91">
        <v>0</v>
      </c>
      <c r="K91">
        <v>3</v>
      </c>
      <c r="L91">
        <v>0</v>
      </c>
      <c r="M91" t="s">
        <v>325</v>
      </c>
      <c r="N91" t="s">
        <v>336</v>
      </c>
      <c r="O91" t="s">
        <v>338</v>
      </c>
    </row>
    <row r="92" spans="1:15" x14ac:dyDescent="0.3">
      <c r="A92">
        <v>151</v>
      </c>
      <c r="B92" t="s">
        <v>323</v>
      </c>
      <c r="C92">
        <v>117</v>
      </c>
      <c r="D92" t="s">
        <v>35</v>
      </c>
      <c r="E92">
        <v>334</v>
      </c>
      <c r="F92" t="s">
        <v>354</v>
      </c>
      <c r="G92">
        <v>0</v>
      </c>
      <c r="H92">
        <v>0</v>
      </c>
      <c r="I92">
        <v>1</v>
      </c>
      <c r="J92">
        <v>0</v>
      </c>
      <c r="K92">
        <v>4</v>
      </c>
      <c r="L92">
        <v>0</v>
      </c>
      <c r="M92" t="s">
        <v>410</v>
      </c>
      <c r="N92" t="s">
        <v>336</v>
      </c>
      <c r="O92" t="s">
        <v>330</v>
      </c>
    </row>
    <row r="93" spans="1:15" x14ac:dyDescent="0.3">
      <c r="A93">
        <v>151</v>
      </c>
      <c r="B93" t="s">
        <v>323</v>
      </c>
      <c r="C93">
        <v>117</v>
      </c>
      <c r="D93" t="s">
        <v>35</v>
      </c>
      <c r="E93">
        <v>335</v>
      </c>
      <c r="F93" t="s">
        <v>411</v>
      </c>
      <c r="G93">
        <v>1</v>
      </c>
      <c r="H93">
        <v>1</v>
      </c>
      <c r="I93">
        <v>0</v>
      </c>
      <c r="J93">
        <v>0</v>
      </c>
      <c r="K93">
        <v>2</v>
      </c>
      <c r="L93">
        <v>0</v>
      </c>
      <c r="M93" t="s">
        <v>333</v>
      </c>
      <c r="N93" t="s">
        <v>336</v>
      </c>
      <c r="O93" t="s">
        <v>330</v>
      </c>
    </row>
    <row r="94" spans="1:15" x14ac:dyDescent="0.3">
      <c r="A94">
        <v>151</v>
      </c>
      <c r="B94" t="s">
        <v>323</v>
      </c>
      <c r="C94">
        <v>117</v>
      </c>
      <c r="D94" t="s">
        <v>35</v>
      </c>
      <c r="E94">
        <v>336</v>
      </c>
      <c r="F94" t="s">
        <v>412</v>
      </c>
      <c r="G94">
        <v>1</v>
      </c>
      <c r="H94">
        <v>0</v>
      </c>
      <c r="I94">
        <v>1</v>
      </c>
      <c r="J94">
        <v>1</v>
      </c>
      <c r="K94">
        <v>1</v>
      </c>
      <c r="L94">
        <v>0</v>
      </c>
      <c r="M94" t="s">
        <v>333</v>
      </c>
      <c r="N94" t="s">
        <v>326</v>
      </c>
      <c r="O94" t="s">
        <v>330</v>
      </c>
    </row>
    <row r="95" spans="1:15" x14ac:dyDescent="0.3">
      <c r="A95">
        <v>151</v>
      </c>
      <c r="B95" t="s">
        <v>323</v>
      </c>
      <c r="C95">
        <v>117</v>
      </c>
      <c r="D95" t="s">
        <v>35</v>
      </c>
      <c r="E95">
        <v>337</v>
      </c>
      <c r="F95" t="s">
        <v>413</v>
      </c>
      <c r="G95">
        <v>0</v>
      </c>
      <c r="H95">
        <v>0</v>
      </c>
      <c r="I95">
        <v>0</v>
      </c>
      <c r="J95">
        <v>2</v>
      </c>
      <c r="K95">
        <v>4</v>
      </c>
      <c r="L95">
        <v>0</v>
      </c>
      <c r="M95" t="s">
        <v>325</v>
      </c>
      <c r="N95" t="s">
        <v>326</v>
      </c>
      <c r="O95" t="s">
        <v>338</v>
      </c>
    </row>
    <row r="96" spans="1:15" x14ac:dyDescent="0.3">
      <c r="A96">
        <v>151</v>
      </c>
      <c r="B96" t="s">
        <v>323</v>
      </c>
      <c r="C96">
        <v>117</v>
      </c>
      <c r="D96" t="s">
        <v>35</v>
      </c>
      <c r="E96">
        <v>338</v>
      </c>
      <c r="F96" t="s">
        <v>376</v>
      </c>
      <c r="G96">
        <v>0</v>
      </c>
      <c r="H96">
        <v>0</v>
      </c>
      <c r="I96">
        <v>0</v>
      </c>
      <c r="J96">
        <v>0</v>
      </c>
      <c r="K96">
        <v>2</v>
      </c>
      <c r="L96">
        <v>0</v>
      </c>
      <c r="M96" t="s">
        <v>333</v>
      </c>
      <c r="N96" t="s">
        <v>329</v>
      </c>
      <c r="O96" t="s">
        <v>330</v>
      </c>
    </row>
    <row r="97" spans="1:15" x14ac:dyDescent="0.3">
      <c r="A97">
        <v>152</v>
      </c>
      <c r="B97" t="s">
        <v>323</v>
      </c>
      <c r="C97">
        <v>118</v>
      </c>
      <c r="D97" t="s">
        <v>37</v>
      </c>
      <c r="E97">
        <v>1573</v>
      </c>
      <c r="F97" t="s">
        <v>349</v>
      </c>
      <c r="G97">
        <v>0</v>
      </c>
      <c r="H97">
        <v>2</v>
      </c>
      <c r="I97">
        <v>0</v>
      </c>
      <c r="J97">
        <v>1</v>
      </c>
      <c r="K97">
        <v>2</v>
      </c>
      <c r="L97">
        <v>2</v>
      </c>
      <c r="M97" t="s">
        <v>414</v>
      </c>
      <c r="N97" t="s">
        <v>336</v>
      </c>
      <c r="O97" t="s">
        <v>338</v>
      </c>
    </row>
    <row r="98" spans="1:15" x14ac:dyDescent="0.3">
      <c r="A98">
        <v>152</v>
      </c>
      <c r="B98" t="s">
        <v>323</v>
      </c>
      <c r="C98">
        <v>118</v>
      </c>
      <c r="D98" t="s">
        <v>37</v>
      </c>
      <c r="E98">
        <v>1574</v>
      </c>
      <c r="F98" t="s">
        <v>415</v>
      </c>
      <c r="G98">
        <v>0</v>
      </c>
      <c r="H98">
        <v>3</v>
      </c>
      <c r="I98">
        <v>2</v>
      </c>
      <c r="J98">
        <v>0</v>
      </c>
      <c r="K98">
        <v>0</v>
      </c>
      <c r="L98">
        <v>0</v>
      </c>
      <c r="M98" t="s">
        <v>416</v>
      </c>
      <c r="N98" t="s">
        <v>336</v>
      </c>
      <c r="O98" t="s">
        <v>352</v>
      </c>
    </row>
    <row r="99" spans="1:15" x14ac:dyDescent="0.3">
      <c r="A99">
        <v>152</v>
      </c>
      <c r="B99" t="s">
        <v>323</v>
      </c>
      <c r="C99">
        <v>118</v>
      </c>
      <c r="D99" t="s">
        <v>37</v>
      </c>
      <c r="E99">
        <v>1575</v>
      </c>
      <c r="F99" t="s">
        <v>417</v>
      </c>
      <c r="G99">
        <v>0</v>
      </c>
      <c r="H99">
        <v>0</v>
      </c>
      <c r="I99">
        <v>2</v>
      </c>
      <c r="J99">
        <v>0</v>
      </c>
      <c r="K99">
        <v>4</v>
      </c>
      <c r="L99">
        <v>0</v>
      </c>
      <c r="M99" t="s">
        <v>325</v>
      </c>
      <c r="N99" t="s">
        <v>326</v>
      </c>
      <c r="O99" t="s">
        <v>338</v>
      </c>
    </row>
    <row r="100" spans="1:15" x14ac:dyDescent="0.3">
      <c r="A100">
        <v>152</v>
      </c>
      <c r="B100" t="s">
        <v>323</v>
      </c>
      <c r="C100">
        <v>118</v>
      </c>
      <c r="D100" t="s">
        <v>37</v>
      </c>
      <c r="E100">
        <v>1576</v>
      </c>
      <c r="F100" t="s">
        <v>418</v>
      </c>
      <c r="G100">
        <v>3</v>
      </c>
      <c r="H100">
        <v>3</v>
      </c>
      <c r="I100">
        <v>3</v>
      </c>
      <c r="J100">
        <v>1</v>
      </c>
      <c r="K100">
        <v>0</v>
      </c>
      <c r="L100">
        <v>0</v>
      </c>
      <c r="M100" t="s">
        <v>410</v>
      </c>
      <c r="N100" t="s">
        <v>348</v>
      </c>
      <c r="O100" t="s">
        <v>338</v>
      </c>
    </row>
    <row r="101" spans="1:15" x14ac:dyDescent="0.3">
      <c r="A101">
        <v>152</v>
      </c>
      <c r="B101" t="s">
        <v>323</v>
      </c>
      <c r="C101">
        <v>118</v>
      </c>
      <c r="D101" t="s">
        <v>37</v>
      </c>
      <c r="E101">
        <v>1577</v>
      </c>
      <c r="F101" t="s">
        <v>419</v>
      </c>
      <c r="G101">
        <v>3</v>
      </c>
      <c r="H101">
        <v>2</v>
      </c>
      <c r="I101">
        <v>3</v>
      </c>
      <c r="J101">
        <v>2</v>
      </c>
      <c r="K101">
        <v>0</v>
      </c>
      <c r="L101">
        <v>0</v>
      </c>
      <c r="M101" t="s">
        <v>410</v>
      </c>
      <c r="N101" t="s">
        <v>348</v>
      </c>
      <c r="O101" t="s">
        <v>338</v>
      </c>
    </row>
    <row r="102" spans="1:15" x14ac:dyDescent="0.3">
      <c r="A102">
        <v>152</v>
      </c>
      <c r="B102" t="s">
        <v>323</v>
      </c>
      <c r="C102">
        <v>118</v>
      </c>
      <c r="D102" t="s">
        <v>37</v>
      </c>
      <c r="E102">
        <v>1578</v>
      </c>
      <c r="F102" t="s">
        <v>420</v>
      </c>
      <c r="G102">
        <v>0</v>
      </c>
      <c r="H102">
        <v>1</v>
      </c>
      <c r="I102">
        <v>2</v>
      </c>
      <c r="J102">
        <v>1</v>
      </c>
      <c r="K102">
        <v>2</v>
      </c>
      <c r="L102">
        <v>0</v>
      </c>
      <c r="M102" t="s">
        <v>333</v>
      </c>
      <c r="N102" t="s">
        <v>326</v>
      </c>
      <c r="O102" t="s">
        <v>340</v>
      </c>
    </row>
    <row r="103" spans="1:15" x14ac:dyDescent="0.3">
      <c r="A103">
        <v>152</v>
      </c>
      <c r="B103" t="s">
        <v>323</v>
      </c>
      <c r="C103">
        <v>118</v>
      </c>
      <c r="D103" t="s">
        <v>37</v>
      </c>
      <c r="E103">
        <v>1579</v>
      </c>
      <c r="F103" t="s">
        <v>421</v>
      </c>
      <c r="G103">
        <v>3</v>
      </c>
      <c r="H103">
        <v>3</v>
      </c>
      <c r="I103">
        <v>0</v>
      </c>
      <c r="J103">
        <v>0</v>
      </c>
      <c r="K103">
        <v>3</v>
      </c>
      <c r="L103">
        <v>0</v>
      </c>
      <c r="M103" t="s">
        <v>325</v>
      </c>
      <c r="N103" t="s">
        <v>326</v>
      </c>
      <c r="O103" t="s">
        <v>330</v>
      </c>
    </row>
    <row r="104" spans="1:15" x14ac:dyDescent="0.3">
      <c r="A104">
        <v>152</v>
      </c>
      <c r="B104" t="s">
        <v>323</v>
      </c>
      <c r="C104">
        <v>118</v>
      </c>
      <c r="D104" t="s">
        <v>37</v>
      </c>
      <c r="E104">
        <v>1580</v>
      </c>
      <c r="F104" t="s">
        <v>422</v>
      </c>
      <c r="G104">
        <v>0</v>
      </c>
      <c r="H104">
        <v>0</v>
      </c>
      <c r="I104">
        <v>3</v>
      </c>
      <c r="J104">
        <v>4</v>
      </c>
      <c r="K104">
        <v>5</v>
      </c>
      <c r="L104">
        <v>0</v>
      </c>
      <c r="M104" t="s">
        <v>333</v>
      </c>
      <c r="N104" t="s">
        <v>326</v>
      </c>
      <c r="O104" t="s">
        <v>330</v>
      </c>
    </row>
    <row r="105" spans="1:15" x14ac:dyDescent="0.3">
      <c r="A105">
        <v>152</v>
      </c>
      <c r="B105" t="s">
        <v>323</v>
      </c>
      <c r="C105">
        <v>118</v>
      </c>
      <c r="D105" t="s">
        <v>37</v>
      </c>
      <c r="E105">
        <v>1581</v>
      </c>
      <c r="F105" t="s">
        <v>423</v>
      </c>
      <c r="G105">
        <v>0</v>
      </c>
      <c r="H105">
        <v>1</v>
      </c>
      <c r="I105">
        <v>3</v>
      </c>
      <c r="J105">
        <v>2</v>
      </c>
      <c r="K105">
        <v>4</v>
      </c>
      <c r="L105">
        <v>0</v>
      </c>
      <c r="M105" t="s">
        <v>325</v>
      </c>
      <c r="N105" t="s">
        <v>329</v>
      </c>
      <c r="O105" t="s">
        <v>352</v>
      </c>
    </row>
    <row r="106" spans="1:15" x14ac:dyDescent="0.3">
      <c r="A106">
        <v>152</v>
      </c>
      <c r="B106" t="s">
        <v>323</v>
      </c>
      <c r="C106">
        <v>118</v>
      </c>
      <c r="D106" t="s">
        <v>37</v>
      </c>
      <c r="E106">
        <v>1583</v>
      </c>
      <c r="F106" t="s">
        <v>424</v>
      </c>
      <c r="G106">
        <v>1</v>
      </c>
      <c r="H106">
        <v>0</v>
      </c>
      <c r="I106">
        <v>3</v>
      </c>
      <c r="J106">
        <v>1</v>
      </c>
      <c r="K106">
        <v>1</v>
      </c>
      <c r="L106">
        <v>0</v>
      </c>
      <c r="M106" t="s">
        <v>325</v>
      </c>
      <c r="N106" t="s">
        <v>326</v>
      </c>
      <c r="O106" t="s">
        <v>352</v>
      </c>
    </row>
    <row r="107" spans="1:15" x14ac:dyDescent="0.3">
      <c r="A107">
        <v>152</v>
      </c>
      <c r="B107" t="s">
        <v>323</v>
      </c>
      <c r="C107">
        <v>118</v>
      </c>
      <c r="D107" t="s">
        <v>37</v>
      </c>
      <c r="E107">
        <v>1584</v>
      </c>
      <c r="F107" t="s">
        <v>425</v>
      </c>
      <c r="G107">
        <v>10</v>
      </c>
      <c r="H107">
        <v>0</v>
      </c>
      <c r="I107">
        <v>0</v>
      </c>
      <c r="J107">
        <v>0</v>
      </c>
      <c r="K107">
        <v>0</v>
      </c>
      <c r="L107">
        <v>0</v>
      </c>
      <c r="M107" t="s">
        <v>333</v>
      </c>
      <c r="N107" t="s">
        <v>348</v>
      </c>
      <c r="O107" t="s">
        <v>338</v>
      </c>
    </row>
    <row r="108" spans="1:15" x14ac:dyDescent="0.3">
      <c r="A108">
        <v>152</v>
      </c>
      <c r="B108" t="s">
        <v>323</v>
      </c>
      <c r="C108">
        <v>118</v>
      </c>
      <c r="D108" t="s">
        <v>37</v>
      </c>
      <c r="E108">
        <v>1585</v>
      </c>
      <c r="F108" t="s">
        <v>426</v>
      </c>
      <c r="G108">
        <v>0</v>
      </c>
      <c r="H108">
        <v>2</v>
      </c>
      <c r="I108">
        <v>3</v>
      </c>
      <c r="J108">
        <v>2</v>
      </c>
      <c r="K108">
        <v>3</v>
      </c>
      <c r="L108">
        <v>0</v>
      </c>
      <c r="M108" t="s">
        <v>333</v>
      </c>
      <c r="N108" t="s">
        <v>326</v>
      </c>
      <c r="O108" t="s">
        <v>330</v>
      </c>
    </row>
    <row r="109" spans="1:15" x14ac:dyDescent="0.3">
      <c r="A109">
        <v>152</v>
      </c>
      <c r="B109" t="s">
        <v>323</v>
      </c>
      <c r="C109">
        <v>118</v>
      </c>
      <c r="D109" t="s">
        <v>37</v>
      </c>
      <c r="E109">
        <v>1586</v>
      </c>
      <c r="F109" t="s">
        <v>427</v>
      </c>
      <c r="G109">
        <v>2</v>
      </c>
      <c r="H109">
        <v>2</v>
      </c>
      <c r="I109">
        <v>3</v>
      </c>
      <c r="J109">
        <v>1</v>
      </c>
      <c r="K109">
        <v>4</v>
      </c>
      <c r="L109">
        <v>0</v>
      </c>
      <c r="M109" t="s">
        <v>333</v>
      </c>
      <c r="N109" t="s">
        <v>326</v>
      </c>
      <c r="O109" t="s">
        <v>330</v>
      </c>
    </row>
    <row r="110" spans="1:15" x14ac:dyDescent="0.3">
      <c r="A110">
        <v>152</v>
      </c>
      <c r="B110" t="s">
        <v>323</v>
      </c>
      <c r="C110">
        <v>118</v>
      </c>
      <c r="D110" t="s">
        <v>37</v>
      </c>
      <c r="E110">
        <v>1587</v>
      </c>
      <c r="F110" t="s">
        <v>428</v>
      </c>
      <c r="G110">
        <v>0</v>
      </c>
      <c r="H110">
        <v>3</v>
      </c>
      <c r="I110">
        <v>3</v>
      </c>
      <c r="J110">
        <v>0</v>
      </c>
      <c r="K110">
        <v>8</v>
      </c>
      <c r="L110">
        <v>0</v>
      </c>
      <c r="M110" t="s">
        <v>333</v>
      </c>
      <c r="N110" t="s">
        <v>326</v>
      </c>
      <c r="O110" t="s">
        <v>352</v>
      </c>
    </row>
    <row r="111" spans="1:15" x14ac:dyDescent="0.3">
      <c r="A111">
        <v>152</v>
      </c>
      <c r="B111" t="s">
        <v>323</v>
      </c>
      <c r="C111">
        <v>118</v>
      </c>
      <c r="D111" t="s">
        <v>37</v>
      </c>
      <c r="E111">
        <v>1588</v>
      </c>
      <c r="F111" t="s">
        <v>353</v>
      </c>
      <c r="G111">
        <v>0</v>
      </c>
      <c r="H111">
        <v>0</v>
      </c>
      <c r="I111">
        <v>2</v>
      </c>
      <c r="J111">
        <v>0</v>
      </c>
      <c r="K111">
        <v>2</v>
      </c>
      <c r="L111">
        <v>0</v>
      </c>
      <c r="M111" t="s">
        <v>325</v>
      </c>
      <c r="N111" t="s">
        <v>326</v>
      </c>
      <c r="O111" t="s">
        <v>330</v>
      </c>
    </row>
    <row r="112" spans="1:15" x14ac:dyDescent="0.3">
      <c r="A112">
        <v>152</v>
      </c>
      <c r="B112" t="s">
        <v>323</v>
      </c>
      <c r="C112">
        <v>118</v>
      </c>
      <c r="D112" t="s">
        <v>37</v>
      </c>
      <c r="E112">
        <v>1591</v>
      </c>
      <c r="F112" t="s">
        <v>429</v>
      </c>
      <c r="G112">
        <v>0</v>
      </c>
      <c r="H112">
        <v>2</v>
      </c>
      <c r="I112">
        <v>3</v>
      </c>
      <c r="J112">
        <v>2</v>
      </c>
      <c r="K112">
        <v>0</v>
      </c>
      <c r="L112">
        <v>0</v>
      </c>
      <c r="M112" t="s">
        <v>325</v>
      </c>
      <c r="N112" t="s">
        <v>348</v>
      </c>
      <c r="O112" t="s">
        <v>330</v>
      </c>
    </row>
    <row r="113" spans="1:15" x14ac:dyDescent="0.3">
      <c r="A113">
        <v>152</v>
      </c>
      <c r="B113" t="s">
        <v>323</v>
      </c>
      <c r="C113">
        <v>118</v>
      </c>
      <c r="D113" t="s">
        <v>37</v>
      </c>
      <c r="E113">
        <v>1593</v>
      </c>
      <c r="F113" t="s">
        <v>430</v>
      </c>
      <c r="G113">
        <v>0</v>
      </c>
      <c r="H113">
        <v>1</v>
      </c>
      <c r="I113">
        <v>3</v>
      </c>
      <c r="J113">
        <v>2</v>
      </c>
      <c r="K113">
        <v>4</v>
      </c>
      <c r="L113">
        <v>0</v>
      </c>
      <c r="M113" t="s">
        <v>325</v>
      </c>
      <c r="N113" t="s">
        <v>326</v>
      </c>
      <c r="O113" t="s">
        <v>340</v>
      </c>
    </row>
    <row r="114" spans="1:15" x14ac:dyDescent="0.3">
      <c r="A114">
        <v>154</v>
      </c>
      <c r="B114" t="s">
        <v>313</v>
      </c>
      <c r="C114">
        <v>120</v>
      </c>
      <c r="D114" t="s">
        <v>41</v>
      </c>
      <c r="E114">
        <v>1045</v>
      </c>
      <c r="F114" t="s">
        <v>431</v>
      </c>
      <c r="M114" t="s">
        <v>1116</v>
      </c>
      <c r="N114" t="s">
        <v>1116</v>
      </c>
      <c r="O114" t="s">
        <v>1116</v>
      </c>
    </row>
    <row r="115" spans="1:15" x14ac:dyDescent="0.3">
      <c r="A115">
        <v>154</v>
      </c>
      <c r="B115" t="s">
        <v>313</v>
      </c>
      <c r="C115">
        <v>120</v>
      </c>
      <c r="D115" t="s">
        <v>41</v>
      </c>
      <c r="E115">
        <v>1046</v>
      </c>
      <c r="F115" t="s">
        <v>432</v>
      </c>
      <c r="M115" t="s">
        <v>1116</v>
      </c>
      <c r="N115" t="s">
        <v>1116</v>
      </c>
      <c r="O115" t="s">
        <v>1116</v>
      </c>
    </row>
    <row r="116" spans="1:15" x14ac:dyDescent="0.3">
      <c r="A116">
        <v>154</v>
      </c>
      <c r="B116" t="s">
        <v>313</v>
      </c>
      <c r="C116">
        <v>120</v>
      </c>
      <c r="D116" t="s">
        <v>41</v>
      </c>
      <c r="E116">
        <v>1047</v>
      </c>
      <c r="F116" t="s">
        <v>433</v>
      </c>
      <c r="M116" t="s">
        <v>1116</v>
      </c>
      <c r="N116" t="s">
        <v>1116</v>
      </c>
      <c r="O116" t="s">
        <v>1116</v>
      </c>
    </row>
    <row r="117" spans="1:15" x14ac:dyDescent="0.3">
      <c r="A117">
        <v>154</v>
      </c>
      <c r="B117" t="s">
        <v>313</v>
      </c>
      <c r="C117">
        <v>120</v>
      </c>
      <c r="D117" t="s">
        <v>41</v>
      </c>
      <c r="E117">
        <v>1048</v>
      </c>
      <c r="F117" t="s">
        <v>434</v>
      </c>
      <c r="M117" t="s">
        <v>1116</v>
      </c>
      <c r="N117" t="s">
        <v>1116</v>
      </c>
      <c r="O117" t="s">
        <v>1116</v>
      </c>
    </row>
    <row r="118" spans="1:15" x14ac:dyDescent="0.3">
      <c r="A118">
        <v>154</v>
      </c>
      <c r="B118" t="s">
        <v>313</v>
      </c>
      <c r="C118">
        <v>120</v>
      </c>
      <c r="D118" t="s">
        <v>41</v>
      </c>
      <c r="E118">
        <v>1049</v>
      </c>
      <c r="F118" t="s">
        <v>435</v>
      </c>
      <c r="M118" t="s">
        <v>1116</v>
      </c>
      <c r="N118" t="s">
        <v>1116</v>
      </c>
      <c r="O118" t="s">
        <v>1116</v>
      </c>
    </row>
    <row r="119" spans="1:15" x14ac:dyDescent="0.3">
      <c r="A119">
        <v>154</v>
      </c>
      <c r="B119" t="s">
        <v>313</v>
      </c>
      <c r="C119">
        <v>120</v>
      </c>
      <c r="D119" t="s">
        <v>41</v>
      </c>
      <c r="E119">
        <v>1050</v>
      </c>
      <c r="F119" t="s">
        <v>436</v>
      </c>
      <c r="M119" t="s">
        <v>1116</v>
      </c>
      <c r="N119" t="s">
        <v>1116</v>
      </c>
      <c r="O119" t="s">
        <v>1116</v>
      </c>
    </row>
    <row r="120" spans="1:15" x14ac:dyDescent="0.3">
      <c r="A120">
        <v>154</v>
      </c>
      <c r="B120" t="s">
        <v>313</v>
      </c>
      <c r="C120">
        <v>120</v>
      </c>
      <c r="D120" t="s">
        <v>41</v>
      </c>
      <c r="E120">
        <v>1051</v>
      </c>
      <c r="F120" t="s">
        <v>437</v>
      </c>
      <c r="M120" t="s">
        <v>1116</v>
      </c>
      <c r="N120" t="s">
        <v>1116</v>
      </c>
      <c r="O120" t="s">
        <v>1116</v>
      </c>
    </row>
    <row r="121" spans="1:15" x14ac:dyDescent="0.3">
      <c r="A121">
        <v>154</v>
      </c>
      <c r="B121" t="s">
        <v>313</v>
      </c>
      <c r="C121">
        <v>120</v>
      </c>
      <c r="D121" t="s">
        <v>41</v>
      </c>
      <c r="E121">
        <v>1052</v>
      </c>
      <c r="F121" t="s">
        <v>438</v>
      </c>
      <c r="M121" t="s">
        <v>1116</v>
      </c>
      <c r="N121" t="s">
        <v>1116</v>
      </c>
      <c r="O121" t="s">
        <v>1116</v>
      </c>
    </row>
    <row r="122" spans="1:15" x14ac:dyDescent="0.3">
      <c r="A122">
        <v>154</v>
      </c>
      <c r="B122" t="s">
        <v>313</v>
      </c>
      <c r="C122">
        <v>120</v>
      </c>
      <c r="D122" t="s">
        <v>41</v>
      </c>
      <c r="E122">
        <v>1053</v>
      </c>
      <c r="F122" t="s">
        <v>439</v>
      </c>
      <c r="M122" t="s">
        <v>1116</v>
      </c>
      <c r="N122" t="s">
        <v>1116</v>
      </c>
      <c r="O122" t="s">
        <v>1116</v>
      </c>
    </row>
    <row r="123" spans="1:15" x14ac:dyDescent="0.3">
      <c r="A123">
        <v>154</v>
      </c>
      <c r="B123" t="s">
        <v>313</v>
      </c>
      <c r="C123">
        <v>120</v>
      </c>
      <c r="D123" t="s">
        <v>41</v>
      </c>
      <c r="E123">
        <v>1054</v>
      </c>
      <c r="F123" t="s">
        <v>398</v>
      </c>
      <c r="M123" t="s">
        <v>1116</v>
      </c>
      <c r="N123" t="s">
        <v>1116</v>
      </c>
      <c r="O123" t="s">
        <v>1116</v>
      </c>
    </row>
    <row r="124" spans="1:15" x14ac:dyDescent="0.3">
      <c r="A124">
        <v>154</v>
      </c>
      <c r="B124" t="s">
        <v>313</v>
      </c>
      <c r="C124">
        <v>120</v>
      </c>
      <c r="D124" t="s">
        <v>41</v>
      </c>
      <c r="E124">
        <v>1055</v>
      </c>
      <c r="F124" t="s">
        <v>440</v>
      </c>
      <c r="M124" t="s">
        <v>1116</v>
      </c>
      <c r="N124" t="s">
        <v>1116</v>
      </c>
      <c r="O124" t="s">
        <v>1116</v>
      </c>
    </row>
    <row r="125" spans="1:15" x14ac:dyDescent="0.3">
      <c r="A125">
        <v>154</v>
      </c>
      <c r="B125" t="s">
        <v>313</v>
      </c>
      <c r="C125">
        <v>120</v>
      </c>
      <c r="D125" t="s">
        <v>41</v>
      </c>
      <c r="E125">
        <v>1056</v>
      </c>
      <c r="F125" t="s">
        <v>441</v>
      </c>
      <c r="M125" t="s">
        <v>1116</v>
      </c>
      <c r="N125" t="s">
        <v>1116</v>
      </c>
      <c r="O125" t="s">
        <v>1116</v>
      </c>
    </row>
    <row r="126" spans="1:15" x14ac:dyDescent="0.3">
      <c r="A126">
        <v>154</v>
      </c>
      <c r="B126" t="s">
        <v>313</v>
      </c>
      <c r="C126">
        <v>120</v>
      </c>
      <c r="D126" t="s">
        <v>41</v>
      </c>
      <c r="E126">
        <v>1057</v>
      </c>
      <c r="F126" t="s">
        <v>442</v>
      </c>
      <c r="M126" t="s">
        <v>1116</v>
      </c>
      <c r="N126" t="s">
        <v>1116</v>
      </c>
      <c r="O126" t="s">
        <v>1116</v>
      </c>
    </row>
    <row r="127" spans="1:15" x14ac:dyDescent="0.3">
      <c r="A127">
        <v>154</v>
      </c>
      <c r="B127" t="s">
        <v>313</v>
      </c>
      <c r="C127">
        <v>120</v>
      </c>
      <c r="D127" t="s">
        <v>41</v>
      </c>
      <c r="E127">
        <v>1059</v>
      </c>
      <c r="F127" t="s">
        <v>443</v>
      </c>
      <c r="M127" t="s">
        <v>1116</v>
      </c>
      <c r="N127" t="s">
        <v>1116</v>
      </c>
      <c r="O127" t="s">
        <v>1116</v>
      </c>
    </row>
    <row r="128" spans="1:15" x14ac:dyDescent="0.3">
      <c r="A128">
        <v>154</v>
      </c>
      <c r="B128" t="s">
        <v>313</v>
      </c>
      <c r="C128">
        <v>120</v>
      </c>
      <c r="D128" t="s">
        <v>41</v>
      </c>
      <c r="E128">
        <v>1060</v>
      </c>
      <c r="F128" t="s">
        <v>444</v>
      </c>
      <c r="M128" t="s">
        <v>1116</v>
      </c>
      <c r="N128" t="s">
        <v>1116</v>
      </c>
      <c r="O128" t="s">
        <v>1116</v>
      </c>
    </row>
    <row r="129" spans="1:15" x14ac:dyDescent="0.3">
      <c r="A129">
        <v>154</v>
      </c>
      <c r="B129" t="s">
        <v>313</v>
      </c>
      <c r="C129">
        <v>120</v>
      </c>
      <c r="D129" t="s">
        <v>41</v>
      </c>
      <c r="E129">
        <v>1061</v>
      </c>
      <c r="F129" t="s">
        <v>445</v>
      </c>
      <c r="M129" t="s">
        <v>1116</v>
      </c>
      <c r="N129" t="s">
        <v>1116</v>
      </c>
      <c r="O129" t="s">
        <v>1116</v>
      </c>
    </row>
    <row r="130" spans="1:15" x14ac:dyDescent="0.3">
      <c r="A130">
        <v>154</v>
      </c>
      <c r="B130" t="s">
        <v>313</v>
      </c>
      <c r="C130">
        <v>120</v>
      </c>
      <c r="D130" t="s">
        <v>41</v>
      </c>
      <c r="E130">
        <v>1062</v>
      </c>
      <c r="F130" t="s">
        <v>446</v>
      </c>
      <c r="M130" t="s">
        <v>1116</v>
      </c>
      <c r="N130" t="s">
        <v>1116</v>
      </c>
      <c r="O130" t="s">
        <v>1116</v>
      </c>
    </row>
    <row r="131" spans="1:15" x14ac:dyDescent="0.3">
      <c r="A131">
        <v>154</v>
      </c>
      <c r="B131" t="s">
        <v>313</v>
      </c>
      <c r="C131">
        <v>120</v>
      </c>
      <c r="D131" t="s">
        <v>41</v>
      </c>
      <c r="E131">
        <v>1063</v>
      </c>
      <c r="F131" t="s">
        <v>447</v>
      </c>
      <c r="M131" t="s">
        <v>1116</v>
      </c>
      <c r="N131" t="s">
        <v>1116</v>
      </c>
      <c r="O131" t="s">
        <v>1116</v>
      </c>
    </row>
    <row r="132" spans="1:15" x14ac:dyDescent="0.3">
      <c r="A132">
        <v>154</v>
      </c>
      <c r="B132" t="s">
        <v>313</v>
      </c>
      <c r="C132">
        <v>120</v>
      </c>
      <c r="D132" t="s">
        <v>41</v>
      </c>
      <c r="E132">
        <v>1064</v>
      </c>
      <c r="F132" t="s">
        <v>448</v>
      </c>
      <c r="M132" t="s">
        <v>1116</v>
      </c>
      <c r="N132" t="s">
        <v>1116</v>
      </c>
      <c r="O132" t="s">
        <v>1116</v>
      </c>
    </row>
    <row r="133" spans="1:15" x14ac:dyDescent="0.3">
      <c r="A133">
        <v>154</v>
      </c>
      <c r="B133" t="s">
        <v>313</v>
      </c>
      <c r="C133">
        <v>120</v>
      </c>
      <c r="D133" t="s">
        <v>41</v>
      </c>
      <c r="E133">
        <v>1065</v>
      </c>
      <c r="F133" t="s">
        <v>449</v>
      </c>
      <c r="M133" t="s">
        <v>1116</v>
      </c>
      <c r="N133" t="s">
        <v>1116</v>
      </c>
      <c r="O133" t="s">
        <v>1116</v>
      </c>
    </row>
    <row r="134" spans="1:15" x14ac:dyDescent="0.3">
      <c r="A134">
        <v>154</v>
      </c>
      <c r="B134" t="s">
        <v>313</v>
      </c>
      <c r="C134">
        <v>120</v>
      </c>
      <c r="D134" t="s">
        <v>41</v>
      </c>
      <c r="E134">
        <v>1066</v>
      </c>
      <c r="F134" t="s">
        <v>450</v>
      </c>
      <c r="M134" t="s">
        <v>1116</v>
      </c>
      <c r="N134" t="s">
        <v>1116</v>
      </c>
      <c r="O134" t="s">
        <v>1116</v>
      </c>
    </row>
    <row r="135" spans="1:15" x14ac:dyDescent="0.3">
      <c r="A135">
        <v>154</v>
      </c>
      <c r="B135" t="s">
        <v>313</v>
      </c>
      <c r="C135">
        <v>120</v>
      </c>
      <c r="D135" t="s">
        <v>41</v>
      </c>
      <c r="E135">
        <v>1067</v>
      </c>
      <c r="F135" t="s">
        <v>451</v>
      </c>
      <c r="M135" t="s">
        <v>1116</v>
      </c>
      <c r="N135" t="s">
        <v>1116</v>
      </c>
      <c r="O135" t="s">
        <v>1116</v>
      </c>
    </row>
    <row r="136" spans="1:15" x14ac:dyDescent="0.3">
      <c r="A136">
        <v>154</v>
      </c>
      <c r="B136" t="s">
        <v>313</v>
      </c>
      <c r="C136">
        <v>120</v>
      </c>
      <c r="D136" t="s">
        <v>41</v>
      </c>
      <c r="E136">
        <v>1068</v>
      </c>
      <c r="F136" t="s">
        <v>452</v>
      </c>
      <c r="M136" t="s">
        <v>1116</v>
      </c>
      <c r="N136" t="s">
        <v>1116</v>
      </c>
      <c r="O136" t="s">
        <v>1116</v>
      </c>
    </row>
    <row r="137" spans="1:15" x14ac:dyDescent="0.3">
      <c r="A137">
        <v>154</v>
      </c>
      <c r="B137" t="s">
        <v>313</v>
      </c>
      <c r="C137">
        <v>120</v>
      </c>
      <c r="D137" t="s">
        <v>41</v>
      </c>
      <c r="E137">
        <v>1069</v>
      </c>
      <c r="F137" t="s">
        <v>453</v>
      </c>
      <c r="M137" t="s">
        <v>1116</v>
      </c>
      <c r="N137" t="s">
        <v>1116</v>
      </c>
      <c r="O137" t="s">
        <v>1116</v>
      </c>
    </row>
    <row r="138" spans="1:15" x14ac:dyDescent="0.3">
      <c r="A138">
        <v>154</v>
      </c>
      <c r="B138" t="s">
        <v>313</v>
      </c>
      <c r="C138">
        <v>120</v>
      </c>
      <c r="D138" t="s">
        <v>41</v>
      </c>
      <c r="E138">
        <v>1070</v>
      </c>
      <c r="F138" t="s">
        <v>381</v>
      </c>
      <c r="M138" t="s">
        <v>1116</v>
      </c>
      <c r="N138" t="s">
        <v>1116</v>
      </c>
      <c r="O138" t="s">
        <v>1116</v>
      </c>
    </row>
    <row r="139" spans="1:15" x14ac:dyDescent="0.3">
      <c r="A139">
        <v>154</v>
      </c>
      <c r="B139" t="s">
        <v>313</v>
      </c>
      <c r="C139">
        <v>120</v>
      </c>
      <c r="D139" t="s">
        <v>41</v>
      </c>
      <c r="E139">
        <v>1071</v>
      </c>
      <c r="F139" t="s">
        <v>454</v>
      </c>
      <c r="M139" t="s">
        <v>1116</v>
      </c>
      <c r="N139" t="s">
        <v>1116</v>
      </c>
      <c r="O139" t="s">
        <v>1116</v>
      </c>
    </row>
    <row r="140" spans="1:15" x14ac:dyDescent="0.3">
      <c r="A140">
        <v>154</v>
      </c>
      <c r="B140" t="s">
        <v>313</v>
      </c>
      <c r="C140">
        <v>120</v>
      </c>
      <c r="D140" t="s">
        <v>41</v>
      </c>
      <c r="E140">
        <v>1072</v>
      </c>
      <c r="F140" t="s">
        <v>455</v>
      </c>
      <c r="M140" t="s">
        <v>1116</v>
      </c>
      <c r="N140" t="s">
        <v>1116</v>
      </c>
      <c r="O140" t="s">
        <v>1116</v>
      </c>
    </row>
    <row r="141" spans="1:15" x14ac:dyDescent="0.3">
      <c r="A141">
        <v>154</v>
      </c>
      <c r="B141" t="s">
        <v>313</v>
      </c>
      <c r="C141">
        <v>120</v>
      </c>
      <c r="D141" t="s">
        <v>41</v>
      </c>
      <c r="E141">
        <v>1073</v>
      </c>
      <c r="F141" t="s">
        <v>456</v>
      </c>
      <c r="M141" t="s">
        <v>1116</v>
      </c>
      <c r="N141" t="s">
        <v>1116</v>
      </c>
      <c r="O141" t="s">
        <v>1116</v>
      </c>
    </row>
    <row r="142" spans="1:15" x14ac:dyDescent="0.3">
      <c r="A142">
        <v>154</v>
      </c>
      <c r="B142" t="s">
        <v>313</v>
      </c>
      <c r="C142">
        <v>120</v>
      </c>
      <c r="D142" t="s">
        <v>41</v>
      </c>
      <c r="E142">
        <v>1074</v>
      </c>
      <c r="F142" t="s">
        <v>457</v>
      </c>
      <c r="M142" t="s">
        <v>1116</v>
      </c>
      <c r="N142" t="s">
        <v>1116</v>
      </c>
      <c r="O142" t="s">
        <v>1116</v>
      </c>
    </row>
    <row r="143" spans="1:15" x14ac:dyDescent="0.3">
      <c r="A143">
        <v>154</v>
      </c>
      <c r="B143" t="s">
        <v>313</v>
      </c>
      <c r="C143">
        <v>120</v>
      </c>
      <c r="D143" t="s">
        <v>41</v>
      </c>
      <c r="E143">
        <v>1075</v>
      </c>
      <c r="F143" t="s">
        <v>458</v>
      </c>
      <c r="M143" t="s">
        <v>1116</v>
      </c>
      <c r="N143" t="s">
        <v>1116</v>
      </c>
      <c r="O143" t="s">
        <v>1116</v>
      </c>
    </row>
    <row r="144" spans="1:15" x14ac:dyDescent="0.3">
      <c r="A144">
        <v>154</v>
      </c>
      <c r="B144" t="s">
        <v>313</v>
      </c>
      <c r="C144">
        <v>120</v>
      </c>
      <c r="D144" t="s">
        <v>41</v>
      </c>
      <c r="E144">
        <v>1076</v>
      </c>
      <c r="F144" t="s">
        <v>459</v>
      </c>
      <c r="M144" t="s">
        <v>1116</v>
      </c>
      <c r="N144" t="s">
        <v>1116</v>
      </c>
      <c r="O144" t="s">
        <v>1116</v>
      </c>
    </row>
    <row r="145" spans="1:15" x14ac:dyDescent="0.3">
      <c r="A145">
        <v>154</v>
      </c>
      <c r="B145" t="s">
        <v>313</v>
      </c>
      <c r="C145">
        <v>120</v>
      </c>
      <c r="D145" t="s">
        <v>41</v>
      </c>
      <c r="E145">
        <v>1077</v>
      </c>
      <c r="F145" t="s">
        <v>460</v>
      </c>
      <c r="M145" t="s">
        <v>1116</v>
      </c>
      <c r="N145" t="s">
        <v>1116</v>
      </c>
      <c r="O145" t="s">
        <v>1116</v>
      </c>
    </row>
    <row r="146" spans="1:15" x14ac:dyDescent="0.3">
      <c r="A146">
        <v>154</v>
      </c>
      <c r="B146" t="s">
        <v>313</v>
      </c>
      <c r="C146">
        <v>120</v>
      </c>
      <c r="D146" t="s">
        <v>41</v>
      </c>
      <c r="E146">
        <v>1079</v>
      </c>
      <c r="F146" t="s">
        <v>461</v>
      </c>
      <c r="M146" t="s">
        <v>1116</v>
      </c>
      <c r="N146" t="s">
        <v>1116</v>
      </c>
      <c r="O146" t="s">
        <v>1116</v>
      </c>
    </row>
    <row r="147" spans="1:15" x14ac:dyDescent="0.3">
      <c r="A147">
        <v>154</v>
      </c>
      <c r="B147" t="s">
        <v>313</v>
      </c>
      <c r="C147">
        <v>120</v>
      </c>
      <c r="D147" t="s">
        <v>41</v>
      </c>
      <c r="E147">
        <v>1657</v>
      </c>
      <c r="F147" t="s">
        <v>462</v>
      </c>
      <c r="M147" t="s">
        <v>1116</v>
      </c>
      <c r="N147" t="s">
        <v>1116</v>
      </c>
      <c r="O147" t="s">
        <v>1116</v>
      </c>
    </row>
    <row r="148" spans="1:15" x14ac:dyDescent="0.3">
      <c r="A148">
        <v>154</v>
      </c>
      <c r="B148" t="s">
        <v>313</v>
      </c>
      <c r="C148">
        <v>120</v>
      </c>
      <c r="D148" t="s">
        <v>41</v>
      </c>
      <c r="E148">
        <v>1658</v>
      </c>
      <c r="F148" t="s">
        <v>463</v>
      </c>
      <c r="M148" t="s">
        <v>1116</v>
      </c>
      <c r="N148" t="s">
        <v>1116</v>
      </c>
      <c r="O148" t="s">
        <v>1116</v>
      </c>
    </row>
    <row r="149" spans="1:15" x14ac:dyDescent="0.3">
      <c r="A149">
        <v>154</v>
      </c>
      <c r="B149" t="s">
        <v>313</v>
      </c>
      <c r="C149">
        <v>120</v>
      </c>
      <c r="D149" t="s">
        <v>41</v>
      </c>
      <c r="E149">
        <v>1659</v>
      </c>
      <c r="F149" t="s">
        <v>464</v>
      </c>
      <c r="M149" t="s">
        <v>1116</v>
      </c>
      <c r="N149" t="s">
        <v>1116</v>
      </c>
      <c r="O149" t="s">
        <v>1116</v>
      </c>
    </row>
    <row r="150" spans="1:15" x14ac:dyDescent="0.3">
      <c r="A150">
        <v>154</v>
      </c>
      <c r="B150" t="s">
        <v>313</v>
      </c>
      <c r="C150">
        <v>120</v>
      </c>
      <c r="D150" t="s">
        <v>41</v>
      </c>
      <c r="E150">
        <v>1660</v>
      </c>
      <c r="F150" t="s">
        <v>465</v>
      </c>
      <c r="M150" t="s">
        <v>1116</v>
      </c>
      <c r="N150" t="s">
        <v>1116</v>
      </c>
      <c r="O150" t="s">
        <v>1116</v>
      </c>
    </row>
    <row r="151" spans="1:15" x14ac:dyDescent="0.3">
      <c r="A151">
        <v>157</v>
      </c>
      <c r="B151" t="s">
        <v>323</v>
      </c>
      <c r="C151">
        <v>123</v>
      </c>
      <c r="D151" t="s">
        <v>47</v>
      </c>
      <c r="E151">
        <v>863</v>
      </c>
      <c r="F151" t="s">
        <v>381</v>
      </c>
      <c r="G151">
        <v>0</v>
      </c>
      <c r="H151">
        <v>0</v>
      </c>
      <c r="I151">
        <v>1</v>
      </c>
      <c r="J151">
        <v>0</v>
      </c>
      <c r="K151">
        <v>0</v>
      </c>
      <c r="L151">
        <v>2</v>
      </c>
      <c r="M151" t="s">
        <v>333</v>
      </c>
      <c r="N151" t="s">
        <v>336</v>
      </c>
      <c r="O151" t="s">
        <v>330</v>
      </c>
    </row>
    <row r="152" spans="1:15" x14ac:dyDescent="0.3">
      <c r="A152">
        <v>157</v>
      </c>
      <c r="B152" t="s">
        <v>323</v>
      </c>
      <c r="C152">
        <v>123</v>
      </c>
      <c r="D152" t="s">
        <v>47</v>
      </c>
      <c r="E152">
        <v>865</v>
      </c>
      <c r="F152" t="s">
        <v>466</v>
      </c>
      <c r="G152">
        <v>4</v>
      </c>
      <c r="H152">
        <v>3</v>
      </c>
      <c r="I152">
        <v>2</v>
      </c>
      <c r="J152">
        <v>0</v>
      </c>
      <c r="K152">
        <v>0</v>
      </c>
      <c r="L152">
        <v>9</v>
      </c>
      <c r="M152" t="s">
        <v>333</v>
      </c>
      <c r="N152" t="s">
        <v>336</v>
      </c>
      <c r="O152" t="s">
        <v>330</v>
      </c>
    </row>
    <row r="153" spans="1:15" x14ac:dyDescent="0.3">
      <c r="A153">
        <v>157</v>
      </c>
      <c r="B153" t="s">
        <v>323</v>
      </c>
      <c r="C153">
        <v>123</v>
      </c>
      <c r="D153" t="s">
        <v>47</v>
      </c>
      <c r="E153">
        <v>867</v>
      </c>
      <c r="F153" t="s">
        <v>467</v>
      </c>
      <c r="G153">
        <v>0</v>
      </c>
      <c r="H153">
        <v>1</v>
      </c>
      <c r="I153">
        <v>2</v>
      </c>
      <c r="J153">
        <v>2</v>
      </c>
      <c r="K153">
        <v>0</v>
      </c>
      <c r="L153">
        <v>1</v>
      </c>
      <c r="M153" t="s">
        <v>325</v>
      </c>
      <c r="N153" t="s">
        <v>326</v>
      </c>
      <c r="O153" t="s">
        <v>340</v>
      </c>
    </row>
    <row r="154" spans="1:15" x14ac:dyDescent="0.3">
      <c r="A154">
        <v>157</v>
      </c>
      <c r="B154" t="s">
        <v>323</v>
      </c>
      <c r="C154">
        <v>123</v>
      </c>
      <c r="D154" t="s">
        <v>47</v>
      </c>
      <c r="E154">
        <v>870</v>
      </c>
      <c r="F154" t="s">
        <v>468</v>
      </c>
      <c r="G154">
        <v>0</v>
      </c>
      <c r="H154">
        <v>0</v>
      </c>
      <c r="I154">
        <v>0</v>
      </c>
      <c r="J154">
        <v>1</v>
      </c>
      <c r="K154">
        <v>0</v>
      </c>
      <c r="L154">
        <v>2</v>
      </c>
      <c r="M154" t="s">
        <v>325</v>
      </c>
      <c r="N154" t="s">
        <v>336</v>
      </c>
      <c r="O154" t="s">
        <v>340</v>
      </c>
    </row>
    <row r="155" spans="1:15" x14ac:dyDescent="0.3">
      <c r="A155">
        <v>157</v>
      </c>
      <c r="B155" t="s">
        <v>323</v>
      </c>
      <c r="C155">
        <v>123</v>
      </c>
      <c r="D155" t="s">
        <v>47</v>
      </c>
      <c r="E155">
        <v>872</v>
      </c>
      <c r="F155" t="s">
        <v>469</v>
      </c>
      <c r="G155">
        <v>0</v>
      </c>
      <c r="H155">
        <v>1</v>
      </c>
      <c r="I155">
        <v>2</v>
      </c>
      <c r="J155">
        <v>0</v>
      </c>
      <c r="K155">
        <v>0</v>
      </c>
      <c r="L155">
        <v>1</v>
      </c>
      <c r="M155" t="s">
        <v>410</v>
      </c>
      <c r="N155" t="s">
        <v>348</v>
      </c>
      <c r="O155" t="s">
        <v>330</v>
      </c>
    </row>
    <row r="156" spans="1:15" x14ac:dyDescent="0.3">
      <c r="A156">
        <v>157</v>
      </c>
      <c r="B156" t="s">
        <v>323</v>
      </c>
      <c r="C156">
        <v>123</v>
      </c>
      <c r="D156" t="s">
        <v>47</v>
      </c>
      <c r="E156">
        <v>873</v>
      </c>
      <c r="F156" t="s">
        <v>470</v>
      </c>
      <c r="G156">
        <v>0</v>
      </c>
      <c r="H156">
        <v>0</v>
      </c>
      <c r="I156">
        <v>0</v>
      </c>
      <c r="J156">
        <v>1</v>
      </c>
      <c r="K156">
        <v>0</v>
      </c>
      <c r="L156">
        <v>0</v>
      </c>
      <c r="M156" t="s">
        <v>333</v>
      </c>
      <c r="N156" t="s">
        <v>326</v>
      </c>
      <c r="O156" t="s">
        <v>330</v>
      </c>
    </row>
    <row r="157" spans="1:15" x14ac:dyDescent="0.3">
      <c r="A157">
        <v>157</v>
      </c>
      <c r="B157" t="s">
        <v>323</v>
      </c>
      <c r="C157">
        <v>123</v>
      </c>
      <c r="D157" t="s">
        <v>47</v>
      </c>
      <c r="E157">
        <v>875</v>
      </c>
      <c r="F157" t="s">
        <v>471</v>
      </c>
      <c r="G157">
        <v>0</v>
      </c>
      <c r="H157">
        <v>0</v>
      </c>
      <c r="I157">
        <v>2</v>
      </c>
      <c r="J157">
        <v>0</v>
      </c>
      <c r="K157">
        <v>0</v>
      </c>
      <c r="L157">
        <v>0</v>
      </c>
      <c r="M157" t="s">
        <v>325</v>
      </c>
      <c r="N157" t="s">
        <v>326</v>
      </c>
      <c r="O157" t="s">
        <v>340</v>
      </c>
    </row>
    <row r="158" spans="1:15" x14ac:dyDescent="0.3">
      <c r="A158">
        <v>157</v>
      </c>
      <c r="B158" t="s">
        <v>323</v>
      </c>
      <c r="C158">
        <v>123</v>
      </c>
      <c r="D158" t="s">
        <v>47</v>
      </c>
      <c r="E158">
        <v>876</v>
      </c>
      <c r="F158" t="s">
        <v>472</v>
      </c>
      <c r="G158">
        <v>0</v>
      </c>
      <c r="H158">
        <v>1</v>
      </c>
      <c r="I158">
        <v>2</v>
      </c>
      <c r="J158">
        <v>1</v>
      </c>
      <c r="K158">
        <v>0</v>
      </c>
      <c r="L158">
        <v>1</v>
      </c>
      <c r="M158" t="s">
        <v>325</v>
      </c>
      <c r="N158" t="s">
        <v>326</v>
      </c>
      <c r="O158" t="s">
        <v>330</v>
      </c>
    </row>
    <row r="159" spans="1:15" x14ac:dyDescent="0.3">
      <c r="A159">
        <v>157</v>
      </c>
      <c r="B159" t="s">
        <v>323</v>
      </c>
      <c r="C159">
        <v>123</v>
      </c>
      <c r="D159" t="s">
        <v>47</v>
      </c>
      <c r="E159">
        <v>877</v>
      </c>
      <c r="F159" t="s">
        <v>473</v>
      </c>
      <c r="G159">
        <v>1</v>
      </c>
      <c r="H159">
        <v>2</v>
      </c>
      <c r="I159">
        <v>3</v>
      </c>
      <c r="J159">
        <v>1</v>
      </c>
      <c r="K159">
        <v>0</v>
      </c>
      <c r="L159">
        <v>8</v>
      </c>
      <c r="M159" t="s">
        <v>325</v>
      </c>
      <c r="N159" t="s">
        <v>326</v>
      </c>
      <c r="O159" t="s">
        <v>330</v>
      </c>
    </row>
    <row r="160" spans="1:15" x14ac:dyDescent="0.3">
      <c r="A160">
        <v>157</v>
      </c>
      <c r="B160" t="s">
        <v>323</v>
      </c>
      <c r="C160">
        <v>123</v>
      </c>
      <c r="D160" t="s">
        <v>47</v>
      </c>
      <c r="E160">
        <v>878</v>
      </c>
      <c r="F160" t="s">
        <v>349</v>
      </c>
      <c r="G160">
        <v>0</v>
      </c>
      <c r="H160">
        <v>1</v>
      </c>
      <c r="I160">
        <v>2</v>
      </c>
      <c r="J160">
        <v>0</v>
      </c>
      <c r="K160">
        <v>0</v>
      </c>
      <c r="L160">
        <v>1</v>
      </c>
      <c r="M160" t="s">
        <v>410</v>
      </c>
      <c r="N160" t="s">
        <v>336</v>
      </c>
      <c r="O160" t="s">
        <v>340</v>
      </c>
    </row>
    <row r="161" spans="1:15" x14ac:dyDescent="0.3">
      <c r="A161">
        <v>157</v>
      </c>
      <c r="B161" t="s">
        <v>323</v>
      </c>
      <c r="C161">
        <v>123</v>
      </c>
      <c r="D161" t="s">
        <v>47</v>
      </c>
      <c r="E161">
        <v>1486</v>
      </c>
      <c r="F161" t="s">
        <v>359</v>
      </c>
      <c r="G161">
        <v>1</v>
      </c>
      <c r="H161">
        <v>1</v>
      </c>
      <c r="I161">
        <v>1</v>
      </c>
      <c r="J161">
        <v>1</v>
      </c>
      <c r="K161">
        <v>0</v>
      </c>
      <c r="L161">
        <v>0</v>
      </c>
      <c r="M161" t="s">
        <v>325</v>
      </c>
      <c r="N161" t="s">
        <v>329</v>
      </c>
      <c r="O161" t="s">
        <v>330</v>
      </c>
    </row>
    <row r="162" spans="1:15" x14ac:dyDescent="0.3">
      <c r="A162">
        <v>157</v>
      </c>
      <c r="B162" t="s">
        <v>323</v>
      </c>
      <c r="C162">
        <v>123</v>
      </c>
      <c r="D162" t="s">
        <v>47</v>
      </c>
      <c r="E162">
        <v>1487</v>
      </c>
      <c r="F162" t="s">
        <v>474</v>
      </c>
      <c r="G162">
        <v>0</v>
      </c>
      <c r="H162">
        <v>1</v>
      </c>
      <c r="I162">
        <v>5</v>
      </c>
      <c r="J162">
        <v>2</v>
      </c>
      <c r="K162">
        <v>0</v>
      </c>
      <c r="L162">
        <v>2</v>
      </c>
      <c r="M162" t="s">
        <v>325</v>
      </c>
      <c r="N162" t="s">
        <v>326</v>
      </c>
      <c r="O162" t="s">
        <v>330</v>
      </c>
    </row>
    <row r="163" spans="1:15" x14ac:dyDescent="0.3">
      <c r="A163">
        <v>157</v>
      </c>
      <c r="B163" t="s">
        <v>323</v>
      </c>
      <c r="C163">
        <v>123</v>
      </c>
      <c r="D163" t="s">
        <v>47</v>
      </c>
      <c r="E163">
        <v>1488</v>
      </c>
      <c r="F163" t="s">
        <v>475</v>
      </c>
      <c r="G163">
        <v>1</v>
      </c>
      <c r="H163">
        <v>0</v>
      </c>
      <c r="I163">
        <v>0</v>
      </c>
      <c r="J163">
        <v>0</v>
      </c>
      <c r="K163">
        <v>0</v>
      </c>
      <c r="L163">
        <v>2</v>
      </c>
      <c r="M163" t="s">
        <v>333</v>
      </c>
      <c r="N163" t="s">
        <v>326</v>
      </c>
      <c r="O163" t="s">
        <v>330</v>
      </c>
    </row>
    <row r="164" spans="1:15" x14ac:dyDescent="0.3">
      <c r="A164">
        <v>158</v>
      </c>
      <c r="B164" t="s">
        <v>323</v>
      </c>
      <c r="C164">
        <v>124</v>
      </c>
      <c r="D164" t="s">
        <v>49</v>
      </c>
      <c r="E164">
        <v>322</v>
      </c>
      <c r="F164" t="s">
        <v>393</v>
      </c>
      <c r="G164">
        <v>0</v>
      </c>
      <c r="H164">
        <v>1</v>
      </c>
      <c r="I164">
        <v>1</v>
      </c>
      <c r="J164">
        <v>1</v>
      </c>
      <c r="K164">
        <v>0</v>
      </c>
      <c r="L164">
        <v>1</v>
      </c>
      <c r="M164" t="s">
        <v>410</v>
      </c>
      <c r="N164" t="s">
        <v>326</v>
      </c>
      <c r="O164" t="s">
        <v>338</v>
      </c>
    </row>
    <row r="165" spans="1:15" x14ac:dyDescent="0.3">
      <c r="A165">
        <v>158</v>
      </c>
      <c r="B165" t="s">
        <v>323</v>
      </c>
      <c r="C165">
        <v>124</v>
      </c>
      <c r="D165" t="s">
        <v>49</v>
      </c>
      <c r="E165">
        <v>323</v>
      </c>
      <c r="F165" t="s">
        <v>476</v>
      </c>
      <c r="G165">
        <v>1</v>
      </c>
      <c r="H165">
        <v>0</v>
      </c>
      <c r="I165">
        <v>2</v>
      </c>
      <c r="J165">
        <v>1</v>
      </c>
      <c r="K165">
        <v>1</v>
      </c>
      <c r="L165">
        <v>1</v>
      </c>
      <c r="M165" t="s">
        <v>333</v>
      </c>
      <c r="N165" t="s">
        <v>348</v>
      </c>
      <c r="O165" t="s">
        <v>330</v>
      </c>
    </row>
    <row r="166" spans="1:15" x14ac:dyDescent="0.3">
      <c r="A166">
        <v>158</v>
      </c>
      <c r="B166" t="s">
        <v>323</v>
      </c>
      <c r="C166">
        <v>124</v>
      </c>
      <c r="D166" t="s">
        <v>49</v>
      </c>
      <c r="E166">
        <v>324</v>
      </c>
      <c r="F166" t="s">
        <v>477</v>
      </c>
      <c r="G166">
        <v>0</v>
      </c>
      <c r="H166">
        <v>0</v>
      </c>
      <c r="I166">
        <v>0</v>
      </c>
      <c r="J166">
        <v>1</v>
      </c>
      <c r="K166">
        <v>0</v>
      </c>
      <c r="L166">
        <v>0</v>
      </c>
      <c r="M166" t="s">
        <v>333</v>
      </c>
      <c r="N166" t="s">
        <v>329</v>
      </c>
      <c r="O166" t="s">
        <v>352</v>
      </c>
    </row>
    <row r="167" spans="1:15" x14ac:dyDescent="0.3">
      <c r="A167">
        <v>158</v>
      </c>
      <c r="B167" t="s">
        <v>323</v>
      </c>
      <c r="C167">
        <v>124</v>
      </c>
      <c r="D167" t="s">
        <v>49</v>
      </c>
      <c r="E167">
        <v>325</v>
      </c>
      <c r="F167" t="s">
        <v>351</v>
      </c>
      <c r="G167">
        <v>0</v>
      </c>
      <c r="H167">
        <v>0</v>
      </c>
      <c r="I167">
        <v>2</v>
      </c>
      <c r="J167">
        <v>0</v>
      </c>
      <c r="K167">
        <v>1</v>
      </c>
      <c r="L167">
        <v>1</v>
      </c>
      <c r="M167" t="s">
        <v>333</v>
      </c>
      <c r="N167" t="s">
        <v>336</v>
      </c>
      <c r="O167" t="s">
        <v>330</v>
      </c>
    </row>
    <row r="168" spans="1:15" x14ac:dyDescent="0.3">
      <c r="A168">
        <v>158</v>
      </c>
      <c r="B168" t="s">
        <v>323</v>
      </c>
      <c r="C168">
        <v>124</v>
      </c>
      <c r="D168" t="s">
        <v>49</v>
      </c>
      <c r="E168">
        <v>326</v>
      </c>
      <c r="F168" t="s">
        <v>478</v>
      </c>
      <c r="G168">
        <v>0</v>
      </c>
      <c r="H168">
        <v>0</v>
      </c>
      <c r="I168">
        <v>1</v>
      </c>
      <c r="J168">
        <v>1</v>
      </c>
      <c r="K168">
        <v>0</v>
      </c>
      <c r="L168">
        <v>0</v>
      </c>
      <c r="M168" t="s">
        <v>333</v>
      </c>
      <c r="N168" t="s">
        <v>348</v>
      </c>
      <c r="O168" t="s">
        <v>352</v>
      </c>
    </row>
    <row r="169" spans="1:15" x14ac:dyDescent="0.3">
      <c r="A169">
        <v>158</v>
      </c>
      <c r="B169" t="s">
        <v>323</v>
      </c>
      <c r="C169">
        <v>124</v>
      </c>
      <c r="D169" t="s">
        <v>49</v>
      </c>
      <c r="E169">
        <v>327</v>
      </c>
      <c r="F169" t="s">
        <v>479</v>
      </c>
      <c r="G169">
        <v>0</v>
      </c>
      <c r="H169">
        <v>1</v>
      </c>
      <c r="I169">
        <v>0</v>
      </c>
      <c r="J169">
        <v>0</v>
      </c>
      <c r="K169">
        <v>1</v>
      </c>
      <c r="L169">
        <v>2</v>
      </c>
      <c r="M169" t="s">
        <v>333</v>
      </c>
      <c r="N169" t="s">
        <v>329</v>
      </c>
      <c r="O169" t="s">
        <v>352</v>
      </c>
    </row>
    <row r="170" spans="1:15" x14ac:dyDescent="0.3">
      <c r="A170">
        <v>158</v>
      </c>
      <c r="B170" t="s">
        <v>323</v>
      </c>
      <c r="C170">
        <v>124</v>
      </c>
      <c r="D170" t="s">
        <v>49</v>
      </c>
      <c r="E170">
        <v>328</v>
      </c>
      <c r="F170" t="s">
        <v>480</v>
      </c>
      <c r="G170">
        <v>1</v>
      </c>
      <c r="H170">
        <v>0</v>
      </c>
      <c r="I170">
        <v>0</v>
      </c>
      <c r="J170">
        <v>1</v>
      </c>
      <c r="K170">
        <v>2</v>
      </c>
      <c r="L170">
        <v>2</v>
      </c>
      <c r="M170" t="s">
        <v>333</v>
      </c>
      <c r="N170" t="s">
        <v>336</v>
      </c>
      <c r="O170" t="s">
        <v>340</v>
      </c>
    </row>
    <row r="171" spans="1:15" x14ac:dyDescent="0.3">
      <c r="A171">
        <v>158</v>
      </c>
      <c r="B171" t="s">
        <v>323</v>
      </c>
      <c r="C171">
        <v>124</v>
      </c>
      <c r="D171" t="s">
        <v>49</v>
      </c>
      <c r="E171">
        <v>1646</v>
      </c>
      <c r="F171" t="s">
        <v>481</v>
      </c>
      <c r="G171">
        <v>1</v>
      </c>
      <c r="H171">
        <v>2</v>
      </c>
      <c r="I171">
        <v>0</v>
      </c>
      <c r="J171">
        <v>1</v>
      </c>
      <c r="K171">
        <v>0</v>
      </c>
      <c r="L171">
        <v>0</v>
      </c>
      <c r="M171" t="s">
        <v>333</v>
      </c>
      <c r="N171" t="s">
        <v>336</v>
      </c>
      <c r="O171" t="s">
        <v>330</v>
      </c>
    </row>
    <row r="172" spans="1:15" x14ac:dyDescent="0.3">
      <c r="A172">
        <v>158</v>
      </c>
      <c r="B172" t="s">
        <v>323</v>
      </c>
      <c r="C172">
        <v>124</v>
      </c>
      <c r="D172" t="s">
        <v>49</v>
      </c>
      <c r="E172">
        <v>1647</v>
      </c>
      <c r="F172" t="s">
        <v>482</v>
      </c>
      <c r="G172">
        <v>0</v>
      </c>
      <c r="H172">
        <v>2</v>
      </c>
      <c r="I172">
        <v>0</v>
      </c>
      <c r="J172">
        <v>0</v>
      </c>
      <c r="K172">
        <v>0</v>
      </c>
      <c r="L172">
        <v>2</v>
      </c>
      <c r="M172" t="s">
        <v>333</v>
      </c>
      <c r="N172" t="s">
        <v>336</v>
      </c>
      <c r="O172" t="s">
        <v>352</v>
      </c>
    </row>
    <row r="173" spans="1:15" x14ac:dyDescent="0.3">
      <c r="A173">
        <v>158</v>
      </c>
      <c r="B173" t="s">
        <v>323</v>
      </c>
      <c r="C173">
        <v>124</v>
      </c>
      <c r="D173" t="s">
        <v>49</v>
      </c>
      <c r="E173">
        <v>1661</v>
      </c>
      <c r="F173" t="s">
        <v>483</v>
      </c>
      <c r="G173">
        <v>0</v>
      </c>
      <c r="H173">
        <v>1</v>
      </c>
      <c r="I173">
        <v>1</v>
      </c>
      <c r="J173">
        <v>0</v>
      </c>
      <c r="K173">
        <v>0</v>
      </c>
      <c r="L173">
        <v>2</v>
      </c>
      <c r="M173" t="s">
        <v>333</v>
      </c>
      <c r="N173" t="s">
        <v>348</v>
      </c>
      <c r="O173" t="s">
        <v>327</v>
      </c>
    </row>
    <row r="174" spans="1:15" x14ac:dyDescent="0.3">
      <c r="A174">
        <v>159</v>
      </c>
      <c r="B174" t="s">
        <v>323</v>
      </c>
      <c r="C174">
        <v>125</v>
      </c>
      <c r="D174" t="s">
        <v>51</v>
      </c>
      <c r="E174">
        <v>1547</v>
      </c>
      <c r="F174" t="s">
        <v>315</v>
      </c>
      <c r="G174">
        <v>1</v>
      </c>
      <c r="H174">
        <v>1</v>
      </c>
      <c r="I174">
        <v>1</v>
      </c>
      <c r="J174">
        <v>1</v>
      </c>
      <c r="K174">
        <v>0</v>
      </c>
      <c r="L174">
        <v>0</v>
      </c>
      <c r="M174" t="s">
        <v>325</v>
      </c>
      <c r="N174" t="s">
        <v>484</v>
      </c>
      <c r="O174" t="s">
        <v>352</v>
      </c>
    </row>
    <row r="175" spans="1:15" x14ac:dyDescent="0.3">
      <c r="A175">
        <v>159</v>
      </c>
      <c r="B175" t="s">
        <v>323</v>
      </c>
      <c r="C175">
        <v>125</v>
      </c>
      <c r="D175" t="s">
        <v>51</v>
      </c>
      <c r="E175">
        <v>1548</v>
      </c>
      <c r="F175" t="s">
        <v>485</v>
      </c>
      <c r="G175">
        <v>1</v>
      </c>
      <c r="H175">
        <v>1</v>
      </c>
      <c r="I175">
        <v>0</v>
      </c>
      <c r="J175">
        <v>1</v>
      </c>
      <c r="K175">
        <v>2</v>
      </c>
      <c r="L175">
        <v>0</v>
      </c>
      <c r="M175" t="s">
        <v>333</v>
      </c>
      <c r="N175" t="s">
        <v>484</v>
      </c>
      <c r="O175" t="s">
        <v>352</v>
      </c>
    </row>
    <row r="176" spans="1:15" x14ac:dyDescent="0.3">
      <c r="A176">
        <v>159</v>
      </c>
      <c r="B176" t="s">
        <v>323</v>
      </c>
      <c r="C176">
        <v>125</v>
      </c>
      <c r="D176" t="s">
        <v>51</v>
      </c>
      <c r="E176">
        <v>1549</v>
      </c>
      <c r="F176" t="s">
        <v>486</v>
      </c>
      <c r="G176">
        <v>0</v>
      </c>
      <c r="H176">
        <v>0</v>
      </c>
      <c r="I176">
        <v>1</v>
      </c>
      <c r="J176">
        <v>0</v>
      </c>
      <c r="K176">
        <v>3</v>
      </c>
      <c r="L176">
        <v>0</v>
      </c>
      <c r="M176" t="s">
        <v>333</v>
      </c>
      <c r="N176" t="s">
        <v>484</v>
      </c>
      <c r="O176" t="s">
        <v>352</v>
      </c>
    </row>
    <row r="177" spans="1:15" x14ac:dyDescent="0.3">
      <c r="A177">
        <v>159</v>
      </c>
      <c r="B177" t="s">
        <v>323</v>
      </c>
      <c r="C177">
        <v>125</v>
      </c>
      <c r="D177" t="s">
        <v>51</v>
      </c>
      <c r="E177">
        <v>1550</v>
      </c>
      <c r="F177" t="s">
        <v>487</v>
      </c>
      <c r="G177">
        <v>0</v>
      </c>
      <c r="H177">
        <v>0</v>
      </c>
      <c r="I177">
        <v>2</v>
      </c>
      <c r="J177">
        <v>0</v>
      </c>
      <c r="K177">
        <v>0</v>
      </c>
      <c r="L177">
        <v>0</v>
      </c>
      <c r="M177" t="s">
        <v>333</v>
      </c>
      <c r="N177" t="s">
        <v>336</v>
      </c>
      <c r="O177" t="s">
        <v>330</v>
      </c>
    </row>
    <row r="178" spans="1:15" x14ac:dyDescent="0.3">
      <c r="A178">
        <v>160</v>
      </c>
      <c r="B178" t="s">
        <v>323</v>
      </c>
      <c r="C178">
        <v>126</v>
      </c>
      <c r="D178" t="s">
        <v>53</v>
      </c>
      <c r="E178">
        <v>1502</v>
      </c>
      <c r="F178" t="s">
        <v>488</v>
      </c>
      <c r="G178">
        <v>0</v>
      </c>
      <c r="H178">
        <v>0</v>
      </c>
      <c r="I178">
        <v>3</v>
      </c>
      <c r="J178">
        <v>0</v>
      </c>
      <c r="K178">
        <v>0</v>
      </c>
      <c r="L178">
        <v>0</v>
      </c>
      <c r="M178" t="s">
        <v>325</v>
      </c>
      <c r="N178" t="s">
        <v>336</v>
      </c>
      <c r="O178" t="s">
        <v>340</v>
      </c>
    </row>
    <row r="179" spans="1:15" x14ac:dyDescent="0.3">
      <c r="A179">
        <v>160</v>
      </c>
      <c r="B179" t="s">
        <v>323</v>
      </c>
      <c r="C179">
        <v>126</v>
      </c>
      <c r="D179" t="s">
        <v>53</v>
      </c>
      <c r="E179">
        <v>1513</v>
      </c>
      <c r="F179" t="s">
        <v>489</v>
      </c>
      <c r="G179">
        <v>0</v>
      </c>
      <c r="H179">
        <v>0</v>
      </c>
      <c r="I179">
        <v>1</v>
      </c>
      <c r="J179">
        <v>0</v>
      </c>
      <c r="K179">
        <v>2</v>
      </c>
      <c r="L179">
        <v>1</v>
      </c>
      <c r="M179" t="s">
        <v>333</v>
      </c>
      <c r="N179" t="s">
        <v>329</v>
      </c>
      <c r="O179" t="s">
        <v>352</v>
      </c>
    </row>
    <row r="180" spans="1:15" x14ac:dyDescent="0.3">
      <c r="A180">
        <v>160</v>
      </c>
      <c r="B180" t="s">
        <v>323</v>
      </c>
      <c r="C180">
        <v>126</v>
      </c>
      <c r="D180" t="s">
        <v>53</v>
      </c>
      <c r="E180">
        <v>1516</v>
      </c>
      <c r="F180" t="s">
        <v>490</v>
      </c>
      <c r="G180">
        <v>0</v>
      </c>
      <c r="H180">
        <v>0</v>
      </c>
      <c r="I180">
        <v>1</v>
      </c>
      <c r="J180">
        <v>1</v>
      </c>
      <c r="K180">
        <v>0</v>
      </c>
      <c r="L180">
        <v>0</v>
      </c>
      <c r="M180" t="s">
        <v>333</v>
      </c>
      <c r="N180" t="s">
        <v>329</v>
      </c>
      <c r="O180" t="s">
        <v>330</v>
      </c>
    </row>
    <row r="181" spans="1:15" x14ac:dyDescent="0.3">
      <c r="A181">
        <v>160</v>
      </c>
      <c r="B181" t="s">
        <v>323</v>
      </c>
      <c r="C181">
        <v>126</v>
      </c>
      <c r="D181" t="s">
        <v>53</v>
      </c>
      <c r="E181">
        <v>1518</v>
      </c>
      <c r="F181" t="s">
        <v>491</v>
      </c>
      <c r="G181">
        <v>0</v>
      </c>
      <c r="H181">
        <v>0</v>
      </c>
      <c r="I181">
        <v>3</v>
      </c>
      <c r="J181">
        <v>0</v>
      </c>
      <c r="K181">
        <v>0</v>
      </c>
      <c r="L181">
        <v>1</v>
      </c>
      <c r="M181" t="s">
        <v>333</v>
      </c>
      <c r="N181" t="s">
        <v>329</v>
      </c>
      <c r="O181" t="s">
        <v>352</v>
      </c>
    </row>
    <row r="182" spans="1:15" x14ac:dyDescent="0.3">
      <c r="A182">
        <v>161</v>
      </c>
      <c r="B182" t="s">
        <v>323</v>
      </c>
      <c r="C182">
        <v>127</v>
      </c>
      <c r="D182" t="s">
        <v>55</v>
      </c>
      <c r="E182">
        <v>330</v>
      </c>
      <c r="F182" t="s">
        <v>492</v>
      </c>
      <c r="G182">
        <v>0</v>
      </c>
      <c r="H182">
        <v>0</v>
      </c>
      <c r="I182">
        <v>0</v>
      </c>
      <c r="J182">
        <v>0</v>
      </c>
      <c r="K182">
        <v>1</v>
      </c>
      <c r="L182">
        <v>0</v>
      </c>
      <c r="M182" t="s">
        <v>333</v>
      </c>
      <c r="N182" t="s">
        <v>336</v>
      </c>
      <c r="O182" t="s">
        <v>352</v>
      </c>
    </row>
    <row r="183" spans="1:15" x14ac:dyDescent="0.3">
      <c r="A183">
        <v>161</v>
      </c>
      <c r="B183" t="s">
        <v>323</v>
      </c>
      <c r="C183">
        <v>127</v>
      </c>
      <c r="D183" t="s">
        <v>55</v>
      </c>
      <c r="E183">
        <v>331</v>
      </c>
      <c r="F183" t="s">
        <v>493</v>
      </c>
      <c r="G183">
        <v>0</v>
      </c>
      <c r="H183">
        <v>0</v>
      </c>
      <c r="I183">
        <v>0</v>
      </c>
      <c r="J183">
        <v>0</v>
      </c>
      <c r="K183">
        <v>0</v>
      </c>
      <c r="L183">
        <v>0</v>
      </c>
      <c r="M183" t="s">
        <v>333</v>
      </c>
      <c r="N183" t="s">
        <v>326</v>
      </c>
      <c r="O183" t="s">
        <v>330</v>
      </c>
    </row>
    <row r="184" spans="1:15" x14ac:dyDescent="0.3">
      <c r="A184">
        <v>161</v>
      </c>
      <c r="B184" t="s">
        <v>323</v>
      </c>
      <c r="C184">
        <v>127</v>
      </c>
      <c r="D184" t="s">
        <v>55</v>
      </c>
      <c r="E184">
        <v>332</v>
      </c>
      <c r="F184" t="s">
        <v>494</v>
      </c>
      <c r="G184">
        <v>0</v>
      </c>
      <c r="H184">
        <v>1</v>
      </c>
      <c r="I184">
        <v>0</v>
      </c>
      <c r="J184">
        <v>0</v>
      </c>
      <c r="K184">
        <v>0</v>
      </c>
      <c r="L184">
        <v>0</v>
      </c>
      <c r="M184" t="s">
        <v>325</v>
      </c>
      <c r="N184" t="s">
        <v>343</v>
      </c>
      <c r="O184" t="s">
        <v>352</v>
      </c>
    </row>
    <row r="185" spans="1:15" x14ac:dyDescent="0.3">
      <c r="A185">
        <v>161</v>
      </c>
      <c r="B185" t="s">
        <v>323</v>
      </c>
      <c r="C185">
        <v>127</v>
      </c>
      <c r="D185" t="s">
        <v>55</v>
      </c>
      <c r="E185">
        <v>339</v>
      </c>
      <c r="F185" t="s">
        <v>495</v>
      </c>
      <c r="G185">
        <v>0</v>
      </c>
      <c r="H185">
        <v>0</v>
      </c>
      <c r="I185">
        <v>1</v>
      </c>
      <c r="J185">
        <v>0</v>
      </c>
      <c r="K185">
        <v>3</v>
      </c>
      <c r="L185">
        <v>0</v>
      </c>
      <c r="M185" t="s">
        <v>333</v>
      </c>
      <c r="N185" t="s">
        <v>329</v>
      </c>
      <c r="O185" t="s">
        <v>340</v>
      </c>
    </row>
    <row r="186" spans="1:15" x14ac:dyDescent="0.3">
      <c r="A186">
        <v>161</v>
      </c>
      <c r="B186" t="s">
        <v>323</v>
      </c>
      <c r="C186">
        <v>127</v>
      </c>
      <c r="D186" t="s">
        <v>55</v>
      </c>
      <c r="E186">
        <v>340</v>
      </c>
      <c r="F186" t="s">
        <v>496</v>
      </c>
      <c r="G186">
        <v>0</v>
      </c>
      <c r="H186">
        <v>0</v>
      </c>
      <c r="I186">
        <v>0</v>
      </c>
      <c r="J186">
        <v>0</v>
      </c>
      <c r="K186">
        <v>0</v>
      </c>
      <c r="L186">
        <v>0</v>
      </c>
      <c r="M186" t="s">
        <v>325</v>
      </c>
      <c r="N186" t="s">
        <v>343</v>
      </c>
      <c r="O186" t="s">
        <v>352</v>
      </c>
    </row>
    <row r="187" spans="1:15" x14ac:dyDescent="0.3">
      <c r="A187">
        <v>161</v>
      </c>
      <c r="B187" t="s">
        <v>323</v>
      </c>
      <c r="C187">
        <v>127</v>
      </c>
      <c r="D187" t="s">
        <v>55</v>
      </c>
      <c r="E187">
        <v>341</v>
      </c>
      <c r="F187" t="s">
        <v>497</v>
      </c>
      <c r="G187">
        <v>0</v>
      </c>
      <c r="H187">
        <v>0</v>
      </c>
      <c r="I187">
        <v>1</v>
      </c>
      <c r="J187">
        <v>1</v>
      </c>
      <c r="K187">
        <v>2</v>
      </c>
      <c r="L187">
        <v>0</v>
      </c>
      <c r="M187" t="s">
        <v>333</v>
      </c>
      <c r="N187" t="s">
        <v>484</v>
      </c>
      <c r="O187" t="s">
        <v>340</v>
      </c>
    </row>
    <row r="188" spans="1:15" x14ac:dyDescent="0.3">
      <c r="A188">
        <v>161</v>
      </c>
      <c r="B188" t="s">
        <v>323</v>
      </c>
      <c r="C188">
        <v>127</v>
      </c>
      <c r="D188" t="s">
        <v>55</v>
      </c>
      <c r="E188">
        <v>342</v>
      </c>
      <c r="F188" t="s">
        <v>498</v>
      </c>
      <c r="G188">
        <v>0</v>
      </c>
      <c r="H188">
        <v>1</v>
      </c>
      <c r="I188">
        <v>2</v>
      </c>
      <c r="J188">
        <v>0</v>
      </c>
      <c r="K188">
        <v>0</v>
      </c>
      <c r="L188">
        <v>0</v>
      </c>
      <c r="M188" t="s">
        <v>325</v>
      </c>
      <c r="N188" t="s">
        <v>329</v>
      </c>
      <c r="O188" t="s">
        <v>340</v>
      </c>
    </row>
    <row r="189" spans="1:15" x14ac:dyDescent="0.3">
      <c r="A189">
        <v>161</v>
      </c>
      <c r="B189" t="s">
        <v>323</v>
      </c>
      <c r="C189">
        <v>127</v>
      </c>
      <c r="D189" t="s">
        <v>55</v>
      </c>
      <c r="E189">
        <v>343</v>
      </c>
      <c r="F189" t="s">
        <v>499</v>
      </c>
      <c r="G189">
        <v>0</v>
      </c>
      <c r="H189">
        <v>1</v>
      </c>
      <c r="I189">
        <v>1</v>
      </c>
      <c r="J189">
        <v>1</v>
      </c>
      <c r="K189">
        <v>1</v>
      </c>
      <c r="L189">
        <v>0</v>
      </c>
      <c r="M189" t="s">
        <v>333</v>
      </c>
      <c r="N189" t="s">
        <v>336</v>
      </c>
      <c r="O189" t="s">
        <v>340</v>
      </c>
    </row>
    <row r="190" spans="1:15" x14ac:dyDescent="0.3">
      <c r="A190">
        <v>161</v>
      </c>
      <c r="B190" t="s">
        <v>323</v>
      </c>
      <c r="C190">
        <v>127</v>
      </c>
      <c r="D190" t="s">
        <v>55</v>
      </c>
      <c r="E190">
        <v>344</v>
      </c>
      <c r="F190" t="s">
        <v>500</v>
      </c>
      <c r="G190">
        <v>0</v>
      </c>
      <c r="H190">
        <v>0</v>
      </c>
      <c r="I190">
        <v>4</v>
      </c>
      <c r="J190">
        <v>0</v>
      </c>
      <c r="K190">
        <v>0</v>
      </c>
      <c r="L190">
        <v>0</v>
      </c>
      <c r="M190" t="s">
        <v>325</v>
      </c>
      <c r="N190" t="s">
        <v>329</v>
      </c>
      <c r="O190" t="s">
        <v>330</v>
      </c>
    </row>
    <row r="191" spans="1:15" x14ac:dyDescent="0.3">
      <c r="A191">
        <v>161</v>
      </c>
      <c r="B191" t="s">
        <v>323</v>
      </c>
      <c r="C191">
        <v>127</v>
      </c>
      <c r="D191" t="s">
        <v>55</v>
      </c>
      <c r="E191">
        <v>345</v>
      </c>
      <c r="F191" t="s">
        <v>501</v>
      </c>
      <c r="G191">
        <v>0</v>
      </c>
      <c r="H191">
        <v>0</v>
      </c>
      <c r="I191">
        <v>0</v>
      </c>
      <c r="J191">
        <v>0</v>
      </c>
      <c r="K191">
        <v>0</v>
      </c>
      <c r="L191">
        <v>0</v>
      </c>
      <c r="M191" t="s">
        <v>325</v>
      </c>
      <c r="N191" t="s">
        <v>348</v>
      </c>
      <c r="O191" t="s">
        <v>352</v>
      </c>
    </row>
    <row r="192" spans="1:15" x14ac:dyDescent="0.3">
      <c r="A192">
        <v>161</v>
      </c>
      <c r="B192" t="s">
        <v>323</v>
      </c>
      <c r="C192">
        <v>127</v>
      </c>
      <c r="D192" t="s">
        <v>55</v>
      </c>
      <c r="E192">
        <v>1418</v>
      </c>
      <c r="F192" t="s">
        <v>359</v>
      </c>
      <c r="G192">
        <v>0</v>
      </c>
      <c r="H192">
        <v>2</v>
      </c>
      <c r="I192">
        <v>1</v>
      </c>
      <c r="J192">
        <v>2</v>
      </c>
      <c r="K192">
        <v>1</v>
      </c>
      <c r="L192">
        <v>0</v>
      </c>
      <c r="M192" t="s">
        <v>325</v>
      </c>
      <c r="N192" t="s">
        <v>329</v>
      </c>
      <c r="O192" t="s">
        <v>338</v>
      </c>
    </row>
    <row r="193" spans="1:15" x14ac:dyDescent="0.3">
      <c r="A193">
        <v>161</v>
      </c>
      <c r="B193" t="s">
        <v>323</v>
      </c>
      <c r="C193">
        <v>127</v>
      </c>
      <c r="D193" t="s">
        <v>55</v>
      </c>
      <c r="E193">
        <v>1419</v>
      </c>
      <c r="F193" t="s">
        <v>502</v>
      </c>
      <c r="G193">
        <v>0</v>
      </c>
      <c r="H193">
        <v>1</v>
      </c>
      <c r="I193">
        <v>2</v>
      </c>
      <c r="J193">
        <v>0</v>
      </c>
      <c r="K193">
        <v>1</v>
      </c>
      <c r="L193">
        <v>0</v>
      </c>
      <c r="M193" t="s">
        <v>325</v>
      </c>
      <c r="N193" t="s">
        <v>329</v>
      </c>
      <c r="O193" t="s">
        <v>330</v>
      </c>
    </row>
    <row r="194" spans="1:15" x14ac:dyDescent="0.3">
      <c r="A194">
        <v>164</v>
      </c>
      <c r="B194" t="s">
        <v>323</v>
      </c>
      <c r="C194">
        <v>130</v>
      </c>
      <c r="D194" t="s">
        <v>61</v>
      </c>
      <c r="E194">
        <v>761</v>
      </c>
      <c r="F194" t="s">
        <v>503</v>
      </c>
      <c r="G194">
        <v>0</v>
      </c>
      <c r="H194">
        <v>3</v>
      </c>
      <c r="I194">
        <v>1</v>
      </c>
      <c r="J194">
        <v>1</v>
      </c>
      <c r="K194">
        <v>0</v>
      </c>
      <c r="L194">
        <v>0</v>
      </c>
      <c r="M194" t="s">
        <v>325</v>
      </c>
      <c r="N194" t="s">
        <v>336</v>
      </c>
      <c r="O194" t="s">
        <v>340</v>
      </c>
    </row>
    <row r="195" spans="1:15" x14ac:dyDescent="0.3">
      <c r="A195">
        <v>164</v>
      </c>
      <c r="B195" t="s">
        <v>323</v>
      </c>
      <c r="C195">
        <v>130</v>
      </c>
      <c r="D195" t="s">
        <v>61</v>
      </c>
      <c r="E195">
        <v>762</v>
      </c>
      <c r="F195" t="s">
        <v>504</v>
      </c>
      <c r="G195">
        <v>1</v>
      </c>
      <c r="H195">
        <v>0</v>
      </c>
      <c r="I195">
        <v>1</v>
      </c>
      <c r="J195">
        <v>1</v>
      </c>
      <c r="K195">
        <v>0</v>
      </c>
      <c r="L195">
        <v>0</v>
      </c>
      <c r="M195" t="s">
        <v>333</v>
      </c>
      <c r="N195" t="s">
        <v>484</v>
      </c>
      <c r="O195" t="s">
        <v>330</v>
      </c>
    </row>
    <row r="196" spans="1:15" x14ac:dyDescent="0.3">
      <c r="A196">
        <v>164</v>
      </c>
      <c r="B196" t="s">
        <v>323</v>
      </c>
      <c r="C196">
        <v>130</v>
      </c>
      <c r="D196" t="s">
        <v>61</v>
      </c>
      <c r="E196">
        <v>763</v>
      </c>
      <c r="F196" t="s">
        <v>505</v>
      </c>
      <c r="G196">
        <v>0</v>
      </c>
      <c r="H196">
        <v>0</v>
      </c>
      <c r="I196">
        <v>1</v>
      </c>
      <c r="J196">
        <v>2</v>
      </c>
      <c r="K196">
        <v>3</v>
      </c>
      <c r="L196">
        <v>0</v>
      </c>
      <c r="M196" t="s">
        <v>333</v>
      </c>
      <c r="N196" t="s">
        <v>336</v>
      </c>
      <c r="O196" t="s">
        <v>338</v>
      </c>
    </row>
    <row r="197" spans="1:15" x14ac:dyDescent="0.3">
      <c r="A197">
        <v>164</v>
      </c>
      <c r="B197" t="s">
        <v>323</v>
      </c>
      <c r="C197">
        <v>130</v>
      </c>
      <c r="D197" t="s">
        <v>61</v>
      </c>
      <c r="E197">
        <v>765</v>
      </c>
      <c r="F197" t="s">
        <v>506</v>
      </c>
      <c r="G197">
        <v>0</v>
      </c>
      <c r="H197">
        <v>0</v>
      </c>
      <c r="I197">
        <v>0</v>
      </c>
      <c r="J197">
        <v>0</v>
      </c>
      <c r="K197">
        <v>0</v>
      </c>
      <c r="L197">
        <v>0</v>
      </c>
      <c r="M197" t="s">
        <v>333</v>
      </c>
      <c r="N197" t="s">
        <v>348</v>
      </c>
      <c r="O197" t="s">
        <v>330</v>
      </c>
    </row>
    <row r="198" spans="1:15" x14ac:dyDescent="0.3">
      <c r="A198">
        <v>164</v>
      </c>
      <c r="B198" t="s">
        <v>323</v>
      </c>
      <c r="C198">
        <v>130</v>
      </c>
      <c r="D198" t="s">
        <v>61</v>
      </c>
      <c r="E198">
        <v>766</v>
      </c>
      <c r="F198" t="s">
        <v>507</v>
      </c>
      <c r="G198">
        <v>0</v>
      </c>
      <c r="H198">
        <v>0</v>
      </c>
      <c r="I198">
        <v>0</v>
      </c>
      <c r="J198">
        <v>0</v>
      </c>
      <c r="K198">
        <v>0</v>
      </c>
      <c r="L198">
        <v>0</v>
      </c>
      <c r="M198" t="s">
        <v>333</v>
      </c>
      <c r="N198" t="s">
        <v>348</v>
      </c>
      <c r="O198" t="s">
        <v>330</v>
      </c>
    </row>
    <row r="199" spans="1:15" x14ac:dyDescent="0.3">
      <c r="A199">
        <v>164</v>
      </c>
      <c r="B199" t="s">
        <v>323</v>
      </c>
      <c r="C199">
        <v>130</v>
      </c>
      <c r="D199" t="s">
        <v>61</v>
      </c>
      <c r="E199">
        <v>767</v>
      </c>
      <c r="F199" t="s">
        <v>508</v>
      </c>
      <c r="G199">
        <v>0</v>
      </c>
      <c r="H199">
        <v>0</v>
      </c>
      <c r="I199">
        <v>0</v>
      </c>
      <c r="J199">
        <v>0</v>
      </c>
      <c r="K199">
        <v>2</v>
      </c>
      <c r="L199">
        <v>0</v>
      </c>
      <c r="M199" t="s">
        <v>333</v>
      </c>
      <c r="N199" t="s">
        <v>336</v>
      </c>
      <c r="O199" t="s">
        <v>327</v>
      </c>
    </row>
    <row r="200" spans="1:15" x14ac:dyDescent="0.3">
      <c r="A200">
        <v>164</v>
      </c>
      <c r="B200" t="s">
        <v>323</v>
      </c>
      <c r="C200">
        <v>130</v>
      </c>
      <c r="D200" t="s">
        <v>61</v>
      </c>
      <c r="E200">
        <v>768</v>
      </c>
      <c r="F200" t="s">
        <v>509</v>
      </c>
      <c r="G200">
        <v>0</v>
      </c>
      <c r="H200">
        <v>0</v>
      </c>
      <c r="I200">
        <v>1</v>
      </c>
      <c r="J200">
        <v>1</v>
      </c>
      <c r="K200">
        <v>2</v>
      </c>
      <c r="L200">
        <v>0</v>
      </c>
      <c r="M200" t="s">
        <v>325</v>
      </c>
      <c r="N200" t="s">
        <v>336</v>
      </c>
      <c r="O200" t="s">
        <v>330</v>
      </c>
    </row>
    <row r="201" spans="1:15" x14ac:dyDescent="0.3">
      <c r="A201">
        <v>164</v>
      </c>
      <c r="B201" t="s">
        <v>323</v>
      </c>
      <c r="C201">
        <v>130</v>
      </c>
      <c r="D201" t="s">
        <v>61</v>
      </c>
      <c r="E201">
        <v>769</v>
      </c>
      <c r="F201" t="s">
        <v>510</v>
      </c>
      <c r="G201">
        <v>0</v>
      </c>
      <c r="H201">
        <v>1</v>
      </c>
      <c r="I201">
        <v>0</v>
      </c>
      <c r="J201">
        <v>0</v>
      </c>
      <c r="K201">
        <v>1</v>
      </c>
      <c r="L201">
        <v>0</v>
      </c>
      <c r="M201" t="s">
        <v>325</v>
      </c>
      <c r="N201" t="s">
        <v>484</v>
      </c>
      <c r="O201" t="s">
        <v>338</v>
      </c>
    </row>
    <row r="202" spans="1:15" x14ac:dyDescent="0.3">
      <c r="A202">
        <v>164</v>
      </c>
      <c r="B202" t="s">
        <v>323</v>
      </c>
      <c r="C202">
        <v>130</v>
      </c>
      <c r="D202" t="s">
        <v>61</v>
      </c>
      <c r="E202">
        <v>770</v>
      </c>
      <c r="F202" t="s">
        <v>511</v>
      </c>
      <c r="G202">
        <v>0</v>
      </c>
      <c r="H202">
        <v>0</v>
      </c>
      <c r="I202">
        <v>0</v>
      </c>
      <c r="J202">
        <v>0</v>
      </c>
      <c r="K202">
        <v>0</v>
      </c>
      <c r="L202">
        <v>5</v>
      </c>
      <c r="M202" t="s">
        <v>325</v>
      </c>
      <c r="N202" t="s">
        <v>343</v>
      </c>
      <c r="O202" t="s">
        <v>338</v>
      </c>
    </row>
    <row r="203" spans="1:15" x14ac:dyDescent="0.3">
      <c r="A203">
        <v>164</v>
      </c>
      <c r="B203" t="s">
        <v>323</v>
      </c>
      <c r="C203">
        <v>130</v>
      </c>
      <c r="D203" t="s">
        <v>61</v>
      </c>
      <c r="E203">
        <v>773</v>
      </c>
      <c r="F203" t="s">
        <v>376</v>
      </c>
      <c r="G203">
        <v>0</v>
      </c>
      <c r="H203">
        <v>0</v>
      </c>
      <c r="I203">
        <v>0</v>
      </c>
      <c r="J203">
        <v>0</v>
      </c>
      <c r="K203">
        <v>2</v>
      </c>
      <c r="L203">
        <v>0</v>
      </c>
      <c r="M203" t="s">
        <v>333</v>
      </c>
      <c r="N203" t="s">
        <v>336</v>
      </c>
      <c r="O203" t="s">
        <v>330</v>
      </c>
    </row>
    <row r="204" spans="1:15" x14ac:dyDescent="0.3">
      <c r="A204">
        <v>164</v>
      </c>
      <c r="B204" t="s">
        <v>323</v>
      </c>
      <c r="C204">
        <v>130</v>
      </c>
      <c r="D204" t="s">
        <v>61</v>
      </c>
      <c r="E204">
        <v>1470</v>
      </c>
      <c r="F204" t="s">
        <v>512</v>
      </c>
      <c r="G204">
        <v>1</v>
      </c>
      <c r="H204">
        <v>0</v>
      </c>
      <c r="I204">
        <v>2</v>
      </c>
      <c r="J204">
        <v>0</v>
      </c>
      <c r="K204">
        <v>2</v>
      </c>
      <c r="L204">
        <v>0</v>
      </c>
      <c r="M204" t="s">
        <v>325</v>
      </c>
      <c r="N204" t="s">
        <v>484</v>
      </c>
      <c r="O204" t="s">
        <v>338</v>
      </c>
    </row>
    <row r="205" spans="1:15" x14ac:dyDescent="0.3">
      <c r="A205">
        <v>164</v>
      </c>
      <c r="B205" t="s">
        <v>323</v>
      </c>
      <c r="C205">
        <v>130</v>
      </c>
      <c r="D205" t="s">
        <v>61</v>
      </c>
      <c r="E205">
        <v>1471</v>
      </c>
      <c r="F205" t="s">
        <v>513</v>
      </c>
      <c r="G205">
        <v>2</v>
      </c>
      <c r="H205">
        <v>0</v>
      </c>
      <c r="I205">
        <v>0</v>
      </c>
      <c r="J205">
        <v>0</v>
      </c>
      <c r="K205">
        <v>0</v>
      </c>
      <c r="L205">
        <v>1</v>
      </c>
      <c r="M205" t="s">
        <v>333</v>
      </c>
      <c r="N205" t="s">
        <v>484</v>
      </c>
      <c r="O205" t="s">
        <v>330</v>
      </c>
    </row>
    <row r="206" spans="1:15" x14ac:dyDescent="0.3">
      <c r="A206">
        <v>165</v>
      </c>
      <c r="B206" t="s">
        <v>313</v>
      </c>
      <c r="C206">
        <v>131</v>
      </c>
      <c r="D206" t="s">
        <v>63</v>
      </c>
      <c r="E206">
        <v>625</v>
      </c>
      <c r="F206" t="s">
        <v>393</v>
      </c>
      <c r="M206" t="s">
        <v>1116</v>
      </c>
      <c r="N206" t="s">
        <v>1116</v>
      </c>
      <c r="O206" t="s">
        <v>1116</v>
      </c>
    </row>
    <row r="207" spans="1:15" x14ac:dyDescent="0.3">
      <c r="A207">
        <v>165</v>
      </c>
      <c r="B207" t="s">
        <v>313</v>
      </c>
      <c r="C207">
        <v>131</v>
      </c>
      <c r="D207" t="s">
        <v>63</v>
      </c>
      <c r="E207">
        <v>626</v>
      </c>
      <c r="F207" t="s">
        <v>514</v>
      </c>
      <c r="M207" t="s">
        <v>1116</v>
      </c>
      <c r="N207" t="s">
        <v>1116</v>
      </c>
      <c r="O207" t="s">
        <v>1116</v>
      </c>
    </row>
    <row r="208" spans="1:15" x14ac:dyDescent="0.3">
      <c r="A208">
        <v>165</v>
      </c>
      <c r="B208" t="s">
        <v>313</v>
      </c>
      <c r="C208">
        <v>131</v>
      </c>
      <c r="D208" t="s">
        <v>63</v>
      </c>
      <c r="E208">
        <v>627</v>
      </c>
      <c r="F208" t="s">
        <v>515</v>
      </c>
      <c r="M208" t="s">
        <v>1116</v>
      </c>
      <c r="N208" t="s">
        <v>1116</v>
      </c>
      <c r="O208" t="s">
        <v>1116</v>
      </c>
    </row>
    <row r="209" spans="1:15" x14ac:dyDescent="0.3">
      <c r="A209">
        <v>165</v>
      </c>
      <c r="B209" t="s">
        <v>313</v>
      </c>
      <c r="C209">
        <v>131</v>
      </c>
      <c r="D209" t="s">
        <v>63</v>
      </c>
      <c r="E209">
        <v>628</v>
      </c>
      <c r="F209" t="s">
        <v>516</v>
      </c>
      <c r="M209" t="s">
        <v>1116</v>
      </c>
      <c r="N209" t="s">
        <v>1116</v>
      </c>
      <c r="O209" t="s">
        <v>1116</v>
      </c>
    </row>
    <row r="210" spans="1:15" x14ac:dyDescent="0.3">
      <c r="A210">
        <v>165</v>
      </c>
      <c r="B210" t="s">
        <v>313</v>
      </c>
      <c r="C210">
        <v>131</v>
      </c>
      <c r="D210" t="s">
        <v>63</v>
      </c>
      <c r="E210">
        <v>631</v>
      </c>
      <c r="F210" t="s">
        <v>517</v>
      </c>
      <c r="M210" t="s">
        <v>1116</v>
      </c>
      <c r="N210" t="s">
        <v>1116</v>
      </c>
      <c r="O210" t="s">
        <v>1116</v>
      </c>
    </row>
    <row r="211" spans="1:15" x14ac:dyDescent="0.3">
      <c r="A211">
        <v>165</v>
      </c>
      <c r="B211" t="s">
        <v>313</v>
      </c>
      <c r="C211">
        <v>131</v>
      </c>
      <c r="D211" t="s">
        <v>63</v>
      </c>
      <c r="E211">
        <v>632</v>
      </c>
      <c r="F211" t="s">
        <v>518</v>
      </c>
      <c r="M211" t="s">
        <v>1116</v>
      </c>
      <c r="N211" t="s">
        <v>1116</v>
      </c>
      <c r="O211" t="s">
        <v>1116</v>
      </c>
    </row>
    <row r="212" spans="1:15" x14ac:dyDescent="0.3">
      <c r="A212">
        <v>165</v>
      </c>
      <c r="B212" t="s">
        <v>313</v>
      </c>
      <c r="C212">
        <v>131</v>
      </c>
      <c r="D212" t="s">
        <v>63</v>
      </c>
      <c r="E212">
        <v>633</v>
      </c>
      <c r="F212" t="s">
        <v>350</v>
      </c>
      <c r="M212" t="s">
        <v>1116</v>
      </c>
      <c r="N212" t="s">
        <v>1116</v>
      </c>
      <c r="O212" t="s">
        <v>1116</v>
      </c>
    </row>
    <row r="213" spans="1:15" x14ac:dyDescent="0.3">
      <c r="A213">
        <v>169</v>
      </c>
      <c r="B213" t="s">
        <v>323</v>
      </c>
      <c r="C213">
        <v>135</v>
      </c>
      <c r="D213" t="s">
        <v>71</v>
      </c>
      <c r="E213">
        <v>950</v>
      </c>
      <c r="F213" t="s">
        <v>519</v>
      </c>
      <c r="G213">
        <v>0</v>
      </c>
      <c r="H213">
        <v>1</v>
      </c>
      <c r="I213">
        <v>7</v>
      </c>
      <c r="J213">
        <v>1</v>
      </c>
      <c r="K213">
        <v>0</v>
      </c>
      <c r="L213">
        <v>0</v>
      </c>
      <c r="M213" t="s">
        <v>325</v>
      </c>
      <c r="N213" t="s">
        <v>484</v>
      </c>
      <c r="O213" t="s">
        <v>340</v>
      </c>
    </row>
    <row r="214" spans="1:15" x14ac:dyDescent="0.3">
      <c r="A214">
        <v>169</v>
      </c>
      <c r="B214" t="s">
        <v>323</v>
      </c>
      <c r="C214">
        <v>135</v>
      </c>
      <c r="D214" t="s">
        <v>71</v>
      </c>
      <c r="E214">
        <v>951</v>
      </c>
      <c r="F214" t="s">
        <v>520</v>
      </c>
      <c r="G214">
        <v>2</v>
      </c>
      <c r="H214">
        <v>0</v>
      </c>
      <c r="I214">
        <v>1</v>
      </c>
      <c r="J214">
        <v>2</v>
      </c>
      <c r="K214">
        <v>0</v>
      </c>
      <c r="L214">
        <v>0</v>
      </c>
      <c r="M214" t="s">
        <v>333</v>
      </c>
      <c r="N214" t="s">
        <v>484</v>
      </c>
      <c r="O214" t="s">
        <v>352</v>
      </c>
    </row>
    <row r="215" spans="1:15" x14ac:dyDescent="0.3">
      <c r="A215">
        <v>169</v>
      </c>
      <c r="B215" t="s">
        <v>323</v>
      </c>
      <c r="C215">
        <v>135</v>
      </c>
      <c r="D215" t="s">
        <v>71</v>
      </c>
      <c r="E215">
        <v>952</v>
      </c>
      <c r="F215" t="s">
        <v>521</v>
      </c>
      <c r="G215">
        <v>0</v>
      </c>
      <c r="H215">
        <v>2</v>
      </c>
      <c r="I215">
        <v>2</v>
      </c>
      <c r="J215">
        <v>2</v>
      </c>
      <c r="K215">
        <v>0</v>
      </c>
      <c r="L215">
        <v>0</v>
      </c>
      <c r="M215" t="s">
        <v>325</v>
      </c>
      <c r="N215" t="s">
        <v>484</v>
      </c>
      <c r="O215" t="s">
        <v>340</v>
      </c>
    </row>
    <row r="216" spans="1:15" x14ac:dyDescent="0.3">
      <c r="A216">
        <v>169</v>
      </c>
      <c r="B216" t="s">
        <v>323</v>
      </c>
      <c r="C216">
        <v>135</v>
      </c>
      <c r="D216" t="s">
        <v>71</v>
      </c>
      <c r="E216">
        <v>953</v>
      </c>
      <c r="F216" t="s">
        <v>522</v>
      </c>
      <c r="G216">
        <v>0</v>
      </c>
      <c r="H216">
        <v>0</v>
      </c>
      <c r="I216">
        <v>1</v>
      </c>
      <c r="J216">
        <v>0</v>
      </c>
      <c r="K216">
        <v>4</v>
      </c>
      <c r="L216">
        <v>2</v>
      </c>
      <c r="M216" t="s">
        <v>325</v>
      </c>
      <c r="N216" t="s">
        <v>336</v>
      </c>
      <c r="O216" t="s">
        <v>340</v>
      </c>
    </row>
    <row r="217" spans="1:15" x14ac:dyDescent="0.3">
      <c r="A217">
        <v>169</v>
      </c>
      <c r="B217" t="s">
        <v>323</v>
      </c>
      <c r="C217">
        <v>135</v>
      </c>
      <c r="D217" t="s">
        <v>71</v>
      </c>
      <c r="E217">
        <v>954</v>
      </c>
      <c r="F217" t="s">
        <v>523</v>
      </c>
      <c r="G217">
        <v>0</v>
      </c>
      <c r="H217">
        <v>0</v>
      </c>
      <c r="I217">
        <v>1</v>
      </c>
      <c r="J217">
        <v>0</v>
      </c>
      <c r="K217">
        <v>3</v>
      </c>
      <c r="L217">
        <v>0</v>
      </c>
      <c r="M217" t="s">
        <v>333</v>
      </c>
      <c r="N217" t="s">
        <v>329</v>
      </c>
      <c r="O217" t="s">
        <v>330</v>
      </c>
    </row>
    <row r="218" spans="1:15" x14ac:dyDescent="0.3">
      <c r="A218">
        <v>169</v>
      </c>
      <c r="B218" t="s">
        <v>323</v>
      </c>
      <c r="C218">
        <v>135</v>
      </c>
      <c r="D218" t="s">
        <v>71</v>
      </c>
      <c r="E218">
        <v>955</v>
      </c>
      <c r="F218" t="s">
        <v>524</v>
      </c>
      <c r="G218">
        <v>0</v>
      </c>
      <c r="H218">
        <v>1</v>
      </c>
      <c r="I218">
        <v>2</v>
      </c>
      <c r="J218">
        <v>0</v>
      </c>
      <c r="K218">
        <v>3</v>
      </c>
      <c r="L218">
        <v>0</v>
      </c>
      <c r="M218" t="s">
        <v>333</v>
      </c>
      <c r="N218" t="s">
        <v>336</v>
      </c>
      <c r="O218" t="s">
        <v>352</v>
      </c>
    </row>
    <row r="219" spans="1:15" x14ac:dyDescent="0.3">
      <c r="A219">
        <v>169</v>
      </c>
      <c r="B219" t="s">
        <v>323</v>
      </c>
      <c r="C219">
        <v>135</v>
      </c>
      <c r="D219" t="s">
        <v>71</v>
      </c>
      <c r="E219">
        <v>956</v>
      </c>
      <c r="F219" t="s">
        <v>525</v>
      </c>
      <c r="G219">
        <v>4</v>
      </c>
      <c r="H219">
        <v>2</v>
      </c>
      <c r="I219">
        <v>2</v>
      </c>
      <c r="J219">
        <v>0</v>
      </c>
      <c r="K219">
        <v>0</v>
      </c>
      <c r="L219">
        <v>0</v>
      </c>
      <c r="M219" t="s">
        <v>333</v>
      </c>
      <c r="N219" t="s">
        <v>484</v>
      </c>
      <c r="O219" t="s">
        <v>340</v>
      </c>
    </row>
    <row r="220" spans="1:15" x14ac:dyDescent="0.3">
      <c r="A220">
        <v>169</v>
      </c>
      <c r="B220" t="s">
        <v>323</v>
      </c>
      <c r="C220">
        <v>135</v>
      </c>
      <c r="D220" t="s">
        <v>71</v>
      </c>
      <c r="E220">
        <v>957</v>
      </c>
      <c r="F220" t="s">
        <v>505</v>
      </c>
      <c r="G220">
        <v>0</v>
      </c>
      <c r="H220">
        <v>0</v>
      </c>
      <c r="I220">
        <v>0</v>
      </c>
      <c r="J220">
        <v>0</v>
      </c>
      <c r="K220">
        <v>6</v>
      </c>
      <c r="L220">
        <v>0</v>
      </c>
      <c r="M220" t="s">
        <v>333</v>
      </c>
      <c r="N220" t="s">
        <v>336</v>
      </c>
      <c r="O220" t="s">
        <v>330</v>
      </c>
    </row>
    <row r="221" spans="1:15" x14ac:dyDescent="0.3">
      <c r="A221">
        <v>169</v>
      </c>
      <c r="B221" t="s">
        <v>323</v>
      </c>
      <c r="C221">
        <v>135</v>
      </c>
      <c r="D221" t="s">
        <v>71</v>
      </c>
      <c r="E221">
        <v>958</v>
      </c>
      <c r="F221" t="s">
        <v>526</v>
      </c>
      <c r="G221">
        <v>1</v>
      </c>
      <c r="H221">
        <v>0</v>
      </c>
      <c r="I221">
        <v>0</v>
      </c>
      <c r="J221">
        <v>2</v>
      </c>
      <c r="K221">
        <v>2</v>
      </c>
      <c r="L221">
        <v>0</v>
      </c>
      <c r="M221" t="s">
        <v>333</v>
      </c>
      <c r="N221" t="s">
        <v>484</v>
      </c>
      <c r="O221" t="s">
        <v>352</v>
      </c>
    </row>
    <row r="222" spans="1:15" x14ac:dyDescent="0.3">
      <c r="A222">
        <v>169</v>
      </c>
      <c r="B222" t="s">
        <v>323</v>
      </c>
      <c r="C222">
        <v>135</v>
      </c>
      <c r="D222" t="s">
        <v>71</v>
      </c>
      <c r="E222">
        <v>959</v>
      </c>
      <c r="F222" t="s">
        <v>527</v>
      </c>
      <c r="G222">
        <v>0</v>
      </c>
      <c r="H222">
        <v>1</v>
      </c>
      <c r="I222">
        <v>3</v>
      </c>
      <c r="J222">
        <v>0</v>
      </c>
      <c r="K222">
        <v>6</v>
      </c>
      <c r="L222">
        <v>0</v>
      </c>
      <c r="M222" t="s">
        <v>325</v>
      </c>
      <c r="N222" t="s">
        <v>484</v>
      </c>
      <c r="O222" t="s">
        <v>352</v>
      </c>
    </row>
    <row r="223" spans="1:15" x14ac:dyDescent="0.3">
      <c r="A223">
        <v>169</v>
      </c>
      <c r="B223" t="s">
        <v>323</v>
      </c>
      <c r="C223">
        <v>135</v>
      </c>
      <c r="D223" t="s">
        <v>71</v>
      </c>
      <c r="E223">
        <v>960</v>
      </c>
      <c r="F223" t="s">
        <v>528</v>
      </c>
      <c r="G223">
        <v>0</v>
      </c>
      <c r="H223">
        <v>0</v>
      </c>
      <c r="I223">
        <v>0</v>
      </c>
      <c r="J223">
        <v>0</v>
      </c>
      <c r="K223">
        <v>0</v>
      </c>
      <c r="L223">
        <v>1</v>
      </c>
      <c r="M223" t="s">
        <v>325</v>
      </c>
      <c r="N223" t="s">
        <v>336</v>
      </c>
      <c r="O223" t="s">
        <v>340</v>
      </c>
    </row>
    <row r="224" spans="1:15" x14ac:dyDescent="0.3">
      <c r="A224">
        <v>170</v>
      </c>
      <c r="B224" t="s">
        <v>323</v>
      </c>
      <c r="C224">
        <v>136</v>
      </c>
      <c r="D224" t="s">
        <v>73</v>
      </c>
      <c r="E224">
        <v>1648</v>
      </c>
      <c r="F224" t="s">
        <v>519</v>
      </c>
      <c r="G224">
        <v>2</v>
      </c>
      <c r="H224">
        <v>0</v>
      </c>
      <c r="I224">
        <v>0</v>
      </c>
      <c r="J224">
        <v>0</v>
      </c>
      <c r="K224">
        <v>2</v>
      </c>
      <c r="L224">
        <v>1</v>
      </c>
      <c r="M224" t="s">
        <v>325</v>
      </c>
      <c r="N224" t="s">
        <v>336</v>
      </c>
      <c r="O224" t="s">
        <v>352</v>
      </c>
    </row>
    <row r="225" spans="1:15" x14ac:dyDescent="0.3">
      <c r="A225">
        <v>170</v>
      </c>
      <c r="B225" t="s">
        <v>323</v>
      </c>
      <c r="C225">
        <v>136</v>
      </c>
      <c r="D225" t="s">
        <v>73</v>
      </c>
      <c r="E225">
        <v>1649</v>
      </c>
      <c r="F225" t="s">
        <v>529</v>
      </c>
      <c r="G225">
        <v>0</v>
      </c>
      <c r="H225">
        <v>1</v>
      </c>
      <c r="I225">
        <v>0</v>
      </c>
      <c r="J225">
        <v>3</v>
      </c>
      <c r="K225">
        <v>0</v>
      </c>
      <c r="L225">
        <v>0</v>
      </c>
      <c r="M225" t="s">
        <v>333</v>
      </c>
      <c r="N225" t="s">
        <v>336</v>
      </c>
      <c r="O225" t="s">
        <v>330</v>
      </c>
    </row>
    <row r="226" spans="1:15" x14ac:dyDescent="0.3">
      <c r="A226">
        <v>170</v>
      </c>
      <c r="B226" t="s">
        <v>323</v>
      </c>
      <c r="C226">
        <v>136</v>
      </c>
      <c r="D226" t="s">
        <v>73</v>
      </c>
      <c r="E226">
        <v>1650</v>
      </c>
      <c r="F226" t="s">
        <v>530</v>
      </c>
      <c r="G226">
        <v>0</v>
      </c>
      <c r="H226">
        <v>0</v>
      </c>
      <c r="I226">
        <v>0</v>
      </c>
      <c r="J226">
        <v>0</v>
      </c>
      <c r="K226">
        <v>0</v>
      </c>
      <c r="L226">
        <v>0</v>
      </c>
      <c r="M226" t="s">
        <v>410</v>
      </c>
      <c r="N226" t="s">
        <v>348</v>
      </c>
      <c r="O226" t="s">
        <v>352</v>
      </c>
    </row>
    <row r="227" spans="1:15" x14ac:dyDescent="0.3">
      <c r="A227">
        <v>170</v>
      </c>
      <c r="B227" t="s">
        <v>323</v>
      </c>
      <c r="C227">
        <v>136</v>
      </c>
      <c r="D227" t="s">
        <v>73</v>
      </c>
      <c r="E227">
        <v>1651</v>
      </c>
      <c r="F227" t="s">
        <v>531</v>
      </c>
      <c r="G227">
        <v>0</v>
      </c>
      <c r="H227">
        <v>0</v>
      </c>
      <c r="I227">
        <v>0</v>
      </c>
      <c r="J227">
        <v>0</v>
      </c>
      <c r="K227">
        <v>3</v>
      </c>
      <c r="L227">
        <v>0</v>
      </c>
      <c r="M227" t="s">
        <v>333</v>
      </c>
      <c r="N227" t="s">
        <v>326</v>
      </c>
      <c r="O227" t="s">
        <v>330</v>
      </c>
    </row>
    <row r="228" spans="1:15" x14ac:dyDescent="0.3">
      <c r="A228">
        <v>170</v>
      </c>
      <c r="B228" t="s">
        <v>323</v>
      </c>
      <c r="C228">
        <v>136</v>
      </c>
      <c r="D228" t="s">
        <v>73</v>
      </c>
      <c r="E228">
        <v>1652</v>
      </c>
      <c r="F228" t="s">
        <v>353</v>
      </c>
      <c r="G228">
        <v>0</v>
      </c>
      <c r="H228">
        <v>0</v>
      </c>
      <c r="I228">
        <v>0</v>
      </c>
      <c r="J228">
        <v>0</v>
      </c>
      <c r="K228">
        <v>3</v>
      </c>
      <c r="L228">
        <v>0</v>
      </c>
      <c r="M228" t="s">
        <v>333</v>
      </c>
      <c r="N228" t="s">
        <v>326</v>
      </c>
      <c r="O228" t="s">
        <v>330</v>
      </c>
    </row>
    <row r="229" spans="1:15" x14ac:dyDescent="0.3">
      <c r="A229">
        <v>170</v>
      </c>
      <c r="B229" t="s">
        <v>323</v>
      </c>
      <c r="C229">
        <v>136</v>
      </c>
      <c r="D229" t="s">
        <v>73</v>
      </c>
      <c r="E229">
        <v>1653</v>
      </c>
      <c r="F229" t="s">
        <v>532</v>
      </c>
      <c r="G229">
        <v>1</v>
      </c>
      <c r="H229">
        <v>0</v>
      </c>
      <c r="I229">
        <v>0</v>
      </c>
      <c r="J229">
        <v>0</v>
      </c>
      <c r="K229">
        <v>0</v>
      </c>
      <c r="L229">
        <v>1</v>
      </c>
      <c r="M229" t="s">
        <v>325</v>
      </c>
      <c r="N229" t="s">
        <v>343</v>
      </c>
      <c r="O229" t="s">
        <v>330</v>
      </c>
    </row>
    <row r="230" spans="1:15" x14ac:dyDescent="0.3">
      <c r="A230">
        <v>170</v>
      </c>
      <c r="B230" t="s">
        <v>323</v>
      </c>
      <c r="C230">
        <v>136</v>
      </c>
      <c r="D230" t="s">
        <v>73</v>
      </c>
      <c r="E230">
        <v>1655</v>
      </c>
      <c r="F230" t="s">
        <v>393</v>
      </c>
      <c r="G230">
        <v>0</v>
      </c>
      <c r="H230">
        <v>1</v>
      </c>
      <c r="I230">
        <v>1</v>
      </c>
      <c r="J230">
        <v>0</v>
      </c>
      <c r="K230">
        <v>2</v>
      </c>
      <c r="L230">
        <v>0</v>
      </c>
      <c r="M230" t="s">
        <v>410</v>
      </c>
      <c r="N230" t="s">
        <v>326</v>
      </c>
      <c r="O230" t="s">
        <v>327</v>
      </c>
    </row>
    <row r="231" spans="1:15" x14ac:dyDescent="0.3">
      <c r="A231">
        <v>170</v>
      </c>
      <c r="B231" t="s">
        <v>323</v>
      </c>
      <c r="C231">
        <v>136</v>
      </c>
      <c r="D231" t="s">
        <v>73</v>
      </c>
      <c r="E231">
        <v>1656</v>
      </c>
      <c r="F231" t="s">
        <v>533</v>
      </c>
      <c r="G231">
        <v>0</v>
      </c>
      <c r="H231">
        <v>0</v>
      </c>
      <c r="I231">
        <v>0</v>
      </c>
      <c r="J231">
        <v>0</v>
      </c>
      <c r="K231">
        <v>0</v>
      </c>
      <c r="L231">
        <v>0</v>
      </c>
      <c r="M231" t="s">
        <v>410</v>
      </c>
      <c r="N231" t="s">
        <v>343</v>
      </c>
      <c r="O231" t="s">
        <v>330</v>
      </c>
    </row>
    <row r="232" spans="1:15" x14ac:dyDescent="0.3">
      <c r="A232">
        <v>171</v>
      </c>
      <c r="B232" t="s">
        <v>323</v>
      </c>
      <c r="C232">
        <v>137</v>
      </c>
      <c r="D232" t="s">
        <v>75</v>
      </c>
      <c r="E232">
        <v>879</v>
      </c>
      <c r="F232" t="s">
        <v>534</v>
      </c>
      <c r="G232">
        <v>0</v>
      </c>
      <c r="H232">
        <v>0</v>
      </c>
      <c r="I232">
        <v>0</v>
      </c>
      <c r="J232">
        <v>0</v>
      </c>
      <c r="K232">
        <v>0</v>
      </c>
      <c r="L232">
        <v>0</v>
      </c>
      <c r="M232" t="s">
        <v>333</v>
      </c>
      <c r="N232" t="s">
        <v>343</v>
      </c>
      <c r="O232" t="s">
        <v>352</v>
      </c>
    </row>
    <row r="233" spans="1:15" x14ac:dyDescent="0.3">
      <c r="A233">
        <v>171</v>
      </c>
      <c r="B233" t="s">
        <v>323</v>
      </c>
      <c r="C233">
        <v>137</v>
      </c>
      <c r="D233" t="s">
        <v>75</v>
      </c>
      <c r="E233">
        <v>880</v>
      </c>
      <c r="F233" t="s">
        <v>535</v>
      </c>
      <c r="G233">
        <v>0</v>
      </c>
      <c r="H233">
        <v>0</v>
      </c>
      <c r="I233">
        <v>0</v>
      </c>
      <c r="J233">
        <v>0</v>
      </c>
      <c r="K233">
        <v>0</v>
      </c>
      <c r="L233">
        <v>0</v>
      </c>
      <c r="M233" t="s">
        <v>325</v>
      </c>
      <c r="N233" t="s">
        <v>343</v>
      </c>
      <c r="O233" t="s">
        <v>352</v>
      </c>
    </row>
    <row r="234" spans="1:15" x14ac:dyDescent="0.3">
      <c r="A234">
        <v>171</v>
      </c>
      <c r="B234" t="s">
        <v>323</v>
      </c>
      <c r="C234">
        <v>137</v>
      </c>
      <c r="D234" t="s">
        <v>75</v>
      </c>
      <c r="E234">
        <v>881</v>
      </c>
      <c r="F234" t="s">
        <v>536</v>
      </c>
      <c r="G234">
        <v>0</v>
      </c>
      <c r="H234">
        <v>0</v>
      </c>
      <c r="I234">
        <v>3</v>
      </c>
      <c r="J234">
        <v>0</v>
      </c>
      <c r="K234">
        <v>0</v>
      </c>
      <c r="L234">
        <v>0</v>
      </c>
      <c r="M234" t="s">
        <v>333</v>
      </c>
      <c r="N234" t="s">
        <v>336</v>
      </c>
      <c r="O234" t="s">
        <v>340</v>
      </c>
    </row>
    <row r="235" spans="1:15" x14ac:dyDescent="0.3">
      <c r="A235">
        <v>171</v>
      </c>
      <c r="B235" t="s">
        <v>323</v>
      </c>
      <c r="C235">
        <v>137</v>
      </c>
      <c r="D235" t="s">
        <v>75</v>
      </c>
      <c r="E235">
        <v>882</v>
      </c>
      <c r="F235" t="s">
        <v>537</v>
      </c>
      <c r="G235">
        <v>1</v>
      </c>
      <c r="H235">
        <v>0</v>
      </c>
      <c r="I235">
        <v>0</v>
      </c>
      <c r="J235">
        <v>0</v>
      </c>
      <c r="K235">
        <v>0</v>
      </c>
      <c r="L235">
        <v>0</v>
      </c>
      <c r="M235" t="s">
        <v>325</v>
      </c>
      <c r="N235" t="s">
        <v>336</v>
      </c>
      <c r="O235" t="s">
        <v>352</v>
      </c>
    </row>
    <row r="236" spans="1:15" x14ac:dyDescent="0.3">
      <c r="A236">
        <v>171</v>
      </c>
      <c r="B236" t="s">
        <v>323</v>
      </c>
      <c r="C236">
        <v>137</v>
      </c>
      <c r="D236" t="s">
        <v>75</v>
      </c>
      <c r="E236">
        <v>884</v>
      </c>
      <c r="F236" t="s">
        <v>538</v>
      </c>
      <c r="G236">
        <v>0</v>
      </c>
      <c r="H236">
        <v>0</v>
      </c>
      <c r="I236">
        <v>0</v>
      </c>
      <c r="J236">
        <v>0</v>
      </c>
      <c r="K236">
        <v>0</v>
      </c>
      <c r="L236">
        <v>0</v>
      </c>
      <c r="M236" t="s">
        <v>333</v>
      </c>
      <c r="N236" t="s">
        <v>336</v>
      </c>
      <c r="O236" t="s">
        <v>352</v>
      </c>
    </row>
    <row r="237" spans="1:15" x14ac:dyDescent="0.3">
      <c r="A237">
        <v>171</v>
      </c>
      <c r="B237" t="s">
        <v>323</v>
      </c>
      <c r="C237">
        <v>137</v>
      </c>
      <c r="D237" t="s">
        <v>75</v>
      </c>
      <c r="E237">
        <v>885</v>
      </c>
      <c r="F237" t="s">
        <v>539</v>
      </c>
      <c r="G237">
        <v>0</v>
      </c>
      <c r="H237">
        <v>0</v>
      </c>
      <c r="I237">
        <v>0</v>
      </c>
      <c r="J237">
        <v>0</v>
      </c>
      <c r="K237">
        <v>0</v>
      </c>
      <c r="L237">
        <v>0</v>
      </c>
      <c r="M237" t="s">
        <v>325</v>
      </c>
      <c r="N237" t="s">
        <v>343</v>
      </c>
      <c r="O237" t="s">
        <v>352</v>
      </c>
    </row>
    <row r="238" spans="1:15" x14ac:dyDescent="0.3">
      <c r="A238">
        <v>171</v>
      </c>
      <c r="B238" t="s">
        <v>323</v>
      </c>
      <c r="C238">
        <v>137</v>
      </c>
      <c r="D238" t="s">
        <v>75</v>
      </c>
      <c r="E238">
        <v>886</v>
      </c>
      <c r="F238" t="s">
        <v>540</v>
      </c>
      <c r="G238">
        <v>0</v>
      </c>
      <c r="H238">
        <v>0</v>
      </c>
      <c r="I238">
        <v>0</v>
      </c>
      <c r="J238">
        <v>0</v>
      </c>
      <c r="K238">
        <v>0</v>
      </c>
      <c r="L238">
        <v>0</v>
      </c>
      <c r="M238" t="s">
        <v>325</v>
      </c>
      <c r="N238" t="s">
        <v>348</v>
      </c>
      <c r="O238" t="s">
        <v>352</v>
      </c>
    </row>
    <row r="239" spans="1:15" x14ac:dyDescent="0.3">
      <c r="A239">
        <v>171</v>
      </c>
      <c r="B239" t="s">
        <v>323</v>
      </c>
      <c r="C239">
        <v>137</v>
      </c>
      <c r="D239" t="s">
        <v>75</v>
      </c>
      <c r="E239">
        <v>887</v>
      </c>
      <c r="F239" t="s">
        <v>541</v>
      </c>
      <c r="G239">
        <v>1</v>
      </c>
      <c r="H239">
        <v>1</v>
      </c>
      <c r="I239">
        <v>1</v>
      </c>
      <c r="J239">
        <v>1</v>
      </c>
      <c r="K239">
        <v>0</v>
      </c>
      <c r="L239">
        <v>0</v>
      </c>
      <c r="M239" t="s">
        <v>333</v>
      </c>
      <c r="N239" t="s">
        <v>348</v>
      </c>
      <c r="O239" t="s">
        <v>330</v>
      </c>
    </row>
    <row r="240" spans="1:15" x14ac:dyDescent="0.3">
      <c r="A240">
        <v>171</v>
      </c>
      <c r="B240" t="s">
        <v>323</v>
      </c>
      <c r="C240">
        <v>137</v>
      </c>
      <c r="D240" t="s">
        <v>75</v>
      </c>
      <c r="E240">
        <v>888</v>
      </c>
      <c r="F240" t="s">
        <v>542</v>
      </c>
      <c r="G240">
        <v>1</v>
      </c>
      <c r="H240">
        <v>3</v>
      </c>
      <c r="I240">
        <v>0</v>
      </c>
      <c r="J240">
        <v>1</v>
      </c>
      <c r="K240">
        <v>0</v>
      </c>
      <c r="L240">
        <v>0</v>
      </c>
      <c r="M240" t="s">
        <v>333</v>
      </c>
      <c r="N240" t="s">
        <v>336</v>
      </c>
      <c r="O240" t="s">
        <v>340</v>
      </c>
    </row>
    <row r="241" spans="1:15" x14ac:dyDescent="0.3">
      <c r="A241">
        <v>171</v>
      </c>
      <c r="B241" t="s">
        <v>323</v>
      </c>
      <c r="C241">
        <v>137</v>
      </c>
      <c r="D241" t="s">
        <v>75</v>
      </c>
      <c r="E241">
        <v>889</v>
      </c>
      <c r="F241" t="s">
        <v>543</v>
      </c>
      <c r="G241">
        <v>0</v>
      </c>
      <c r="H241">
        <v>0</v>
      </c>
      <c r="I241">
        <v>0</v>
      </c>
      <c r="J241">
        <v>1</v>
      </c>
      <c r="K241">
        <v>0</v>
      </c>
      <c r="L241">
        <v>0</v>
      </c>
      <c r="M241" t="s">
        <v>333</v>
      </c>
      <c r="N241" t="s">
        <v>343</v>
      </c>
      <c r="O241" t="s">
        <v>340</v>
      </c>
    </row>
    <row r="242" spans="1:15" x14ac:dyDescent="0.3">
      <c r="A242">
        <v>171</v>
      </c>
      <c r="B242" t="s">
        <v>323</v>
      </c>
      <c r="C242">
        <v>137</v>
      </c>
      <c r="D242" t="s">
        <v>75</v>
      </c>
      <c r="E242">
        <v>892</v>
      </c>
      <c r="F242" t="s">
        <v>544</v>
      </c>
      <c r="G242">
        <v>1</v>
      </c>
      <c r="H242">
        <v>1</v>
      </c>
      <c r="I242">
        <v>1</v>
      </c>
      <c r="J242">
        <v>1</v>
      </c>
      <c r="K242">
        <v>0</v>
      </c>
      <c r="L242">
        <v>0</v>
      </c>
      <c r="M242" t="s">
        <v>333</v>
      </c>
      <c r="N242" t="s">
        <v>343</v>
      </c>
      <c r="O242" t="s">
        <v>340</v>
      </c>
    </row>
    <row r="243" spans="1:15" x14ac:dyDescent="0.3">
      <c r="A243">
        <v>171</v>
      </c>
      <c r="B243" t="s">
        <v>323</v>
      </c>
      <c r="C243">
        <v>137</v>
      </c>
      <c r="D243" t="s">
        <v>75</v>
      </c>
      <c r="E243">
        <v>893</v>
      </c>
      <c r="F243" t="s">
        <v>545</v>
      </c>
      <c r="G243">
        <v>0</v>
      </c>
      <c r="H243">
        <v>0</v>
      </c>
      <c r="I243">
        <v>2</v>
      </c>
      <c r="J243">
        <v>1</v>
      </c>
      <c r="K243">
        <v>0</v>
      </c>
      <c r="L243">
        <v>0</v>
      </c>
      <c r="M243" t="s">
        <v>333</v>
      </c>
      <c r="N243" t="s">
        <v>336</v>
      </c>
      <c r="O243" t="s">
        <v>340</v>
      </c>
    </row>
    <row r="244" spans="1:15" x14ac:dyDescent="0.3">
      <c r="A244">
        <v>171</v>
      </c>
      <c r="B244" t="s">
        <v>323</v>
      </c>
      <c r="C244">
        <v>137</v>
      </c>
      <c r="D244" t="s">
        <v>75</v>
      </c>
      <c r="E244">
        <v>894</v>
      </c>
      <c r="F244" t="s">
        <v>546</v>
      </c>
      <c r="G244">
        <v>0</v>
      </c>
      <c r="H244">
        <v>1</v>
      </c>
      <c r="I244">
        <v>5</v>
      </c>
      <c r="J244">
        <v>1</v>
      </c>
      <c r="K244">
        <v>1</v>
      </c>
      <c r="L244">
        <v>0</v>
      </c>
      <c r="M244" t="s">
        <v>325</v>
      </c>
      <c r="N244" t="s">
        <v>336</v>
      </c>
      <c r="O244" t="s">
        <v>340</v>
      </c>
    </row>
    <row r="245" spans="1:15" x14ac:dyDescent="0.3">
      <c r="A245">
        <v>172</v>
      </c>
      <c r="B245" t="s">
        <v>323</v>
      </c>
      <c r="C245">
        <v>138</v>
      </c>
      <c r="D245" t="s">
        <v>77</v>
      </c>
      <c r="E245">
        <v>689</v>
      </c>
      <c r="F245" t="s">
        <v>547</v>
      </c>
      <c r="G245">
        <v>0</v>
      </c>
      <c r="H245">
        <v>0</v>
      </c>
      <c r="I245">
        <v>1</v>
      </c>
      <c r="J245">
        <v>0</v>
      </c>
      <c r="K245">
        <v>1</v>
      </c>
      <c r="L245">
        <v>3</v>
      </c>
      <c r="M245" t="s">
        <v>333</v>
      </c>
      <c r="N245" t="s">
        <v>484</v>
      </c>
      <c r="O245" t="s">
        <v>340</v>
      </c>
    </row>
    <row r="246" spans="1:15" x14ac:dyDescent="0.3">
      <c r="A246">
        <v>172</v>
      </c>
      <c r="B246" t="s">
        <v>323</v>
      </c>
      <c r="C246">
        <v>138</v>
      </c>
      <c r="D246" t="s">
        <v>77</v>
      </c>
      <c r="E246">
        <v>690</v>
      </c>
      <c r="F246" t="s">
        <v>548</v>
      </c>
      <c r="G246">
        <v>1</v>
      </c>
      <c r="H246">
        <v>1</v>
      </c>
      <c r="I246">
        <v>0</v>
      </c>
      <c r="J246">
        <v>1</v>
      </c>
      <c r="K246">
        <v>0</v>
      </c>
      <c r="L246">
        <v>2</v>
      </c>
      <c r="M246" t="s">
        <v>325</v>
      </c>
      <c r="N246" t="s">
        <v>343</v>
      </c>
      <c r="O246" t="s">
        <v>330</v>
      </c>
    </row>
    <row r="247" spans="1:15" x14ac:dyDescent="0.3">
      <c r="A247">
        <v>172</v>
      </c>
      <c r="B247" t="s">
        <v>323</v>
      </c>
      <c r="C247">
        <v>138</v>
      </c>
      <c r="D247" t="s">
        <v>77</v>
      </c>
      <c r="E247">
        <v>692</v>
      </c>
      <c r="F247" t="s">
        <v>549</v>
      </c>
      <c r="G247">
        <v>1</v>
      </c>
      <c r="H247">
        <v>1</v>
      </c>
      <c r="I247">
        <v>1</v>
      </c>
      <c r="J247">
        <v>0</v>
      </c>
      <c r="K247">
        <v>0</v>
      </c>
      <c r="L247">
        <v>2</v>
      </c>
      <c r="M247" t="s">
        <v>325</v>
      </c>
      <c r="N247" t="s">
        <v>484</v>
      </c>
      <c r="O247" t="s">
        <v>340</v>
      </c>
    </row>
    <row r="248" spans="1:15" x14ac:dyDescent="0.3">
      <c r="A248">
        <v>172</v>
      </c>
      <c r="B248" t="s">
        <v>323</v>
      </c>
      <c r="C248">
        <v>138</v>
      </c>
      <c r="D248" t="s">
        <v>77</v>
      </c>
      <c r="E248">
        <v>693</v>
      </c>
      <c r="F248" t="s">
        <v>550</v>
      </c>
      <c r="G248">
        <v>0</v>
      </c>
      <c r="H248">
        <v>0</v>
      </c>
      <c r="I248">
        <v>1</v>
      </c>
      <c r="J248">
        <v>3</v>
      </c>
      <c r="K248">
        <v>0</v>
      </c>
      <c r="L248">
        <v>0</v>
      </c>
      <c r="M248" t="s">
        <v>333</v>
      </c>
      <c r="N248" t="s">
        <v>484</v>
      </c>
      <c r="O248" t="s">
        <v>340</v>
      </c>
    </row>
    <row r="249" spans="1:15" x14ac:dyDescent="0.3">
      <c r="A249">
        <v>172</v>
      </c>
      <c r="B249" t="s">
        <v>323</v>
      </c>
      <c r="C249">
        <v>138</v>
      </c>
      <c r="D249" t="s">
        <v>77</v>
      </c>
      <c r="E249">
        <v>694</v>
      </c>
      <c r="F249" t="s">
        <v>551</v>
      </c>
      <c r="G249">
        <v>0</v>
      </c>
      <c r="H249">
        <v>0</v>
      </c>
      <c r="I249">
        <v>1</v>
      </c>
      <c r="J249">
        <v>0</v>
      </c>
      <c r="K249">
        <v>0</v>
      </c>
      <c r="L249">
        <v>5</v>
      </c>
      <c r="M249" t="s">
        <v>325</v>
      </c>
      <c r="N249" t="s">
        <v>484</v>
      </c>
      <c r="O249" t="s">
        <v>330</v>
      </c>
    </row>
    <row r="250" spans="1:15" x14ac:dyDescent="0.3">
      <c r="A250">
        <v>172</v>
      </c>
      <c r="B250" t="s">
        <v>323</v>
      </c>
      <c r="C250">
        <v>138</v>
      </c>
      <c r="D250" t="s">
        <v>77</v>
      </c>
      <c r="E250">
        <v>695</v>
      </c>
      <c r="F250" t="s">
        <v>552</v>
      </c>
      <c r="G250">
        <v>0</v>
      </c>
      <c r="H250">
        <v>0</v>
      </c>
      <c r="I250">
        <v>0</v>
      </c>
      <c r="J250">
        <v>0</v>
      </c>
      <c r="K250">
        <v>0</v>
      </c>
      <c r="L250">
        <v>2</v>
      </c>
      <c r="M250" t="s">
        <v>333</v>
      </c>
      <c r="N250" t="s">
        <v>326</v>
      </c>
      <c r="O250" t="s">
        <v>330</v>
      </c>
    </row>
    <row r="251" spans="1:15" x14ac:dyDescent="0.3">
      <c r="A251">
        <v>172</v>
      </c>
      <c r="B251" t="s">
        <v>323</v>
      </c>
      <c r="C251">
        <v>138</v>
      </c>
      <c r="D251" t="s">
        <v>77</v>
      </c>
      <c r="E251">
        <v>696</v>
      </c>
      <c r="F251" t="s">
        <v>553</v>
      </c>
      <c r="G251">
        <v>0</v>
      </c>
      <c r="H251">
        <v>1</v>
      </c>
      <c r="I251">
        <v>0</v>
      </c>
      <c r="J251">
        <v>1</v>
      </c>
      <c r="K251">
        <v>1</v>
      </c>
      <c r="L251">
        <v>5</v>
      </c>
      <c r="M251" t="s">
        <v>325</v>
      </c>
      <c r="N251" t="s">
        <v>336</v>
      </c>
      <c r="O251" t="s">
        <v>338</v>
      </c>
    </row>
    <row r="252" spans="1:15" x14ac:dyDescent="0.3">
      <c r="A252">
        <v>172</v>
      </c>
      <c r="B252" t="s">
        <v>323</v>
      </c>
      <c r="C252">
        <v>138</v>
      </c>
      <c r="D252" t="s">
        <v>77</v>
      </c>
      <c r="E252">
        <v>697</v>
      </c>
      <c r="F252" t="s">
        <v>554</v>
      </c>
      <c r="G252">
        <v>2</v>
      </c>
      <c r="H252">
        <v>1</v>
      </c>
      <c r="I252">
        <v>0</v>
      </c>
      <c r="J252">
        <v>0</v>
      </c>
      <c r="K252">
        <v>0</v>
      </c>
      <c r="L252">
        <v>1</v>
      </c>
      <c r="M252" t="s">
        <v>325</v>
      </c>
      <c r="N252" t="s">
        <v>348</v>
      </c>
      <c r="O252" t="s">
        <v>330</v>
      </c>
    </row>
    <row r="253" spans="1:15" x14ac:dyDescent="0.3">
      <c r="A253">
        <v>172</v>
      </c>
      <c r="B253" t="s">
        <v>323</v>
      </c>
      <c r="C253">
        <v>138</v>
      </c>
      <c r="D253" t="s">
        <v>77</v>
      </c>
      <c r="E253">
        <v>698</v>
      </c>
      <c r="F253" t="s">
        <v>555</v>
      </c>
      <c r="G253">
        <v>1</v>
      </c>
      <c r="H253">
        <v>1</v>
      </c>
      <c r="I253">
        <v>1</v>
      </c>
      <c r="J253">
        <v>0</v>
      </c>
      <c r="K253">
        <v>0</v>
      </c>
      <c r="L253">
        <v>1</v>
      </c>
      <c r="M253" t="s">
        <v>325</v>
      </c>
      <c r="N253" t="s">
        <v>343</v>
      </c>
      <c r="O253" t="s">
        <v>330</v>
      </c>
    </row>
    <row r="254" spans="1:15" x14ac:dyDescent="0.3">
      <c r="A254">
        <v>172</v>
      </c>
      <c r="B254" t="s">
        <v>323</v>
      </c>
      <c r="C254">
        <v>138</v>
      </c>
      <c r="D254" t="s">
        <v>77</v>
      </c>
      <c r="E254">
        <v>699</v>
      </c>
      <c r="F254" t="s">
        <v>556</v>
      </c>
      <c r="G254">
        <v>0</v>
      </c>
      <c r="H254">
        <v>1</v>
      </c>
      <c r="I254">
        <v>0</v>
      </c>
      <c r="J254">
        <v>0</v>
      </c>
      <c r="K254">
        <v>0</v>
      </c>
      <c r="L254">
        <v>4</v>
      </c>
      <c r="M254" t="s">
        <v>325</v>
      </c>
      <c r="N254" t="s">
        <v>348</v>
      </c>
      <c r="O254" t="s">
        <v>330</v>
      </c>
    </row>
    <row r="255" spans="1:15" x14ac:dyDescent="0.3">
      <c r="A255">
        <v>172</v>
      </c>
      <c r="B255" t="s">
        <v>323</v>
      </c>
      <c r="C255">
        <v>138</v>
      </c>
      <c r="D255" t="s">
        <v>77</v>
      </c>
      <c r="E255">
        <v>700</v>
      </c>
      <c r="F255" t="s">
        <v>557</v>
      </c>
      <c r="G255">
        <v>0</v>
      </c>
      <c r="H255">
        <v>2</v>
      </c>
      <c r="I255">
        <v>0</v>
      </c>
      <c r="J255">
        <v>0</v>
      </c>
      <c r="K255">
        <v>1</v>
      </c>
      <c r="L255">
        <v>3</v>
      </c>
      <c r="M255" t="s">
        <v>325</v>
      </c>
      <c r="N255" t="s">
        <v>348</v>
      </c>
      <c r="O255" t="s">
        <v>330</v>
      </c>
    </row>
    <row r="256" spans="1:15" x14ac:dyDescent="0.3">
      <c r="A256">
        <v>172</v>
      </c>
      <c r="B256" t="s">
        <v>323</v>
      </c>
      <c r="C256">
        <v>138</v>
      </c>
      <c r="D256" t="s">
        <v>77</v>
      </c>
      <c r="E256">
        <v>701</v>
      </c>
      <c r="F256" t="s">
        <v>558</v>
      </c>
      <c r="G256">
        <v>3</v>
      </c>
      <c r="H256">
        <v>0</v>
      </c>
      <c r="I256">
        <v>1</v>
      </c>
      <c r="J256">
        <v>0</v>
      </c>
      <c r="K256">
        <v>0</v>
      </c>
      <c r="L256">
        <v>0</v>
      </c>
      <c r="M256" t="s">
        <v>325</v>
      </c>
      <c r="N256" t="s">
        <v>484</v>
      </c>
      <c r="O256" t="s">
        <v>330</v>
      </c>
    </row>
    <row r="257" spans="1:15" x14ac:dyDescent="0.3">
      <c r="A257">
        <v>172</v>
      </c>
      <c r="B257" t="s">
        <v>323</v>
      </c>
      <c r="C257">
        <v>138</v>
      </c>
      <c r="D257" t="s">
        <v>77</v>
      </c>
      <c r="E257">
        <v>702</v>
      </c>
      <c r="F257" t="s">
        <v>559</v>
      </c>
      <c r="G257">
        <v>0</v>
      </c>
      <c r="H257">
        <v>0</v>
      </c>
      <c r="I257">
        <v>2</v>
      </c>
      <c r="J257">
        <v>3</v>
      </c>
      <c r="K257">
        <v>0</v>
      </c>
      <c r="L257">
        <v>1</v>
      </c>
      <c r="M257" t="s">
        <v>325</v>
      </c>
      <c r="N257" t="s">
        <v>348</v>
      </c>
      <c r="O257" t="s">
        <v>330</v>
      </c>
    </row>
    <row r="258" spans="1:15" x14ac:dyDescent="0.3">
      <c r="A258">
        <v>172</v>
      </c>
      <c r="B258" t="s">
        <v>323</v>
      </c>
      <c r="C258">
        <v>138</v>
      </c>
      <c r="D258" t="s">
        <v>77</v>
      </c>
      <c r="E258">
        <v>703</v>
      </c>
      <c r="F258" t="s">
        <v>560</v>
      </c>
      <c r="G258">
        <v>0</v>
      </c>
      <c r="H258">
        <v>0</v>
      </c>
      <c r="I258">
        <v>0</v>
      </c>
      <c r="J258">
        <v>1</v>
      </c>
      <c r="K258">
        <v>1</v>
      </c>
      <c r="L258">
        <v>2</v>
      </c>
      <c r="M258" t="s">
        <v>333</v>
      </c>
      <c r="N258" t="s">
        <v>326</v>
      </c>
      <c r="O258" t="s">
        <v>330</v>
      </c>
    </row>
    <row r="259" spans="1:15" x14ac:dyDescent="0.3">
      <c r="A259">
        <v>172</v>
      </c>
      <c r="B259" t="s">
        <v>323</v>
      </c>
      <c r="C259">
        <v>138</v>
      </c>
      <c r="D259" t="s">
        <v>77</v>
      </c>
      <c r="E259">
        <v>704</v>
      </c>
      <c r="F259" t="s">
        <v>561</v>
      </c>
      <c r="G259">
        <v>1</v>
      </c>
      <c r="H259">
        <v>1</v>
      </c>
      <c r="I259">
        <v>0</v>
      </c>
      <c r="J259">
        <v>2</v>
      </c>
      <c r="K259">
        <v>1</v>
      </c>
      <c r="L259">
        <v>4</v>
      </c>
      <c r="M259" t="s">
        <v>333</v>
      </c>
      <c r="N259" t="s">
        <v>326</v>
      </c>
      <c r="O259" t="s">
        <v>330</v>
      </c>
    </row>
    <row r="260" spans="1:15" x14ac:dyDescent="0.3">
      <c r="A260">
        <v>172</v>
      </c>
      <c r="B260" t="s">
        <v>323</v>
      </c>
      <c r="C260">
        <v>138</v>
      </c>
      <c r="D260" t="s">
        <v>77</v>
      </c>
      <c r="E260">
        <v>705</v>
      </c>
      <c r="F260" t="s">
        <v>562</v>
      </c>
      <c r="G260">
        <v>0</v>
      </c>
      <c r="H260">
        <v>0</v>
      </c>
      <c r="I260">
        <v>2</v>
      </c>
      <c r="J260">
        <v>0</v>
      </c>
      <c r="K260">
        <v>3</v>
      </c>
      <c r="L260">
        <v>3</v>
      </c>
      <c r="M260" t="s">
        <v>325</v>
      </c>
      <c r="N260" t="s">
        <v>326</v>
      </c>
      <c r="O260" t="s">
        <v>330</v>
      </c>
    </row>
    <row r="261" spans="1:15" x14ac:dyDescent="0.3">
      <c r="A261">
        <v>172</v>
      </c>
      <c r="B261" t="s">
        <v>323</v>
      </c>
      <c r="C261">
        <v>138</v>
      </c>
      <c r="D261" t="s">
        <v>77</v>
      </c>
      <c r="E261">
        <v>706</v>
      </c>
      <c r="F261" t="s">
        <v>563</v>
      </c>
      <c r="G261">
        <v>0</v>
      </c>
      <c r="H261">
        <v>0</v>
      </c>
      <c r="I261">
        <v>1</v>
      </c>
      <c r="J261">
        <v>0</v>
      </c>
      <c r="K261">
        <v>0</v>
      </c>
      <c r="L261">
        <v>6</v>
      </c>
      <c r="M261" t="s">
        <v>333</v>
      </c>
      <c r="N261" t="s">
        <v>326</v>
      </c>
      <c r="O261" t="s">
        <v>330</v>
      </c>
    </row>
    <row r="262" spans="1:15" x14ac:dyDescent="0.3">
      <c r="A262">
        <v>172</v>
      </c>
      <c r="B262" t="s">
        <v>323</v>
      </c>
      <c r="C262">
        <v>138</v>
      </c>
      <c r="D262" t="s">
        <v>77</v>
      </c>
      <c r="E262">
        <v>707</v>
      </c>
      <c r="F262" t="s">
        <v>564</v>
      </c>
      <c r="G262">
        <v>2</v>
      </c>
      <c r="H262">
        <v>1</v>
      </c>
      <c r="I262">
        <v>1</v>
      </c>
      <c r="J262">
        <v>1</v>
      </c>
      <c r="K262">
        <v>0</v>
      </c>
      <c r="L262">
        <v>3</v>
      </c>
      <c r="M262" t="s">
        <v>325</v>
      </c>
      <c r="N262" t="s">
        <v>484</v>
      </c>
      <c r="O262" t="s">
        <v>330</v>
      </c>
    </row>
    <row r="263" spans="1:15" x14ac:dyDescent="0.3">
      <c r="A263">
        <v>172</v>
      </c>
      <c r="B263" t="s">
        <v>323</v>
      </c>
      <c r="C263">
        <v>138</v>
      </c>
      <c r="D263" t="s">
        <v>77</v>
      </c>
      <c r="E263">
        <v>1388</v>
      </c>
      <c r="F263" t="s">
        <v>565</v>
      </c>
      <c r="G263">
        <v>1</v>
      </c>
      <c r="H263">
        <v>1</v>
      </c>
      <c r="I263">
        <v>0</v>
      </c>
      <c r="J263">
        <v>1</v>
      </c>
      <c r="K263">
        <v>0</v>
      </c>
      <c r="L263">
        <v>1</v>
      </c>
      <c r="M263" t="s">
        <v>333</v>
      </c>
      <c r="N263" t="s">
        <v>348</v>
      </c>
      <c r="O263" t="s">
        <v>340</v>
      </c>
    </row>
    <row r="264" spans="1:15" x14ac:dyDescent="0.3">
      <c r="A264">
        <v>173</v>
      </c>
      <c r="B264" t="s">
        <v>323</v>
      </c>
      <c r="C264">
        <v>139</v>
      </c>
      <c r="D264" t="s">
        <v>79</v>
      </c>
      <c r="E264">
        <v>465</v>
      </c>
      <c r="F264" t="s">
        <v>349</v>
      </c>
      <c r="G264">
        <v>1</v>
      </c>
      <c r="H264">
        <v>2</v>
      </c>
      <c r="I264">
        <v>1</v>
      </c>
      <c r="J264">
        <v>1</v>
      </c>
      <c r="K264">
        <v>0</v>
      </c>
      <c r="L264">
        <v>1</v>
      </c>
      <c r="M264" t="s">
        <v>566</v>
      </c>
      <c r="N264" t="s">
        <v>326</v>
      </c>
      <c r="O264" t="s">
        <v>338</v>
      </c>
    </row>
    <row r="265" spans="1:15" x14ac:dyDescent="0.3">
      <c r="A265">
        <v>173</v>
      </c>
      <c r="B265" t="s">
        <v>323</v>
      </c>
      <c r="C265">
        <v>139</v>
      </c>
      <c r="D265" t="s">
        <v>79</v>
      </c>
      <c r="E265">
        <v>466</v>
      </c>
      <c r="F265" t="s">
        <v>567</v>
      </c>
      <c r="G265">
        <v>0</v>
      </c>
      <c r="H265">
        <v>0</v>
      </c>
      <c r="I265">
        <v>0</v>
      </c>
      <c r="J265">
        <v>0</v>
      </c>
      <c r="K265">
        <v>0</v>
      </c>
      <c r="L265">
        <v>12</v>
      </c>
      <c r="M265" t="s">
        <v>325</v>
      </c>
      <c r="N265" t="s">
        <v>329</v>
      </c>
      <c r="O265" t="s">
        <v>340</v>
      </c>
    </row>
    <row r="266" spans="1:15" x14ac:dyDescent="0.3">
      <c r="A266">
        <v>173</v>
      </c>
      <c r="B266" t="s">
        <v>323</v>
      </c>
      <c r="C266">
        <v>139</v>
      </c>
      <c r="D266" t="s">
        <v>79</v>
      </c>
      <c r="E266">
        <v>467</v>
      </c>
      <c r="F266" t="s">
        <v>568</v>
      </c>
      <c r="G266">
        <v>0</v>
      </c>
      <c r="H266">
        <v>0</v>
      </c>
      <c r="I266">
        <v>0</v>
      </c>
      <c r="J266">
        <v>0</v>
      </c>
      <c r="K266">
        <v>0</v>
      </c>
      <c r="L266">
        <v>5</v>
      </c>
      <c r="M266" t="s">
        <v>325</v>
      </c>
      <c r="N266" t="s">
        <v>326</v>
      </c>
      <c r="O266" t="s">
        <v>340</v>
      </c>
    </row>
    <row r="267" spans="1:15" x14ac:dyDescent="0.3">
      <c r="A267">
        <v>173</v>
      </c>
      <c r="B267" t="s">
        <v>323</v>
      </c>
      <c r="C267">
        <v>139</v>
      </c>
      <c r="D267" t="s">
        <v>79</v>
      </c>
      <c r="E267">
        <v>468</v>
      </c>
      <c r="F267" t="s">
        <v>569</v>
      </c>
      <c r="G267">
        <v>0</v>
      </c>
      <c r="H267">
        <v>0</v>
      </c>
      <c r="I267">
        <v>0</v>
      </c>
      <c r="J267">
        <v>0</v>
      </c>
      <c r="K267">
        <v>0</v>
      </c>
      <c r="L267">
        <v>6</v>
      </c>
      <c r="M267" t="s">
        <v>325</v>
      </c>
      <c r="N267" t="s">
        <v>343</v>
      </c>
      <c r="O267" t="s">
        <v>330</v>
      </c>
    </row>
    <row r="268" spans="1:15" x14ac:dyDescent="0.3">
      <c r="A268">
        <v>173</v>
      </c>
      <c r="B268" t="s">
        <v>323</v>
      </c>
      <c r="C268">
        <v>139</v>
      </c>
      <c r="D268" t="s">
        <v>79</v>
      </c>
      <c r="E268">
        <v>469</v>
      </c>
      <c r="F268" t="s">
        <v>570</v>
      </c>
      <c r="G268">
        <v>0</v>
      </c>
      <c r="H268">
        <v>0</v>
      </c>
      <c r="I268">
        <v>0</v>
      </c>
      <c r="J268">
        <v>0</v>
      </c>
      <c r="K268">
        <v>0</v>
      </c>
      <c r="L268">
        <v>7</v>
      </c>
      <c r="M268" t="s">
        <v>325</v>
      </c>
      <c r="N268" t="s">
        <v>348</v>
      </c>
      <c r="O268" t="s">
        <v>340</v>
      </c>
    </row>
    <row r="269" spans="1:15" x14ac:dyDescent="0.3">
      <c r="A269">
        <v>173</v>
      </c>
      <c r="B269" t="s">
        <v>323</v>
      </c>
      <c r="C269">
        <v>139</v>
      </c>
      <c r="D269" t="s">
        <v>79</v>
      </c>
      <c r="E269">
        <v>470</v>
      </c>
      <c r="F269" t="s">
        <v>351</v>
      </c>
      <c r="G269">
        <v>0</v>
      </c>
      <c r="H269">
        <v>0</v>
      </c>
      <c r="I269">
        <v>0</v>
      </c>
      <c r="J269">
        <v>0</v>
      </c>
      <c r="K269">
        <v>0</v>
      </c>
      <c r="L269">
        <v>9</v>
      </c>
      <c r="M269" t="s">
        <v>325</v>
      </c>
      <c r="N269" t="s">
        <v>326</v>
      </c>
      <c r="O269" t="s">
        <v>340</v>
      </c>
    </row>
    <row r="270" spans="1:15" x14ac:dyDescent="0.3">
      <c r="A270">
        <v>173</v>
      </c>
      <c r="B270" t="s">
        <v>323</v>
      </c>
      <c r="C270">
        <v>139</v>
      </c>
      <c r="D270" t="s">
        <v>79</v>
      </c>
      <c r="E270">
        <v>471</v>
      </c>
      <c r="F270" t="s">
        <v>571</v>
      </c>
      <c r="G270">
        <v>0</v>
      </c>
      <c r="H270">
        <v>0</v>
      </c>
      <c r="I270">
        <v>0</v>
      </c>
      <c r="J270">
        <v>0</v>
      </c>
      <c r="K270">
        <v>0</v>
      </c>
      <c r="L270">
        <v>8</v>
      </c>
      <c r="M270" t="s">
        <v>325</v>
      </c>
      <c r="N270" t="s">
        <v>336</v>
      </c>
      <c r="O270" t="s">
        <v>340</v>
      </c>
    </row>
    <row r="271" spans="1:15" x14ac:dyDescent="0.3">
      <c r="A271">
        <v>173</v>
      </c>
      <c r="B271" t="s">
        <v>323</v>
      </c>
      <c r="C271">
        <v>139</v>
      </c>
      <c r="D271" t="s">
        <v>79</v>
      </c>
      <c r="E271">
        <v>472</v>
      </c>
      <c r="F271" t="s">
        <v>572</v>
      </c>
      <c r="G271">
        <v>0</v>
      </c>
      <c r="H271">
        <v>0</v>
      </c>
      <c r="I271">
        <v>0</v>
      </c>
      <c r="J271">
        <v>0</v>
      </c>
      <c r="K271">
        <v>0</v>
      </c>
      <c r="L271">
        <v>4</v>
      </c>
      <c r="M271" t="s">
        <v>333</v>
      </c>
      <c r="N271" t="s">
        <v>326</v>
      </c>
      <c r="O271" t="s">
        <v>330</v>
      </c>
    </row>
    <row r="272" spans="1:15" x14ac:dyDescent="0.3">
      <c r="A272">
        <v>173</v>
      </c>
      <c r="B272" t="s">
        <v>323</v>
      </c>
      <c r="C272">
        <v>139</v>
      </c>
      <c r="D272" t="s">
        <v>79</v>
      </c>
      <c r="E272">
        <v>473</v>
      </c>
      <c r="F272" t="s">
        <v>573</v>
      </c>
      <c r="G272">
        <v>0</v>
      </c>
      <c r="H272">
        <v>0</v>
      </c>
      <c r="I272">
        <v>0</v>
      </c>
      <c r="J272">
        <v>0</v>
      </c>
      <c r="K272">
        <v>0</v>
      </c>
      <c r="L272">
        <v>7</v>
      </c>
      <c r="M272" t="s">
        <v>325</v>
      </c>
      <c r="N272" t="s">
        <v>326</v>
      </c>
      <c r="O272" t="s">
        <v>330</v>
      </c>
    </row>
    <row r="273" spans="1:15" x14ac:dyDescent="0.3">
      <c r="A273">
        <v>173</v>
      </c>
      <c r="B273" t="s">
        <v>323</v>
      </c>
      <c r="C273">
        <v>139</v>
      </c>
      <c r="D273" t="s">
        <v>79</v>
      </c>
      <c r="E273">
        <v>474</v>
      </c>
      <c r="F273" t="s">
        <v>574</v>
      </c>
      <c r="G273">
        <v>0</v>
      </c>
      <c r="H273">
        <v>0</v>
      </c>
      <c r="I273">
        <v>0</v>
      </c>
      <c r="J273">
        <v>0</v>
      </c>
      <c r="K273">
        <v>0</v>
      </c>
      <c r="L273">
        <v>1</v>
      </c>
      <c r="M273" t="s">
        <v>325</v>
      </c>
      <c r="N273" t="s">
        <v>326</v>
      </c>
      <c r="O273" t="s">
        <v>330</v>
      </c>
    </row>
    <row r="274" spans="1:15" x14ac:dyDescent="0.3">
      <c r="A274">
        <v>173</v>
      </c>
      <c r="B274" t="s">
        <v>323</v>
      </c>
      <c r="C274">
        <v>139</v>
      </c>
      <c r="D274" t="s">
        <v>79</v>
      </c>
      <c r="E274">
        <v>475</v>
      </c>
      <c r="F274" t="s">
        <v>376</v>
      </c>
      <c r="G274">
        <v>0</v>
      </c>
      <c r="H274">
        <v>0</v>
      </c>
      <c r="I274">
        <v>0</v>
      </c>
      <c r="J274">
        <v>0</v>
      </c>
      <c r="K274">
        <v>0</v>
      </c>
      <c r="L274">
        <v>6</v>
      </c>
      <c r="M274" t="s">
        <v>333</v>
      </c>
      <c r="N274" t="s">
        <v>326</v>
      </c>
      <c r="O274" t="s">
        <v>330</v>
      </c>
    </row>
    <row r="275" spans="1:15" x14ac:dyDescent="0.3">
      <c r="A275">
        <v>173</v>
      </c>
      <c r="B275" t="s">
        <v>323</v>
      </c>
      <c r="C275">
        <v>139</v>
      </c>
      <c r="D275" t="s">
        <v>79</v>
      </c>
      <c r="E275">
        <v>476</v>
      </c>
      <c r="F275" t="s">
        <v>575</v>
      </c>
      <c r="G275">
        <v>0</v>
      </c>
      <c r="H275">
        <v>0</v>
      </c>
      <c r="I275">
        <v>0</v>
      </c>
      <c r="J275">
        <v>0</v>
      </c>
      <c r="K275">
        <v>0</v>
      </c>
      <c r="L275">
        <v>23</v>
      </c>
      <c r="M275" t="s">
        <v>325</v>
      </c>
      <c r="N275" t="s">
        <v>329</v>
      </c>
      <c r="O275" t="s">
        <v>340</v>
      </c>
    </row>
    <row r="276" spans="1:15" x14ac:dyDescent="0.3">
      <c r="A276">
        <v>173</v>
      </c>
      <c r="B276" t="s">
        <v>323</v>
      </c>
      <c r="C276">
        <v>139</v>
      </c>
      <c r="D276" t="s">
        <v>79</v>
      </c>
      <c r="E276">
        <v>477</v>
      </c>
      <c r="F276" t="s">
        <v>576</v>
      </c>
      <c r="G276">
        <v>0</v>
      </c>
      <c r="H276">
        <v>0</v>
      </c>
      <c r="I276">
        <v>0</v>
      </c>
      <c r="J276">
        <v>0</v>
      </c>
      <c r="K276">
        <v>0</v>
      </c>
      <c r="L276">
        <v>40</v>
      </c>
      <c r="M276" t="s">
        <v>325</v>
      </c>
      <c r="N276" t="s">
        <v>326</v>
      </c>
      <c r="O276" t="s">
        <v>352</v>
      </c>
    </row>
    <row r="277" spans="1:15" x14ac:dyDescent="0.3">
      <c r="A277">
        <v>173</v>
      </c>
      <c r="B277" t="s">
        <v>323</v>
      </c>
      <c r="C277">
        <v>139</v>
      </c>
      <c r="D277" t="s">
        <v>79</v>
      </c>
      <c r="E277">
        <v>478</v>
      </c>
      <c r="F277" t="s">
        <v>577</v>
      </c>
      <c r="G277">
        <v>0</v>
      </c>
      <c r="H277">
        <v>0</v>
      </c>
      <c r="I277">
        <v>0</v>
      </c>
      <c r="J277">
        <v>0</v>
      </c>
      <c r="K277">
        <v>0</v>
      </c>
      <c r="L277">
        <v>6</v>
      </c>
      <c r="M277" t="s">
        <v>410</v>
      </c>
      <c r="N277" t="s">
        <v>326</v>
      </c>
      <c r="O277" t="s">
        <v>338</v>
      </c>
    </row>
    <row r="278" spans="1:15" x14ac:dyDescent="0.3">
      <c r="A278">
        <v>173</v>
      </c>
      <c r="B278" t="s">
        <v>323</v>
      </c>
      <c r="C278">
        <v>139</v>
      </c>
      <c r="D278" t="s">
        <v>79</v>
      </c>
      <c r="E278">
        <v>479</v>
      </c>
      <c r="F278" t="s">
        <v>578</v>
      </c>
      <c r="G278">
        <v>0</v>
      </c>
      <c r="H278">
        <v>0</v>
      </c>
      <c r="I278">
        <v>0</v>
      </c>
      <c r="J278">
        <v>0</v>
      </c>
      <c r="K278">
        <v>0</v>
      </c>
      <c r="L278">
        <v>7</v>
      </c>
      <c r="M278" t="s">
        <v>325</v>
      </c>
      <c r="N278" t="s">
        <v>326</v>
      </c>
      <c r="O278" t="s">
        <v>330</v>
      </c>
    </row>
    <row r="279" spans="1:15" x14ac:dyDescent="0.3">
      <c r="A279">
        <v>173</v>
      </c>
      <c r="B279" t="s">
        <v>323</v>
      </c>
      <c r="C279">
        <v>139</v>
      </c>
      <c r="D279" t="s">
        <v>79</v>
      </c>
      <c r="E279">
        <v>480</v>
      </c>
      <c r="F279" t="s">
        <v>579</v>
      </c>
      <c r="G279">
        <v>0</v>
      </c>
      <c r="H279">
        <v>0</v>
      </c>
      <c r="I279">
        <v>0</v>
      </c>
      <c r="J279">
        <v>0</v>
      </c>
      <c r="K279">
        <v>0</v>
      </c>
      <c r="L279">
        <v>6</v>
      </c>
      <c r="M279" t="s">
        <v>325</v>
      </c>
      <c r="N279" t="s">
        <v>348</v>
      </c>
      <c r="O279" t="s">
        <v>330</v>
      </c>
    </row>
    <row r="280" spans="1:15" x14ac:dyDescent="0.3">
      <c r="A280">
        <v>173</v>
      </c>
      <c r="B280" t="s">
        <v>323</v>
      </c>
      <c r="C280">
        <v>139</v>
      </c>
      <c r="D280" t="s">
        <v>79</v>
      </c>
      <c r="E280">
        <v>481</v>
      </c>
      <c r="F280" t="s">
        <v>580</v>
      </c>
      <c r="G280">
        <v>0</v>
      </c>
      <c r="H280">
        <v>0</v>
      </c>
      <c r="I280">
        <v>0</v>
      </c>
      <c r="J280">
        <v>0</v>
      </c>
      <c r="K280">
        <v>0</v>
      </c>
      <c r="L280">
        <v>8</v>
      </c>
      <c r="M280" t="s">
        <v>325</v>
      </c>
      <c r="N280" t="s">
        <v>326</v>
      </c>
      <c r="O280" t="s">
        <v>340</v>
      </c>
    </row>
    <row r="281" spans="1:15" x14ac:dyDescent="0.3">
      <c r="A281">
        <v>173</v>
      </c>
      <c r="B281" t="s">
        <v>323</v>
      </c>
      <c r="C281">
        <v>139</v>
      </c>
      <c r="D281" t="s">
        <v>79</v>
      </c>
      <c r="E281">
        <v>482</v>
      </c>
      <c r="F281" t="s">
        <v>581</v>
      </c>
      <c r="G281">
        <v>0</v>
      </c>
      <c r="H281">
        <v>0</v>
      </c>
      <c r="I281">
        <v>0</v>
      </c>
      <c r="J281">
        <v>0</v>
      </c>
      <c r="K281">
        <v>0</v>
      </c>
      <c r="L281">
        <v>9</v>
      </c>
      <c r="M281" t="s">
        <v>325</v>
      </c>
      <c r="N281" t="s">
        <v>336</v>
      </c>
      <c r="O281" t="s">
        <v>330</v>
      </c>
    </row>
    <row r="282" spans="1:15" x14ac:dyDescent="0.3">
      <c r="A282">
        <v>173</v>
      </c>
      <c r="B282" t="s">
        <v>323</v>
      </c>
      <c r="C282">
        <v>139</v>
      </c>
      <c r="D282" t="s">
        <v>79</v>
      </c>
      <c r="E282">
        <v>483</v>
      </c>
      <c r="F282" t="s">
        <v>582</v>
      </c>
      <c r="G282">
        <v>0</v>
      </c>
      <c r="H282">
        <v>0</v>
      </c>
      <c r="I282">
        <v>0</v>
      </c>
      <c r="J282">
        <v>0</v>
      </c>
      <c r="K282">
        <v>0</v>
      </c>
      <c r="L282">
        <v>5</v>
      </c>
      <c r="M282" t="s">
        <v>325</v>
      </c>
      <c r="N282" t="s">
        <v>326</v>
      </c>
      <c r="O282" t="s">
        <v>330</v>
      </c>
    </row>
    <row r="283" spans="1:15" x14ac:dyDescent="0.3">
      <c r="A283">
        <v>173</v>
      </c>
      <c r="B283" t="s">
        <v>323</v>
      </c>
      <c r="C283">
        <v>139</v>
      </c>
      <c r="D283" t="s">
        <v>79</v>
      </c>
      <c r="E283">
        <v>484</v>
      </c>
      <c r="F283" t="s">
        <v>583</v>
      </c>
      <c r="G283">
        <v>0</v>
      </c>
      <c r="H283">
        <v>0</v>
      </c>
      <c r="I283">
        <v>0</v>
      </c>
      <c r="J283">
        <v>0</v>
      </c>
      <c r="K283">
        <v>0</v>
      </c>
      <c r="L283">
        <v>4</v>
      </c>
      <c r="M283" t="s">
        <v>325</v>
      </c>
      <c r="N283" t="s">
        <v>348</v>
      </c>
      <c r="O283" t="s">
        <v>330</v>
      </c>
    </row>
    <row r="284" spans="1:15" x14ac:dyDescent="0.3">
      <c r="A284">
        <v>173</v>
      </c>
      <c r="B284" t="s">
        <v>323</v>
      </c>
      <c r="C284">
        <v>139</v>
      </c>
      <c r="D284" t="s">
        <v>79</v>
      </c>
      <c r="E284">
        <v>1420</v>
      </c>
      <c r="F284" t="s">
        <v>584</v>
      </c>
      <c r="G284">
        <v>0</v>
      </c>
      <c r="H284">
        <v>0</v>
      </c>
      <c r="I284">
        <v>0</v>
      </c>
      <c r="J284">
        <v>0</v>
      </c>
      <c r="K284">
        <v>0</v>
      </c>
      <c r="L284">
        <v>6</v>
      </c>
      <c r="M284" t="s">
        <v>333</v>
      </c>
      <c r="N284" t="s">
        <v>326</v>
      </c>
      <c r="O284" t="s">
        <v>330</v>
      </c>
    </row>
    <row r="285" spans="1:15" x14ac:dyDescent="0.3">
      <c r="A285">
        <v>173</v>
      </c>
      <c r="B285" t="s">
        <v>323</v>
      </c>
      <c r="C285">
        <v>139</v>
      </c>
      <c r="D285" t="s">
        <v>79</v>
      </c>
      <c r="E285">
        <v>1422</v>
      </c>
      <c r="F285" t="s">
        <v>585</v>
      </c>
      <c r="G285">
        <v>0</v>
      </c>
      <c r="H285">
        <v>0</v>
      </c>
      <c r="I285">
        <v>0</v>
      </c>
      <c r="J285">
        <v>0</v>
      </c>
      <c r="K285">
        <v>0</v>
      </c>
      <c r="L285">
        <v>7</v>
      </c>
      <c r="M285" t="s">
        <v>325</v>
      </c>
      <c r="N285" t="s">
        <v>326</v>
      </c>
      <c r="O285" t="s">
        <v>330</v>
      </c>
    </row>
    <row r="286" spans="1:15" x14ac:dyDescent="0.3">
      <c r="A286">
        <v>175</v>
      </c>
      <c r="B286" t="s">
        <v>313</v>
      </c>
      <c r="C286">
        <v>141</v>
      </c>
      <c r="D286" t="s">
        <v>83</v>
      </c>
      <c r="E286">
        <v>1391</v>
      </c>
      <c r="F286" t="s">
        <v>586</v>
      </c>
      <c r="G286">
        <v>0</v>
      </c>
      <c r="H286">
        <v>0</v>
      </c>
      <c r="I286">
        <v>1</v>
      </c>
      <c r="J286">
        <v>1</v>
      </c>
      <c r="K286">
        <v>1</v>
      </c>
      <c r="M286" t="s">
        <v>333</v>
      </c>
      <c r="N286" t="s">
        <v>336</v>
      </c>
      <c r="O286" t="s">
        <v>352</v>
      </c>
    </row>
    <row r="287" spans="1:15" x14ac:dyDescent="0.3">
      <c r="A287">
        <v>175</v>
      </c>
      <c r="B287" t="s">
        <v>313</v>
      </c>
      <c r="C287">
        <v>141</v>
      </c>
      <c r="D287" t="s">
        <v>83</v>
      </c>
      <c r="E287">
        <v>1392</v>
      </c>
      <c r="F287" t="s">
        <v>381</v>
      </c>
      <c r="L287">
        <v>4</v>
      </c>
      <c r="M287" t="s">
        <v>333</v>
      </c>
      <c r="N287" t="s">
        <v>326</v>
      </c>
      <c r="O287" t="s">
        <v>330</v>
      </c>
    </row>
    <row r="288" spans="1:15" x14ac:dyDescent="0.3">
      <c r="A288">
        <v>175</v>
      </c>
      <c r="B288" t="s">
        <v>313</v>
      </c>
      <c r="C288">
        <v>141</v>
      </c>
      <c r="D288" t="s">
        <v>83</v>
      </c>
      <c r="E288">
        <v>1393</v>
      </c>
      <c r="F288" t="s">
        <v>587</v>
      </c>
      <c r="M288" t="s">
        <v>1116</v>
      </c>
      <c r="N288" t="s">
        <v>1116</v>
      </c>
      <c r="O288" t="s">
        <v>1116</v>
      </c>
    </row>
    <row r="289" spans="1:15" x14ac:dyDescent="0.3">
      <c r="A289">
        <v>175</v>
      </c>
      <c r="B289" t="s">
        <v>313</v>
      </c>
      <c r="C289">
        <v>141</v>
      </c>
      <c r="D289" t="s">
        <v>83</v>
      </c>
      <c r="E289">
        <v>1394</v>
      </c>
      <c r="F289" t="s">
        <v>588</v>
      </c>
      <c r="M289" t="s">
        <v>1116</v>
      </c>
      <c r="N289" t="s">
        <v>1116</v>
      </c>
      <c r="O289" t="s">
        <v>1116</v>
      </c>
    </row>
    <row r="290" spans="1:15" x14ac:dyDescent="0.3">
      <c r="A290">
        <v>175</v>
      </c>
      <c r="B290" t="s">
        <v>313</v>
      </c>
      <c r="C290">
        <v>141</v>
      </c>
      <c r="D290" t="s">
        <v>83</v>
      </c>
      <c r="E290">
        <v>1395</v>
      </c>
      <c r="F290" t="s">
        <v>589</v>
      </c>
      <c r="M290" t="s">
        <v>1116</v>
      </c>
      <c r="N290" t="s">
        <v>1116</v>
      </c>
      <c r="O290" t="s">
        <v>1116</v>
      </c>
    </row>
    <row r="291" spans="1:15" x14ac:dyDescent="0.3">
      <c r="A291">
        <v>175</v>
      </c>
      <c r="B291" t="s">
        <v>313</v>
      </c>
      <c r="C291">
        <v>141</v>
      </c>
      <c r="D291" t="s">
        <v>83</v>
      </c>
      <c r="E291">
        <v>1396</v>
      </c>
      <c r="F291" t="s">
        <v>590</v>
      </c>
      <c r="M291" t="s">
        <v>1116</v>
      </c>
      <c r="N291" t="s">
        <v>1116</v>
      </c>
      <c r="O291" t="s">
        <v>1116</v>
      </c>
    </row>
    <row r="292" spans="1:15" x14ac:dyDescent="0.3">
      <c r="A292">
        <v>175</v>
      </c>
      <c r="B292" t="s">
        <v>313</v>
      </c>
      <c r="C292">
        <v>141</v>
      </c>
      <c r="D292" t="s">
        <v>83</v>
      </c>
      <c r="E292">
        <v>1397</v>
      </c>
      <c r="F292" t="s">
        <v>353</v>
      </c>
      <c r="M292" t="s">
        <v>1116</v>
      </c>
      <c r="N292" t="s">
        <v>1116</v>
      </c>
      <c r="O292" t="s">
        <v>1116</v>
      </c>
    </row>
    <row r="293" spans="1:15" x14ac:dyDescent="0.3">
      <c r="A293">
        <v>185</v>
      </c>
      <c r="B293" t="s">
        <v>323</v>
      </c>
      <c r="C293">
        <v>152</v>
      </c>
      <c r="D293" t="s">
        <v>103</v>
      </c>
      <c r="E293">
        <v>968</v>
      </c>
      <c r="F293" t="s">
        <v>591</v>
      </c>
      <c r="G293">
        <v>0</v>
      </c>
      <c r="H293">
        <v>0</v>
      </c>
      <c r="I293">
        <v>3</v>
      </c>
      <c r="J293">
        <v>0</v>
      </c>
      <c r="K293">
        <v>2</v>
      </c>
      <c r="L293">
        <v>0</v>
      </c>
      <c r="M293" t="s">
        <v>325</v>
      </c>
      <c r="N293" t="s">
        <v>329</v>
      </c>
      <c r="O293" t="s">
        <v>340</v>
      </c>
    </row>
    <row r="294" spans="1:15" x14ac:dyDescent="0.3">
      <c r="A294">
        <v>185</v>
      </c>
      <c r="B294" t="s">
        <v>323</v>
      </c>
      <c r="C294">
        <v>152</v>
      </c>
      <c r="D294" t="s">
        <v>103</v>
      </c>
      <c r="E294">
        <v>971</v>
      </c>
      <c r="F294" t="s">
        <v>353</v>
      </c>
      <c r="G294">
        <v>0</v>
      </c>
      <c r="H294">
        <v>0</v>
      </c>
      <c r="I294">
        <v>2</v>
      </c>
      <c r="J294">
        <v>1</v>
      </c>
      <c r="K294">
        <v>0</v>
      </c>
      <c r="L294">
        <v>0</v>
      </c>
      <c r="M294" t="s">
        <v>333</v>
      </c>
      <c r="N294" t="s">
        <v>336</v>
      </c>
      <c r="O294" t="s">
        <v>330</v>
      </c>
    </row>
    <row r="295" spans="1:15" x14ac:dyDescent="0.3">
      <c r="A295">
        <v>185</v>
      </c>
      <c r="B295" t="s">
        <v>323</v>
      </c>
      <c r="C295">
        <v>152</v>
      </c>
      <c r="D295" t="s">
        <v>103</v>
      </c>
      <c r="E295">
        <v>972</v>
      </c>
      <c r="F295" t="s">
        <v>592</v>
      </c>
      <c r="G295">
        <v>0</v>
      </c>
      <c r="H295">
        <v>0</v>
      </c>
      <c r="I295">
        <v>0</v>
      </c>
      <c r="J295">
        <v>3</v>
      </c>
      <c r="K295">
        <v>0</v>
      </c>
      <c r="L295">
        <v>0</v>
      </c>
      <c r="M295" t="s">
        <v>333</v>
      </c>
      <c r="N295" t="s">
        <v>336</v>
      </c>
      <c r="O295" t="s">
        <v>338</v>
      </c>
    </row>
    <row r="296" spans="1:15" x14ac:dyDescent="0.3">
      <c r="A296">
        <v>188</v>
      </c>
      <c r="B296" t="s">
        <v>323</v>
      </c>
      <c r="C296">
        <v>155</v>
      </c>
      <c r="D296" t="s">
        <v>109</v>
      </c>
      <c r="E296">
        <v>912</v>
      </c>
      <c r="F296" t="s">
        <v>593</v>
      </c>
      <c r="G296">
        <v>0</v>
      </c>
      <c r="H296">
        <v>0</v>
      </c>
      <c r="I296">
        <v>0</v>
      </c>
      <c r="J296">
        <v>0</v>
      </c>
      <c r="K296">
        <v>0</v>
      </c>
      <c r="L296">
        <v>1</v>
      </c>
      <c r="M296" t="s">
        <v>333</v>
      </c>
      <c r="N296" t="s">
        <v>336</v>
      </c>
      <c r="O296" t="s">
        <v>352</v>
      </c>
    </row>
    <row r="297" spans="1:15" x14ac:dyDescent="0.3">
      <c r="A297">
        <v>188</v>
      </c>
      <c r="B297" t="s">
        <v>323</v>
      </c>
      <c r="C297">
        <v>155</v>
      </c>
      <c r="D297" t="s">
        <v>109</v>
      </c>
      <c r="E297">
        <v>913</v>
      </c>
      <c r="F297" t="s">
        <v>594</v>
      </c>
      <c r="G297">
        <v>0</v>
      </c>
      <c r="H297">
        <v>0</v>
      </c>
      <c r="I297">
        <v>0</v>
      </c>
      <c r="J297">
        <v>1</v>
      </c>
      <c r="K297">
        <v>0</v>
      </c>
      <c r="L297">
        <v>1</v>
      </c>
      <c r="M297" t="s">
        <v>333</v>
      </c>
      <c r="N297" t="s">
        <v>336</v>
      </c>
      <c r="O297" t="s">
        <v>352</v>
      </c>
    </row>
    <row r="298" spans="1:15" x14ac:dyDescent="0.3">
      <c r="A298">
        <v>188</v>
      </c>
      <c r="B298" t="s">
        <v>323</v>
      </c>
      <c r="C298">
        <v>155</v>
      </c>
      <c r="D298" t="s">
        <v>109</v>
      </c>
      <c r="E298">
        <v>914</v>
      </c>
      <c r="F298" t="s">
        <v>595</v>
      </c>
      <c r="G298">
        <v>0</v>
      </c>
      <c r="H298">
        <v>1</v>
      </c>
      <c r="I298">
        <v>0</v>
      </c>
      <c r="J298">
        <v>1</v>
      </c>
      <c r="K298">
        <v>1</v>
      </c>
      <c r="L298">
        <v>0</v>
      </c>
      <c r="M298" t="s">
        <v>325</v>
      </c>
      <c r="N298" t="s">
        <v>348</v>
      </c>
      <c r="O298" t="s">
        <v>338</v>
      </c>
    </row>
    <row r="299" spans="1:15" x14ac:dyDescent="0.3">
      <c r="A299">
        <v>188</v>
      </c>
      <c r="B299" t="s">
        <v>323</v>
      </c>
      <c r="C299">
        <v>155</v>
      </c>
      <c r="D299" t="s">
        <v>109</v>
      </c>
      <c r="E299">
        <v>915</v>
      </c>
      <c r="F299" t="s">
        <v>498</v>
      </c>
      <c r="G299">
        <v>0</v>
      </c>
      <c r="H299">
        <v>1</v>
      </c>
      <c r="I299">
        <v>0</v>
      </c>
      <c r="J299">
        <v>1</v>
      </c>
      <c r="K299">
        <v>0</v>
      </c>
      <c r="L299">
        <v>0</v>
      </c>
      <c r="M299" t="s">
        <v>333</v>
      </c>
      <c r="N299" t="s">
        <v>326</v>
      </c>
      <c r="O299" t="s">
        <v>330</v>
      </c>
    </row>
    <row r="300" spans="1:15" x14ac:dyDescent="0.3">
      <c r="A300">
        <v>188</v>
      </c>
      <c r="B300" t="s">
        <v>323</v>
      </c>
      <c r="C300">
        <v>155</v>
      </c>
      <c r="D300" t="s">
        <v>109</v>
      </c>
      <c r="E300">
        <v>916</v>
      </c>
      <c r="F300" t="s">
        <v>596</v>
      </c>
      <c r="G300">
        <v>0</v>
      </c>
      <c r="H300">
        <v>0</v>
      </c>
      <c r="I300">
        <v>0</v>
      </c>
      <c r="J300">
        <v>3</v>
      </c>
      <c r="K300">
        <v>0</v>
      </c>
      <c r="L300">
        <v>0</v>
      </c>
      <c r="M300" t="s">
        <v>333</v>
      </c>
      <c r="N300" t="s">
        <v>329</v>
      </c>
      <c r="O300" t="s">
        <v>352</v>
      </c>
    </row>
    <row r="301" spans="1:15" x14ac:dyDescent="0.3">
      <c r="A301">
        <v>188</v>
      </c>
      <c r="B301" t="s">
        <v>323</v>
      </c>
      <c r="C301">
        <v>155</v>
      </c>
      <c r="D301" t="s">
        <v>109</v>
      </c>
      <c r="E301">
        <v>917</v>
      </c>
      <c r="F301" t="s">
        <v>597</v>
      </c>
      <c r="G301">
        <v>0</v>
      </c>
      <c r="H301">
        <v>0</v>
      </c>
      <c r="I301">
        <v>2</v>
      </c>
      <c r="J301">
        <v>1</v>
      </c>
      <c r="K301">
        <v>0</v>
      </c>
      <c r="L301">
        <v>0</v>
      </c>
      <c r="M301" t="s">
        <v>333</v>
      </c>
      <c r="N301" t="s">
        <v>336</v>
      </c>
      <c r="O301" t="s">
        <v>352</v>
      </c>
    </row>
    <row r="302" spans="1:15" x14ac:dyDescent="0.3">
      <c r="A302">
        <v>188</v>
      </c>
      <c r="B302" t="s">
        <v>323</v>
      </c>
      <c r="C302">
        <v>155</v>
      </c>
      <c r="D302" t="s">
        <v>109</v>
      </c>
      <c r="E302">
        <v>918</v>
      </c>
      <c r="F302" t="s">
        <v>598</v>
      </c>
      <c r="G302">
        <v>0</v>
      </c>
      <c r="H302">
        <v>0</v>
      </c>
      <c r="I302">
        <v>1</v>
      </c>
      <c r="J302">
        <v>0</v>
      </c>
      <c r="K302">
        <v>0</v>
      </c>
      <c r="L302">
        <v>0</v>
      </c>
      <c r="M302" t="s">
        <v>333</v>
      </c>
      <c r="N302" t="s">
        <v>336</v>
      </c>
      <c r="O302" t="s">
        <v>352</v>
      </c>
    </row>
    <row r="303" spans="1:15" x14ac:dyDescent="0.3">
      <c r="A303">
        <v>188</v>
      </c>
      <c r="B303" t="s">
        <v>323</v>
      </c>
      <c r="C303">
        <v>155</v>
      </c>
      <c r="D303" t="s">
        <v>109</v>
      </c>
      <c r="E303">
        <v>919</v>
      </c>
      <c r="F303" t="s">
        <v>467</v>
      </c>
      <c r="G303">
        <v>0</v>
      </c>
      <c r="H303">
        <v>1</v>
      </c>
      <c r="I303">
        <v>1</v>
      </c>
      <c r="J303">
        <v>1</v>
      </c>
      <c r="K303">
        <v>0</v>
      </c>
      <c r="L303">
        <v>0</v>
      </c>
      <c r="M303" t="s">
        <v>333</v>
      </c>
      <c r="N303" t="s">
        <v>336</v>
      </c>
      <c r="O303" t="s">
        <v>330</v>
      </c>
    </row>
    <row r="304" spans="1:15" x14ac:dyDescent="0.3">
      <c r="A304">
        <v>188</v>
      </c>
      <c r="B304" t="s">
        <v>323</v>
      </c>
      <c r="C304">
        <v>155</v>
      </c>
      <c r="D304" t="s">
        <v>109</v>
      </c>
      <c r="E304">
        <v>920</v>
      </c>
      <c r="F304" t="s">
        <v>599</v>
      </c>
      <c r="G304">
        <v>0</v>
      </c>
      <c r="H304">
        <v>0</v>
      </c>
      <c r="I304">
        <v>0</v>
      </c>
      <c r="J304">
        <v>0</v>
      </c>
      <c r="K304">
        <v>0</v>
      </c>
      <c r="L304">
        <v>1</v>
      </c>
      <c r="M304" t="s">
        <v>333</v>
      </c>
      <c r="N304" t="s">
        <v>336</v>
      </c>
      <c r="O304" t="s">
        <v>352</v>
      </c>
    </row>
    <row r="305" spans="1:15" x14ac:dyDescent="0.3">
      <c r="A305">
        <v>188</v>
      </c>
      <c r="B305" t="s">
        <v>323</v>
      </c>
      <c r="C305">
        <v>155</v>
      </c>
      <c r="D305" t="s">
        <v>109</v>
      </c>
      <c r="E305">
        <v>921</v>
      </c>
      <c r="F305" t="s">
        <v>600</v>
      </c>
      <c r="G305">
        <v>0</v>
      </c>
      <c r="H305">
        <v>1</v>
      </c>
      <c r="I305">
        <v>3</v>
      </c>
      <c r="J305">
        <v>0</v>
      </c>
      <c r="K305">
        <v>0</v>
      </c>
      <c r="L305">
        <v>0</v>
      </c>
      <c r="M305" t="s">
        <v>325</v>
      </c>
      <c r="N305" t="s">
        <v>326</v>
      </c>
      <c r="O305" t="s">
        <v>327</v>
      </c>
    </row>
    <row r="306" spans="1:15" x14ac:dyDescent="0.3">
      <c r="A306">
        <v>188</v>
      </c>
      <c r="B306" t="s">
        <v>323</v>
      </c>
      <c r="C306">
        <v>155</v>
      </c>
      <c r="D306" t="s">
        <v>109</v>
      </c>
      <c r="E306">
        <v>922</v>
      </c>
      <c r="F306" t="s">
        <v>601</v>
      </c>
      <c r="G306">
        <v>0</v>
      </c>
      <c r="H306">
        <v>2</v>
      </c>
      <c r="I306">
        <v>5</v>
      </c>
      <c r="J306">
        <v>2</v>
      </c>
      <c r="K306">
        <v>2</v>
      </c>
      <c r="L306">
        <v>5</v>
      </c>
      <c r="M306" t="s">
        <v>333</v>
      </c>
      <c r="N306" t="s">
        <v>326</v>
      </c>
      <c r="O306" t="s">
        <v>352</v>
      </c>
    </row>
    <row r="307" spans="1:15" x14ac:dyDescent="0.3">
      <c r="A307">
        <v>188</v>
      </c>
      <c r="B307" t="s">
        <v>323</v>
      </c>
      <c r="C307">
        <v>155</v>
      </c>
      <c r="D307" t="s">
        <v>109</v>
      </c>
      <c r="E307">
        <v>923</v>
      </c>
      <c r="F307" t="s">
        <v>602</v>
      </c>
      <c r="G307">
        <v>0</v>
      </c>
      <c r="H307">
        <v>0</v>
      </c>
      <c r="I307">
        <v>2</v>
      </c>
      <c r="J307">
        <v>0</v>
      </c>
      <c r="K307">
        <v>0</v>
      </c>
      <c r="L307">
        <v>0</v>
      </c>
      <c r="M307" t="s">
        <v>333</v>
      </c>
      <c r="N307" t="s">
        <v>326</v>
      </c>
      <c r="O307" t="s">
        <v>352</v>
      </c>
    </row>
    <row r="308" spans="1:15" x14ac:dyDescent="0.3">
      <c r="A308">
        <v>189</v>
      </c>
      <c r="B308" t="s">
        <v>323</v>
      </c>
      <c r="C308">
        <v>156</v>
      </c>
      <c r="D308" t="s">
        <v>111</v>
      </c>
      <c r="E308">
        <v>774</v>
      </c>
      <c r="F308" t="s">
        <v>393</v>
      </c>
      <c r="G308">
        <v>0</v>
      </c>
      <c r="H308">
        <v>1</v>
      </c>
      <c r="I308">
        <v>2</v>
      </c>
      <c r="J308">
        <v>0</v>
      </c>
      <c r="K308">
        <v>0</v>
      </c>
      <c r="L308">
        <v>0</v>
      </c>
      <c r="M308" t="s">
        <v>325</v>
      </c>
      <c r="N308" t="s">
        <v>336</v>
      </c>
      <c r="O308" t="s">
        <v>340</v>
      </c>
    </row>
    <row r="309" spans="1:15" x14ac:dyDescent="0.3">
      <c r="A309">
        <v>189</v>
      </c>
      <c r="B309" t="s">
        <v>323</v>
      </c>
      <c r="C309">
        <v>156</v>
      </c>
      <c r="D309" t="s">
        <v>111</v>
      </c>
      <c r="E309">
        <v>775</v>
      </c>
      <c r="F309" t="s">
        <v>353</v>
      </c>
      <c r="G309">
        <v>0</v>
      </c>
      <c r="H309">
        <v>0</v>
      </c>
      <c r="I309">
        <v>0</v>
      </c>
      <c r="J309">
        <v>1</v>
      </c>
      <c r="K309">
        <v>0</v>
      </c>
      <c r="L309">
        <v>1</v>
      </c>
      <c r="M309" t="s">
        <v>333</v>
      </c>
      <c r="N309" t="s">
        <v>326</v>
      </c>
      <c r="O309" t="s">
        <v>330</v>
      </c>
    </row>
    <row r="310" spans="1:15" x14ac:dyDescent="0.3">
      <c r="A310">
        <v>189</v>
      </c>
      <c r="B310" t="s">
        <v>323</v>
      </c>
      <c r="C310">
        <v>156</v>
      </c>
      <c r="D310" t="s">
        <v>111</v>
      </c>
      <c r="E310">
        <v>776</v>
      </c>
      <c r="F310" t="s">
        <v>603</v>
      </c>
      <c r="G310">
        <v>0</v>
      </c>
      <c r="H310">
        <v>1</v>
      </c>
      <c r="I310">
        <v>1</v>
      </c>
      <c r="J310">
        <v>0</v>
      </c>
      <c r="K310">
        <v>1</v>
      </c>
      <c r="L310">
        <v>1</v>
      </c>
      <c r="M310" t="s">
        <v>333</v>
      </c>
      <c r="N310" t="s">
        <v>326</v>
      </c>
      <c r="O310" t="s">
        <v>340</v>
      </c>
    </row>
    <row r="311" spans="1:15" x14ac:dyDescent="0.3">
      <c r="A311">
        <v>189</v>
      </c>
      <c r="B311" t="s">
        <v>323</v>
      </c>
      <c r="C311">
        <v>156</v>
      </c>
      <c r="D311" t="s">
        <v>111</v>
      </c>
      <c r="E311">
        <v>777</v>
      </c>
      <c r="F311" t="s">
        <v>604</v>
      </c>
      <c r="G311">
        <v>0</v>
      </c>
      <c r="H311">
        <v>0</v>
      </c>
      <c r="I311">
        <v>0</v>
      </c>
      <c r="J311">
        <v>0</v>
      </c>
      <c r="K311">
        <v>3</v>
      </c>
      <c r="L311">
        <v>0</v>
      </c>
      <c r="M311" t="s">
        <v>333</v>
      </c>
      <c r="N311" t="s">
        <v>326</v>
      </c>
      <c r="O311" t="s">
        <v>330</v>
      </c>
    </row>
    <row r="312" spans="1:15" x14ac:dyDescent="0.3">
      <c r="A312">
        <v>189</v>
      </c>
      <c r="B312" t="s">
        <v>323</v>
      </c>
      <c r="C312">
        <v>156</v>
      </c>
      <c r="D312" t="s">
        <v>111</v>
      </c>
      <c r="E312">
        <v>778</v>
      </c>
      <c r="F312" t="s">
        <v>605</v>
      </c>
      <c r="G312">
        <v>0</v>
      </c>
      <c r="H312">
        <v>1</v>
      </c>
      <c r="I312">
        <v>3</v>
      </c>
      <c r="J312">
        <v>0</v>
      </c>
      <c r="K312">
        <v>1</v>
      </c>
      <c r="L312">
        <v>0</v>
      </c>
      <c r="M312" t="s">
        <v>333</v>
      </c>
      <c r="N312" t="s">
        <v>326</v>
      </c>
      <c r="O312" t="s">
        <v>327</v>
      </c>
    </row>
    <row r="313" spans="1:15" x14ac:dyDescent="0.3">
      <c r="A313">
        <v>189</v>
      </c>
      <c r="B313" t="s">
        <v>323</v>
      </c>
      <c r="C313">
        <v>156</v>
      </c>
      <c r="D313" t="s">
        <v>111</v>
      </c>
      <c r="E313">
        <v>779</v>
      </c>
      <c r="F313" t="s">
        <v>356</v>
      </c>
      <c r="G313">
        <v>0</v>
      </c>
      <c r="H313">
        <v>0</v>
      </c>
      <c r="I313">
        <v>1</v>
      </c>
      <c r="J313">
        <v>0</v>
      </c>
      <c r="K313">
        <v>0</v>
      </c>
      <c r="L313">
        <v>1</v>
      </c>
      <c r="M313" t="s">
        <v>333</v>
      </c>
      <c r="N313" t="s">
        <v>326</v>
      </c>
      <c r="O313" t="s">
        <v>330</v>
      </c>
    </row>
    <row r="314" spans="1:15" x14ac:dyDescent="0.3">
      <c r="A314">
        <v>189</v>
      </c>
      <c r="B314" t="s">
        <v>323</v>
      </c>
      <c r="C314">
        <v>156</v>
      </c>
      <c r="D314" t="s">
        <v>111</v>
      </c>
      <c r="E314">
        <v>780</v>
      </c>
      <c r="F314" t="s">
        <v>606</v>
      </c>
      <c r="G314">
        <v>0</v>
      </c>
      <c r="H314">
        <v>0</v>
      </c>
      <c r="I314">
        <v>0</v>
      </c>
      <c r="J314">
        <v>1</v>
      </c>
      <c r="K314">
        <v>3</v>
      </c>
      <c r="L314">
        <v>0</v>
      </c>
      <c r="M314" t="s">
        <v>325</v>
      </c>
      <c r="N314" t="s">
        <v>336</v>
      </c>
      <c r="O314" t="s">
        <v>327</v>
      </c>
    </row>
    <row r="315" spans="1:15" x14ac:dyDescent="0.3">
      <c r="A315">
        <v>189</v>
      </c>
      <c r="B315" t="s">
        <v>323</v>
      </c>
      <c r="C315">
        <v>156</v>
      </c>
      <c r="D315" t="s">
        <v>111</v>
      </c>
      <c r="E315">
        <v>781</v>
      </c>
      <c r="F315" t="s">
        <v>607</v>
      </c>
      <c r="G315">
        <v>0</v>
      </c>
      <c r="H315">
        <v>1</v>
      </c>
      <c r="I315">
        <v>1</v>
      </c>
      <c r="J315">
        <v>0</v>
      </c>
      <c r="K315">
        <v>2</v>
      </c>
      <c r="L315">
        <v>0</v>
      </c>
      <c r="M315" t="s">
        <v>333</v>
      </c>
      <c r="N315" t="s">
        <v>336</v>
      </c>
      <c r="O315" t="s">
        <v>338</v>
      </c>
    </row>
    <row r="316" spans="1:15" x14ac:dyDescent="0.3">
      <c r="A316">
        <v>189</v>
      </c>
      <c r="B316" t="s">
        <v>323</v>
      </c>
      <c r="C316">
        <v>156</v>
      </c>
      <c r="D316" t="s">
        <v>111</v>
      </c>
      <c r="E316">
        <v>782</v>
      </c>
      <c r="F316" t="s">
        <v>608</v>
      </c>
      <c r="G316">
        <v>0</v>
      </c>
      <c r="H316">
        <v>1</v>
      </c>
      <c r="I316">
        <v>1</v>
      </c>
      <c r="J316">
        <v>0</v>
      </c>
      <c r="K316">
        <v>0</v>
      </c>
      <c r="L316">
        <v>2</v>
      </c>
      <c r="M316" t="s">
        <v>333</v>
      </c>
      <c r="N316" t="s">
        <v>326</v>
      </c>
      <c r="O316" t="s">
        <v>338</v>
      </c>
    </row>
    <row r="317" spans="1:15" x14ac:dyDescent="0.3">
      <c r="A317">
        <v>189</v>
      </c>
      <c r="B317" t="s">
        <v>323</v>
      </c>
      <c r="C317">
        <v>156</v>
      </c>
      <c r="D317" t="s">
        <v>111</v>
      </c>
      <c r="E317">
        <v>783</v>
      </c>
      <c r="F317" t="s">
        <v>609</v>
      </c>
      <c r="G317">
        <v>0</v>
      </c>
      <c r="H317">
        <v>0</v>
      </c>
      <c r="I317">
        <v>1</v>
      </c>
      <c r="J317">
        <v>0</v>
      </c>
      <c r="K317">
        <v>1</v>
      </c>
      <c r="L317">
        <v>2</v>
      </c>
      <c r="M317" t="s">
        <v>333</v>
      </c>
      <c r="N317" t="s">
        <v>326</v>
      </c>
      <c r="O317" t="s">
        <v>340</v>
      </c>
    </row>
    <row r="318" spans="1:15" x14ac:dyDescent="0.3">
      <c r="A318">
        <v>189</v>
      </c>
      <c r="B318" t="s">
        <v>323</v>
      </c>
      <c r="C318">
        <v>156</v>
      </c>
      <c r="D318" t="s">
        <v>111</v>
      </c>
      <c r="E318">
        <v>1415</v>
      </c>
      <c r="F318" t="s">
        <v>610</v>
      </c>
      <c r="G318">
        <v>0</v>
      </c>
      <c r="H318">
        <v>1</v>
      </c>
      <c r="I318">
        <v>1</v>
      </c>
      <c r="J318">
        <v>1</v>
      </c>
      <c r="K318">
        <v>0</v>
      </c>
      <c r="L318">
        <v>0</v>
      </c>
      <c r="M318" t="s">
        <v>333</v>
      </c>
      <c r="N318" t="s">
        <v>348</v>
      </c>
      <c r="O318" t="s">
        <v>330</v>
      </c>
    </row>
    <row r="319" spans="1:15" x14ac:dyDescent="0.3">
      <c r="A319">
        <v>189</v>
      </c>
      <c r="B319" t="s">
        <v>323</v>
      </c>
      <c r="C319">
        <v>156</v>
      </c>
      <c r="D319" t="s">
        <v>111</v>
      </c>
      <c r="E319">
        <v>1416</v>
      </c>
      <c r="F319" t="s">
        <v>611</v>
      </c>
      <c r="G319">
        <v>2</v>
      </c>
      <c r="H319">
        <v>1</v>
      </c>
      <c r="I319">
        <v>4</v>
      </c>
      <c r="J319">
        <v>3</v>
      </c>
      <c r="K319">
        <v>3</v>
      </c>
      <c r="L319">
        <v>5</v>
      </c>
      <c r="M319" t="s">
        <v>333</v>
      </c>
      <c r="N319" t="s">
        <v>326</v>
      </c>
      <c r="O319" t="s">
        <v>340</v>
      </c>
    </row>
    <row r="320" spans="1:15" x14ac:dyDescent="0.3">
      <c r="A320">
        <v>191</v>
      </c>
      <c r="B320" t="s">
        <v>323</v>
      </c>
      <c r="C320">
        <v>158</v>
      </c>
      <c r="D320" t="s">
        <v>115</v>
      </c>
      <c r="E320">
        <v>1442</v>
      </c>
      <c r="F320" t="s">
        <v>612</v>
      </c>
      <c r="G320">
        <v>0</v>
      </c>
      <c r="H320">
        <v>0</v>
      </c>
      <c r="I320">
        <v>0</v>
      </c>
      <c r="J320">
        <v>0</v>
      </c>
      <c r="K320">
        <v>0</v>
      </c>
      <c r="L320">
        <v>6</v>
      </c>
      <c r="M320" t="s">
        <v>333</v>
      </c>
      <c r="N320" t="s">
        <v>484</v>
      </c>
      <c r="O320" t="s">
        <v>330</v>
      </c>
    </row>
    <row r="321" spans="1:15" x14ac:dyDescent="0.3">
      <c r="A321">
        <v>191</v>
      </c>
      <c r="B321" t="s">
        <v>323</v>
      </c>
      <c r="C321">
        <v>158</v>
      </c>
      <c r="D321" t="s">
        <v>115</v>
      </c>
      <c r="E321">
        <v>1443</v>
      </c>
      <c r="F321" t="s">
        <v>531</v>
      </c>
      <c r="G321">
        <v>0</v>
      </c>
      <c r="H321">
        <v>0</v>
      </c>
      <c r="I321">
        <v>0</v>
      </c>
      <c r="J321">
        <v>0</v>
      </c>
      <c r="K321">
        <v>0</v>
      </c>
      <c r="L321">
        <v>5</v>
      </c>
      <c r="M321" t="s">
        <v>333</v>
      </c>
      <c r="N321" t="s">
        <v>336</v>
      </c>
      <c r="O321" t="s">
        <v>330</v>
      </c>
    </row>
    <row r="322" spans="1:15" x14ac:dyDescent="0.3">
      <c r="A322">
        <v>191</v>
      </c>
      <c r="B322" t="s">
        <v>323</v>
      </c>
      <c r="C322">
        <v>158</v>
      </c>
      <c r="D322" t="s">
        <v>115</v>
      </c>
      <c r="E322">
        <v>1444</v>
      </c>
      <c r="F322" t="s">
        <v>613</v>
      </c>
      <c r="G322">
        <v>0</v>
      </c>
      <c r="H322">
        <v>0</v>
      </c>
      <c r="I322">
        <v>0</v>
      </c>
      <c r="J322">
        <v>0</v>
      </c>
      <c r="K322">
        <v>0</v>
      </c>
      <c r="L322">
        <v>0</v>
      </c>
      <c r="M322" t="s">
        <v>333</v>
      </c>
      <c r="N322" t="s">
        <v>329</v>
      </c>
      <c r="O322" t="s">
        <v>352</v>
      </c>
    </row>
    <row r="323" spans="1:15" x14ac:dyDescent="0.3">
      <c r="A323">
        <v>191</v>
      </c>
      <c r="B323" t="s">
        <v>323</v>
      </c>
      <c r="C323">
        <v>158</v>
      </c>
      <c r="D323" t="s">
        <v>115</v>
      </c>
      <c r="E323">
        <v>1445</v>
      </c>
      <c r="F323" t="s">
        <v>614</v>
      </c>
      <c r="G323">
        <v>0</v>
      </c>
      <c r="H323">
        <v>0</v>
      </c>
      <c r="I323">
        <v>0</v>
      </c>
      <c r="J323">
        <v>0</v>
      </c>
      <c r="K323">
        <v>0</v>
      </c>
      <c r="L323">
        <v>8</v>
      </c>
      <c r="M323" t="s">
        <v>333</v>
      </c>
      <c r="N323" t="s">
        <v>484</v>
      </c>
      <c r="O323" t="s">
        <v>340</v>
      </c>
    </row>
    <row r="324" spans="1:15" x14ac:dyDescent="0.3">
      <c r="A324">
        <v>191</v>
      </c>
      <c r="B324" t="s">
        <v>323</v>
      </c>
      <c r="C324">
        <v>158</v>
      </c>
      <c r="D324" t="s">
        <v>115</v>
      </c>
      <c r="E324">
        <v>1446</v>
      </c>
      <c r="F324" t="s">
        <v>615</v>
      </c>
      <c r="G324">
        <v>0</v>
      </c>
      <c r="H324">
        <v>0</v>
      </c>
      <c r="I324">
        <v>0</v>
      </c>
      <c r="J324">
        <v>0</v>
      </c>
      <c r="K324">
        <v>0</v>
      </c>
      <c r="L324">
        <v>2</v>
      </c>
      <c r="M324" t="s">
        <v>333</v>
      </c>
      <c r="N324" t="s">
        <v>336</v>
      </c>
      <c r="O324" t="s">
        <v>330</v>
      </c>
    </row>
    <row r="325" spans="1:15" x14ac:dyDescent="0.3">
      <c r="A325">
        <v>191</v>
      </c>
      <c r="B325" t="s">
        <v>323</v>
      </c>
      <c r="C325">
        <v>158</v>
      </c>
      <c r="D325" t="s">
        <v>115</v>
      </c>
      <c r="E325">
        <v>1447</v>
      </c>
      <c r="F325" t="s">
        <v>616</v>
      </c>
      <c r="G325">
        <v>0</v>
      </c>
      <c r="H325">
        <v>0</v>
      </c>
      <c r="I325">
        <v>0</v>
      </c>
      <c r="J325">
        <v>0</v>
      </c>
      <c r="K325">
        <v>0</v>
      </c>
      <c r="L325">
        <v>5</v>
      </c>
      <c r="M325" t="s">
        <v>325</v>
      </c>
      <c r="N325" t="s">
        <v>484</v>
      </c>
      <c r="O325" t="s">
        <v>330</v>
      </c>
    </row>
    <row r="326" spans="1:15" x14ac:dyDescent="0.3">
      <c r="A326">
        <v>191</v>
      </c>
      <c r="B326" t="s">
        <v>323</v>
      </c>
      <c r="C326">
        <v>158</v>
      </c>
      <c r="D326" t="s">
        <v>115</v>
      </c>
      <c r="E326">
        <v>1448</v>
      </c>
      <c r="F326" t="s">
        <v>617</v>
      </c>
      <c r="G326">
        <v>0</v>
      </c>
      <c r="H326">
        <v>0</v>
      </c>
      <c r="I326">
        <v>0</v>
      </c>
      <c r="J326">
        <v>0</v>
      </c>
      <c r="K326">
        <v>0</v>
      </c>
      <c r="L326">
        <v>4</v>
      </c>
      <c r="M326" t="s">
        <v>333</v>
      </c>
      <c r="N326" t="s">
        <v>329</v>
      </c>
      <c r="O326" t="s">
        <v>338</v>
      </c>
    </row>
    <row r="327" spans="1:15" x14ac:dyDescent="0.3">
      <c r="A327">
        <v>191</v>
      </c>
      <c r="B327" t="s">
        <v>323</v>
      </c>
      <c r="C327">
        <v>158</v>
      </c>
      <c r="D327" t="s">
        <v>115</v>
      </c>
      <c r="E327">
        <v>1449</v>
      </c>
      <c r="F327" t="s">
        <v>353</v>
      </c>
      <c r="G327">
        <v>0</v>
      </c>
      <c r="H327">
        <v>0</v>
      </c>
      <c r="I327">
        <v>0</v>
      </c>
      <c r="J327">
        <v>0</v>
      </c>
      <c r="K327">
        <v>0</v>
      </c>
      <c r="L327">
        <v>3</v>
      </c>
      <c r="M327" t="s">
        <v>333</v>
      </c>
      <c r="N327" t="s">
        <v>336</v>
      </c>
      <c r="O327" t="s">
        <v>330</v>
      </c>
    </row>
    <row r="328" spans="1:15" x14ac:dyDescent="0.3">
      <c r="A328">
        <v>191</v>
      </c>
      <c r="B328" t="s">
        <v>323</v>
      </c>
      <c r="C328">
        <v>158</v>
      </c>
      <c r="D328" t="s">
        <v>115</v>
      </c>
      <c r="E328">
        <v>1450</v>
      </c>
      <c r="F328" t="s">
        <v>618</v>
      </c>
      <c r="G328">
        <v>0</v>
      </c>
      <c r="H328">
        <v>0</v>
      </c>
      <c r="I328">
        <v>0</v>
      </c>
      <c r="J328">
        <v>0</v>
      </c>
      <c r="K328">
        <v>0</v>
      </c>
      <c r="L328">
        <v>12</v>
      </c>
      <c r="M328" t="s">
        <v>325</v>
      </c>
      <c r="N328" t="s">
        <v>326</v>
      </c>
      <c r="O328" t="s">
        <v>330</v>
      </c>
    </row>
    <row r="329" spans="1:15" x14ac:dyDescent="0.3">
      <c r="A329">
        <v>191</v>
      </c>
      <c r="B329" t="s">
        <v>323</v>
      </c>
      <c r="C329">
        <v>158</v>
      </c>
      <c r="D329" t="s">
        <v>115</v>
      </c>
      <c r="E329">
        <v>1451</v>
      </c>
      <c r="F329" t="s">
        <v>619</v>
      </c>
      <c r="G329">
        <v>0</v>
      </c>
      <c r="H329">
        <v>0</v>
      </c>
      <c r="I329">
        <v>0</v>
      </c>
      <c r="J329">
        <v>0</v>
      </c>
      <c r="K329">
        <v>0</v>
      </c>
      <c r="L329">
        <v>5</v>
      </c>
      <c r="M329" t="s">
        <v>333</v>
      </c>
      <c r="N329" t="s">
        <v>484</v>
      </c>
      <c r="O329" t="s">
        <v>340</v>
      </c>
    </row>
    <row r="330" spans="1:15" x14ac:dyDescent="0.3">
      <c r="A330">
        <v>191</v>
      </c>
      <c r="B330" t="s">
        <v>323</v>
      </c>
      <c r="C330">
        <v>158</v>
      </c>
      <c r="D330" t="s">
        <v>115</v>
      </c>
      <c r="E330">
        <v>1452</v>
      </c>
      <c r="F330" t="s">
        <v>620</v>
      </c>
      <c r="G330">
        <v>0</v>
      </c>
      <c r="H330">
        <v>0</v>
      </c>
      <c r="I330">
        <v>0</v>
      </c>
      <c r="J330">
        <v>0</v>
      </c>
      <c r="K330">
        <v>0</v>
      </c>
      <c r="L330">
        <v>3</v>
      </c>
      <c r="M330" t="s">
        <v>333</v>
      </c>
      <c r="N330" t="s">
        <v>484</v>
      </c>
      <c r="O330" t="s">
        <v>330</v>
      </c>
    </row>
    <row r="331" spans="1:15" x14ac:dyDescent="0.3">
      <c r="A331">
        <v>191</v>
      </c>
      <c r="B331" t="s">
        <v>323</v>
      </c>
      <c r="C331">
        <v>158</v>
      </c>
      <c r="D331" t="s">
        <v>115</v>
      </c>
      <c r="E331">
        <v>1454</v>
      </c>
      <c r="F331" t="s">
        <v>621</v>
      </c>
      <c r="G331">
        <v>0</v>
      </c>
      <c r="H331">
        <v>0</v>
      </c>
      <c r="I331">
        <v>0</v>
      </c>
      <c r="J331">
        <v>0</v>
      </c>
      <c r="K331">
        <v>0</v>
      </c>
      <c r="L331">
        <v>3</v>
      </c>
      <c r="M331" t="s">
        <v>333</v>
      </c>
      <c r="N331" t="s">
        <v>348</v>
      </c>
      <c r="O331" t="s">
        <v>340</v>
      </c>
    </row>
    <row r="332" spans="1:15" x14ac:dyDescent="0.3">
      <c r="A332">
        <v>191</v>
      </c>
      <c r="B332" t="s">
        <v>323</v>
      </c>
      <c r="C332">
        <v>158</v>
      </c>
      <c r="D332" t="s">
        <v>115</v>
      </c>
      <c r="E332">
        <v>1455</v>
      </c>
      <c r="F332" t="s">
        <v>622</v>
      </c>
      <c r="G332">
        <v>0</v>
      </c>
      <c r="H332">
        <v>0</v>
      </c>
      <c r="I332">
        <v>0</v>
      </c>
      <c r="J332">
        <v>0</v>
      </c>
      <c r="K332">
        <v>0</v>
      </c>
      <c r="L332">
        <v>8</v>
      </c>
      <c r="M332" t="s">
        <v>333</v>
      </c>
      <c r="N332" t="s">
        <v>484</v>
      </c>
      <c r="O332" t="s">
        <v>340</v>
      </c>
    </row>
    <row r="333" spans="1:15" x14ac:dyDescent="0.3">
      <c r="A333">
        <v>191</v>
      </c>
      <c r="B333" t="s">
        <v>323</v>
      </c>
      <c r="C333">
        <v>158</v>
      </c>
      <c r="D333" t="s">
        <v>115</v>
      </c>
      <c r="E333">
        <v>1456</v>
      </c>
      <c r="F333" t="s">
        <v>623</v>
      </c>
      <c r="G333">
        <v>0</v>
      </c>
      <c r="H333">
        <v>0</v>
      </c>
      <c r="I333">
        <v>0</v>
      </c>
      <c r="J333">
        <v>0</v>
      </c>
      <c r="K333">
        <v>0</v>
      </c>
      <c r="L333">
        <v>0</v>
      </c>
      <c r="M333" t="s">
        <v>333</v>
      </c>
      <c r="N333" t="s">
        <v>329</v>
      </c>
      <c r="O333" t="s">
        <v>352</v>
      </c>
    </row>
    <row r="334" spans="1:15" x14ac:dyDescent="0.3">
      <c r="A334">
        <v>191</v>
      </c>
      <c r="B334" t="s">
        <v>323</v>
      </c>
      <c r="C334">
        <v>158</v>
      </c>
      <c r="D334" t="s">
        <v>115</v>
      </c>
      <c r="E334">
        <v>1457</v>
      </c>
      <c r="F334" t="s">
        <v>624</v>
      </c>
      <c r="G334">
        <v>0</v>
      </c>
      <c r="H334">
        <v>0</v>
      </c>
      <c r="I334">
        <v>0</v>
      </c>
      <c r="J334">
        <v>0</v>
      </c>
      <c r="K334">
        <v>0</v>
      </c>
      <c r="L334">
        <v>0</v>
      </c>
      <c r="M334" t="s">
        <v>333</v>
      </c>
      <c r="N334" t="s">
        <v>329</v>
      </c>
      <c r="O334" t="s">
        <v>352</v>
      </c>
    </row>
    <row r="335" spans="1:15" x14ac:dyDescent="0.3">
      <c r="A335">
        <v>191</v>
      </c>
      <c r="B335" t="s">
        <v>323</v>
      </c>
      <c r="C335">
        <v>158</v>
      </c>
      <c r="D335" t="s">
        <v>115</v>
      </c>
      <c r="E335">
        <v>1458</v>
      </c>
      <c r="F335" t="s">
        <v>625</v>
      </c>
      <c r="G335">
        <v>0</v>
      </c>
      <c r="H335">
        <v>0</v>
      </c>
      <c r="I335">
        <v>0</v>
      </c>
      <c r="J335">
        <v>0</v>
      </c>
      <c r="K335">
        <v>0</v>
      </c>
      <c r="L335">
        <v>4</v>
      </c>
      <c r="M335" t="s">
        <v>333</v>
      </c>
      <c r="N335" t="s">
        <v>329</v>
      </c>
      <c r="O335" t="s">
        <v>330</v>
      </c>
    </row>
    <row r="336" spans="1:15" x14ac:dyDescent="0.3">
      <c r="A336">
        <v>191</v>
      </c>
      <c r="B336" t="s">
        <v>323</v>
      </c>
      <c r="C336">
        <v>158</v>
      </c>
      <c r="D336" t="s">
        <v>115</v>
      </c>
      <c r="E336">
        <v>1459</v>
      </c>
      <c r="F336" t="s">
        <v>626</v>
      </c>
      <c r="G336">
        <v>0</v>
      </c>
      <c r="H336">
        <v>0</v>
      </c>
      <c r="I336">
        <v>0</v>
      </c>
      <c r="J336">
        <v>0</v>
      </c>
      <c r="K336">
        <v>0</v>
      </c>
      <c r="L336">
        <v>5</v>
      </c>
      <c r="M336" t="s">
        <v>333</v>
      </c>
      <c r="N336" t="s">
        <v>329</v>
      </c>
      <c r="O336" t="s">
        <v>340</v>
      </c>
    </row>
    <row r="337" spans="1:15" x14ac:dyDescent="0.3">
      <c r="A337">
        <v>192</v>
      </c>
      <c r="B337" t="s">
        <v>323</v>
      </c>
      <c r="C337">
        <v>159</v>
      </c>
      <c r="D337" t="s">
        <v>117</v>
      </c>
      <c r="E337">
        <v>1004</v>
      </c>
      <c r="F337" t="s">
        <v>620</v>
      </c>
      <c r="G337">
        <v>0</v>
      </c>
      <c r="H337">
        <v>1</v>
      </c>
      <c r="I337">
        <v>1</v>
      </c>
      <c r="J337">
        <v>0</v>
      </c>
      <c r="K337">
        <v>2</v>
      </c>
      <c r="L337">
        <v>0</v>
      </c>
      <c r="M337" t="s">
        <v>333</v>
      </c>
      <c r="N337" t="s">
        <v>336</v>
      </c>
      <c r="O337" t="s">
        <v>338</v>
      </c>
    </row>
    <row r="338" spans="1:15" x14ac:dyDescent="0.3">
      <c r="A338">
        <v>192</v>
      </c>
      <c r="B338" t="s">
        <v>323</v>
      </c>
      <c r="C338">
        <v>159</v>
      </c>
      <c r="D338" t="s">
        <v>117</v>
      </c>
      <c r="E338">
        <v>1005</v>
      </c>
      <c r="F338" t="s">
        <v>627</v>
      </c>
      <c r="G338">
        <v>0</v>
      </c>
      <c r="H338">
        <v>0</v>
      </c>
      <c r="I338">
        <v>0</v>
      </c>
      <c r="J338">
        <v>0</v>
      </c>
      <c r="K338">
        <v>3</v>
      </c>
      <c r="L338">
        <v>0</v>
      </c>
      <c r="M338" t="s">
        <v>333</v>
      </c>
      <c r="N338" t="s">
        <v>336</v>
      </c>
      <c r="O338" t="s">
        <v>330</v>
      </c>
    </row>
    <row r="339" spans="1:15" x14ac:dyDescent="0.3">
      <c r="A339">
        <v>192</v>
      </c>
      <c r="B339" t="s">
        <v>323</v>
      </c>
      <c r="C339">
        <v>159</v>
      </c>
      <c r="D339" t="s">
        <v>117</v>
      </c>
      <c r="E339">
        <v>1006</v>
      </c>
      <c r="F339" t="s">
        <v>628</v>
      </c>
      <c r="G339">
        <v>0</v>
      </c>
      <c r="H339">
        <v>0</v>
      </c>
      <c r="I339">
        <v>0</v>
      </c>
      <c r="J339">
        <v>0</v>
      </c>
      <c r="K339">
        <v>0</v>
      </c>
      <c r="L339">
        <v>1</v>
      </c>
      <c r="M339" t="s">
        <v>333</v>
      </c>
      <c r="N339" t="s">
        <v>336</v>
      </c>
      <c r="O339" t="s">
        <v>352</v>
      </c>
    </row>
    <row r="340" spans="1:15" x14ac:dyDescent="0.3">
      <c r="A340">
        <v>192</v>
      </c>
      <c r="B340" t="s">
        <v>323</v>
      </c>
      <c r="C340">
        <v>159</v>
      </c>
      <c r="D340" t="s">
        <v>117</v>
      </c>
      <c r="E340">
        <v>1007</v>
      </c>
      <c r="F340" t="s">
        <v>629</v>
      </c>
      <c r="G340">
        <v>0</v>
      </c>
      <c r="H340">
        <v>0</v>
      </c>
      <c r="I340">
        <v>0</v>
      </c>
      <c r="J340">
        <v>0</v>
      </c>
      <c r="K340">
        <v>2</v>
      </c>
      <c r="L340">
        <v>1</v>
      </c>
      <c r="M340" t="s">
        <v>333</v>
      </c>
      <c r="N340" t="s">
        <v>336</v>
      </c>
      <c r="O340" t="s">
        <v>352</v>
      </c>
    </row>
    <row r="341" spans="1:15" x14ac:dyDescent="0.3">
      <c r="A341">
        <v>192</v>
      </c>
      <c r="B341" t="s">
        <v>323</v>
      </c>
      <c r="C341">
        <v>159</v>
      </c>
      <c r="D341" t="s">
        <v>117</v>
      </c>
      <c r="E341">
        <v>1009</v>
      </c>
      <c r="F341" t="s">
        <v>630</v>
      </c>
      <c r="G341">
        <v>0</v>
      </c>
      <c r="H341">
        <v>0</v>
      </c>
      <c r="I341">
        <v>0</v>
      </c>
      <c r="J341">
        <v>0</v>
      </c>
      <c r="K341">
        <v>0</v>
      </c>
      <c r="L341">
        <v>1</v>
      </c>
      <c r="M341" t="s">
        <v>333</v>
      </c>
      <c r="N341" t="s">
        <v>329</v>
      </c>
      <c r="O341" t="s">
        <v>330</v>
      </c>
    </row>
    <row r="342" spans="1:15" x14ac:dyDescent="0.3">
      <c r="A342">
        <v>192</v>
      </c>
      <c r="B342" t="s">
        <v>323</v>
      </c>
      <c r="C342">
        <v>159</v>
      </c>
      <c r="D342" t="s">
        <v>117</v>
      </c>
      <c r="E342">
        <v>1010</v>
      </c>
      <c r="F342" t="s">
        <v>631</v>
      </c>
      <c r="G342">
        <v>0</v>
      </c>
      <c r="H342">
        <v>0</v>
      </c>
      <c r="I342">
        <v>0</v>
      </c>
      <c r="J342">
        <v>0</v>
      </c>
      <c r="K342">
        <v>2</v>
      </c>
      <c r="L342">
        <v>2</v>
      </c>
      <c r="M342" t="s">
        <v>333</v>
      </c>
      <c r="N342" t="s">
        <v>336</v>
      </c>
      <c r="O342" t="s">
        <v>340</v>
      </c>
    </row>
    <row r="343" spans="1:15" x14ac:dyDescent="0.3">
      <c r="A343">
        <v>192</v>
      </c>
      <c r="B343" t="s">
        <v>323</v>
      </c>
      <c r="C343">
        <v>159</v>
      </c>
      <c r="D343" t="s">
        <v>117</v>
      </c>
      <c r="E343">
        <v>1011</v>
      </c>
      <c r="F343" t="s">
        <v>632</v>
      </c>
      <c r="G343">
        <v>0</v>
      </c>
      <c r="H343">
        <v>0</v>
      </c>
      <c r="I343">
        <v>0</v>
      </c>
      <c r="J343">
        <v>0</v>
      </c>
      <c r="K343">
        <v>0</v>
      </c>
      <c r="L343">
        <v>0</v>
      </c>
      <c r="M343" t="s">
        <v>333</v>
      </c>
      <c r="N343" t="s">
        <v>326</v>
      </c>
      <c r="O343" t="s">
        <v>330</v>
      </c>
    </row>
    <row r="344" spans="1:15" x14ac:dyDescent="0.3">
      <c r="A344">
        <v>192</v>
      </c>
      <c r="B344" t="s">
        <v>323</v>
      </c>
      <c r="C344">
        <v>159</v>
      </c>
      <c r="D344" t="s">
        <v>117</v>
      </c>
      <c r="E344">
        <v>1012</v>
      </c>
      <c r="F344" t="s">
        <v>493</v>
      </c>
      <c r="G344">
        <v>0</v>
      </c>
      <c r="H344">
        <v>0</v>
      </c>
      <c r="I344">
        <v>0</v>
      </c>
      <c r="J344">
        <v>0</v>
      </c>
      <c r="K344">
        <v>1</v>
      </c>
      <c r="L344">
        <v>1</v>
      </c>
      <c r="M344" t="s">
        <v>333</v>
      </c>
      <c r="N344" t="s">
        <v>336</v>
      </c>
      <c r="O344" t="s">
        <v>330</v>
      </c>
    </row>
    <row r="345" spans="1:15" x14ac:dyDescent="0.3">
      <c r="A345">
        <v>192</v>
      </c>
      <c r="B345" t="s">
        <v>323</v>
      </c>
      <c r="C345">
        <v>159</v>
      </c>
      <c r="D345" t="s">
        <v>117</v>
      </c>
      <c r="E345">
        <v>1013</v>
      </c>
      <c r="F345" t="s">
        <v>633</v>
      </c>
      <c r="G345">
        <v>0</v>
      </c>
      <c r="H345">
        <v>0</v>
      </c>
      <c r="I345">
        <v>0</v>
      </c>
      <c r="J345">
        <v>0</v>
      </c>
      <c r="K345">
        <v>3</v>
      </c>
      <c r="L345">
        <v>1</v>
      </c>
      <c r="M345" t="s">
        <v>325</v>
      </c>
      <c r="N345" t="s">
        <v>348</v>
      </c>
      <c r="O345" t="s">
        <v>352</v>
      </c>
    </row>
    <row r="346" spans="1:15" x14ac:dyDescent="0.3">
      <c r="A346">
        <v>192</v>
      </c>
      <c r="B346" t="s">
        <v>323</v>
      </c>
      <c r="C346">
        <v>159</v>
      </c>
      <c r="D346" t="s">
        <v>117</v>
      </c>
      <c r="E346">
        <v>1407</v>
      </c>
      <c r="F346" t="s">
        <v>634</v>
      </c>
      <c r="G346">
        <v>0</v>
      </c>
      <c r="H346">
        <v>1</v>
      </c>
      <c r="I346">
        <v>0</v>
      </c>
      <c r="J346">
        <v>0</v>
      </c>
      <c r="K346">
        <v>3</v>
      </c>
      <c r="L346">
        <v>2</v>
      </c>
      <c r="M346" t="s">
        <v>333</v>
      </c>
      <c r="N346" t="s">
        <v>336</v>
      </c>
      <c r="O346" t="s">
        <v>338</v>
      </c>
    </row>
    <row r="347" spans="1:15" x14ac:dyDescent="0.3">
      <c r="A347">
        <v>193</v>
      </c>
      <c r="B347" t="s">
        <v>313</v>
      </c>
      <c r="C347">
        <v>160</v>
      </c>
      <c r="D347" t="s">
        <v>119</v>
      </c>
      <c r="E347">
        <v>1529</v>
      </c>
      <c r="F347" t="s">
        <v>420</v>
      </c>
      <c r="M347" t="s">
        <v>1116</v>
      </c>
      <c r="N347" t="s">
        <v>1116</v>
      </c>
      <c r="O347" t="s">
        <v>1116</v>
      </c>
    </row>
    <row r="348" spans="1:15" x14ac:dyDescent="0.3">
      <c r="A348">
        <v>193</v>
      </c>
      <c r="B348" t="s">
        <v>313</v>
      </c>
      <c r="C348">
        <v>160</v>
      </c>
      <c r="D348" t="s">
        <v>119</v>
      </c>
      <c r="E348">
        <v>1530</v>
      </c>
      <c r="F348" t="s">
        <v>613</v>
      </c>
      <c r="M348" t="s">
        <v>1116</v>
      </c>
      <c r="N348" t="s">
        <v>1116</v>
      </c>
      <c r="O348" t="s">
        <v>1116</v>
      </c>
    </row>
    <row r="349" spans="1:15" x14ac:dyDescent="0.3">
      <c r="A349">
        <v>193</v>
      </c>
      <c r="B349" t="s">
        <v>313</v>
      </c>
      <c r="C349">
        <v>160</v>
      </c>
      <c r="D349" t="s">
        <v>119</v>
      </c>
      <c r="E349">
        <v>1531</v>
      </c>
      <c r="F349" t="s">
        <v>635</v>
      </c>
      <c r="M349" t="s">
        <v>1116</v>
      </c>
      <c r="N349" t="s">
        <v>1116</v>
      </c>
      <c r="O349" t="s">
        <v>1116</v>
      </c>
    </row>
    <row r="350" spans="1:15" x14ac:dyDescent="0.3">
      <c r="A350">
        <v>193</v>
      </c>
      <c r="B350" t="s">
        <v>313</v>
      </c>
      <c r="C350">
        <v>160</v>
      </c>
      <c r="D350" t="s">
        <v>119</v>
      </c>
      <c r="E350">
        <v>1532</v>
      </c>
      <c r="F350" t="s">
        <v>636</v>
      </c>
      <c r="M350" t="s">
        <v>1116</v>
      </c>
      <c r="N350" t="s">
        <v>1116</v>
      </c>
      <c r="O350" t="s">
        <v>1116</v>
      </c>
    </row>
    <row r="351" spans="1:15" x14ac:dyDescent="0.3">
      <c r="A351">
        <v>193</v>
      </c>
      <c r="B351" t="s">
        <v>313</v>
      </c>
      <c r="C351">
        <v>160</v>
      </c>
      <c r="D351" t="s">
        <v>119</v>
      </c>
      <c r="E351">
        <v>1533</v>
      </c>
      <c r="F351" t="s">
        <v>637</v>
      </c>
      <c r="M351" t="s">
        <v>1116</v>
      </c>
      <c r="N351" t="s">
        <v>1116</v>
      </c>
      <c r="O351" t="s">
        <v>1116</v>
      </c>
    </row>
    <row r="352" spans="1:15" x14ac:dyDescent="0.3">
      <c r="A352">
        <v>193</v>
      </c>
      <c r="B352" t="s">
        <v>313</v>
      </c>
      <c r="C352">
        <v>160</v>
      </c>
      <c r="D352" t="s">
        <v>119</v>
      </c>
      <c r="E352">
        <v>1534</v>
      </c>
      <c r="F352" t="s">
        <v>638</v>
      </c>
      <c r="M352" t="s">
        <v>1116</v>
      </c>
      <c r="N352" t="s">
        <v>1116</v>
      </c>
      <c r="O352" t="s">
        <v>1116</v>
      </c>
    </row>
    <row r="353" spans="1:15" x14ac:dyDescent="0.3">
      <c r="A353">
        <v>193</v>
      </c>
      <c r="B353" t="s">
        <v>313</v>
      </c>
      <c r="C353">
        <v>160</v>
      </c>
      <c r="D353" t="s">
        <v>119</v>
      </c>
      <c r="E353">
        <v>1535</v>
      </c>
      <c r="F353" t="s">
        <v>459</v>
      </c>
      <c r="M353" t="s">
        <v>1116</v>
      </c>
      <c r="N353" t="s">
        <v>1116</v>
      </c>
      <c r="O353" t="s">
        <v>1116</v>
      </c>
    </row>
    <row r="354" spans="1:15" x14ac:dyDescent="0.3">
      <c r="A354">
        <v>193</v>
      </c>
      <c r="B354" t="s">
        <v>313</v>
      </c>
      <c r="C354">
        <v>160</v>
      </c>
      <c r="D354" t="s">
        <v>119</v>
      </c>
      <c r="E354">
        <v>1536</v>
      </c>
      <c r="F354" t="s">
        <v>639</v>
      </c>
      <c r="M354" t="s">
        <v>1116</v>
      </c>
      <c r="N354" t="s">
        <v>1116</v>
      </c>
      <c r="O354" t="s">
        <v>1116</v>
      </c>
    </row>
    <row r="355" spans="1:15" x14ac:dyDescent="0.3">
      <c r="A355">
        <v>193</v>
      </c>
      <c r="B355" t="s">
        <v>313</v>
      </c>
      <c r="C355">
        <v>160</v>
      </c>
      <c r="D355" t="s">
        <v>119</v>
      </c>
      <c r="E355">
        <v>1537</v>
      </c>
      <c r="F355" t="s">
        <v>623</v>
      </c>
      <c r="M355" t="s">
        <v>1116</v>
      </c>
      <c r="N355" t="s">
        <v>1116</v>
      </c>
      <c r="O355" t="s">
        <v>1116</v>
      </c>
    </row>
    <row r="356" spans="1:15" x14ac:dyDescent="0.3">
      <c r="A356">
        <v>196</v>
      </c>
      <c r="B356" t="s">
        <v>323</v>
      </c>
      <c r="C356">
        <v>163</v>
      </c>
      <c r="D356" t="s">
        <v>125</v>
      </c>
      <c r="E356">
        <v>1000</v>
      </c>
      <c r="F356" t="s">
        <v>353</v>
      </c>
      <c r="G356">
        <v>0</v>
      </c>
      <c r="H356">
        <v>0</v>
      </c>
      <c r="I356">
        <v>1</v>
      </c>
      <c r="J356">
        <v>0</v>
      </c>
      <c r="K356">
        <v>2</v>
      </c>
      <c r="L356">
        <v>1</v>
      </c>
      <c r="M356" t="s">
        <v>333</v>
      </c>
      <c r="N356" t="s">
        <v>326</v>
      </c>
      <c r="O356" t="s">
        <v>330</v>
      </c>
    </row>
    <row r="357" spans="1:15" x14ac:dyDescent="0.3">
      <c r="A357">
        <v>196</v>
      </c>
      <c r="B357" t="s">
        <v>323</v>
      </c>
      <c r="C357">
        <v>163</v>
      </c>
      <c r="D357" t="s">
        <v>125</v>
      </c>
      <c r="E357">
        <v>1002</v>
      </c>
      <c r="F357" t="s">
        <v>640</v>
      </c>
      <c r="G357">
        <v>0</v>
      </c>
      <c r="H357">
        <v>0</v>
      </c>
      <c r="I357">
        <v>0</v>
      </c>
      <c r="J357">
        <v>1</v>
      </c>
      <c r="K357">
        <v>3</v>
      </c>
      <c r="L357">
        <v>0</v>
      </c>
      <c r="M357" t="s">
        <v>333</v>
      </c>
      <c r="N357" t="s">
        <v>326</v>
      </c>
      <c r="O357" t="s">
        <v>330</v>
      </c>
    </row>
    <row r="358" spans="1:15" x14ac:dyDescent="0.3">
      <c r="A358">
        <v>196</v>
      </c>
      <c r="B358" t="s">
        <v>323</v>
      </c>
      <c r="C358">
        <v>163</v>
      </c>
      <c r="D358" t="s">
        <v>125</v>
      </c>
      <c r="E358">
        <v>1400</v>
      </c>
      <c r="F358" t="s">
        <v>641</v>
      </c>
      <c r="G358">
        <v>0</v>
      </c>
      <c r="H358">
        <v>0</v>
      </c>
      <c r="I358">
        <v>3</v>
      </c>
      <c r="J358">
        <v>2</v>
      </c>
      <c r="K358">
        <v>0</v>
      </c>
      <c r="L358">
        <v>0</v>
      </c>
      <c r="M358" t="s">
        <v>333</v>
      </c>
      <c r="N358" t="s">
        <v>343</v>
      </c>
      <c r="O358" t="s">
        <v>340</v>
      </c>
    </row>
    <row r="359" spans="1:15" x14ac:dyDescent="0.3">
      <c r="A359">
        <v>196</v>
      </c>
      <c r="B359" t="s">
        <v>323</v>
      </c>
      <c r="C359">
        <v>163</v>
      </c>
      <c r="D359" t="s">
        <v>125</v>
      </c>
      <c r="E359">
        <v>1401</v>
      </c>
      <c r="F359" t="s">
        <v>642</v>
      </c>
      <c r="G359">
        <v>0</v>
      </c>
      <c r="H359">
        <v>0</v>
      </c>
      <c r="I359">
        <v>2</v>
      </c>
      <c r="J359">
        <v>1</v>
      </c>
      <c r="K359">
        <v>2</v>
      </c>
      <c r="L359">
        <v>0</v>
      </c>
      <c r="M359" t="s">
        <v>325</v>
      </c>
      <c r="N359" t="s">
        <v>348</v>
      </c>
      <c r="O359" t="s">
        <v>330</v>
      </c>
    </row>
    <row r="360" spans="1:15" x14ac:dyDescent="0.3">
      <c r="A360">
        <v>196</v>
      </c>
      <c r="B360" t="s">
        <v>323</v>
      </c>
      <c r="C360">
        <v>163</v>
      </c>
      <c r="D360" t="s">
        <v>125</v>
      </c>
      <c r="E360">
        <v>1402</v>
      </c>
      <c r="F360" t="s">
        <v>643</v>
      </c>
      <c r="G360">
        <v>1</v>
      </c>
      <c r="H360">
        <v>0</v>
      </c>
      <c r="I360">
        <v>1</v>
      </c>
      <c r="J360">
        <v>2</v>
      </c>
      <c r="K360">
        <v>2</v>
      </c>
      <c r="L360">
        <v>3</v>
      </c>
      <c r="M360" t="s">
        <v>325</v>
      </c>
      <c r="N360" t="s">
        <v>343</v>
      </c>
      <c r="O360" t="s">
        <v>330</v>
      </c>
    </row>
    <row r="361" spans="1:15" x14ac:dyDescent="0.3">
      <c r="A361">
        <v>196</v>
      </c>
      <c r="B361" t="s">
        <v>323</v>
      </c>
      <c r="C361">
        <v>163</v>
      </c>
      <c r="D361" t="s">
        <v>125</v>
      </c>
      <c r="E361">
        <v>1403</v>
      </c>
      <c r="F361" t="s">
        <v>644</v>
      </c>
      <c r="G361">
        <v>0</v>
      </c>
      <c r="H361">
        <v>0</v>
      </c>
      <c r="I361">
        <v>0</v>
      </c>
      <c r="J361">
        <v>1</v>
      </c>
      <c r="K361">
        <v>1</v>
      </c>
      <c r="L361">
        <v>1</v>
      </c>
      <c r="M361" t="s">
        <v>333</v>
      </c>
      <c r="N361" t="s">
        <v>484</v>
      </c>
      <c r="O361" t="s">
        <v>340</v>
      </c>
    </row>
    <row r="362" spans="1:15" x14ac:dyDescent="0.3">
      <c r="A362">
        <v>196</v>
      </c>
      <c r="B362" t="s">
        <v>323</v>
      </c>
      <c r="C362">
        <v>163</v>
      </c>
      <c r="D362" t="s">
        <v>125</v>
      </c>
      <c r="E362">
        <v>1404</v>
      </c>
      <c r="F362" t="s">
        <v>629</v>
      </c>
      <c r="G362">
        <v>1</v>
      </c>
      <c r="H362">
        <v>0</v>
      </c>
      <c r="I362">
        <v>0</v>
      </c>
      <c r="J362">
        <v>1</v>
      </c>
      <c r="K362">
        <v>3</v>
      </c>
      <c r="L362">
        <v>0</v>
      </c>
      <c r="M362" t="s">
        <v>325</v>
      </c>
      <c r="N362" t="s">
        <v>336</v>
      </c>
      <c r="O362" t="s">
        <v>330</v>
      </c>
    </row>
    <row r="363" spans="1:15" x14ac:dyDescent="0.3">
      <c r="A363">
        <v>198</v>
      </c>
      <c r="B363" t="s">
        <v>323</v>
      </c>
      <c r="C363">
        <v>165</v>
      </c>
      <c r="D363" t="s">
        <v>130</v>
      </c>
      <c r="E363">
        <v>925</v>
      </c>
      <c r="F363" t="s">
        <v>393</v>
      </c>
      <c r="G363">
        <v>0</v>
      </c>
      <c r="H363">
        <v>0</v>
      </c>
      <c r="I363">
        <v>4</v>
      </c>
      <c r="J363">
        <v>1</v>
      </c>
      <c r="K363">
        <v>0</v>
      </c>
      <c r="L363">
        <v>0</v>
      </c>
      <c r="M363" t="s">
        <v>566</v>
      </c>
      <c r="N363" t="s">
        <v>336</v>
      </c>
      <c r="O363" t="s">
        <v>340</v>
      </c>
    </row>
    <row r="364" spans="1:15" x14ac:dyDescent="0.3">
      <c r="A364">
        <v>198</v>
      </c>
      <c r="B364" t="s">
        <v>323</v>
      </c>
      <c r="C364">
        <v>165</v>
      </c>
      <c r="D364" t="s">
        <v>130</v>
      </c>
      <c r="E364">
        <v>926</v>
      </c>
      <c r="F364" t="s">
        <v>645</v>
      </c>
      <c r="G364">
        <v>0</v>
      </c>
      <c r="H364">
        <v>5</v>
      </c>
      <c r="I364">
        <v>3</v>
      </c>
      <c r="J364">
        <v>4</v>
      </c>
      <c r="K364">
        <v>1</v>
      </c>
      <c r="L364">
        <v>0</v>
      </c>
      <c r="M364" t="s">
        <v>333</v>
      </c>
      <c r="N364" t="s">
        <v>326</v>
      </c>
      <c r="O364" t="s">
        <v>352</v>
      </c>
    </row>
    <row r="365" spans="1:15" x14ac:dyDescent="0.3">
      <c r="A365">
        <v>198</v>
      </c>
      <c r="B365" t="s">
        <v>323</v>
      </c>
      <c r="C365">
        <v>165</v>
      </c>
      <c r="D365" t="s">
        <v>130</v>
      </c>
      <c r="E365">
        <v>927</v>
      </c>
      <c r="F365" t="s">
        <v>646</v>
      </c>
      <c r="G365">
        <v>0</v>
      </c>
      <c r="H365">
        <v>0</v>
      </c>
      <c r="I365">
        <v>6</v>
      </c>
      <c r="J365">
        <v>1</v>
      </c>
      <c r="K365">
        <v>3</v>
      </c>
      <c r="L365">
        <v>0</v>
      </c>
      <c r="M365" t="s">
        <v>333</v>
      </c>
      <c r="N365" t="s">
        <v>326</v>
      </c>
      <c r="O365" t="s">
        <v>352</v>
      </c>
    </row>
    <row r="366" spans="1:15" x14ac:dyDescent="0.3">
      <c r="A366">
        <v>198</v>
      </c>
      <c r="B366" t="s">
        <v>323</v>
      </c>
      <c r="C366">
        <v>165</v>
      </c>
      <c r="D366" t="s">
        <v>130</v>
      </c>
      <c r="E366">
        <v>928</v>
      </c>
      <c r="F366" t="s">
        <v>647</v>
      </c>
      <c r="G366">
        <v>0</v>
      </c>
      <c r="H366">
        <v>2</v>
      </c>
      <c r="I366">
        <v>3</v>
      </c>
      <c r="J366">
        <v>1</v>
      </c>
      <c r="K366">
        <v>0</v>
      </c>
      <c r="L366">
        <v>0</v>
      </c>
      <c r="M366" t="s">
        <v>325</v>
      </c>
      <c r="N366" t="s">
        <v>326</v>
      </c>
      <c r="O366" t="s">
        <v>330</v>
      </c>
    </row>
    <row r="367" spans="1:15" x14ac:dyDescent="0.3">
      <c r="A367">
        <v>198</v>
      </c>
      <c r="B367" t="s">
        <v>323</v>
      </c>
      <c r="C367">
        <v>165</v>
      </c>
      <c r="D367" t="s">
        <v>130</v>
      </c>
      <c r="E367">
        <v>929</v>
      </c>
      <c r="F367" t="s">
        <v>648</v>
      </c>
      <c r="G367">
        <v>0</v>
      </c>
      <c r="H367">
        <v>0</v>
      </c>
      <c r="I367">
        <v>2</v>
      </c>
      <c r="J367">
        <v>2</v>
      </c>
      <c r="K367">
        <v>2</v>
      </c>
      <c r="L367">
        <v>0</v>
      </c>
      <c r="M367" t="s">
        <v>333</v>
      </c>
      <c r="N367" t="s">
        <v>336</v>
      </c>
      <c r="O367" t="s">
        <v>330</v>
      </c>
    </row>
    <row r="368" spans="1:15" x14ac:dyDescent="0.3">
      <c r="A368">
        <v>198</v>
      </c>
      <c r="B368" t="s">
        <v>323</v>
      </c>
      <c r="C368">
        <v>165</v>
      </c>
      <c r="D368" t="s">
        <v>130</v>
      </c>
      <c r="E368">
        <v>930</v>
      </c>
      <c r="F368" t="s">
        <v>649</v>
      </c>
      <c r="G368">
        <v>0</v>
      </c>
      <c r="H368">
        <v>0</v>
      </c>
      <c r="I368">
        <v>2</v>
      </c>
      <c r="J368">
        <v>2</v>
      </c>
      <c r="K368">
        <v>2</v>
      </c>
      <c r="L368">
        <v>0</v>
      </c>
      <c r="M368" t="s">
        <v>333</v>
      </c>
      <c r="N368" t="s">
        <v>326</v>
      </c>
      <c r="O368" t="s">
        <v>330</v>
      </c>
    </row>
    <row r="369" spans="1:15" x14ac:dyDescent="0.3">
      <c r="A369">
        <v>198</v>
      </c>
      <c r="B369" t="s">
        <v>323</v>
      </c>
      <c r="C369">
        <v>165</v>
      </c>
      <c r="D369" t="s">
        <v>130</v>
      </c>
      <c r="E369">
        <v>931</v>
      </c>
      <c r="F369" t="s">
        <v>650</v>
      </c>
      <c r="G369">
        <v>0</v>
      </c>
      <c r="H369">
        <v>1</v>
      </c>
      <c r="I369">
        <v>1</v>
      </c>
      <c r="J369">
        <v>2</v>
      </c>
      <c r="K369">
        <v>1</v>
      </c>
      <c r="L369">
        <v>0</v>
      </c>
      <c r="M369" t="s">
        <v>325</v>
      </c>
      <c r="N369" t="s">
        <v>326</v>
      </c>
      <c r="O369" t="s">
        <v>352</v>
      </c>
    </row>
    <row r="370" spans="1:15" x14ac:dyDescent="0.3">
      <c r="A370">
        <v>198</v>
      </c>
      <c r="B370" t="s">
        <v>323</v>
      </c>
      <c r="C370">
        <v>165</v>
      </c>
      <c r="D370" t="s">
        <v>130</v>
      </c>
      <c r="E370">
        <v>932</v>
      </c>
      <c r="F370" t="s">
        <v>651</v>
      </c>
      <c r="G370">
        <v>1</v>
      </c>
      <c r="H370">
        <v>1</v>
      </c>
      <c r="I370">
        <v>2</v>
      </c>
      <c r="J370">
        <v>0</v>
      </c>
      <c r="K370">
        <v>0</v>
      </c>
      <c r="L370">
        <v>0</v>
      </c>
      <c r="M370" t="s">
        <v>325</v>
      </c>
      <c r="N370" t="s">
        <v>326</v>
      </c>
      <c r="O370" t="s">
        <v>330</v>
      </c>
    </row>
    <row r="371" spans="1:15" x14ac:dyDescent="0.3">
      <c r="A371">
        <v>198</v>
      </c>
      <c r="B371" t="s">
        <v>323</v>
      </c>
      <c r="C371">
        <v>165</v>
      </c>
      <c r="D371" t="s">
        <v>130</v>
      </c>
      <c r="E371">
        <v>933</v>
      </c>
      <c r="F371" t="s">
        <v>652</v>
      </c>
      <c r="G371">
        <v>0</v>
      </c>
      <c r="H371">
        <v>0</v>
      </c>
      <c r="I371">
        <v>1</v>
      </c>
      <c r="J371">
        <v>0</v>
      </c>
      <c r="K371">
        <v>0</v>
      </c>
      <c r="L371">
        <v>0</v>
      </c>
      <c r="M371" t="s">
        <v>333</v>
      </c>
      <c r="N371" t="s">
        <v>348</v>
      </c>
      <c r="O371" t="s">
        <v>352</v>
      </c>
    </row>
    <row r="372" spans="1:15" x14ac:dyDescent="0.3">
      <c r="A372">
        <v>198</v>
      </c>
      <c r="B372" t="s">
        <v>323</v>
      </c>
      <c r="C372">
        <v>165</v>
      </c>
      <c r="D372" t="s">
        <v>130</v>
      </c>
      <c r="E372">
        <v>934</v>
      </c>
      <c r="F372" t="s">
        <v>653</v>
      </c>
      <c r="G372">
        <v>5</v>
      </c>
      <c r="H372">
        <v>0</v>
      </c>
      <c r="I372">
        <v>0</v>
      </c>
      <c r="J372">
        <v>0</v>
      </c>
      <c r="K372">
        <v>0</v>
      </c>
      <c r="L372">
        <v>0</v>
      </c>
      <c r="M372" t="s">
        <v>325</v>
      </c>
      <c r="N372" t="s">
        <v>484</v>
      </c>
      <c r="O372" t="s">
        <v>340</v>
      </c>
    </row>
    <row r="373" spans="1:15" x14ac:dyDescent="0.3">
      <c r="A373">
        <v>198</v>
      </c>
      <c r="B373" t="s">
        <v>323</v>
      </c>
      <c r="C373">
        <v>165</v>
      </c>
      <c r="D373" t="s">
        <v>130</v>
      </c>
      <c r="E373">
        <v>935</v>
      </c>
      <c r="F373" t="s">
        <v>654</v>
      </c>
      <c r="G373">
        <v>0</v>
      </c>
      <c r="H373">
        <v>2</v>
      </c>
      <c r="I373">
        <v>3</v>
      </c>
      <c r="J373">
        <v>0</v>
      </c>
      <c r="K373">
        <v>0</v>
      </c>
      <c r="L373">
        <v>0</v>
      </c>
      <c r="M373" t="s">
        <v>325</v>
      </c>
      <c r="N373" t="s">
        <v>326</v>
      </c>
      <c r="O373" t="s">
        <v>330</v>
      </c>
    </row>
    <row r="374" spans="1:15" x14ac:dyDescent="0.3">
      <c r="A374">
        <v>198</v>
      </c>
      <c r="B374" t="s">
        <v>323</v>
      </c>
      <c r="C374">
        <v>165</v>
      </c>
      <c r="D374" t="s">
        <v>130</v>
      </c>
      <c r="E374">
        <v>936</v>
      </c>
      <c r="F374" t="s">
        <v>655</v>
      </c>
      <c r="G374">
        <v>1</v>
      </c>
      <c r="H374">
        <v>2</v>
      </c>
      <c r="I374">
        <v>3</v>
      </c>
      <c r="J374">
        <v>0</v>
      </c>
      <c r="K374">
        <v>1</v>
      </c>
      <c r="L374">
        <v>0</v>
      </c>
      <c r="M374" t="s">
        <v>333</v>
      </c>
      <c r="N374" t="s">
        <v>326</v>
      </c>
      <c r="O374" t="s">
        <v>352</v>
      </c>
    </row>
    <row r="375" spans="1:15" x14ac:dyDescent="0.3">
      <c r="A375">
        <v>198</v>
      </c>
      <c r="B375" t="s">
        <v>323</v>
      </c>
      <c r="C375">
        <v>165</v>
      </c>
      <c r="D375" t="s">
        <v>130</v>
      </c>
      <c r="E375">
        <v>937</v>
      </c>
      <c r="F375" t="s">
        <v>656</v>
      </c>
      <c r="G375">
        <v>1</v>
      </c>
      <c r="H375">
        <v>0</v>
      </c>
      <c r="I375">
        <v>1</v>
      </c>
      <c r="J375">
        <v>0</v>
      </c>
      <c r="K375">
        <v>0</v>
      </c>
      <c r="L375">
        <v>0</v>
      </c>
      <c r="M375" t="s">
        <v>333</v>
      </c>
      <c r="N375" t="s">
        <v>348</v>
      </c>
      <c r="O375" t="s">
        <v>352</v>
      </c>
    </row>
    <row r="376" spans="1:15" x14ac:dyDescent="0.3">
      <c r="A376">
        <v>198</v>
      </c>
      <c r="B376" t="s">
        <v>323</v>
      </c>
      <c r="C376">
        <v>165</v>
      </c>
      <c r="D376" t="s">
        <v>130</v>
      </c>
      <c r="E376">
        <v>938</v>
      </c>
      <c r="F376" t="s">
        <v>657</v>
      </c>
      <c r="G376">
        <v>3</v>
      </c>
      <c r="H376">
        <v>1</v>
      </c>
      <c r="I376">
        <v>2</v>
      </c>
      <c r="J376">
        <v>0</v>
      </c>
      <c r="K376">
        <v>0</v>
      </c>
      <c r="L376">
        <v>0</v>
      </c>
      <c r="M376" t="s">
        <v>325</v>
      </c>
      <c r="N376" t="s">
        <v>348</v>
      </c>
      <c r="O376" t="s">
        <v>340</v>
      </c>
    </row>
    <row r="377" spans="1:15" x14ac:dyDescent="0.3">
      <c r="A377">
        <v>198</v>
      </c>
      <c r="B377" t="s">
        <v>323</v>
      </c>
      <c r="C377">
        <v>165</v>
      </c>
      <c r="D377" t="s">
        <v>130</v>
      </c>
      <c r="E377">
        <v>939</v>
      </c>
      <c r="F377" t="s">
        <v>658</v>
      </c>
      <c r="G377">
        <v>0</v>
      </c>
      <c r="H377">
        <v>0</v>
      </c>
      <c r="I377">
        <v>2</v>
      </c>
      <c r="J377">
        <v>3</v>
      </c>
      <c r="K377">
        <v>1</v>
      </c>
      <c r="L377">
        <v>0</v>
      </c>
      <c r="M377" t="s">
        <v>325</v>
      </c>
      <c r="N377" t="s">
        <v>326</v>
      </c>
      <c r="O377" t="s">
        <v>330</v>
      </c>
    </row>
    <row r="378" spans="1:15" x14ac:dyDescent="0.3">
      <c r="A378">
        <v>198</v>
      </c>
      <c r="B378" t="s">
        <v>323</v>
      </c>
      <c r="C378">
        <v>165</v>
      </c>
      <c r="D378" t="s">
        <v>130</v>
      </c>
      <c r="E378">
        <v>940</v>
      </c>
      <c r="F378" t="s">
        <v>659</v>
      </c>
      <c r="G378">
        <v>0</v>
      </c>
      <c r="H378">
        <v>3</v>
      </c>
      <c r="I378">
        <v>2</v>
      </c>
      <c r="J378">
        <v>0</v>
      </c>
      <c r="K378">
        <v>0</v>
      </c>
      <c r="L378">
        <v>0</v>
      </c>
      <c r="M378" t="s">
        <v>325</v>
      </c>
      <c r="N378" t="s">
        <v>343</v>
      </c>
      <c r="O378" t="s">
        <v>330</v>
      </c>
    </row>
    <row r="379" spans="1:15" x14ac:dyDescent="0.3">
      <c r="A379">
        <v>198</v>
      </c>
      <c r="B379" t="s">
        <v>323</v>
      </c>
      <c r="C379">
        <v>165</v>
      </c>
      <c r="D379" t="s">
        <v>130</v>
      </c>
      <c r="E379">
        <v>941</v>
      </c>
      <c r="F379" t="s">
        <v>660</v>
      </c>
      <c r="G379">
        <v>0</v>
      </c>
      <c r="H379">
        <v>2</v>
      </c>
      <c r="I379">
        <v>3</v>
      </c>
      <c r="J379">
        <v>2</v>
      </c>
      <c r="K379">
        <v>2</v>
      </c>
      <c r="L379">
        <v>0</v>
      </c>
      <c r="M379" t="s">
        <v>325</v>
      </c>
      <c r="N379" t="s">
        <v>326</v>
      </c>
      <c r="O379" t="s">
        <v>340</v>
      </c>
    </row>
    <row r="380" spans="1:15" x14ac:dyDescent="0.3">
      <c r="A380">
        <v>198</v>
      </c>
      <c r="B380" t="s">
        <v>323</v>
      </c>
      <c r="C380">
        <v>165</v>
      </c>
      <c r="D380" t="s">
        <v>130</v>
      </c>
      <c r="E380">
        <v>1472</v>
      </c>
      <c r="F380" t="s">
        <v>661</v>
      </c>
      <c r="G380">
        <v>0</v>
      </c>
      <c r="H380">
        <v>1</v>
      </c>
      <c r="I380">
        <v>3</v>
      </c>
      <c r="J380">
        <v>3</v>
      </c>
      <c r="K380">
        <v>0</v>
      </c>
      <c r="L380">
        <v>0</v>
      </c>
      <c r="M380" t="s">
        <v>325</v>
      </c>
      <c r="N380" t="s">
        <v>484</v>
      </c>
      <c r="O380" t="s">
        <v>330</v>
      </c>
    </row>
    <row r="381" spans="1:15" x14ac:dyDescent="0.3">
      <c r="A381">
        <v>198</v>
      </c>
      <c r="B381" t="s">
        <v>323</v>
      </c>
      <c r="C381">
        <v>165</v>
      </c>
      <c r="D381" t="s">
        <v>130</v>
      </c>
      <c r="E381">
        <v>1473</v>
      </c>
      <c r="F381" t="s">
        <v>662</v>
      </c>
      <c r="G381">
        <v>0</v>
      </c>
      <c r="H381">
        <v>3</v>
      </c>
      <c r="I381">
        <v>1</v>
      </c>
      <c r="J381">
        <v>1</v>
      </c>
      <c r="K381">
        <v>0</v>
      </c>
      <c r="L381">
        <v>0</v>
      </c>
      <c r="M381" t="s">
        <v>325</v>
      </c>
      <c r="N381" t="s">
        <v>348</v>
      </c>
      <c r="O381" t="s">
        <v>327</v>
      </c>
    </row>
    <row r="382" spans="1:15" x14ac:dyDescent="0.3">
      <c r="A382">
        <v>198</v>
      </c>
      <c r="B382" t="s">
        <v>323</v>
      </c>
      <c r="C382">
        <v>165</v>
      </c>
      <c r="D382" t="s">
        <v>130</v>
      </c>
      <c r="E382">
        <v>1474</v>
      </c>
      <c r="F382" t="s">
        <v>663</v>
      </c>
      <c r="G382">
        <v>0</v>
      </c>
      <c r="H382">
        <v>0</v>
      </c>
      <c r="I382">
        <v>2</v>
      </c>
      <c r="J382">
        <v>2</v>
      </c>
      <c r="K382">
        <v>1</v>
      </c>
      <c r="L382">
        <v>0</v>
      </c>
      <c r="M382" t="s">
        <v>325</v>
      </c>
      <c r="N382" t="s">
        <v>329</v>
      </c>
      <c r="O382" t="s">
        <v>330</v>
      </c>
    </row>
    <row r="383" spans="1:15" x14ac:dyDescent="0.3">
      <c r="A383">
        <v>199</v>
      </c>
      <c r="B383" t="s">
        <v>323</v>
      </c>
      <c r="C383">
        <v>166</v>
      </c>
      <c r="D383" t="s">
        <v>133</v>
      </c>
      <c r="E383">
        <v>1096</v>
      </c>
      <c r="F383" t="s">
        <v>664</v>
      </c>
      <c r="G383">
        <v>0</v>
      </c>
      <c r="H383">
        <v>0</v>
      </c>
      <c r="I383">
        <v>5</v>
      </c>
      <c r="J383">
        <v>2</v>
      </c>
      <c r="K383">
        <v>1</v>
      </c>
      <c r="L383">
        <v>0</v>
      </c>
      <c r="M383" t="s">
        <v>333</v>
      </c>
      <c r="N383" t="s">
        <v>326</v>
      </c>
      <c r="O383" t="s">
        <v>340</v>
      </c>
    </row>
    <row r="384" spans="1:15" x14ac:dyDescent="0.3">
      <c r="A384">
        <v>199</v>
      </c>
      <c r="B384" t="s">
        <v>323</v>
      </c>
      <c r="C384">
        <v>166</v>
      </c>
      <c r="D384" t="s">
        <v>133</v>
      </c>
      <c r="E384">
        <v>1097</v>
      </c>
      <c r="F384" t="s">
        <v>393</v>
      </c>
      <c r="G384">
        <v>0</v>
      </c>
      <c r="H384">
        <v>0</v>
      </c>
      <c r="I384">
        <v>6</v>
      </c>
      <c r="J384">
        <v>0</v>
      </c>
      <c r="K384">
        <v>0</v>
      </c>
      <c r="L384">
        <v>0</v>
      </c>
      <c r="M384" t="s">
        <v>566</v>
      </c>
      <c r="N384" t="s">
        <v>336</v>
      </c>
      <c r="O384" t="s">
        <v>340</v>
      </c>
    </row>
    <row r="385" spans="1:15" x14ac:dyDescent="0.3">
      <c r="A385">
        <v>199</v>
      </c>
      <c r="B385" t="s">
        <v>323</v>
      </c>
      <c r="C385">
        <v>166</v>
      </c>
      <c r="D385" t="s">
        <v>133</v>
      </c>
      <c r="E385">
        <v>1098</v>
      </c>
      <c r="F385" t="s">
        <v>665</v>
      </c>
      <c r="G385">
        <v>0</v>
      </c>
      <c r="H385">
        <v>0</v>
      </c>
      <c r="I385">
        <v>1</v>
      </c>
      <c r="J385">
        <v>5</v>
      </c>
      <c r="K385">
        <v>5</v>
      </c>
      <c r="L385">
        <v>0</v>
      </c>
      <c r="M385" t="s">
        <v>333</v>
      </c>
      <c r="N385" t="s">
        <v>326</v>
      </c>
      <c r="O385" t="s">
        <v>330</v>
      </c>
    </row>
    <row r="386" spans="1:15" x14ac:dyDescent="0.3">
      <c r="A386">
        <v>199</v>
      </c>
      <c r="B386" t="s">
        <v>323</v>
      </c>
      <c r="C386">
        <v>166</v>
      </c>
      <c r="D386" t="s">
        <v>133</v>
      </c>
      <c r="E386">
        <v>1099</v>
      </c>
      <c r="F386" t="s">
        <v>666</v>
      </c>
      <c r="G386">
        <v>0</v>
      </c>
      <c r="H386">
        <v>0</v>
      </c>
      <c r="I386">
        <v>1</v>
      </c>
      <c r="J386">
        <v>0</v>
      </c>
      <c r="K386">
        <v>3</v>
      </c>
      <c r="L386">
        <v>0</v>
      </c>
      <c r="M386" t="s">
        <v>333</v>
      </c>
      <c r="N386" t="s">
        <v>326</v>
      </c>
      <c r="O386" t="s">
        <v>330</v>
      </c>
    </row>
    <row r="387" spans="1:15" x14ac:dyDescent="0.3">
      <c r="A387">
        <v>199</v>
      </c>
      <c r="B387" t="s">
        <v>323</v>
      </c>
      <c r="C387">
        <v>166</v>
      </c>
      <c r="D387" t="s">
        <v>133</v>
      </c>
      <c r="E387">
        <v>1100</v>
      </c>
      <c r="F387" t="s">
        <v>667</v>
      </c>
      <c r="G387">
        <v>0</v>
      </c>
      <c r="H387">
        <v>6</v>
      </c>
      <c r="I387">
        <v>0</v>
      </c>
      <c r="J387">
        <v>0</v>
      </c>
      <c r="K387">
        <v>0</v>
      </c>
      <c r="L387">
        <v>0</v>
      </c>
      <c r="M387" t="s">
        <v>325</v>
      </c>
      <c r="N387" t="s">
        <v>484</v>
      </c>
      <c r="O387" t="s">
        <v>330</v>
      </c>
    </row>
    <row r="388" spans="1:15" x14ac:dyDescent="0.3">
      <c r="A388">
        <v>199</v>
      </c>
      <c r="B388" t="s">
        <v>323</v>
      </c>
      <c r="C388">
        <v>166</v>
      </c>
      <c r="D388" t="s">
        <v>133</v>
      </c>
      <c r="E388">
        <v>1102</v>
      </c>
      <c r="F388" t="s">
        <v>668</v>
      </c>
      <c r="G388">
        <v>4</v>
      </c>
      <c r="H388">
        <v>3</v>
      </c>
      <c r="I388">
        <v>0</v>
      </c>
      <c r="J388">
        <v>0</v>
      </c>
      <c r="K388">
        <v>0</v>
      </c>
      <c r="L388">
        <v>0</v>
      </c>
      <c r="M388" t="s">
        <v>333</v>
      </c>
      <c r="N388" t="s">
        <v>336</v>
      </c>
      <c r="O388" t="s">
        <v>340</v>
      </c>
    </row>
    <row r="389" spans="1:15" x14ac:dyDescent="0.3">
      <c r="A389">
        <v>199</v>
      </c>
      <c r="B389" t="s">
        <v>323</v>
      </c>
      <c r="C389">
        <v>166</v>
      </c>
      <c r="D389" t="s">
        <v>133</v>
      </c>
      <c r="E389">
        <v>1103</v>
      </c>
      <c r="F389" t="s">
        <v>669</v>
      </c>
      <c r="G389">
        <v>6</v>
      </c>
      <c r="H389">
        <v>1</v>
      </c>
      <c r="I389">
        <v>0</v>
      </c>
      <c r="J389">
        <v>0</v>
      </c>
      <c r="K389">
        <v>0</v>
      </c>
      <c r="L389">
        <v>0</v>
      </c>
      <c r="M389" t="s">
        <v>333</v>
      </c>
      <c r="N389" t="s">
        <v>336</v>
      </c>
      <c r="O389" t="s">
        <v>340</v>
      </c>
    </row>
    <row r="390" spans="1:15" x14ac:dyDescent="0.3">
      <c r="A390">
        <v>199</v>
      </c>
      <c r="B390" t="s">
        <v>323</v>
      </c>
      <c r="C390">
        <v>166</v>
      </c>
      <c r="D390" t="s">
        <v>133</v>
      </c>
      <c r="E390">
        <v>1104</v>
      </c>
      <c r="F390" t="s">
        <v>670</v>
      </c>
      <c r="G390">
        <v>3</v>
      </c>
      <c r="H390">
        <v>1</v>
      </c>
      <c r="I390">
        <v>3</v>
      </c>
      <c r="J390">
        <v>0</v>
      </c>
      <c r="K390">
        <v>0</v>
      </c>
      <c r="L390">
        <v>0</v>
      </c>
      <c r="M390" t="s">
        <v>333</v>
      </c>
      <c r="N390" t="s">
        <v>326</v>
      </c>
      <c r="O390" t="s">
        <v>340</v>
      </c>
    </row>
    <row r="391" spans="1:15" x14ac:dyDescent="0.3">
      <c r="A391">
        <v>199</v>
      </c>
      <c r="B391" t="s">
        <v>323</v>
      </c>
      <c r="C391">
        <v>166</v>
      </c>
      <c r="D391" t="s">
        <v>133</v>
      </c>
      <c r="E391">
        <v>1105</v>
      </c>
      <c r="F391" t="s">
        <v>671</v>
      </c>
      <c r="G391">
        <v>3</v>
      </c>
      <c r="H391">
        <v>2</v>
      </c>
      <c r="I391">
        <v>0</v>
      </c>
      <c r="J391">
        <v>0</v>
      </c>
      <c r="K391">
        <v>0</v>
      </c>
      <c r="L391">
        <v>0</v>
      </c>
      <c r="M391" t="s">
        <v>333</v>
      </c>
      <c r="N391" t="s">
        <v>343</v>
      </c>
      <c r="O391" t="s">
        <v>340</v>
      </c>
    </row>
    <row r="392" spans="1:15" x14ac:dyDescent="0.3">
      <c r="A392">
        <v>199</v>
      </c>
      <c r="B392" t="s">
        <v>323</v>
      </c>
      <c r="C392">
        <v>166</v>
      </c>
      <c r="D392" t="s">
        <v>133</v>
      </c>
      <c r="E392">
        <v>1107</v>
      </c>
      <c r="F392" t="s">
        <v>672</v>
      </c>
      <c r="G392">
        <v>1</v>
      </c>
      <c r="H392">
        <v>0</v>
      </c>
      <c r="I392">
        <v>3</v>
      </c>
      <c r="J392">
        <v>1</v>
      </c>
      <c r="K392">
        <v>3</v>
      </c>
      <c r="L392">
        <v>3</v>
      </c>
      <c r="M392" t="s">
        <v>333</v>
      </c>
      <c r="N392" t="s">
        <v>326</v>
      </c>
      <c r="O392" t="s">
        <v>330</v>
      </c>
    </row>
    <row r="393" spans="1:15" x14ac:dyDescent="0.3">
      <c r="A393">
        <v>199</v>
      </c>
      <c r="B393" t="s">
        <v>323</v>
      </c>
      <c r="C393">
        <v>166</v>
      </c>
      <c r="D393" t="s">
        <v>133</v>
      </c>
      <c r="E393">
        <v>1109</v>
      </c>
      <c r="F393" t="s">
        <v>673</v>
      </c>
      <c r="G393">
        <v>2</v>
      </c>
      <c r="H393">
        <v>2</v>
      </c>
      <c r="I393">
        <v>0</v>
      </c>
      <c r="J393">
        <v>0</v>
      </c>
      <c r="K393">
        <v>0</v>
      </c>
      <c r="L393">
        <v>2</v>
      </c>
      <c r="M393" t="s">
        <v>333</v>
      </c>
      <c r="N393" t="s">
        <v>343</v>
      </c>
      <c r="O393" t="s">
        <v>330</v>
      </c>
    </row>
    <row r="394" spans="1:15" x14ac:dyDescent="0.3">
      <c r="A394">
        <v>199</v>
      </c>
      <c r="B394" t="s">
        <v>323</v>
      </c>
      <c r="C394">
        <v>166</v>
      </c>
      <c r="D394" t="s">
        <v>133</v>
      </c>
      <c r="E394">
        <v>1110</v>
      </c>
      <c r="F394" t="s">
        <v>674</v>
      </c>
      <c r="G394">
        <v>0</v>
      </c>
      <c r="H394">
        <v>0</v>
      </c>
      <c r="I394">
        <v>1</v>
      </c>
      <c r="J394">
        <v>4</v>
      </c>
      <c r="K394">
        <v>3</v>
      </c>
      <c r="L394">
        <v>4</v>
      </c>
      <c r="M394" t="s">
        <v>325</v>
      </c>
      <c r="N394" t="s">
        <v>336</v>
      </c>
      <c r="O394" t="s">
        <v>338</v>
      </c>
    </row>
    <row r="395" spans="1:15" x14ac:dyDescent="0.3">
      <c r="A395">
        <v>199</v>
      </c>
      <c r="B395" t="s">
        <v>323</v>
      </c>
      <c r="C395">
        <v>166</v>
      </c>
      <c r="D395" t="s">
        <v>133</v>
      </c>
      <c r="E395">
        <v>1111</v>
      </c>
      <c r="F395" t="s">
        <v>675</v>
      </c>
      <c r="G395">
        <v>0</v>
      </c>
      <c r="H395">
        <v>1</v>
      </c>
      <c r="I395">
        <v>1</v>
      </c>
      <c r="J395">
        <v>2</v>
      </c>
      <c r="K395">
        <v>3</v>
      </c>
      <c r="L395">
        <v>4</v>
      </c>
      <c r="M395" t="s">
        <v>333</v>
      </c>
      <c r="N395" t="s">
        <v>326</v>
      </c>
      <c r="O395" t="s">
        <v>330</v>
      </c>
    </row>
    <row r="396" spans="1:15" x14ac:dyDescent="0.3">
      <c r="A396">
        <v>199</v>
      </c>
      <c r="B396" t="s">
        <v>323</v>
      </c>
      <c r="C396">
        <v>166</v>
      </c>
      <c r="D396" t="s">
        <v>133</v>
      </c>
      <c r="E396">
        <v>1112</v>
      </c>
      <c r="F396" t="s">
        <v>676</v>
      </c>
      <c r="G396">
        <v>2</v>
      </c>
      <c r="H396">
        <v>2</v>
      </c>
      <c r="I396">
        <v>0</v>
      </c>
      <c r="J396">
        <v>1</v>
      </c>
      <c r="K396">
        <v>0</v>
      </c>
      <c r="L396">
        <v>0</v>
      </c>
      <c r="M396" t="s">
        <v>333</v>
      </c>
      <c r="N396" t="s">
        <v>484</v>
      </c>
      <c r="O396" t="s">
        <v>330</v>
      </c>
    </row>
    <row r="397" spans="1:15" x14ac:dyDescent="0.3">
      <c r="A397">
        <v>199</v>
      </c>
      <c r="B397" t="s">
        <v>323</v>
      </c>
      <c r="C397">
        <v>166</v>
      </c>
      <c r="D397" t="s">
        <v>133</v>
      </c>
      <c r="E397">
        <v>1113</v>
      </c>
      <c r="F397" t="s">
        <v>677</v>
      </c>
      <c r="G397">
        <v>0</v>
      </c>
      <c r="H397">
        <v>0</v>
      </c>
      <c r="I397">
        <v>3</v>
      </c>
      <c r="J397">
        <v>2</v>
      </c>
      <c r="K397">
        <v>0</v>
      </c>
      <c r="L397">
        <v>3</v>
      </c>
      <c r="M397" t="s">
        <v>333</v>
      </c>
      <c r="N397" t="s">
        <v>326</v>
      </c>
      <c r="O397" t="s">
        <v>352</v>
      </c>
    </row>
    <row r="398" spans="1:15" x14ac:dyDescent="0.3">
      <c r="A398">
        <v>199</v>
      </c>
      <c r="B398" t="s">
        <v>323</v>
      </c>
      <c r="C398">
        <v>166</v>
      </c>
      <c r="D398" t="s">
        <v>133</v>
      </c>
      <c r="E398">
        <v>1114</v>
      </c>
      <c r="F398" t="s">
        <v>678</v>
      </c>
      <c r="G398">
        <v>0</v>
      </c>
      <c r="H398">
        <v>3</v>
      </c>
      <c r="I398">
        <v>7</v>
      </c>
      <c r="J398">
        <v>5</v>
      </c>
      <c r="K398">
        <v>3</v>
      </c>
      <c r="L398">
        <v>4</v>
      </c>
      <c r="M398" t="s">
        <v>333</v>
      </c>
      <c r="N398" t="s">
        <v>326</v>
      </c>
      <c r="O398" t="s">
        <v>352</v>
      </c>
    </row>
    <row r="399" spans="1:15" x14ac:dyDescent="0.3">
      <c r="A399">
        <v>199</v>
      </c>
      <c r="B399" t="s">
        <v>323</v>
      </c>
      <c r="C399">
        <v>166</v>
      </c>
      <c r="D399" t="s">
        <v>133</v>
      </c>
      <c r="E399">
        <v>1115</v>
      </c>
      <c r="F399" t="s">
        <v>679</v>
      </c>
      <c r="G399">
        <v>0</v>
      </c>
      <c r="H399">
        <v>5</v>
      </c>
      <c r="I399">
        <v>1</v>
      </c>
      <c r="J399">
        <v>0</v>
      </c>
      <c r="K399">
        <v>0</v>
      </c>
      <c r="L399">
        <v>0</v>
      </c>
      <c r="M399" t="s">
        <v>333</v>
      </c>
      <c r="N399" t="s">
        <v>484</v>
      </c>
      <c r="O399" t="s">
        <v>340</v>
      </c>
    </row>
    <row r="400" spans="1:15" x14ac:dyDescent="0.3">
      <c r="A400">
        <v>199</v>
      </c>
      <c r="B400" t="s">
        <v>323</v>
      </c>
      <c r="C400">
        <v>166</v>
      </c>
      <c r="D400" t="s">
        <v>133</v>
      </c>
      <c r="E400">
        <v>1116</v>
      </c>
      <c r="F400" t="s">
        <v>680</v>
      </c>
      <c r="G400">
        <v>0</v>
      </c>
      <c r="H400">
        <v>0</v>
      </c>
      <c r="I400">
        <v>0</v>
      </c>
      <c r="J400">
        <v>4</v>
      </c>
      <c r="K400">
        <v>5</v>
      </c>
      <c r="L400">
        <v>0</v>
      </c>
      <c r="M400" t="s">
        <v>333</v>
      </c>
      <c r="N400" t="s">
        <v>326</v>
      </c>
      <c r="O400" t="s">
        <v>340</v>
      </c>
    </row>
    <row r="401" spans="1:15" x14ac:dyDescent="0.3">
      <c r="A401">
        <v>199</v>
      </c>
      <c r="B401" t="s">
        <v>323</v>
      </c>
      <c r="C401">
        <v>166</v>
      </c>
      <c r="D401" t="s">
        <v>133</v>
      </c>
      <c r="E401">
        <v>1117</v>
      </c>
      <c r="F401" t="s">
        <v>681</v>
      </c>
      <c r="G401">
        <v>0</v>
      </c>
      <c r="H401">
        <v>1</v>
      </c>
      <c r="I401">
        <v>3</v>
      </c>
      <c r="J401">
        <v>2</v>
      </c>
      <c r="K401">
        <v>1</v>
      </c>
      <c r="L401">
        <v>6</v>
      </c>
      <c r="M401" t="s">
        <v>333</v>
      </c>
      <c r="N401" t="s">
        <v>326</v>
      </c>
      <c r="O401" t="s">
        <v>340</v>
      </c>
    </row>
    <row r="402" spans="1:15" x14ac:dyDescent="0.3">
      <c r="A402">
        <v>199</v>
      </c>
      <c r="B402" t="s">
        <v>323</v>
      </c>
      <c r="C402">
        <v>166</v>
      </c>
      <c r="D402" t="s">
        <v>133</v>
      </c>
      <c r="E402">
        <v>1118</v>
      </c>
      <c r="F402" t="s">
        <v>682</v>
      </c>
      <c r="G402">
        <v>0</v>
      </c>
      <c r="H402">
        <v>8</v>
      </c>
      <c r="I402">
        <v>2</v>
      </c>
      <c r="J402">
        <v>0</v>
      </c>
      <c r="K402">
        <v>0</v>
      </c>
      <c r="L402">
        <v>0</v>
      </c>
      <c r="M402" t="s">
        <v>333</v>
      </c>
      <c r="N402" t="s">
        <v>484</v>
      </c>
      <c r="O402" t="s">
        <v>330</v>
      </c>
    </row>
    <row r="403" spans="1:15" x14ac:dyDescent="0.3">
      <c r="A403">
        <v>199</v>
      </c>
      <c r="B403" t="s">
        <v>323</v>
      </c>
      <c r="C403">
        <v>166</v>
      </c>
      <c r="D403" t="s">
        <v>133</v>
      </c>
      <c r="E403">
        <v>1119</v>
      </c>
      <c r="F403" t="s">
        <v>683</v>
      </c>
      <c r="G403">
        <v>0</v>
      </c>
      <c r="H403">
        <v>0</v>
      </c>
      <c r="I403">
        <v>6</v>
      </c>
      <c r="J403">
        <v>3</v>
      </c>
      <c r="K403">
        <v>0</v>
      </c>
      <c r="L403">
        <v>1</v>
      </c>
      <c r="M403" t="s">
        <v>333</v>
      </c>
      <c r="N403" t="s">
        <v>326</v>
      </c>
      <c r="O403" t="s">
        <v>352</v>
      </c>
    </row>
    <row r="404" spans="1:15" x14ac:dyDescent="0.3">
      <c r="A404">
        <v>199</v>
      </c>
      <c r="B404" t="s">
        <v>323</v>
      </c>
      <c r="C404">
        <v>166</v>
      </c>
      <c r="D404" t="s">
        <v>133</v>
      </c>
      <c r="E404">
        <v>1120</v>
      </c>
      <c r="F404" t="s">
        <v>684</v>
      </c>
      <c r="G404">
        <v>0</v>
      </c>
      <c r="H404">
        <v>0</v>
      </c>
      <c r="I404">
        <v>0</v>
      </c>
      <c r="J404">
        <v>0</v>
      </c>
      <c r="K404">
        <v>3</v>
      </c>
      <c r="L404">
        <v>0</v>
      </c>
      <c r="M404" t="s">
        <v>333</v>
      </c>
      <c r="N404" t="s">
        <v>326</v>
      </c>
      <c r="O404" t="s">
        <v>352</v>
      </c>
    </row>
    <row r="405" spans="1:15" x14ac:dyDescent="0.3">
      <c r="A405">
        <v>199</v>
      </c>
      <c r="B405" t="s">
        <v>323</v>
      </c>
      <c r="C405">
        <v>166</v>
      </c>
      <c r="D405" t="s">
        <v>133</v>
      </c>
      <c r="E405">
        <v>1122</v>
      </c>
      <c r="F405" t="s">
        <v>685</v>
      </c>
      <c r="G405">
        <v>0</v>
      </c>
      <c r="H405">
        <v>3</v>
      </c>
      <c r="I405">
        <v>0</v>
      </c>
      <c r="J405">
        <v>0</v>
      </c>
      <c r="K405">
        <v>0</v>
      </c>
      <c r="L405">
        <v>0</v>
      </c>
      <c r="M405" t="s">
        <v>333</v>
      </c>
      <c r="N405" t="s">
        <v>348</v>
      </c>
      <c r="O405" t="s">
        <v>330</v>
      </c>
    </row>
    <row r="406" spans="1:15" x14ac:dyDescent="0.3">
      <c r="A406">
        <v>199</v>
      </c>
      <c r="B406" t="s">
        <v>323</v>
      </c>
      <c r="C406">
        <v>166</v>
      </c>
      <c r="D406" t="s">
        <v>133</v>
      </c>
      <c r="E406">
        <v>1123</v>
      </c>
      <c r="F406" t="s">
        <v>686</v>
      </c>
      <c r="G406">
        <v>0</v>
      </c>
      <c r="H406">
        <v>0</v>
      </c>
      <c r="I406">
        <v>3</v>
      </c>
      <c r="J406">
        <v>0</v>
      </c>
      <c r="K406">
        <v>0</v>
      </c>
      <c r="L406">
        <v>0</v>
      </c>
      <c r="M406" t="s">
        <v>333</v>
      </c>
      <c r="N406" t="s">
        <v>336</v>
      </c>
      <c r="O406" t="s">
        <v>340</v>
      </c>
    </row>
    <row r="407" spans="1:15" x14ac:dyDescent="0.3">
      <c r="A407">
        <v>199</v>
      </c>
      <c r="B407" t="s">
        <v>323</v>
      </c>
      <c r="C407">
        <v>166</v>
      </c>
      <c r="D407" t="s">
        <v>133</v>
      </c>
      <c r="E407">
        <v>1124</v>
      </c>
      <c r="F407" t="s">
        <v>687</v>
      </c>
      <c r="G407">
        <v>0</v>
      </c>
      <c r="H407">
        <v>0</v>
      </c>
      <c r="I407">
        <v>5</v>
      </c>
      <c r="J407">
        <v>0</v>
      </c>
      <c r="K407">
        <v>0</v>
      </c>
      <c r="L407">
        <v>0</v>
      </c>
      <c r="M407" t="s">
        <v>325</v>
      </c>
      <c r="N407" t="s">
        <v>343</v>
      </c>
      <c r="O407" t="s">
        <v>330</v>
      </c>
    </row>
    <row r="408" spans="1:15" x14ac:dyDescent="0.3">
      <c r="A408">
        <v>199</v>
      </c>
      <c r="B408" t="s">
        <v>323</v>
      </c>
      <c r="C408">
        <v>166</v>
      </c>
      <c r="D408" t="s">
        <v>133</v>
      </c>
      <c r="E408">
        <v>1127</v>
      </c>
      <c r="F408" t="s">
        <v>688</v>
      </c>
      <c r="G408">
        <v>0</v>
      </c>
      <c r="H408">
        <v>6</v>
      </c>
      <c r="I408">
        <v>0</v>
      </c>
      <c r="J408">
        <v>0</v>
      </c>
      <c r="K408">
        <v>0</v>
      </c>
      <c r="L408">
        <v>0</v>
      </c>
      <c r="M408" t="s">
        <v>325</v>
      </c>
      <c r="N408" t="s">
        <v>348</v>
      </c>
      <c r="O408" t="s">
        <v>330</v>
      </c>
    </row>
    <row r="409" spans="1:15" x14ac:dyDescent="0.3">
      <c r="A409">
        <v>199</v>
      </c>
      <c r="B409" t="s">
        <v>323</v>
      </c>
      <c r="C409">
        <v>166</v>
      </c>
      <c r="D409" t="s">
        <v>133</v>
      </c>
      <c r="E409">
        <v>1405</v>
      </c>
      <c r="F409" t="s">
        <v>689</v>
      </c>
      <c r="G409">
        <v>2</v>
      </c>
      <c r="H409">
        <v>3</v>
      </c>
      <c r="I409">
        <v>2</v>
      </c>
      <c r="J409">
        <v>0</v>
      </c>
      <c r="K409">
        <v>0</v>
      </c>
      <c r="L409">
        <v>0</v>
      </c>
      <c r="M409" t="s">
        <v>333</v>
      </c>
      <c r="N409" t="s">
        <v>326</v>
      </c>
      <c r="O409" t="s">
        <v>330</v>
      </c>
    </row>
    <row r="410" spans="1:15" x14ac:dyDescent="0.3">
      <c r="A410">
        <v>199</v>
      </c>
      <c r="B410" t="s">
        <v>323</v>
      </c>
      <c r="C410">
        <v>166</v>
      </c>
      <c r="D410" t="s">
        <v>133</v>
      </c>
      <c r="E410">
        <v>1406</v>
      </c>
      <c r="F410" t="s">
        <v>690</v>
      </c>
      <c r="G410">
        <v>1</v>
      </c>
      <c r="H410">
        <v>0</v>
      </c>
      <c r="I410">
        <v>5</v>
      </c>
      <c r="J410">
        <v>0</v>
      </c>
      <c r="K410">
        <v>0</v>
      </c>
      <c r="L410">
        <v>0</v>
      </c>
      <c r="M410" t="s">
        <v>325</v>
      </c>
      <c r="N410" t="s">
        <v>336</v>
      </c>
      <c r="O410" t="s">
        <v>330</v>
      </c>
    </row>
    <row r="411" spans="1:15" x14ac:dyDescent="0.3">
      <c r="A411">
        <v>200</v>
      </c>
      <c r="B411" t="s">
        <v>313</v>
      </c>
      <c r="C411">
        <v>167</v>
      </c>
      <c r="D411" t="s">
        <v>135</v>
      </c>
      <c r="E411">
        <v>1175</v>
      </c>
      <c r="F411" t="s">
        <v>691</v>
      </c>
      <c r="G411">
        <v>0</v>
      </c>
      <c r="L411">
        <v>0</v>
      </c>
      <c r="M411" t="s">
        <v>325</v>
      </c>
      <c r="N411" t="s">
        <v>326</v>
      </c>
      <c r="O411" t="s">
        <v>352</v>
      </c>
    </row>
    <row r="412" spans="1:15" x14ac:dyDescent="0.3">
      <c r="A412">
        <v>200</v>
      </c>
      <c r="B412" t="s">
        <v>313</v>
      </c>
      <c r="C412">
        <v>167</v>
      </c>
      <c r="D412" t="s">
        <v>135</v>
      </c>
      <c r="E412">
        <v>1176</v>
      </c>
      <c r="F412" t="s">
        <v>692</v>
      </c>
      <c r="L412">
        <v>0</v>
      </c>
      <c r="M412" t="s">
        <v>333</v>
      </c>
      <c r="N412" t="s">
        <v>326</v>
      </c>
      <c r="O412" t="s">
        <v>352</v>
      </c>
    </row>
    <row r="413" spans="1:15" x14ac:dyDescent="0.3">
      <c r="A413">
        <v>200</v>
      </c>
      <c r="B413" t="s">
        <v>313</v>
      </c>
      <c r="C413">
        <v>167</v>
      </c>
      <c r="D413" t="s">
        <v>135</v>
      </c>
      <c r="E413">
        <v>1177</v>
      </c>
      <c r="F413" t="s">
        <v>693</v>
      </c>
      <c r="L413">
        <v>0</v>
      </c>
      <c r="M413" t="s">
        <v>325</v>
      </c>
      <c r="N413" t="s">
        <v>484</v>
      </c>
      <c r="O413" t="s">
        <v>327</v>
      </c>
    </row>
    <row r="414" spans="1:15" x14ac:dyDescent="0.3">
      <c r="A414">
        <v>200</v>
      </c>
      <c r="B414" t="s">
        <v>313</v>
      </c>
      <c r="C414">
        <v>167</v>
      </c>
      <c r="D414" t="s">
        <v>135</v>
      </c>
      <c r="E414">
        <v>1178</v>
      </c>
      <c r="F414" t="s">
        <v>694</v>
      </c>
      <c r="L414">
        <v>0</v>
      </c>
      <c r="M414" t="s">
        <v>333</v>
      </c>
      <c r="N414" t="s">
        <v>336</v>
      </c>
      <c r="O414" t="s">
        <v>338</v>
      </c>
    </row>
    <row r="415" spans="1:15" x14ac:dyDescent="0.3">
      <c r="A415">
        <v>200</v>
      </c>
      <c r="B415" t="s">
        <v>313</v>
      </c>
      <c r="C415">
        <v>167</v>
      </c>
      <c r="D415" t="s">
        <v>135</v>
      </c>
      <c r="E415">
        <v>1179</v>
      </c>
      <c r="F415" t="s">
        <v>695</v>
      </c>
      <c r="G415">
        <v>6</v>
      </c>
      <c r="H415">
        <v>0</v>
      </c>
      <c r="I415">
        <v>0</v>
      </c>
      <c r="J415">
        <v>0</v>
      </c>
      <c r="K415">
        <v>0</v>
      </c>
      <c r="L415">
        <v>0</v>
      </c>
      <c r="M415" t="s">
        <v>333</v>
      </c>
      <c r="N415" t="s">
        <v>336</v>
      </c>
      <c r="O415" t="s">
        <v>338</v>
      </c>
    </row>
    <row r="416" spans="1:15" x14ac:dyDescent="0.3">
      <c r="A416">
        <v>200</v>
      </c>
      <c r="B416" t="s">
        <v>313</v>
      </c>
      <c r="C416">
        <v>167</v>
      </c>
      <c r="D416" t="s">
        <v>135</v>
      </c>
      <c r="E416">
        <v>1180</v>
      </c>
      <c r="F416" t="s">
        <v>696</v>
      </c>
      <c r="M416" t="s">
        <v>333</v>
      </c>
      <c r="N416" t="s">
        <v>326</v>
      </c>
      <c r="O416" t="s">
        <v>330</v>
      </c>
    </row>
    <row r="417" spans="1:15" x14ac:dyDescent="0.3">
      <c r="A417">
        <v>200</v>
      </c>
      <c r="B417" t="s">
        <v>313</v>
      </c>
      <c r="C417">
        <v>167</v>
      </c>
      <c r="D417" t="s">
        <v>135</v>
      </c>
      <c r="E417">
        <v>1181</v>
      </c>
      <c r="F417" t="s">
        <v>697</v>
      </c>
      <c r="M417" t="s">
        <v>333</v>
      </c>
      <c r="N417" t="s">
        <v>326</v>
      </c>
      <c r="O417" t="s">
        <v>352</v>
      </c>
    </row>
    <row r="418" spans="1:15" x14ac:dyDescent="0.3">
      <c r="A418">
        <v>200</v>
      </c>
      <c r="B418" t="s">
        <v>313</v>
      </c>
      <c r="C418">
        <v>167</v>
      </c>
      <c r="D418" t="s">
        <v>135</v>
      </c>
      <c r="E418">
        <v>1182</v>
      </c>
      <c r="F418" t="s">
        <v>698</v>
      </c>
      <c r="L418">
        <v>0</v>
      </c>
      <c r="M418" t="s">
        <v>325</v>
      </c>
      <c r="N418" t="s">
        <v>326</v>
      </c>
      <c r="O418" t="s">
        <v>338</v>
      </c>
    </row>
    <row r="419" spans="1:15" x14ac:dyDescent="0.3">
      <c r="A419">
        <v>200</v>
      </c>
      <c r="B419" t="s">
        <v>313</v>
      </c>
      <c r="C419">
        <v>167</v>
      </c>
      <c r="D419" t="s">
        <v>135</v>
      </c>
      <c r="E419">
        <v>1183</v>
      </c>
      <c r="F419" t="s">
        <v>699</v>
      </c>
      <c r="L419">
        <v>0</v>
      </c>
      <c r="M419" t="s">
        <v>325</v>
      </c>
      <c r="N419" t="s">
        <v>336</v>
      </c>
      <c r="O419" t="s">
        <v>327</v>
      </c>
    </row>
    <row r="420" spans="1:15" x14ac:dyDescent="0.3">
      <c r="A420">
        <v>200</v>
      </c>
      <c r="B420" t="s">
        <v>313</v>
      </c>
      <c r="C420">
        <v>167</v>
      </c>
      <c r="D420" t="s">
        <v>135</v>
      </c>
      <c r="E420">
        <v>1184</v>
      </c>
      <c r="F420" t="s">
        <v>700</v>
      </c>
      <c r="M420" t="s">
        <v>333</v>
      </c>
      <c r="N420" t="s">
        <v>326</v>
      </c>
      <c r="O420" t="s">
        <v>330</v>
      </c>
    </row>
    <row r="421" spans="1:15" x14ac:dyDescent="0.3">
      <c r="A421">
        <v>200</v>
      </c>
      <c r="B421" t="s">
        <v>313</v>
      </c>
      <c r="C421">
        <v>167</v>
      </c>
      <c r="D421" t="s">
        <v>135</v>
      </c>
      <c r="E421">
        <v>1185</v>
      </c>
      <c r="F421" t="s">
        <v>701</v>
      </c>
      <c r="L421">
        <v>0</v>
      </c>
      <c r="M421" t="s">
        <v>333</v>
      </c>
      <c r="N421" t="s">
        <v>326</v>
      </c>
      <c r="O421" t="s">
        <v>352</v>
      </c>
    </row>
    <row r="422" spans="1:15" x14ac:dyDescent="0.3">
      <c r="A422">
        <v>200</v>
      </c>
      <c r="B422" t="s">
        <v>313</v>
      </c>
      <c r="C422">
        <v>167</v>
      </c>
      <c r="D422" t="s">
        <v>135</v>
      </c>
      <c r="E422">
        <v>1186</v>
      </c>
      <c r="F422" t="s">
        <v>702</v>
      </c>
      <c r="G422">
        <v>0</v>
      </c>
      <c r="H422">
        <v>5</v>
      </c>
      <c r="I422">
        <v>0</v>
      </c>
      <c r="J422">
        <v>0</v>
      </c>
      <c r="K422">
        <v>0</v>
      </c>
      <c r="L422">
        <v>0</v>
      </c>
      <c r="M422" t="s">
        <v>325</v>
      </c>
      <c r="N422" t="s">
        <v>336</v>
      </c>
      <c r="O422" t="s">
        <v>327</v>
      </c>
    </row>
    <row r="423" spans="1:15" x14ac:dyDescent="0.3">
      <c r="A423">
        <v>200</v>
      </c>
      <c r="B423" t="s">
        <v>313</v>
      </c>
      <c r="C423">
        <v>167</v>
      </c>
      <c r="D423" t="s">
        <v>135</v>
      </c>
      <c r="E423">
        <v>1187</v>
      </c>
      <c r="F423" t="s">
        <v>703</v>
      </c>
      <c r="L423">
        <v>0</v>
      </c>
      <c r="M423" t="s">
        <v>333</v>
      </c>
      <c r="N423" t="s">
        <v>336</v>
      </c>
      <c r="O423" t="s">
        <v>327</v>
      </c>
    </row>
    <row r="424" spans="1:15" x14ac:dyDescent="0.3">
      <c r="A424">
        <v>200</v>
      </c>
      <c r="B424" t="s">
        <v>313</v>
      </c>
      <c r="C424">
        <v>167</v>
      </c>
      <c r="D424" t="s">
        <v>135</v>
      </c>
      <c r="E424">
        <v>1188</v>
      </c>
      <c r="F424" t="s">
        <v>704</v>
      </c>
      <c r="L424">
        <v>0</v>
      </c>
      <c r="M424" t="s">
        <v>333</v>
      </c>
      <c r="N424" t="s">
        <v>484</v>
      </c>
      <c r="O424" t="s">
        <v>330</v>
      </c>
    </row>
    <row r="425" spans="1:15" x14ac:dyDescent="0.3">
      <c r="A425">
        <v>200</v>
      </c>
      <c r="B425" t="s">
        <v>313</v>
      </c>
      <c r="C425">
        <v>167</v>
      </c>
      <c r="D425" t="s">
        <v>135</v>
      </c>
      <c r="E425">
        <v>1189</v>
      </c>
      <c r="F425" t="s">
        <v>705</v>
      </c>
      <c r="G425">
        <v>0</v>
      </c>
      <c r="H425">
        <v>0</v>
      </c>
      <c r="I425">
        <v>0</v>
      </c>
      <c r="J425">
        <v>3</v>
      </c>
      <c r="K425">
        <v>0</v>
      </c>
      <c r="L425">
        <v>0</v>
      </c>
      <c r="M425" t="s">
        <v>333</v>
      </c>
      <c r="N425" t="s">
        <v>326</v>
      </c>
      <c r="O425" t="s">
        <v>327</v>
      </c>
    </row>
    <row r="426" spans="1:15" x14ac:dyDescent="0.3">
      <c r="A426">
        <v>200</v>
      </c>
      <c r="B426" t="s">
        <v>313</v>
      </c>
      <c r="C426">
        <v>167</v>
      </c>
      <c r="D426" t="s">
        <v>135</v>
      </c>
      <c r="E426">
        <v>1190</v>
      </c>
      <c r="F426" t="s">
        <v>706</v>
      </c>
      <c r="M426" t="s">
        <v>333</v>
      </c>
      <c r="N426" t="s">
        <v>326</v>
      </c>
      <c r="O426" t="s">
        <v>352</v>
      </c>
    </row>
    <row r="427" spans="1:15" x14ac:dyDescent="0.3">
      <c r="A427">
        <v>200</v>
      </c>
      <c r="B427" t="s">
        <v>313</v>
      </c>
      <c r="C427">
        <v>167</v>
      </c>
      <c r="D427" t="s">
        <v>135</v>
      </c>
      <c r="E427">
        <v>1191</v>
      </c>
      <c r="F427" t="s">
        <v>707</v>
      </c>
      <c r="L427">
        <v>0</v>
      </c>
      <c r="M427" t="s">
        <v>333</v>
      </c>
      <c r="N427" t="s">
        <v>336</v>
      </c>
      <c r="O427" t="s">
        <v>352</v>
      </c>
    </row>
    <row r="428" spans="1:15" x14ac:dyDescent="0.3">
      <c r="A428">
        <v>200</v>
      </c>
      <c r="B428" t="s">
        <v>313</v>
      </c>
      <c r="C428">
        <v>167</v>
      </c>
      <c r="D428" t="s">
        <v>135</v>
      </c>
      <c r="E428">
        <v>1193</v>
      </c>
      <c r="F428" t="s">
        <v>708</v>
      </c>
      <c r="G428">
        <v>4</v>
      </c>
      <c r="L428">
        <v>0</v>
      </c>
      <c r="M428" t="s">
        <v>333</v>
      </c>
      <c r="N428" t="s">
        <v>336</v>
      </c>
      <c r="O428" t="s">
        <v>327</v>
      </c>
    </row>
    <row r="429" spans="1:15" x14ac:dyDescent="0.3">
      <c r="A429">
        <v>200</v>
      </c>
      <c r="B429" t="s">
        <v>313</v>
      </c>
      <c r="C429">
        <v>167</v>
      </c>
      <c r="D429" t="s">
        <v>135</v>
      </c>
      <c r="E429">
        <v>1195</v>
      </c>
      <c r="F429" t="s">
        <v>709</v>
      </c>
      <c r="L429">
        <v>0</v>
      </c>
      <c r="M429" t="s">
        <v>333</v>
      </c>
      <c r="N429" t="s">
        <v>326</v>
      </c>
      <c r="O429" t="s">
        <v>330</v>
      </c>
    </row>
    <row r="430" spans="1:15" x14ac:dyDescent="0.3">
      <c r="A430">
        <v>200</v>
      </c>
      <c r="B430" t="s">
        <v>313</v>
      </c>
      <c r="C430">
        <v>167</v>
      </c>
      <c r="D430" t="s">
        <v>135</v>
      </c>
      <c r="E430">
        <v>1196</v>
      </c>
      <c r="F430" t="s">
        <v>710</v>
      </c>
      <c r="L430">
        <v>0</v>
      </c>
      <c r="M430" t="s">
        <v>333</v>
      </c>
      <c r="N430" t="s">
        <v>326</v>
      </c>
      <c r="O430" t="s">
        <v>330</v>
      </c>
    </row>
    <row r="431" spans="1:15" x14ac:dyDescent="0.3">
      <c r="A431">
        <v>200</v>
      </c>
      <c r="B431" t="s">
        <v>313</v>
      </c>
      <c r="C431">
        <v>167</v>
      </c>
      <c r="D431" t="s">
        <v>135</v>
      </c>
      <c r="E431">
        <v>1197</v>
      </c>
      <c r="F431" t="s">
        <v>711</v>
      </c>
      <c r="L431">
        <v>0</v>
      </c>
      <c r="M431" t="s">
        <v>333</v>
      </c>
      <c r="N431" t="s">
        <v>326</v>
      </c>
      <c r="O431" t="s">
        <v>338</v>
      </c>
    </row>
    <row r="432" spans="1:15" x14ac:dyDescent="0.3">
      <c r="A432">
        <v>200</v>
      </c>
      <c r="B432" t="s">
        <v>313</v>
      </c>
      <c r="C432">
        <v>167</v>
      </c>
      <c r="D432" t="s">
        <v>135</v>
      </c>
      <c r="E432">
        <v>1199</v>
      </c>
      <c r="F432" t="s">
        <v>712</v>
      </c>
      <c r="L432">
        <v>0</v>
      </c>
      <c r="M432" t="s">
        <v>333</v>
      </c>
      <c r="N432" t="s">
        <v>326</v>
      </c>
      <c r="O432" t="s">
        <v>330</v>
      </c>
    </row>
    <row r="433" spans="1:15" x14ac:dyDescent="0.3">
      <c r="A433">
        <v>200</v>
      </c>
      <c r="B433" t="s">
        <v>313</v>
      </c>
      <c r="C433">
        <v>167</v>
      </c>
      <c r="D433" t="s">
        <v>135</v>
      </c>
      <c r="E433">
        <v>1200</v>
      </c>
      <c r="F433" t="s">
        <v>713</v>
      </c>
      <c r="L433">
        <v>0</v>
      </c>
      <c r="M433" t="s">
        <v>333</v>
      </c>
      <c r="N433" t="s">
        <v>336</v>
      </c>
      <c r="O433" t="s">
        <v>327</v>
      </c>
    </row>
    <row r="434" spans="1:15" x14ac:dyDescent="0.3">
      <c r="A434">
        <v>200</v>
      </c>
      <c r="B434" t="s">
        <v>313</v>
      </c>
      <c r="C434">
        <v>167</v>
      </c>
      <c r="D434" t="s">
        <v>135</v>
      </c>
      <c r="E434">
        <v>1201</v>
      </c>
      <c r="F434" t="s">
        <v>353</v>
      </c>
      <c r="M434" t="s">
        <v>333</v>
      </c>
      <c r="N434" t="s">
        <v>326</v>
      </c>
      <c r="O434" t="s">
        <v>330</v>
      </c>
    </row>
    <row r="435" spans="1:15" x14ac:dyDescent="0.3">
      <c r="A435">
        <v>200</v>
      </c>
      <c r="B435" t="s">
        <v>313</v>
      </c>
      <c r="C435">
        <v>167</v>
      </c>
      <c r="D435" t="s">
        <v>135</v>
      </c>
      <c r="E435">
        <v>1202</v>
      </c>
      <c r="F435" t="s">
        <v>714</v>
      </c>
      <c r="M435" t="s">
        <v>333</v>
      </c>
      <c r="N435" t="s">
        <v>326</v>
      </c>
      <c r="O435" t="s">
        <v>330</v>
      </c>
    </row>
    <row r="436" spans="1:15" x14ac:dyDescent="0.3">
      <c r="A436">
        <v>200</v>
      </c>
      <c r="B436" t="s">
        <v>313</v>
      </c>
      <c r="C436">
        <v>167</v>
      </c>
      <c r="D436" t="s">
        <v>135</v>
      </c>
      <c r="E436">
        <v>1203</v>
      </c>
      <c r="F436" t="s">
        <v>715</v>
      </c>
      <c r="M436" t="s">
        <v>333</v>
      </c>
      <c r="N436" t="s">
        <v>326</v>
      </c>
      <c r="O436" t="s">
        <v>352</v>
      </c>
    </row>
    <row r="437" spans="1:15" x14ac:dyDescent="0.3">
      <c r="A437">
        <v>200</v>
      </c>
      <c r="B437" t="s">
        <v>313</v>
      </c>
      <c r="C437">
        <v>167</v>
      </c>
      <c r="D437" t="s">
        <v>135</v>
      </c>
      <c r="E437">
        <v>1204</v>
      </c>
      <c r="F437" t="s">
        <v>474</v>
      </c>
      <c r="M437" t="s">
        <v>410</v>
      </c>
      <c r="N437" t="s">
        <v>326</v>
      </c>
      <c r="O437" t="s">
        <v>352</v>
      </c>
    </row>
    <row r="438" spans="1:15" x14ac:dyDescent="0.3">
      <c r="A438">
        <v>200</v>
      </c>
      <c r="B438" t="s">
        <v>313</v>
      </c>
      <c r="C438">
        <v>167</v>
      </c>
      <c r="D438" t="s">
        <v>135</v>
      </c>
      <c r="E438">
        <v>1205</v>
      </c>
      <c r="F438" t="s">
        <v>716</v>
      </c>
      <c r="M438" t="s">
        <v>410</v>
      </c>
      <c r="N438" t="s">
        <v>326</v>
      </c>
      <c r="O438" t="s">
        <v>327</v>
      </c>
    </row>
    <row r="439" spans="1:15" x14ac:dyDescent="0.3">
      <c r="A439">
        <v>200</v>
      </c>
      <c r="B439" t="s">
        <v>313</v>
      </c>
      <c r="C439">
        <v>167</v>
      </c>
      <c r="D439" t="s">
        <v>135</v>
      </c>
      <c r="E439">
        <v>1206</v>
      </c>
      <c r="F439" t="s">
        <v>717</v>
      </c>
      <c r="M439" t="s">
        <v>333</v>
      </c>
      <c r="N439" t="s">
        <v>326</v>
      </c>
      <c r="O439" t="s">
        <v>352</v>
      </c>
    </row>
    <row r="440" spans="1:15" x14ac:dyDescent="0.3">
      <c r="A440">
        <v>200</v>
      </c>
      <c r="B440" t="s">
        <v>313</v>
      </c>
      <c r="C440">
        <v>167</v>
      </c>
      <c r="D440" t="s">
        <v>135</v>
      </c>
      <c r="E440">
        <v>1207</v>
      </c>
      <c r="F440" t="s">
        <v>718</v>
      </c>
      <c r="M440" t="s">
        <v>333</v>
      </c>
      <c r="N440" t="s">
        <v>336</v>
      </c>
      <c r="O440" t="s">
        <v>352</v>
      </c>
    </row>
    <row r="441" spans="1:15" x14ac:dyDescent="0.3">
      <c r="A441">
        <v>200</v>
      </c>
      <c r="B441" t="s">
        <v>313</v>
      </c>
      <c r="C441">
        <v>167</v>
      </c>
      <c r="D441" t="s">
        <v>135</v>
      </c>
      <c r="E441">
        <v>1208</v>
      </c>
      <c r="F441" t="s">
        <v>719</v>
      </c>
      <c r="M441" t="s">
        <v>333</v>
      </c>
      <c r="N441" t="s">
        <v>326</v>
      </c>
      <c r="O441" t="s">
        <v>352</v>
      </c>
    </row>
    <row r="442" spans="1:15" x14ac:dyDescent="0.3">
      <c r="A442">
        <v>200</v>
      </c>
      <c r="B442" t="s">
        <v>313</v>
      </c>
      <c r="C442">
        <v>167</v>
      </c>
      <c r="D442" t="s">
        <v>135</v>
      </c>
      <c r="E442">
        <v>1209</v>
      </c>
      <c r="F442" t="s">
        <v>720</v>
      </c>
      <c r="M442" t="s">
        <v>333</v>
      </c>
      <c r="N442" t="s">
        <v>326</v>
      </c>
      <c r="O442" t="s">
        <v>352</v>
      </c>
    </row>
    <row r="443" spans="1:15" x14ac:dyDescent="0.3">
      <c r="A443">
        <v>200</v>
      </c>
      <c r="B443" t="s">
        <v>313</v>
      </c>
      <c r="C443">
        <v>167</v>
      </c>
      <c r="D443" t="s">
        <v>135</v>
      </c>
      <c r="E443">
        <v>1210</v>
      </c>
      <c r="F443" t="s">
        <v>721</v>
      </c>
      <c r="M443" t="s">
        <v>333</v>
      </c>
      <c r="N443" t="s">
        <v>326</v>
      </c>
      <c r="O443" t="s">
        <v>327</v>
      </c>
    </row>
    <row r="444" spans="1:15" x14ac:dyDescent="0.3">
      <c r="A444">
        <v>200</v>
      </c>
      <c r="B444" t="s">
        <v>313</v>
      </c>
      <c r="C444">
        <v>167</v>
      </c>
      <c r="D444" t="s">
        <v>135</v>
      </c>
      <c r="E444">
        <v>1211</v>
      </c>
      <c r="F444" t="s">
        <v>722</v>
      </c>
      <c r="M444" t="s">
        <v>333</v>
      </c>
      <c r="N444" t="s">
        <v>326</v>
      </c>
      <c r="O444" t="s">
        <v>352</v>
      </c>
    </row>
    <row r="445" spans="1:15" x14ac:dyDescent="0.3">
      <c r="A445">
        <v>200</v>
      </c>
      <c r="B445" t="s">
        <v>313</v>
      </c>
      <c r="C445">
        <v>167</v>
      </c>
      <c r="D445" t="s">
        <v>135</v>
      </c>
      <c r="E445">
        <v>1212</v>
      </c>
      <c r="F445" t="s">
        <v>723</v>
      </c>
      <c r="M445" t="s">
        <v>410</v>
      </c>
      <c r="N445" t="s">
        <v>326</v>
      </c>
      <c r="O445" t="s">
        <v>327</v>
      </c>
    </row>
    <row r="446" spans="1:15" x14ac:dyDescent="0.3">
      <c r="A446">
        <v>200</v>
      </c>
      <c r="B446" t="s">
        <v>313</v>
      </c>
      <c r="C446">
        <v>167</v>
      </c>
      <c r="D446" t="s">
        <v>135</v>
      </c>
      <c r="E446">
        <v>1213</v>
      </c>
      <c r="F446" t="s">
        <v>724</v>
      </c>
      <c r="M446" t="s">
        <v>333</v>
      </c>
      <c r="N446" t="s">
        <v>326</v>
      </c>
      <c r="O446" t="s">
        <v>352</v>
      </c>
    </row>
    <row r="447" spans="1:15" x14ac:dyDescent="0.3">
      <c r="A447">
        <v>200</v>
      </c>
      <c r="B447" t="s">
        <v>313</v>
      </c>
      <c r="C447">
        <v>167</v>
      </c>
      <c r="D447" t="s">
        <v>135</v>
      </c>
      <c r="E447">
        <v>1214</v>
      </c>
      <c r="F447" t="s">
        <v>725</v>
      </c>
      <c r="M447" t="s">
        <v>333</v>
      </c>
      <c r="N447" t="s">
        <v>326</v>
      </c>
      <c r="O447" t="s">
        <v>327</v>
      </c>
    </row>
    <row r="448" spans="1:15" x14ac:dyDescent="0.3">
      <c r="A448">
        <v>200</v>
      </c>
      <c r="B448" t="s">
        <v>313</v>
      </c>
      <c r="C448">
        <v>167</v>
      </c>
      <c r="D448" t="s">
        <v>135</v>
      </c>
      <c r="E448">
        <v>1215</v>
      </c>
      <c r="F448" t="s">
        <v>726</v>
      </c>
      <c r="M448" t="s">
        <v>333</v>
      </c>
      <c r="N448" t="s">
        <v>326</v>
      </c>
      <c r="O448" t="s">
        <v>352</v>
      </c>
    </row>
    <row r="449" spans="1:15" x14ac:dyDescent="0.3">
      <c r="A449">
        <v>200</v>
      </c>
      <c r="B449" t="s">
        <v>313</v>
      </c>
      <c r="C449">
        <v>167</v>
      </c>
      <c r="D449" t="s">
        <v>135</v>
      </c>
      <c r="E449">
        <v>1216</v>
      </c>
      <c r="F449" t="s">
        <v>727</v>
      </c>
      <c r="M449" t="s">
        <v>333</v>
      </c>
      <c r="N449" t="s">
        <v>326</v>
      </c>
      <c r="O449" t="s">
        <v>327</v>
      </c>
    </row>
    <row r="450" spans="1:15" x14ac:dyDescent="0.3">
      <c r="A450">
        <v>200</v>
      </c>
      <c r="B450" t="s">
        <v>313</v>
      </c>
      <c r="C450">
        <v>167</v>
      </c>
      <c r="D450" t="s">
        <v>135</v>
      </c>
      <c r="E450">
        <v>1217</v>
      </c>
      <c r="F450" t="s">
        <v>728</v>
      </c>
      <c r="M450" t="s">
        <v>333</v>
      </c>
      <c r="N450" t="s">
        <v>326</v>
      </c>
      <c r="O450" t="s">
        <v>352</v>
      </c>
    </row>
    <row r="451" spans="1:15" x14ac:dyDescent="0.3">
      <c r="A451">
        <v>200</v>
      </c>
      <c r="B451" t="s">
        <v>313</v>
      </c>
      <c r="C451">
        <v>167</v>
      </c>
      <c r="D451" t="s">
        <v>135</v>
      </c>
      <c r="E451">
        <v>1218</v>
      </c>
      <c r="F451" t="s">
        <v>729</v>
      </c>
      <c r="M451" t="s">
        <v>410</v>
      </c>
      <c r="N451" t="s">
        <v>326</v>
      </c>
      <c r="O451" t="s">
        <v>327</v>
      </c>
    </row>
    <row r="452" spans="1:15" x14ac:dyDescent="0.3">
      <c r="A452">
        <v>200</v>
      </c>
      <c r="B452" t="s">
        <v>313</v>
      </c>
      <c r="C452">
        <v>167</v>
      </c>
      <c r="D452" t="s">
        <v>135</v>
      </c>
      <c r="E452">
        <v>1219</v>
      </c>
      <c r="F452" t="s">
        <v>730</v>
      </c>
      <c r="M452" t="s">
        <v>410</v>
      </c>
      <c r="N452" t="s">
        <v>326</v>
      </c>
      <c r="O452" t="s">
        <v>327</v>
      </c>
    </row>
    <row r="453" spans="1:15" x14ac:dyDescent="0.3">
      <c r="A453">
        <v>200</v>
      </c>
      <c r="B453" t="s">
        <v>313</v>
      </c>
      <c r="C453">
        <v>167</v>
      </c>
      <c r="D453" t="s">
        <v>135</v>
      </c>
      <c r="E453">
        <v>1220</v>
      </c>
      <c r="F453" t="s">
        <v>731</v>
      </c>
      <c r="M453" t="s">
        <v>333</v>
      </c>
      <c r="N453" t="s">
        <v>326</v>
      </c>
      <c r="O453" t="s">
        <v>352</v>
      </c>
    </row>
    <row r="454" spans="1:15" x14ac:dyDescent="0.3">
      <c r="A454">
        <v>200</v>
      </c>
      <c r="B454" t="s">
        <v>313</v>
      </c>
      <c r="C454">
        <v>167</v>
      </c>
      <c r="D454" t="s">
        <v>135</v>
      </c>
      <c r="E454">
        <v>1538</v>
      </c>
      <c r="F454" t="s">
        <v>732</v>
      </c>
      <c r="M454" t="s">
        <v>566</v>
      </c>
      <c r="N454" t="s">
        <v>336</v>
      </c>
      <c r="O454" t="s">
        <v>327</v>
      </c>
    </row>
    <row r="455" spans="1:15" x14ac:dyDescent="0.3">
      <c r="A455">
        <v>200</v>
      </c>
      <c r="B455" t="s">
        <v>313</v>
      </c>
      <c r="C455">
        <v>167</v>
      </c>
      <c r="D455" t="s">
        <v>135</v>
      </c>
      <c r="E455">
        <v>1539</v>
      </c>
      <c r="F455" t="s">
        <v>733</v>
      </c>
      <c r="M455" t="s">
        <v>333</v>
      </c>
      <c r="N455" t="s">
        <v>326</v>
      </c>
      <c r="O455" t="s">
        <v>327</v>
      </c>
    </row>
    <row r="456" spans="1:15" x14ac:dyDescent="0.3">
      <c r="A456">
        <v>200</v>
      </c>
      <c r="B456" t="s">
        <v>313</v>
      </c>
      <c r="C456">
        <v>167</v>
      </c>
      <c r="D456" t="s">
        <v>135</v>
      </c>
      <c r="E456">
        <v>1541</v>
      </c>
      <c r="F456" t="s">
        <v>734</v>
      </c>
      <c r="M456" t="s">
        <v>333</v>
      </c>
      <c r="N456" t="s">
        <v>326</v>
      </c>
      <c r="O456" t="s">
        <v>327</v>
      </c>
    </row>
    <row r="457" spans="1:15" x14ac:dyDescent="0.3">
      <c r="A457">
        <v>200</v>
      </c>
      <c r="B457" t="s">
        <v>313</v>
      </c>
      <c r="C457">
        <v>167</v>
      </c>
      <c r="D457" t="s">
        <v>135</v>
      </c>
      <c r="E457">
        <v>1542</v>
      </c>
      <c r="F457" t="s">
        <v>735</v>
      </c>
      <c r="M457" t="s">
        <v>333</v>
      </c>
      <c r="N457" t="s">
        <v>326</v>
      </c>
      <c r="O457" t="s">
        <v>1116</v>
      </c>
    </row>
    <row r="458" spans="1:15" x14ac:dyDescent="0.3">
      <c r="A458">
        <v>201</v>
      </c>
      <c r="B458" t="s">
        <v>323</v>
      </c>
      <c r="C458">
        <v>168</v>
      </c>
      <c r="D458" t="s">
        <v>137</v>
      </c>
      <c r="E458">
        <v>660</v>
      </c>
      <c r="F458" t="s">
        <v>736</v>
      </c>
      <c r="G458">
        <v>6</v>
      </c>
      <c r="H458">
        <v>0</v>
      </c>
      <c r="I458">
        <v>0</v>
      </c>
      <c r="J458">
        <v>0</v>
      </c>
      <c r="K458">
        <v>0</v>
      </c>
      <c r="L458">
        <v>0</v>
      </c>
      <c r="M458" t="s">
        <v>333</v>
      </c>
      <c r="N458" t="s">
        <v>336</v>
      </c>
      <c r="O458" t="s">
        <v>338</v>
      </c>
    </row>
    <row r="459" spans="1:15" x14ac:dyDescent="0.3">
      <c r="A459">
        <v>201</v>
      </c>
      <c r="B459" t="s">
        <v>323</v>
      </c>
      <c r="C459">
        <v>168</v>
      </c>
      <c r="D459" t="s">
        <v>137</v>
      </c>
      <c r="E459">
        <v>661</v>
      </c>
      <c r="F459" t="s">
        <v>737</v>
      </c>
      <c r="G459">
        <v>1</v>
      </c>
      <c r="H459">
        <v>2</v>
      </c>
      <c r="I459">
        <v>2</v>
      </c>
      <c r="J459">
        <v>2</v>
      </c>
      <c r="K459">
        <v>2</v>
      </c>
      <c r="L459">
        <v>1</v>
      </c>
      <c r="M459" t="s">
        <v>333</v>
      </c>
      <c r="N459" t="s">
        <v>326</v>
      </c>
      <c r="O459" t="s">
        <v>330</v>
      </c>
    </row>
    <row r="460" spans="1:15" x14ac:dyDescent="0.3">
      <c r="A460">
        <v>201</v>
      </c>
      <c r="B460" t="s">
        <v>323</v>
      </c>
      <c r="C460">
        <v>168</v>
      </c>
      <c r="D460" t="s">
        <v>137</v>
      </c>
      <c r="E460">
        <v>662</v>
      </c>
      <c r="F460" t="s">
        <v>738</v>
      </c>
      <c r="G460">
        <v>0</v>
      </c>
      <c r="H460">
        <v>3</v>
      </c>
      <c r="I460">
        <v>7</v>
      </c>
      <c r="J460">
        <v>6</v>
      </c>
      <c r="K460">
        <v>2</v>
      </c>
      <c r="L460">
        <v>4</v>
      </c>
      <c r="M460" t="s">
        <v>325</v>
      </c>
      <c r="N460" t="s">
        <v>326</v>
      </c>
      <c r="O460" t="s">
        <v>352</v>
      </c>
    </row>
    <row r="461" spans="1:15" x14ac:dyDescent="0.3">
      <c r="A461">
        <v>201</v>
      </c>
      <c r="B461" t="s">
        <v>323</v>
      </c>
      <c r="C461">
        <v>168</v>
      </c>
      <c r="D461" t="s">
        <v>137</v>
      </c>
      <c r="E461">
        <v>663</v>
      </c>
      <c r="F461" t="s">
        <v>739</v>
      </c>
      <c r="G461">
        <v>0</v>
      </c>
      <c r="H461">
        <v>1</v>
      </c>
      <c r="I461">
        <v>1</v>
      </c>
      <c r="J461">
        <v>1</v>
      </c>
      <c r="K461">
        <v>0</v>
      </c>
      <c r="L461">
        <v>0</v>
      </c>
      <c r="M461" t="s">
        <v>333</v>
      </c>
      <c r="N461" t="s">
        <v>348</v>
      </c>
      <c r="O461" t="s">
        <v>352</v>
      </c>
    </row>
    <row r="462" spans="1:15" x14ac:dyDescent="0.3">
      <c r="A462">
        <v>201</v>
      </c>
      <c r="B462" t="s">
        <v>323</v>
      </c>
      <c r="C462">
        <v>168</v>
      </c>
      <c r="D462" t="s">
        <v>137</v>
      </c>
      <c r="E462">
        <v>664</v>
      </c>
      <c r="F462" t="s">
        <v>740</v>
      </c>
      <c r="G462">
        <v>0</v>
      </c>
      <c r="H462">
        <v>2</v>
      </c>
      <c r="I462">
        <v>2</v>
      </c>
      <c r="J462">
        <v>0</v>
      </c>
      <c r="K462">
        <v>0</v>
      </c>
      <c r="L462">
        <v>0</v>
      </c>
      <c r="M462" t="s">
        <v>333</v>
      </c>
      <c r="N462" t="s">
        <v>484</v>
      </c>
      <c r="O462" t="s">
        <v>340</v>
      </c>
    </row>
    <row r="463" spans="1:15" x14ac:dyDescent="0.3">
      <c r="A463">
        <v>201</v>
      </c>
      <c r="B463" t="s">
        <v>323</v>
      </c>
      <c r="C463">
        <v>168</v>
      </c>
      <c r="D463" t="s">
        <v>137</v>
      </c>
      <c r="E463">
        <v>666</v>
      </c>
      <c r="F463" t="s">
        <v>741</v>
      </c>
      <c r="G463">
        <v>4</v>
      </c>
      <c r="H463">
        <v>5</v>
      </c>
      <c r="I463">
        <v>2</v>
      </c>
      <c r="J463">
        <v>4</v>
      </c>
      <c r="K463">
        <v>1</v>
      </c>
      <c r="L463">
        <v>0</v>
      </c>
      <c r="M463" t="s">
        <v>333</v>
      </c>
      <c r="N463" t="s">
        <v>326</v>
      </c>
      <c r="O463" t="s">
        <v>352</v>
      </c>
    </row>
    <row r="464" spans="1:15" x14ac:dyDescent="0.3">
      <c r="A464">
        <v>201</v>
      </c>
      <c r="B464" t="s">
        <v>323</v>
      </c>
      <c r="C464">
        <v>168</v>
      </c>
      <c r="D464" t="s">
        <v>137</v>
      </c>
      <c r="E464">
        <v>667</v>
      </c>
      <c r="F464" t="s">
        <v>376</v>
      </c>
      <c r="G464">
        <v>0</v>
      </c>
      <c r="H464">
        <v>0</v>
      </c>
      <c r="I464">
        <v>1</v>
      </c>
      <c r="J464">
        <v>3</v>
      </c>
      <c r="K464">
        <v>1</v>
      </c>
      <c r="L464">
        <v>0</v>
      </c>
      <c r="M464" t="s">
        <v>333</v>
      </c>
      <c r="N464" t="s">
        <v>326</v>
      </c>
      <c r="O464" t="s">
        <v>330</v>
      </c>
    </row>
    <row r="465" spans="1:15" x14ac:dyDescent="0.3">
      <c r="A465">
        <v>201</v>
      </c>
      <c r="B465" t="s">
        <v>323</v>
      </c>
      <c r="C465">
        <v>168</v>
      </c>
      <c r="D465" t="s">
        <v>137</v>
      </c>
      <c r="E465">
        <v>668</v>
      </c>
      <c r="F465" t="s">
        <v>363</v>
      </c>
      <c r="G465">
        <v>0</v>
      </c>
      <c r="H465">
        <v>1</v>
      </c>
      <c r="I465">
        <v>6</v>
      </c>
      <c r="J465">
        <v>4</v>
      </c>
      <c r="K465">
        <v>0</v>
      </c>
      <c r="L465">
        <v>0</v>
      </c>
      <c r="M465" t="s">
        <v>325</v>
      </c>
      <c r="N465" t="s">
        <v>326</v>
      </c>
      <c r="O465" t="s">
        <v>340</v>
      </c>
    </row>
    <row r="466" spans="1:15" x14ac:dyDescent="0.3">
      <c r="A466">
        <v>201</v>
      </c>
      <c r="B466" t="s">
        <v>323</v>
      </c>
      <c r="C466">
        <v>168</v>
      </c>
      <c r="D466" t="s">
        <v>137</v>
      </c>
      <c r="E466">
        <v>669</v>
      </c>
      <c r="F466" t="s">
        <v>742</v>
      </c>
      <c r="G466">
        <v>0</v>
      </c>
      <c r="H466">
        <v>0</v>
      </c>
      <c r="I466">
        <v>1</v>
      </c>
      <c r="J466">
        <v>3</v>
      </c>
      <c r="K466">
        <v>1</v>
      </c>
      <c r="L466">
        <v>0</v>
      </c>
      <c r="M466" t="s">
        <v>333</v>
      </c>
      <c r="N466" t="s">
        <v>336</v>
      </c>
      <c r="O466" t="s">
        <v>352</v>
      </c>
    </row>
    <row r="467" spans="1:15" x14ac:dyDescent="0.3">
      <c r="A467">
        <v>201</v>
      </c>
      <c r="B467" t="s">
        <v>323</v>
      </c>
      <c r="C467">
        <v>168</v>
      </c>
      <c r="D467" t="s">
        <v>137</v>
      </c>
      <c r="E467">
        <v>670</v>
      </c>
      <c r="F467" t="s">
        <v>640</v>
      </c>
      <c r="G467">
        <v>0</v>
      </c>
      <c r="H467">
        <v>0</v>
      </c>
      <c r="I467">
        <v>1</v>
      </c>
      <c r="J467">
        <v>3</v>
      </c>
      <c r="K467">
        <v>2</v>
      </c>
      <c r="L467">
        <v>0</v>
      </c>
      <c r="M467" t="s">
        <v>333</v>
      </c>
      <c r="N467" t="s">
        <v>326</v>
      </c>
      <c r="O467" t="s">
        <v>340</v>
      </c>
    </row>
    <row r="468" spans="1:15" x14ac:dyDescent="0.3">
      <c r="A468">
        <v>201</v>
      </c>
      <c r="B468" t="s">
        <v>323</v>
      </c>
      <c r="C468">
        <v>168</v>
      </c>
      <c r="D468" t="s">
        <v>137</v>
      </c>
      <c r="E468">
        <v>671</v>
      </c>
      <c r="F468" t="s">
        <v>743</v>
      </c>
      <c r="G468">
        <v>0</v>
      </c>
      <c r="H468">
        <v>3</v>
      </c>
      <c r="I468">
        <v>3</v>
      </c>
      <c r="J468">
        <v>0</v>
      </c>
      <c r="K468">
        <v>0</v>
      </c>
      <c r="L468">
        <v>0</v>
      </c>
      <c r="M468" t="s">
        <v>333</v>
      </c>
      <c r="N468" t="s">
        <v>336</v>
      </c>
      <c r="O468" t="s">
        <v>352</v>
      </c>
    </row>
    <row r="469" spans="1:15" x14ac:dyDescent="0.3">
      <c r="A469">
        <v>201</v>
      </c>
      <c r="B469" t="s">
        <v>323</v>
      </c>
      <c r="C469">
        <v>168</v>
      </c>
      <c r="D469" t="s">
        <v>137</v>
      </c>
      <c r="E469">
        <v>672</v>
      </c>
      <c r="F469" t="s">
        <v>346</v>
      </c>
      <c r="G469">
        <v>0</v>
      </c>
      <c r="H469">
        <v>2</v>
      </c>
      <c r="I469">
        <v>4</v>
      </c>
      <c r="J469">
        <v>0</v>
      </c>
      <c r="K469">
        <v>0</v>
      </c>
      <c r="L469">
        <v>0</v>
      </c>
      <c r="M469" t="s">
        <v>333</v>
      </c>
      <c r="N469" t="s">
        <v>348</v>
      </c>
      <c r="O469" t="s">
        <v>352</v>
      </c>
    </row>
    <row r="470" spans="1:15" x14ac:dyDescent="0.3">
      <c r="A470">
        <v>201</v>
      </c>
      <c r="B470" t="s">
        <v>323</v>
      </c>
      <c r="C470">
        <v>168</v>
      </c>
      <c r="D470" t="s">
        <v>137</v>
      </c>
      <c r="E470">
        <v>673</v>
      </c>
      <c r="F470" t="s">
        <v>744</v>
      </c>
      <c r="G470">
        <v>0</v>
      </c>
      <c r="H470">
        <v>3</v>
      </c>
      <c r="I470">
        <v>5</v>
      </c>
      <c r="J470">
        <v>0</v>
      </c>
      <c r="K470">
        <v>0</v>
      </c>
      <c r="L470">
        <v>0</v>
      </c>
      <c r="M470" t="s">
        <v>410</v>
      </c>
      <c r="N470" t="s">
        <v>336</v>
      </c>
      <c r="O470" t="s">
        <v>327</v>
      </c>
    </row>
    <row r="471" spans="1:15" x14ac:dyDescent="0.3">
      <c r="A471">
        <v>201</v>
      </c>
      <c r="B471" t="s">
        <v>323</v>
      </c>
      <c r="C471">
        <v>168</v>
      </c>
      <c r="D471" t="s">
        <v>137</v>
      </c>
      <c r="E471">
        <v>674</v>
      </c>
      <c r="F471" t="s">
        <v>745</v>
      </c>
      <c r="G471">
        <v>0</v>
      </c>
      <c r="H471">
        <v>0</v>
      </c>
      <c r="I471">
        <v>2</v>
      </c>
      <c r="J471">
        <v>4</v>
      </c>
      <c r="K471">
        <v>0</v>
      </c>
      <c r="L471">
        <v>0</v>
      </c>
      <c r="M471" t="s">
        <v>333</v>
      </c>
      <c r="N471" t="s">
        <v>484</v>
      </c>
      <c r="O471" t="s">
        <v>352</v>
      </c>
    </row>
    <row r="472" spans="1:15" x14ac:dyDescent="0.3">
      <c r="A472">
        <v>201</v>
      </c>
      <c r="B472" t="s">
        <v>323</v>
      </c>
      <c r="C472">
        <v>168</v>
      </c>
      <c r="D472" t="s">
        <v>137</v>
      </c>
      <c r="E472">
        <v>675</v>
      </c>
      <c r="F472" t="s">
        <v>746</v>
      </c>
      <c r="G472">
        <v>6</v>
      </c>
      <c r="H472">
        <v>4</v>
      </c>
      <c r="I472">
        <v>1</v>
      </c>
      <c r="J472">
        <v>0</v>
      </c>
      <c r="K472">
        <v>0</v>
      </c>
      <c r="L472">
        <v>0</v>
      </c>
      <c r="M472" t="s">
        <v>333</v>
      </c>
      <c r="N472" t="s">
        <v>484</v>
      </c>
      <c r="O472" t="s">
        <v>340</v>
      </c>
    </row>
    <row r="473" spans="1:15" x14ac:dyDescent="0.3">
      <c r="A473">
        <v>201</v>
      </c>
      <c r="B473" t="s">
        <v>323</v>
      </c>
      <c r="C473">
        <v>168</v>
      </c>
      <c r="D473" t="s">
        <v>137</v>
      </c>
      <c r="E473">
        <v>676</v>
      </c>
      <c r="F473" t="s">
        <v>747</v>
      </c>
      <c r="G473">
        <v>3</v>
      </c>
      <c r="H473">
        <v>1</v>
      </c>
      <c r="I473">
        <v>2</v>
      </c>
      <c r="J473">
        <v>0</v>
      </c>
      <c r="K473">
        <v>0</v>
      </c>
      <c r="L473">
        <v>0</v>
      </c>
      <c r="M473" t="s">
        <v>333</v>
      </c>
      <c r="N473" t="s">
        <v>336</v>
      </c>
      <c r="O473" t="s">
        <v>340</v>
      </c>
    </row>
    <row r="474" spans="1:15" x14ac:dyDescent="0.3">
      <c r="A474">
        <v>201</v>
      </c>
      <c r="B474" t="s">
        <v>323</v>
      </c>
      <c r="C474">
        <v>168</v>
      </c>
      <c r="D474" t="s">
        <v>137</v>
      </c>
      <c r="E474">
        <v>677</v>
      </c>
      <c r="F474" t="s">
        <v>748</v>
      </c>
      <c r="G474">
        <v>0</v>
      </c>
      <c r="H474">
        <v>0</v>
      </c>
      <c r="I474">
        <v>2</v>
      </c>
      <c r="J474">
        <v>4</v>
      </c>
      <c r="K474">
        <v>0</v>
      </c>
      <c r="L474">
        <v>0</v>
      </c>
      <c r="M474" t="s">
        <v>325</v>
      </c>
      <c r="N474" t="s">
        <v>343</v>
      </c>
      <c r="O474" t="s">
        <v>338</v>
      </c>
    </row>
    <row r="475" spans="1:15" x14ac:dyDescent="0.3">
      <c r="A475">
        <v>201</v>
      </c>
      <c r="B475" t="s">
        <v>323</v>
      </c>
      <c r="C475">
        <v>168</v>
      </c>
      <c r="D475" t="s">
        <v>137</v>
      </c>
      <c r="E475">
        <v>678</v>
      </c>
      <c r="F475" t="s">
        <v>749</v>
      </c>
      <c r="G475">
        <v>4</v>
      </c>
      <c r="H475">
        <v>2</v>
      </c>
      <c r="I475">
        <v>1</v>
      </c>
      <c r="J475">
        <v>0</v>
      </c>
      <c r="K475">
        <v>0</v>
      </c>
      <c r="L475">
        <v>0</v>
      </c>
      <c r="M475" t="s">
        <v>333</v>
      </c>
      <c r="N475" t="s">
        <v>348</v>
      </c>
      <c r="O475" t="s">
        <v>352</v>
      </c>
    </row>
    <row r="476" spans="1:15" x14ac:dyDescent="0.3">
      <c r="A476">
        <v>201</v>
      </c>
      <c r="B476" t="s">
        <v>323</v>
      </c>
      <c r="C476">
        <v>168</v>
      </c>
      <c r="D476" t="s">
        <v>137</v>
      </c>
      <c r="E476">
        <v>679</v>
      </c>
      <c r="F476" t="s">
        <v>750</v>
      </c>
      <c r="G476">
        <v>0</v>
      </c>
      <c r="H476">
        <v>1</v>
      </c>
      <c r="I476">
        <v>3</v>
      </c>
      <c r="J476">
        <v>1</v>
      </c>
      <c r="K476">
        <v>0</v>
      </c>
      <c r="L476">
        <v>0</v>
      </c>
      <c r="M476" t="s">
        <v>333</v>
      </c>
      <c r="N476" t="s">
        <v>348</v>
      </c>
      <c r="O476" t="s">
        <v>330</v>
      </c>
    </row>
    <row r="477" spans="1:15" x14ac:dyDescent="0.3">
      <c r="A477">
        <v>201</v>
      </c>
      <c r="B477" t="s">
        <v>323</v>
      </c>
      <c r="C477">
        <v>168</v>
      </c>
      <c r="D477" t="s">
        <v>137</v>
      </c>
      <c r="E477">
        <v>680</v>
      </c>
      <c r="F477" t="s">
        <v>751</v>
      </c>
      <c r="G477">
        <v>0</v>
      </c>
      <c r="H477">
        <v>1</v>
      </c>
      <c r="I477">
        <v>8</v>
      </c>
      <c r="J477">
        <v>0</v>
      </c>
      <c r="K477">
        <v>0</v>
      </c>
      <c r="L477">
        <v>0</v>
      </c>
      <c r="M477" t="s">
        <v>325</v>
      </c>
      <c r="N477" t="s">
        <v>343</v>
      </c>
      <c r="O477" t="s">
        <v>352</v>
      </c>
    </row>
    <row r="478" spans="1:15" x14ac:dyDescent="0.3">
      <c r="A478">
        <v>201</v>
      </c>
      <c r="B478" t="s">
        <v>323</v>
      </c>
      <c r="C478">
        <v>168</v>
      </c>
      <c r="D478" t="s">
        <v>137</v>
      </c>
      <c r="E478">
        <v>682</v>
      </c>
      <c r="F478" t="s">
        <v>752</v>
      </c>
      <c r="G478">
        <v>2</v>
      </c>
      <c r="H478">
        <v>1</v>
      </c>
      <c r="I478">
        <v>1</v>
      </c>
      <c r="J478">
        <v>0</v>
      </c>
      <c r="K478">
        <v>0</v>
      </c>
      <c r="L478">
        <v>0</v>
      </c>
      <c r="M478" t="s">
        <v>333</v>
      </c>
      <c r="N478" t="s">
        <v>336</v>
      </c>
      <c r="O478" t="s">
        <v>340</v>
      </c>
    </row>
    <row r="479" spans="1:15" x14ac:dyDescent="0.3">
      <c r="A479">
        <v>201</v>
      </c>
      <c r="B479" t="s">
        <v>323</v>
      </c>
      <c r="C479">
        <v>168</v>
      </c>
      <c r="D479" t="s">
        <v>137</v>
      </c>
      <c r="E479">
        <v>684</v>
      </c>
      <c r="F479" t="s">
        <v>753</v>
      </c>
      <c r="G479">
        <v>3</v>
      </c>
      <c r="H479">
        <v>2</v>
      </c>
      <c r="I479">
        <v>2</v>
      </c>
      <c r="J479">
        <v>1</v>
      </c>
      <c r="K479">
        <v>0</v>
      </c>
      <c r="L479">
        <v>0</v>
      </c>
      <c r="M479" t="s">
        <v>333</v>
      </c>
      <c r="N479" t="s">
        <v>336</v>
      </c>
      <c r="O479" t="s">
        <v>340</v>
      </c>
    </row>
    <row r="480" spans="1:15" x14ac:dyDescent="0.3">
      <c r="A480">
        <v>201</v>
      </c>
      <c r="B480" t="s">
        <v>323</v>
      </c>
      <c r="C480">
        <v>168</v>
      </c>
      <c r="D480" t="s">
        <v>137</v>
      </c>
      <c r="E480">
        <v>685</v>
      </c>
      <c r="F480" t="s">
        <v>754</v>
      </c>
      <c r="G480">
        <v>2</v>
      </c>
      <c r="H480">
        <v>2</v>
      </c>
      <c r="I480">
        <v>0</v>
      </c>
      <c r="J480">
        <v>0</v>
      </c>
      <c r="K480">
        <v>0</v>
      </c>
      <c r="L480">
        <v>0</v>
      </c>
      <c r="M480" t="s">
        <v>333</v>
      </c>
      <c r="N480" t="s">
        <v>348</v>
      </c>
      <c r="O480" t="s">
        <v>330</v>
      </c>
    </row>
    <row r="481" spans="1:15" x14ac:dyDescent="0.3">
      <c r="A481">
        <v>201</v>
      </c>
      <c r="B481" t="s">
        <v>323</v>
      </c>
      <c r="C481">
        <v>168</v>
      </c>
      <c r="D481" t="s">
        <v>137</v>
      </c>
      <c r="E481">
        <v>836</v>
      </c>
      <c r="F481" t="s">
        <v>755</v>
      </c>
      <c r="G481">
        <v>0</v>
      </c>
      <c r="H481">
        <v>4</v>
      </c>
      <c r="I481">
        <v>4</v>
      </c>
      <c r="J481">
        <v>1</v>
      </c>
      <c r="K481">
        <v>1</v>
      </c>
      <c r="L481">
        <v>0</v>
      </c>
      <c r="M481" t="s">
        <v>333</v>
      </c>
      <c r="N481" t="s">
        <v>336</v>
      </c>
      <c r="O481" t="s">
        <v>338</v>
      </c>
    </row>
    <row r="482" spans="1:15" x14ac:dyDescent="0.3">
      <c r="A482">
        <v>201</v>
      </c>
      <c r="B482" t="s">
        <v>323</v>
      </c>
      <c r="C482">
        <v>168</v>
      </c>
      <c r="D482" t="s">
        <v>137</v>
      </c>
      <c r="E482">
        <v>1465</v>
      </c>
      <c r="F482" t="s">
        <v>756</v>
      </c>
      <c r="G482">
        <v>6</v>
      </c>
      <c r="H482">
        <v>4</v>
      </c>
      <c r="I482">
        <v>3</v>
      </c>
      <c r="J482">
        <v>0</v>
      </c>
      <c r="K482">
        <v>4</v>
      </c>
      <c r="L482">
        <v>2</v>
      </c>
      <c r="M482" t="s">
        <v>325</v>
      </c>
      <c r="N482" t="s">
        <v>326</v>
      </c>
      <c r="O482" t="s">
        <v>338</v>
      </c>
    </row>
    <row r="483" spans="1:15" x14ac:dyDescent="0.3">
      <c r="A483">
        <v>201</v>
      </c>
      <c r="B483" t="s">
        <v>323</v>
      </c>
      <c r="C483">
        <v>168</v>
      </c>
      <c r="D483" t="s">
        <v>137</v>
      </c>
      <c r="E483">
        <v>1466</v>
      </c>
      <c r="F483" t="s">
        <v>757</v>
      </c>
      <c r="G483">
        <v>1</v>
      </c>
      <c r="H483">
        <v>2</v>
      </c>
      <c r="I483">
        <v>5</v>
      </c>
      <c r="J483">
        <v>0</v>
      </c>
      <c r="K483">
        <v>0</v>
      </c>
      <c r="L483">
        <v>0</v>
      </c>
      <c r="M483" t="s">
        <v>333</v>
      </c>
      <c r="N483" t="s">
        <v>484</v>
      </c>
      <c r="O483" t="s">
        <v>330</v>
      </c>
    </row>
    <row r="484" spans="1:15" x14ac:dyDescent="0.3">
      <c r="A484">
        <v>201</v>
      </c>
      <c r="B484" t="s">
        <v>323</v>
      </c>
      <c r="C484">
        <v>168</v>
      </c>
      <c r="D484" t="s">
        <v>137</v>
      </c>
      <c r="E484">
        <v>1467</v>
      </c>
      <c r="F484" t="s">
        <v>758</v>
      </c>
      <c r="G484">
        <v>1</v>
      </c>
      <c r="H484">
        <v>2</v>
      </c>
      <c r="I484">
        <v>3</v>
      </c>
      <c r="J484">
        <v>2</v>
      </c>
      <c r="K484">
        <v>0</v>
      </c>
      <c r="L484">
        <v>0</v>
      </c>
      <c r="M484" t="s">
        <v>333</v>
      </c>
      <c r="N484" t="s">
        <v>326</v>
      </c>
      <c r="O484" t="s">
        <v>340</v>
      </c>
    </row>
    <row r="485" spans="1:15" x14ac:dyDescent="0.3">
      <c r="A485">
        <v>202</v>
      </c>
      <c r="B485" t="s">
        <v>323</v>
      </c>
      <c r="C485">
        <v>169</v>
      </c>
      <c r="D485" t="s">
        <v>139</v>
      </c>
      <c r="E485">
        <v>565</v>
      </c>
      <c r="F485" t="s">
        <v>759</v>
      </c>
      <c r="G485">
        <v>0</v>
      </c>
      <c r="H485">
        <v>6</v>
      </c>
      <c r="I485">
        <v>0</v>
      </c>
      <c r="J485">
        <v>0</v>
      </c>
      <c r="K485">
        <v>0</v>
      </c>
      <c r="L485">
        <v>0</v>
      </c>
      <c r="M485" t="s">
        <v>416</v>
      </c>
      <c r="N485" t="s">
        <v>336</v>
      </c>
      <c r="O485" t="s">
        <v>340</v>
      </c>
    </row>
    <row r="486" spans="1:15" x14ac:dyDescent="0.3">
      <c r="A486">
        <v>202</v>
      </c>
      <c r="B486" t="s">
        <v>323</v>
      </c>
      <c r="C486">
        <v>169</v>
      </c>
      <c r="D486" t="s">
        <v>139</v>
      </c>
      <c r="E486">
        <v>566</v>
      </c>
      <c r="F486" t="s">
        <v>760</v>
      </c>
      <c r="G486">
        <v>4</v>
      </c>
      <c r="H486">
        <v>2</v>
      </c>
      <c r="I486">
        <v>0</v>
      </c>
      <c r="J486">
        <v>0</v>
      </c>
      <c r="K486">
        <v>0</v>
      </c>
      <c r="L486">
        <v>0</v>
      </c>
      <c r="M486" t="s">
        <v>325</v>
      </c>
      <c r="N486" t="s">
        <v>336</v>
      </c>
      <c r="O486" t="s">
        <v>338</v>
      </c>
    </row>
    <row r="487" spans="1:15" x14ac:dyDescent="0.3">
      <c r="A487">
        <v>202</v>
      </c>
      <c r="B487" t="s">
        <v>323</v>
      </c>
      <c r="C487">
        <v>169</v>
      </c>
      <c r="D487" t="s">
        <v>139</v>
      </c>
      <c r="E487">
        <v>567</v>
      </c>
      <c r="F487" t="s">
        <v>315</v>
      </c>
      <c r="G487">
        <v>2</v>
      </c>
      <c r="H487">
        <v>1</v>
      </c>
      <c r="I487">
        <v>0</v>
      </c>
      <c r="J487">
        <v>1</v>
      </c>
      <c r="K487">
        <v>0</v>
      </c>
      <c r="L487">
        <v>0</v>
      </c>
      <c r="M487" t="s">
        <v>325</v>
      </c>
      <c r="N487" t="s">
        <v>484</v>
      </c>
      <c r="O487" t="s">
        <v>330</v>
      </c>
    </row>
    <row r="488" spans="1:15" x14ac:dyDescent="0.3">
      <c r="A488">
        <v>202</v>
      </c>
      <c r="B488" t="s">
        <v>323</v>
      </c>
      <c r="C488">
        <v>169</v>
      </c>
      <c r="D488" t="s">
        <v>139</v>
      </c>
      <c r="E488">
        <v>568</v>
      </c>
      <c r="F488" t="s">
        <v>761</v>
      </c>
      <c r="G488">
        <v>6</v>
      </c>
      <c r="H488">
        <v>7</v>
      </c>
      <c r="I488">
        <v>5</v>
      </c>
      <c r="J488">
        <v>0</v>
      </c>
      <c r="K488">
        <v>0</v>
      </c>
      <c r="L488">
        <v>0</v>
      </c>
      <c r="M488" t="s">
        <v>325</v>
      </c>
      <c r="N488" t="s">
        <v>484</v>
      </c>
      <c r="O488" t="s">
        <v>330</v>
      </c>
    </row>
    <row r="489" spans="1:15" x14ac:dyDescent="0.3">
      <c r="A489">
        <v>202</v>
      </c>
      <c r="B489" t="s">
        <v>323</v>
      </c>
      <c r="C489">
        <v>169</v>
      </c>
      <c r="D489" t="s">
        <v>139</v>
      </c>
      <c r="E489">
        <v>569</v>
      </c>
      <c r="F489" t="s">
        <v>762</v>
      </c>
      <c r="G489">
        <v>3</v>
      </c>
      <c r="H489">
        <v>4</v>
      </c>
      <c r="I489">
        <v>0</v>
      </c>
      <c r="J489">
        <v>0</v>
      </c>
      <c r="K489">
        <v>0</v>
      </c>
      <c r="L489">
        <v>0</v>
      </c>
      <c r="M489" t="s">
        <v>325</v>
      </c>
      <c r="N489" t="s">
        <v>484</v>
      </c>
      <c r="O489" t="s">
        <v>338</v>
      </c>
    </row>
    <row r="490" spans="1:15" x14ac:dyDescent="0.3">
      <c r="A490">
        <v>202</v>
      </c>
      <c r="B490" t="s">
        <v>323</v>
      </c>
      <c r="C490">
        <v>169</v>
      </c>
      <c r="D490" t="s">
        <v>139</v>
      </c>
      <c r="E490">
        <v>570</v>
      </c>
      <c r="F490" t="s">
        <v>763</v>
      </c>
      <c r="G490">
        <v>3</v>
      </c>
      <c r="H490">
        <v>2</v>
      </c>
      <c r="I490">
        <v>0</v>
      </c>
      <c r="J490">
        <v>0</v>
      </c>
      <c r="K490">
        <v>0</v>
      </c>
      <c r="L490">
        <v>0</v>
      </c>
      <c r="M490" t="s">
        <v>333</v>
      </c>
      <c r="N490" t="s">
        <v>484</v>
      </c>
      <c r="O490" t="s">
        <v>340</v>
      </c>
    </row>
    <row r="491" spans="1:15" x14ac:dyDescent="0.3">
      <c r="A491">
        <v>202</v>
      </c>
      <c r="B491" t="s">
        <v>323</v>
      </c>
      <c r="C491">
        <v>169</v>
      </c>
      <c r="D491" t="s">
        <v>139</v>
      </c>
      <c r="E491">
        <v>571</v>
      </c>
      <c r="F491" t="s">
        <v>764</v>
      </c>
      <c r="G491">
        <v>5</v>
      </c>
      <c r="H491">
        <v>2</v>
      </c>
      <c r="I491">
        <v>0</v>
      </c>
      <c r="J491">
        <v>0</v>
      </c>
      <c r="K491">
        <v>0</v>
      </c>
      <c r="L491">
        <v>0</v>
      </c>
      <c r="M491" t="s">
        <v>325</v>
      </c>
      <c r="N491" t="s">
        <v>484</v>
      </c>
      <c r="O491" t="s">
        <v>330</v>
      </c>
    </row>
    <row r="492" spans="1:15" x14ac:dyDescent="0.3">
      <c r="A492">
        <v>202</v>
      </c>
      <c r="B492" t="s">
        <v>323</v>
      </c>
      <c r="C492">
        <v>169</v>
      </c>
      <c r="D492" t="s">
        <v>139</v>
      </c>
      <c r="E492">
        <v>572</v>
      </c>
      <c r="F492" t="s">
        <v>765</v>
      </c>
      <c r="G492">
        <v>3</v>
      </c>
      <c r="H492">
        <v>2</v>
      </c>
      <c r="I492">
        <v>1</v>
      </c>
      <c r="J492">
        <v>0</v>
      </c>
      <c r="K492">
        <v>0</v>
      </c>
      <c r="L492">
        <v>0</v>
      </c>
      <c r="M492" t="s">
        <v>325</v>
      </c>
      <c r="N492" t="s">
        <v>484</v>
      </c>
      <c r="O492" t="s">
        <v>352</v>
      </c>
    </row>
    <row r="493" spans="1:15" x14ac:dyDescent="0.3">
      <c r="A493">
        <v>202</v>
      </c>
      <c r="B493" t="s">
        <v>323</v>
      </c>
      <c r="C493">
        <v>169</v>
      </c>
      <c r="D493" t="s">
        <v>139</v>
      </c>
      <c r="E493">
        <v>573</v>
      </c>
      <c r="F493" t="s">
        <v>766</v>
      </c>
      <c r="G493">
        <v>4</v>
      </c>
      <c r="H493">
        <v>1</v>
      </c>
      <c r="I493">
        <v>0</v>
      </c>
      <c r="J493">
        <v>0</v>
      </c>
      <c r="K493">
        <v>0</v>
      </c>
      <c r="L493">
        <v>0</v>
      </c>
      <c r="M493" t="s">
        <v>325</v>
      </c>
      <c r="N493" t="s">
        <v>484</v>
      </c>
      <c r="O493" t="s">
        <v>340</v>
      </c>
    </row>
    <row r="494" spans="1:15" x14ac:dyDescent="0.3">
      <c r="A494">
        <v>202</v>
      </c>
      <c r="B494" t="s">
        <v>323</v>
      </c>
      <c r="C494">
        <v>169</v>
      </c>
      <c r="D494" t="s">
        <v>139</v>
      </c>
      <c r="E494">
        <v>574</v>
      </c>
      <c r="F494" t="s">
        <v>485</v>
      </c>
      <c r="G494">
        <v>2</v>
      </c>
      <c r="H494">
        <v>2</v>
      </c>
      <c r="I494">
        <v>0</v>
      </c>
      <c r="J494">
        <v>0</v>
      </c>
      <c r="K494">
        <v>0</v>
      </c>
      <c r="L494">
        <v>0</v>
      </c>
      <c r="M494" t="s">
        <v>333</v>
      </c>
      <c r="N494" t="s">
        <v>484</v>
      </c>
      <c r="O494" t="s">
        <v>352</v>
      </c>
    </row>
    <row r="495" spans="1:15" x14ac:dyDescent="0.3">
      <c r="A495">
        <v>202</v>
      </c>
      <c r="B495" t="s">
        <v>323</v>
      </c>
      <c r="C495">
        <v>169</v>
      </c>
      <c r="D495" t="s">
        <v>139</v>
      </c>
      <c r="E495">
        <v>575</v>
      </c>
      <c r="F495" t="s">
        <v>767</v>
      </c>
      <c r="G495">
        <v>0</v>
      </c>
      <c r="H495">
        <v>1</v>
      </c>
      <c r="I495">
        <v>2</v>
      </c>
      <c r="J495">
        <v>1</v>
      </c>
      <c r="K495">
        <v>0</v>
      </c>
      <c r="L495">
        <v>1</v>
      </c>
      <c r="M495" t="s">
        <v>333</v>
      </c>
      <c r="N495" t="s">
        <v>336</v>
      </c>
      <c r="O495" t="s">
        <v>340</v>
      </c>
    </row>
    <row r="496" spans="1:15" x14ac:dyDescent="0.3">
      <c r="A496">
        <v>202</v>
      </c>
      <c r="B496" t="s">
        <v>323</v>
      </c>
      <c r="C496">
        <v>169</v>
      </c>
      <c r="D496" t="s">
        <v>139</v>
      </c>
      <c r="E496">
        <v>576</v>
      </c>
      <c r="F496" t="s">
        <v>768</v>
      </c>
      <c r="G496">
        <v>2</v>
      </c>
      <c r="H496">
        <v>3</v>
      </c>
      <c r="I496">
        <v>0</v>
      </c>
      <c r="J496">
        <v>0</v>
      </c>
      <c r="K496">
        <v>0</v>
      </c>
      <c r="L496">
        <v>0</v>
      </c>
      <c r="M496" t="s">
        <v>333</v>
      </c>
      <c r="N496" t="s">
        <v>484</v>
      </c>
      <c r="O496" t="s">
        <v>352</v>
      </c>
    </row>
    <row r="497" spans="1:15" x14ac:dyDescent="0.3">
      <c r="A497">
        <v>202</v>
      </c>
      <c r="B497" t="s">
        <v>323</v>
      </c>
      <c r="C497">
        <v>169</v>
      </c>
      <c r="D497" t="s">
        <v>139</v>
      </c>
      <c r="E497">
        <v>577</v>
      </c>
      <c r="F497" t="s">
        <v>769</v>
      </c>
      <c r="G497">
        <v>2</v>
      </c>
      <c r="H497">
        <v>2</v>
      </c>
      <c r="I497">
        <v>2</v>
      </c>
      <c r="J497">
        <v>0</v>
      </c>
      <c r="K497">
        <v>0</v>
      </c>
      <c r="L497">
        <v>0</v>
      </c>
      <c r="M497" t="s">
        <v>325</v>
      </c>
      <c r="N497" t="s">
        <v>484</v>
      </c>
      <c r="O497" t="s">
        <v>340</v>
      </c>
    </row>
    <row r="498" spans="1:15" x14ac:dyDescent="0.3">
      <c r="A498">
        <v>202</v>
      </c>
      <c r="B498" t="s">
        <v>323</v>
      </c>
      <c r="C498">
        <v>169</v>
      </c>
      <c r="D498" t="s">
        <v>139</v>
      </c>
      <c r="E498">
        <v>578</v>
      </c>
      <c r="F498" t="s">
        <v>770</v>
      </c>
      <c r="G498">
        <v>3</v>
      </c>
      <c r="H498">
        <v>1</v>
      </c>
      <c r="I498">
        <v>0</v>
      </c>
      <c r="J498">
        <v>0</v>
      </c>
      <c r="K498">
        <v>0</v>
      </c>
      <c r="L498">
        <v>0</v>
      </c>
      <c r="M498" t="s">
        <v>333</v>
      </c>
      <c r="N498" t="s">
        <v>484</v>
      </c>
      <c r="O498" t="s">
        <v>352</v>
      </c>
    </row>
    <row r="499" spans="1:15" x14ac:dyDescent="0.3">
      <c r="A499">
        <v>202</v>
      </c>
      <c r="B499" t="s">
        <v>323</v>
      </c>
      <c r="C499">
        <v>169</v>
      </c>
      <c r="D499" t="s">
        <v>139</v>
      </c>
      <c r="E499">
        <v>579</v>
      </c>
      <c r="F499" t="s">
        <v>771</v>
      </c>
      <c r="G499">
        <v>5</v>
      </c>
      <c r="H499">
        <v>1</v>
      </c>
      <c r="I499">
        <v>0</v>
      </c>
      <c r="J499">
        <v>0</v>
      </c>
      <c r="K499">
        <v>0</v>
      </c>
      <c r="L499">
        <v>0</v>
      </c>
      <c r="M499" t="s">
        <v>325</v>
      </c>
      <c r="N499" t="s">
        <v>484</v>
      </c>
      <c r="O499" t="s">
        <v>330</v>
      </c>
    </row>
    <row r="500" spans="1:15" x14ac:dyDescent="0.3">
      <c r="A500">
        <v>202</v>
      </c>
      <c r="B500" t="s">
        <v>323</v>
      </c>
      <c r="C500">
        <v>169</v>
      </c>
      <c r="D500" t="s">
        <v>139</v>
      </c>
      <c r="E500">
        <v>580</v>
      </c>
      <c r="F500" t="s">
        <v>772</v>
      </c>
      <c r="G500">
        <v>0</v>
      </c>
      <c r="H500">
        <v>2</v>
      </c>
      <c r="I500">
        <v>1</v>
      </c>
      <c r="J500">
        <v>2</v>
      </c>
      <c r="K500">
        <v>0</v>
      </c>
      <c r="L500">
        <v>0</v>
      </c>
      <c r="M500" t="s">
        <v>333</v>
      </c>
      <c r="N500" t="s">
        <v>326</v>
      </c>
      <c r="O500" t="s">
        <v>330</v>
      </c>
    </row>
    <row r="501" spans="1:15" x14ac:dyDescent="0.3">
      <c r="A501">
        <v>202</v>
      </c>
      <c r="B501" t="s">
        <v>323</v>
      </c>
      <c r="C501">
        <v>169</v>
      </c>
      <c r="D501" t="s">
        <v>139</v>
      </c>
      <c r="E501">
        <v>581</v>
      </c>
      <c r="F501" t="s">
        <v>773</v>
      </c>
      <c r="G501">
        <v>1</v>
      </c>
      <c r="H501">
        <v>0</v>
      </c>
      <c r="I501">
        <v>1</v>
      </c>
      <c r="J501">
        <v>0</v>
      </c>
      <c r="K501">
        <v>0</v>
      </c>
      <c r="L501">
        <v>0</v>
      </c>
      <c r="M501" t="s">
        <v>325</v>
      </c>
      <c r="N501" t="s">
        <v>484</v>
      </c>
      <c r="O501" t="s">
        <v>352</v>
      </c>
    </row>
    <row r="502" spans="1:15" x14ac:dyDescent="0.3">
      <c r="A502">
        <v>202</v>
      </c>
      <c r="B502" t="s">
        <v>323</v>
      </c>
      <c r="C502">
        <v>169</v>
      </c>
      <c r="D502" t="s">
        <v>139</v>
      </c>
      <c r="E502">
        <v>583</v>
      </c>
      <c r="F502" t="s">
        <v>774</v>
      </c>
      <c r="G502">
        <v>2</v>
      </c>
      <c r="H502">
        <v>0</v>
      </c>
      <c r="I502">
        <v>1</v>
      </c>
      <c r="J502">
        <v>0</v>
      </c>
      <c r="K502">
        <v>0</v>
      </c>
      <c r="L502">
        <v>0</v>
      </c>
      <c r="M502" t="s">
        <v>333</v>
      </c>
      <c r="N502" t="s">
        <v>336</v>
      </c>
      <c r="O502" t="s">
        <v>352</v>
      </c>
    </row>
    <row r="503" spans="1:15" x14ac:dyDescent="0.3">
      <c r="A503">
        <v>202</v>
      </c>
      <c r="B503" t="s">
        <v>323</v>
      </c>
      <c r="C503">
        <v>169</v>
      </c>
      <c r="D503" t="s">
        <v>139</v>
      </c>
      <c r="E503">
        <v>584</v>
      </c>
      <c r="F503" t="s">
        <v>775</v>
      </c>
      <c r="G503">
        <v>3</v>
      </c>
      <c r="H503">
        <v>1</v>
      </c>
      <c r="I503">
        <v>1</v>
      </c>
      <c r="J503">
        <v>0</v>
      </c>
      <c r="K503">
        <v>0</v>
      </c>
      <c r="L503">
        <v>1</v>
      </c>
      <c r="M503" t="s">
        <v>325</v>
      </c>
      <c r="N503" t="s">
        <v>336</v>
      </c>
      <c r="O503" t="s">
        <v>338</v>
      </c>
    </row>
    <row r="504" spans="1:15" x14ac:dyDescent="0.3">
      <c r="A504">
        <v>202</v>
      </c>
      <c r="B504" t="s">
        <v>323</v>
      </c>
      <c r="C504">
        <v>169</v>
      </c>
      <c r="D504" t="s">
        <v>139</v>
      </c>
      <c r="E504">
        <v>585</v>
      </c>
      <c r="F504" t="s">
        <v>776</v>
      </c>
      <c r="G504">
        <v>4</v>
      </c>
      <c r="H504">
        <v>0</v>
      </c>
      <c r="I504">
        <v>1</v>
      </c>
      <c r="J504">
        <v>0</v>
      </c>
      <c r="K504">
        <v>0</v>
      </c>
      <c r="L504">
        <v>0</v>
      </c>
      <c r="M504" t="s">
        <v>333</v>
      </c>
      <c r="N504" t="s">
        <v>484</v>
      </c>
      <c r="O504" t="s">
        <v>352</v>
      </c>
    </row>
    <row r="505" spans="1:15" x14ac:dyDescent="0.3">
      <c r="A505">
        <v>202</v>
      </c>
      <c r="B505" t="s">
        <v>323</v>
      </c>
      <c r="C505">
        <v>169</v>
      </c>
      <c r="D505" t="s">
        <v>139</v>
      </c>
      <c r="E505">
        <v>586</v>
      </c>
      <c r="F505" t="s">
        <v>777</v>
      </c>
      <c r="G505">
        <v>3</v>
      </c>
      <c r="H505">
        <v>1</v>
      </c>
      <c r="I505">
        <v>1</v>
      </c>
      <c r="J505">
        <v>0</v>
      </c>
      <c r="K505">
        <v>0</v>
      </c>
      <c r="L505">
        <v>1</v>
      </c>
      <c r="M505" t="s">
        <v>333</v>
      </c>
      <c r="N505" t="s">
        <v>484</v>
      </c>
      <c r="O505" t="s">
        <v>340</v>
      </c>
    </row>
    <row r="506" spans="1:15" x14ac:dyDescent="0.3">
      <c r="A506">
        <v>202</v>
      </c>
      <c r="B506" t="s">
        <v>323</v>
      </c>
      <c r="C506">
        <v>169</v>
      </c>
      <c r="D506" t="s">
        <v>139</v>
      </c>
      <c r="E506">
        <v>587</v>
      </c>
      <c r="F506" t="s">
        <v>778</v>
      </c>
      <c r="G506">
        <v>0</v>
      </c>
      <c r="H506">
        <v>1</v>
      </c>
      <c r="I506">
        <v>1</v>
      </c>
      <c r="J506">
        <v>0</v>
      </c>
      <c r="K506">
        <v>0</v>
      </c>
      <c r="L506">
        <v>10</v>
      </c>
      <c r="M506" t="s">
        <v>333</v>
      </c>
      <c r="N506" t="s">
        <v>326</v>
      </c>
      <c r="O506" t="s">
        <v>330</v>
      </c>
    </row>
    <row r="507" spans="1:15" x14ac:dyDescent="0.3">
      <c r="A507">
        <v>202</v>
      </c>
      <c r="B507" t="s">
        <v>323</v>
      </c>
      <c r="C507">
        <v>169</v>
      </c>
      <c r="D507" t="s">
        <v>139</v>
      </c>
      <c r="E507">
        <v>1438</v>
      </c>
      <c r="F507" t="s">
        <v>779</v>
      </c>
      <c r="G507">
        <v>3</v>
      </c>
      <c r="H507">
        <v>1</v>
      </c>
      <c r="I507">
        <v>0</v>
      </c>
      <c r="J507">
        <v>0</v>
      </c>
      <c r="K507">
        <v>0</v>
      </c>
      <c r="L507">
        <v>0</v>
      </c>
      <c r="M507" t="s">
        <v>325</v>
      </c>
      <c r="N507" t="s">
        <v>484</v>
      </c>
      <c r="O507" t="s">
        <v>330</v>
      </c>
    </row>
    <row r="508" spans="1:15" x14ac:dyDescent="0.3">
      <c r="A508">
        <v>202</v>
      </c>
      <c r="B508" t="s">
        <v>323</v>
      </c>
      <c r="C508">
        <v>169</v>
      </c>
      <c r="D508" t="s">
        <v>139</v>
      </c>
      <c r="E508">
        <v>1439</v>
      </c>
      <c r="F508" t="s">
        <v>780</v>
      </c>
      <c r="G508">
        <v>0</v>
      </c>
      <c r="H508">
        <v>0</v>
      </c>
      <c r="I508">
        <v>4</v>
      </c>
      <c r="J508">
        <v>2</v>
      </c>
      <c r="K508">
        <v>0</v>
      </c>
      <c r="L508">
        <v>0</v>
      </c>
      <c r="M508" t="s">
        <v>410</v>
      </c>
      <c r="N508" t="s">
        <v>336</v>
      </c>
      <c r="O508" t="s">
        <v>352</v>
      </c>
    </row>
    <row r="509" spans="1:15" x14ac:dyDescent="0.3">
      <c r="A509">
        <v>203</v>
      </c>
      <c r="B509" t="s">
        <v>323</v>
      </c>
      <c r="C509">
        <v>170</v>
      </c>
      <c r="D509" t="s">
        <v>141</v>
      </c>
      <c r="E509">
        <v>1613</v>
      </c>
      <c r="F509" t="s">
        <v>781</v>
      </c>
      <c r="G509">
        <v>4</v>
      </c>
      <c r="H509">
        <v>0</v>
      </c>
      <c r="I509">
        <v>0</v>
      </c>
      <c r="J509">
        <v>0</v>
      </c>
      <c r="K509">
        <v>0</v>
      </c>
      <c r="L509">
        <v>0</v>
      </c>
      <c r="M509" t="s">
        <v>325</v>
      </c>
      <c r="N509" t="s">
        <v>348</v>
      </c>
      <c r="O509" t="s">
        <v>340</v>
      </c>
    </row>
    <row r="510" spans="1:15" x14ac:dyDescent="0.3">
      <c r="A510">
        <v>203</v>
      </c>
      <c r="B510" t="s">
        <v>323</v>
      </c>
      <c r="C510">
        <v>170</v>
      </c>
      <c r="D510" t="s">
        <v>141</v>
      </c>
      <c r="E510">
        <v>1614</v>
      </c>
      <c r="F510" t="s">
        <v>782</v>
      </c>
      <c r="G510">
        <v>0</v>
      </c>
      <c r="H510">
        <v>3</v>
      </c>
      <c r="I510">
        <v>0</v>
      </c>
      <c r="J510">
        <v>0</v>
      </c>
      <c r="K510">
        <v>0</v>
      </c>
      <c r="L510">
        <v>0</v>
      </c>
      <c r="M510" t="s">
        <v>325</v>
      </c>
      <c r="N510" t="s">
        <v>336</v>
      </c>
      <c r="O510" t="s">
        <v>352</v>
      </c>
    </row>
    <row r="511" spans="1:15" x14ac:dyDescent="0.3">
      <c r="A511">
        <v>203</v>
      </c>
      <c r="B511" t="s">
        <v>323</v>
      </c>
      <c r="C511">
        <v>170</v>
      </c>
      <c r="D511" t="s">
        <v>141</v>
      </c>
      <c r="E511">
        <v>1615</v>
      </c>
      <c r="F511" t="s">
        <v>783</v>
      </c>
      <c r="G511">
        <v>1</v>
      </c>
      <c r="H511">
        <v>2</v>
      </c>
      <c r="I511">
        <v>0</v>
      </c>
      <c r="J511">
        <v>0</v>
      </c>
      <c r="K511">
        <v>0</v>
      </c>
      <c r="L511">
        <v>0</v>
      </c>
      <c r="M511" t="s">
        <v>333</v>
      </c>
      <c r="N511" t="s">
        <v>484</v>
      </c>
      <c r="O511" t="s">
        <v>352</v>
      </c>
    </row>
    <row r="512" spans="1:15" x14ac:dyDescent="0.3">
      <c r="A512">
        <v>203</v>
      </c>
      <c r="B512" t="s">
        <v>323</v>
      </c>
      <c r="C512">
        <v>170</v>
      </c>
      <c r="D512" t="s">
        <v>141</v>
      </c>
      <c r="E512">
        <v>1616</v>
      </c>
      <c r="F512" t="s">
        <v>784</v>
      </c>
      <c r="G512">
        <v>0</v>
      </c>
      <c r="H512">
        <v>4</v>
      </c>
      <c r="I512">
        <v>1</v>
      </c>
      <c r="J512">
        <v>0</v>
      </c>
      <c r="K512">
        <v>0</v>
      </c>
      <c r="L512">
        <v>0</v>
      </c>
      <c r="M512" t="s">
        <v>414</v>
      </c>
      <c r="N512" t="s">
        <v>336</v>
      </c>
      <c r="O512" t="s">
        <v>327</v>
      </c>
    </row>
    <row r="513" spans="1:15" x14ac:dyDescent="0.3">
      <c r="A513">
        <v>203</v>
      </c>
      <c r="B513" t="s">
        <v>323</v>
      </c>
      <c r="C513">
        <v>170</v>
      </c>
      <c r="D513" t="s">
        <v>141</v>
      </c>
      <c r="E513">
        <v>1617</v>
      </c>
      <c r="F513" t="s">
        <v>785</v>
      </c>
      <c r="G513">
        <v>2</v>
      </c>
      <c r="H513">
        <v>1</v>
      </c>
      <c r="I513">
        <v>0</v>
      </c>
      <c r="J513">
        <v>0</v>
      </c>
      <c r="K513">
        <v>0</v>
      </c>
      <c r="L513">
        <v>0</v>
      </c>
      <c r="M513" t="s">
        <v>410</v>
      </c>
      <c r="N513" t="s">
        <v>336</v>
      </c>
      <c r="O513" t="s">
        <v>327</v>
      </c>
    </row>
    <row r="514" spans="1:15" x14ac:dyDescent="0.3">
      <c r="A514">
        <v>203</v>
      </c>
      <c r="B514" t="s">
        <v>323</v>
      </c>
      <c r="C514">
        <v>170</v>
      </c>
      <c r="D514" t="s">
        <v>141</v>
      </c>
      <c r="E514">
        <v>1618</v>
      </c>
      <c r="F514" t="s">
        <v>786</v>
      </c>
      <c r="G514">
        <v>3</v>
      </c>
      <c r="H514">
        <v>1</v>
      </c>
      <c r="I514">
        <v>3</v>
      </c>
      <c r="J514">
        <v>1</v>
      </c>
      <c r="K514">
        <v>0</v>
      </c>
      <c r="L514">
        <v>0</v>
      </c>
      <c r="M514" t="s">
        <v>333</v>
      </c>
      <c r="N514" t="s">
        <v>336</v>
      </c>
      <c r="O514" t="s">
        <v>338</v>
      </c>
    </row>
    <row r="515" spans="1:15" x14ac:dyDescent="0.3">
      <c r="A515">
        <v>203</v>
      </c>
      <c r="B515" t="s">
        <v>323</v>
      </c>
      <c r="C515">
        <v>170</v>
      </c>
      <c r="D515" t="s">
        <v>141</v>
      </c>
      <c r="E515">
        <v>1619</v>
      </c>
      <c r="F515" t="s">
        <v>787</v>
      </c>
      <c r="G515">
        <v>0</v>
      </c>
      <c r="H515">
        <v>0</v>
      </c>
      <c r="I515">
        <v>0</v>
      </c>
      <c r="J515">
        <v>4</v>
      </c>
      <c r="K515">
        <v>0</v>
      </c>
      <c r="L515">
        <v>0</v>
      </c>
      <c r="M515" t="s">
        <v>333</v>
      </c>
      <c r="N515" t="s">
        <v>336</v>
      </c>
      <c r="O515" t="s">
        <v>330</v>
      </c>
    </row>
    <row r="516" spans="1:15" x14ac:dyDescent="0.3">
      <c r="A516">
        <v>203</v>
      </c>
      <c r="B516" t="s">
        <v>323</v>
      </c>
      <c r="C516">
        <v>170</v>
      </c>
      <c r="D516" t="s">
        <v>141</v>
      </c>
      <c r="E516">
        <v>1620</v>
      </c>
      <c r="F516" t="s">
        <v>788</v>
      </c>
      <c r="G516">
        <v>2</v>
      </c>
      <c r="H516">
        <v>3</v>
      </c>
      <c r="I516">
        <v>2</v>
      </c>
      <c r="J516">
        <v>0</v>
      </c>
      <c r="K516">
        <v>0</v>
      </c>
      <c r="L516">
        <v>0</v>
      </c>
      <c r="M516" t="s">
        <v>333</v>
      </c>
      <c r="N516" t="s">
        <v>336</v>
      </c>
      <c r="O516" t="s">
        <v>352</v>
      </c>
    </row>
    <row r="517" spans="1:15" x14ac:dyDescent="0.3">
      <c r="A517">
        <v>203</v>
      </c>
      <c r="B517" t="s">
        <v>323</v>
      </c>
      <c r="C517">
        <v>170</v>
      </c>
      <c r="D517" t="s">
        <v>141</v>
      </c>
      <c r="E517">
        <v>1621</v>
      </c>
      <c r="F517" t="s">
        <v>789</v>
      </c>
      <c r="G517">
        <v>0</v>
      </c>
      <c r="H517">
        <v>0</v>
      </c>
      <c r="I517">
        <v>0</v>
      </c>
      <c r="J517">
        <v>0</v>
      </c>
      <c r="K517">
        <v>0</v>
      </c>
      <c r="L517">
        <v>0</v>
      </c>
      <c r="M517" t="s">
        <v>333</v>
      </c>
      <c r="N517" t="s">
        <v>336</v>
      </c>
      <c r="O517" t="s">
        <v>352</v>
      </c>
    </row>
    <row r="518" spans="1:15" x14ac:dyDescent="0.3">
      <c r="A518">
        <v>203</v>
      </c>
      <c r="B518" t="s">
        <v>323</v>
      </c>
      <c r="C518">
        <v>170</v>
      </c>
      <c r="D518" t="s">
        <v>141</v>
      </c>
      <c r="E518">
        <v>1622</v>
      </c>
      <c r="F518" t="s">
        <v>790</v>
      </c>
      <c r="G518">
        <v>3</v>
      </c>
      <c r="H518">
        <v>2</v>
      </c>
      <c r="I518">
        <v>0</v>
      </c>
      <c r="J518">
        <v>1</v>
      </c>
      <c r="K518">
        <v>0</v>
      </c>
      <c r="L518">
        <v>0</v>
      </c>
      <c r="M518" t="s">
        <v>410</v>
      </c>
      <c r="N518" t="s">
        <v>348</v>
      </c>
      <c r="O518" t="s">
        <v>327</v>
      </c>
    </row>
    <row r="519" spans="1:15" x14ac:dyDescent="0.3">
      <c r="A519">
        <v>203</v>
      </c>
      <c r="B519" t="s">
        <v>323</v>
      </c>
      <c r="C519">
        <v>170</v>
      </c>
      <c r="D519" t="s">
        <v>141</v>
      </c>
      <c r="E519">
        <v>1623</v>
      </c>
      <c r="F519" t="s">
        <v>773</v>
      </c>
      <c r="G519">
        <v>1</v>
      </c>
      <c r="H519">
        <v>0</v>
      </c>
      <c r="I519">
        <v>0</v>
      </c>
      <c r="J519">
        <v>0</v>
      </c>
      <c r="K519">
        <v>0</v>
      </c>
      <c r="L519">
        <v>0</v>
      </c>
      <c r="M519" t="s">
        <v>325</v>
      </c>
      <c r="N519" t="s">
        <v>348</v>
      </c>
      <c r="O519" t="s">
        <v>352</v>
      </c>
    </row>
    <row r="520" spans="1:15" x14ac:dyDescent="0.3">
      <c r="A520">
        <v>203</v>
      </c>
      <c r="B520" t="s">
        <v>323</v>
      </c>
      <c r="C520">
        <v>170</v>
      </c>
      <c r="D520" t="s">
        <v>141</v>
      </c>
      <c r="E520">
        <v>1624</v>
      </c>
      <c r="F520" t="s">
        <v>791</v>
      </c>
      <c r="G520">
        <v>0</v>
      </c>
      <c r="H520">
        <v>0</v>
      </c>
      <c r="I520">
        <v>0</v>
      </c>
      <c r="J520">
        <v>0</v>
      </c>
      <c r="K520">
        <v>0</v>
      </c>
      <c r="L520">
        <v>0</v>
      </c>
      <c r="M520" t="s">
        <v>333</v>
      </c>
      <c r="N520" t="s">
        <v>336</v>
      </c>
      <c r="O520" t="s">
        <v>352</v>
      </c>
    </row>
    <row r="521" spans="1:15" x14ac:dyDescent="0.3">
      <c r="A521">
        <v>203</v>
      </c>
      <c r="B521" t="s">
        <v>323</v>
      </c>
      <c r="C521">
        <v>170</v>
      </c>
      <c r="D521" t="s">
        <v>141</v>
      </c>
      <c r="E521">
        <v>1625</v>
      </c>
      <c r="F521" t="s">
        <v>792</v>
      </c>
      <c r="G521">
        <v>0</v>
      </c>
      <c r="H521">
        <v>0</v>
      </c>
      <c r="I521">
        <v>0</v>
      </c>
      <c r="J521">
        <v>0</v>
      </c>
      <c r="K521">
        <v>0</v>
      </c>
      <c r="L521">
        <v>0</v>
      </c>
      <c r="M521" t="s">
        <v>410</v>
      </c>
      <c r="N521" t="s">
        <v>348</v>
      </c>
      <c r="O521" t="s">
        <v>352</v>
      </c>
    </row>
    <row r="522" spans="1:15" x14ac:dyDescent="0.3">
      <c r="A522">
        <v>203</v>
      </c>
      <c r="B522" t="s">
        <v>323</v>
      </c>
      <c r="C522">
        <v>170</v>
      </c>
      <c r="D522" t="s">
        <v>141</v>
      </c>
      <c r="E522">
        <v>1626</v>
      </c>
      <c r="F522" t="s">
        <v>793</v>
      </c>
      <c r="G522">
        <v>0</v>
      </c>
      <c r="H522">
        <v>0</v>
      </c>
      <c r="I522">
        <v>0</v>
      </c>
      <c r="J522">
        <v>1</v>
      </c>
      <c r="K522">
        <v>0</v>
      </c>
      <c r="L522">
        <v>1</v>
      </c>
      <c r="M522" t="s">
        <v>333</v>
      </c>
      <c r="N522" t="s">
        <v>336</v>
      </c>
      <c r="O522" t="s">
        <v>338</v>
      </c>
    </row>
    <row r="523" spans="1:15" x14ac:dyDescent="0.3">
      <c r="A523">
        <v>203</v>
      </c>
      <c r="B523" t="s">
        <v>323</v>
      </c>
      <c r="C523">
        <v>170</v>
      </c>
      <c r="D523" t="s">
        <v>141</v>
      </c>
      <c r="E523">
        <v>1627</v>
      </c>
      <c r="F523" t="s">
        <v>531</v>
      </c>
      <c r="G523">
        <v>0</v>
      </c>
      <c r="H523">
        <v>0</v>
      </c>
      <c r="I523">
        <v>0</v>
      </c>
      <c r="J523">
        <v>4</v>
      </c>
      <c r="K523">
        <v>1</v>
      </c>
      <c r="L523">
        <v>1</v>
      </c>
      <c r="M523" t="s">
        <v>333</v>
      </c>
      <c r="N523" t="s">
        <v>336</v>
      </c>
      <c r="O523" t="s">
        <v>338</v>
      </c>
    </row>
    <row r="524" spans="1:15" x14ac:dyDescent="0.3">
      <c r="A524">
        <v>203</v>
      </c>
      <c r="B524" t="s">
        <v>323</v>
      </c>
      <c r="C524">
        <v>170</v>
      </c>
      <c r="D524" t="s">
        <v>141</v>
      </c>
      <c r="E524">
        <v>1628</v>
      </c>
      <c r="F524" t="s">
        <v>794</v>
      </c>
      <c r="G524">
        <v>0</v>
      </c>
      <c r="H524">
        <v>3</v>
      </c>
      <c r="I524">
        <v>0</v>
      </c>
      <c r="J524">
        <v>1</v>
      </c>
      <c r="K524">
        <v>0</v>
      </c>
      <c r="L524">
        <v>1</v>
      </c>
      <c r="M524" t="s">
        <v>566</v>
      </c>
      <c r="N524" t="s">
        <v>336</v>
      </c>
      <c r="O524" t="s">
        <v>338</v>
      </c>
    </row>
    <row r="525" spans="1:15" x14ac:dyDescent="0.3">
      <c r="A525">
        <v>203</v>
      </c>
      <c r="B525" t="s">
        <v>323</v>
      </c>
      <c r="C525">
        <v>170</v>
      </c>
      <c r="D525" t="s">
        <v>141</v>
      </c>
      <c r="E525">
        <v>1629</v>
      </c>
      <c r="F525" t="s">
        <v>795</v>
      </c>
      <c r="G525">
        <v>0</v>
      </c>
      <c r="H525">
        <v>0</v>
      </c>
      <c r="I525">
        <v>0</v>
      </c>
      <c r="J525">
        <v>0</v>
      </c>
      <c r="K525">
        <v>0</v>
      </c>
      <c r="L525">
        <v>3</v>
      </c>
      <c r="M525" t="s">
        <v>333</v>
      </c>
      <c r="N525" t="s">
        <v>336</v>
      </c>
      <c r="O525" t="s">
        <v>338</v>
      </c>
    </row>
    <row r="526" spans="1:15" x14ac:dyDescent="0.3">
      <c r="A526">
        <v>205</v>
      </c>
      <c r="B526" t="s">
        <v>313</v>
      </c>
      <c r="C526">
        <v>172</v>
      </c>
      <c r="D526" t="s">
        <v>145</v>
      </c>
      <c r="E526">
        <v>844</v>
      </c>
      <c r="F526" t="s">
        <v>796</v>
      </c>
      <c r="M526" t="s">
        <v>1116</v>
      </c>
      <c r="N526" t="s">
        <v>1116</v>
      </c>
      <c r="O526" t="s">
        <v>1116</v>
      </c>
    </row>
    <row r="527" spans="1:15" x14ac:dyDescent="0.3">
      <c r="A527">
        <v>205</v>
      </c>
      <c r="B527" t="s">
        <v>313</v>
      </c>
      <c r="C527">
        <v>172</v>
      </c>
      <c r="D527" t="s">
        <v>145</v>
      </c>
      <c r="E527">
        <v>845</v>
      </c>
      <c r="F527" t="s">
        <v>797</v>
      </c>
      <c r="M527" t="s">
        <v>1116</v>
      </c>
      <c r="N527" t="s">
        <v>1116</v>
      </c>
      <c r="O527" t="s">
        <v>1116</v>
      </c>
    </row>
    <row r="528" spans="1:15" x14ac:dyDescent="0.3">
      <c r="A528">
        <v>205</v>
      </c>
      <c r="B528" t="s">
        <v>313</v>
      </c>
      <c r="C528">
        <v>172</v>
      </c>
      <c r="D528" t="s">
        <v>145</v>
      </c>
      <c r="E528">
        <v>846</v>
      </c>
      <c r="F528" t="s">
        <v>798</v>
      </c>
      <c r="M528" t="s">
        <v>1116</v>
      </c>
      <c r="N528" t="s">
        <v>1116</v>
      </c>
      <c r="O528" t="s">
        <v>1116</v>
      </c>
    </row>
    <row r="529" spans="1:15" x14ac:dyDescent="0.3">
      <c r="A529">
        <v>205</v>
      </c>
      <c r="B529" t="s">
        <v>313</v>
      </c>
      <c r="C529">
        <v>172</v>
      </c>
      <c r="D529" t="s">
        <v>145</v>
      </c>
      <c r="E529">
        <v>847</v>
      </c>
      <c r="F529" t="s">
        <v>799</v>
      </c>
      <c r="M529" t="s">
        <v>1116</v>
      </c>
      <c r="N529" t="s">
        <v>1116</v>
      </c>
      <c r="O529" t="s">
        <v>1116</v>
      </c>
    </row>
    <row r="530" spans="1:15" x14ac:dyDescent="0.3">
      <c r="A530">
        <v>205</v>
      </c>
      <c r="B530" t="s">
        <v>313</v>
      </c>
      <c r="C530">
        <v>172</v>
      </c>
      <c r="D530" t="s">
        <v>145</v>
      </c>
      <c r="E530">
        <v>848</v>
      </c>
      <c r="F530" t="s">
        <v>800</v>
      </c>
      <c r="M530" t="s">
        <v>1116</v>
      </c>
      <c r="N530" t="s">
        <v>1116</v>
      </c>
      <c r="O530" t="s">
        <v>1116</v>
      </c>
    </row>
    <row r="531" spans="1:15" x14ac:dyDescent="0.3">
      <c r="A531">
        <v>205</v>
      </c>
      <c r="B531" t="s">
        <v>313</v>
      </c>
      <c r="C531">
        <v>172</v>
      </c>
      <c r="D531" t="s">
        <v>145</v>
      </c>
      <c r="E531">
        <v>849</v>
      </c>
      <c r="F531" t="s">
        <v>801</v>
      </c>
      <c r="M531" t="s">
        <v>1116</v>
      </c>
      <c r="N531" t="s">
        <v>1116</v>
      </c>
      <c r="O531" t="s">
        <v>1116</v>
      </c>
    </row>
    <row r="532" spans="1:15" x14ac:dyDescent="0.3">
      <c r="A532">
        <v>205</v>
      </c>
      <c r="B532" t="s">
        <v>313</v>
      </c>
      <c r="C532">
        <v>172</v>
      </c>
      <c r="D532" t="s">
        <v>145</v>
      </c>
      <c r="E532">
        <v>850</v>
      </c>
      <c r="F532" t="s">
        <v>802</v>
      </c>
      <c r="M532" t="s">
        <v>1116</v>
      </c>
      <c r="N532" t="s">
        <v>1116</v>
      </c>
      <c r="O532" t="s">
        <v>1116</v>
      </c>
    </row>
    <row r="533" spans="1:15" x14ac:dyDescent="0.3">
      <c r="A533">
        <v>205</v>
      </c>
      <c r="B533" t="s">
        <v>313</v>
      </c>
      <c r="C533">
        <v>172</v>
      </c>
      <c r="D533" t="s">
        <v>145</v>
      </c>
      <c r="E533">
        <v>851</v>
      </c>
      <c r="F533" t="s">
        <v>803</v>
      </c>
      <c r="M533" t="s">
        <v>1116</v>
      </c>
      <c r="N533" t="s">
        <v>1116</v>
      </c>
      <c r="O533" t="s">
        <v>1116</v>
      </c>
    </row>
    <row r="534" spans="1:15" x14ac:dyDescent="0.3">
      <c r="A534">
        <v>205</v>
      </c>
      <c r="B534" t="s">
        <v>313</v>
      </c>
      <c r="C534">
        <v>172</v>
      </c>
      <c r="D534" t="s">
        <v>145</v>
      </c>
      <c r="E534">
        <v>852</v>
      </c>
      <c r="F534" t="s">
        <v>804</v>
      </c>
      <c r="M534" t="s">
        <v>1116</v>
      </c>
      <c r="N534" t="s">
        <v>1116</v>
      </c>
      <c r="O534" t="s">
        <v>1116</v>
      </c>
    </row>
    <row r="535" spans="1:15" x14ac:dyDescent="0.3">
      <c r="A535">
        <v>205</v>
      </c>
      <c r="B535" t="s">
        <v>313</v>
      </c>
      <c r="C535">
        <v>172</v>
      </c>
      <c r="D535" t="s">
        <v>145</v>
      </c>
      <c r="E535">
        <v>853</v>
      </c>
      <c r="F535" t="s">
        <v>805</v>
      </c>
      <c r="M535" t="s">
        <v>1116</v>
      </c>
      <c r="N535" t="s">
        <v>1116</v>
      </c>
      <c r="O535" t="s">
        <v>1116</v>
      </c>
    </row>
    <row r="536" spans="1:15" x14ac:dyDescent="0.3">
      <c r="A536">
        <v>205</v>
      </c>
      <c r="B536" t="s">
        <v>313</v>
      </c>
      <c r="C536">
        <v>172</v>
      </c>
      <c r="D536" t="s">
        <v>145</v>
      </c>
      <c r="E536">
        <v>855</v>
      </c>
      <c r="F536" t="s">
        <v>806</v>
      </c>
      <c r="M536" t="s">
        <v>1116</v>
      </c>
      <c r="N536" t="s">
        <v>1116</v>
      </c>
      <c r="O536" t="s">
        <v>1116</v>
      </c>
    </row>
    <row r="537" spans="1:15" x14ac:dyDescent="0.3">
      <c r="A537">
        <v>205</v>
      </c>
      <c r="B537" t="s">
        <v>313</v>
      </c>
      <c r="C537">
        <v>172</v>
      </c>
      <c r="D537" t="s">
        <v>145</v>
      </c>
      <c r="E537">
        <v>856</v>
      </c>
      <c r="F537" t="s">
        <v>807</v>
      </c>
      <c r="M537" t="s">
        <v>1116</v>
      </c>
      <c r="N537" t="s">
        <v>1116</v>
      </c>
      <c r="O537" t="s">
        <v>1116</v>
      </c>
    </row>
    <row r="538" spans="1:15" x14ac:dyDescent="0.3">
      <c r="A538">
        <v>205</v>
      </c>
      <c r="B538" t="s">
        <v>313</v>
      </c>
      <c r="C538">
        <v>172</v>
      </c>
      <c r="D538" t="s">
        <v>145</v>
      </c>
      <c r="E538">
        <v>857</v>
      </c>
      <c r="F538" t="s">
        <v>808</v>
      </c>
      <c r="M538" t="s">
        <v>1116</v>
      </c>
      <c r="N538" t="s">
        <v>1116</v>
      </c>
      <c r="O538" t="s">
        <v>1116</v>
      </c>
    </row>
    <row r="539" spans="1:15" x14ac:dyDescent="0.3">
      <c r="A539">
        <v>205</v>
      </c>
      <c r="B539" t="s">
        <v>313</v>
      </c>
      <c r="C539">
        <v>172</v>
      </c>
      <c r="D539" t="s">
        <v>145</v>
      </c>
      <c r="E539">
        <v>858</v>
      </c>
      <c r="F539" t="s">
        <v>809</v>
      </c>
      <c r="M539" t="s">
        <v>1116</v>
      </c>
      <c r="N539" t="s">
        <v>1116</v>
      </c>
      <c r="O539" t="s">
        <v>1116</v>
      </c>
    </row>
    <row r="540" spans="1:15" x14ac:dyDescent="0.3">
      <c r="A540">
        <v>205</v>
      </c>
      <c r="B540" t="s">
        <v>313</v>
      </c>
      <c r="C540">
        <v>172</v>
      </c>
      <c r="D540" t="s">
        <v>145</v>
      </c>
      <c r="E540">
        <v>859</v>
      </c>
      <c r="F540" t="s">
        <v>810</v>
      </c>
      <c r="M540" t="s">
        <v>1116</v>
      </c>
      <c r="N540" t="s">
        <v>1116</v>
      </c>
      <c r="O540" t="s">
        <v>1116</v>
      </c>
    </row>
    <row r="541" spans="1:15" x14ac:dyDescent="0.3">
      <c r="A541">
        <v>205</v>
      </c>
      <c r="B541" t="s">
        <v>313</v>
      </c>
      <c r="C541">
        <v>172</v>
      </c>
      <c r="D541" t="s">
        <v>145</v>
      </c>
      <c r="E541">
        <v>860</v>
      </c>
      <c r="F541" t="s">
        <v>811</v>
      </c>
      <c r="M541" t="s">
        <v>1116</v>
      </c>
      <c r="N541" t="s">
        <v>1116</v>
      </c>
      <c r="O541" t="s">
        <v>1116</v>
      </c>
    </row>
    <row r="542" spans="1:15" x14ac:dyDescent="0.3">
      <c r="A542">
        <v>205</v>
      </c>
      <c r="B542" t="s">
        <v>313</v>
      </c>
      <c r="C542">
        <v>172</v>
      </c>
      <c r="D542" t="s">
        <v>145</v>
      </c>
      <c r="E542">
        <v>862</v>
      </c>
      <c r="F542" t="s">
        <v>812</v>
      </c>
      <c r="M542" t="s">
        <v>1116</v>
      </c>
      <c r="N542" t="s">
        <v>1116</v>
      </c>
      <c r="O542" t="s">
        <v>1116</v>
      </c>
    </row>
    <row r="543" spans="1:15" x14ac:dyDescent="0.3">
      <c r="A543">
        <v>205</v>
      </c>
      <c r="B543" t="s">
        <v>313</v>
      </c>
      <c r="C543">
        <v>172</v>
      </c>
      <c r="D543" t="s">
        <v>145</v>
      </c>
      <c r="E543">
        <v>864</v>
      </c>
      <c r="F543" t="s">
        <v>813</v>
      </c>
      <c r="M543" t="s">
        <v>1116</v>
      </c>
      <c r="N543" t="s">
        <v>1116</v>
      </c>
      <c r="O543" t="s">
        <v>1116</v>
      </c>
    </row>
    <row r="544" spans="1:15" x14ac:dyDescent="0.3">
      <c r="A544">
        <v>205</v>
      </c>
      <c r="B544" t="s">
        <v>313</v>
      </c>
      <c r="C544">
        <v>172</v>
      </c>
      <c r="D544" t="s">
        <v>145</v>
      </c>
      <c r="E544">
        <v>866</v>
      </c>
      <c r="F544" t="s">
        <v>814</v>
      </c>
      <c r="M544" t="s">
        <v>1116</v>
      </c>
      <c r="N544" t="s">
        <v>1116</v>
      </c>
      <c r="O544" t="s">
        <v>1116</v>
      </c>
    </row>
    <row r="545" spans="1:15" x14ac:dyDescent="0.3">
      <c r="A545">
        <v>205</v>
      </c>
      <c r="B545" t="s">
        <v>313</v>
      </c>
      <c r="C545">
        <v>172</v>
      </c>
      <c r="D545" t="s">
        <v>145</v>
      </c>
      <c r="E545">
        <v>868</v>
      </c>
      <c r="F545" t="s">
        <v>572</v>
      </c>
      <c r="M545" t="s">
        <v>1116</v>
      </c>
      <c r="N545" t="s">
        <v>1116</v>
      </c>
      <c r="O545" t="s">
        <v>1116</v>
      </c>
    </row>
    <row r="546" spans="1:15" x14ac:dyDescent="0.3">
      <c r="A546">
        <v>205</v>
      </c>
      <c r="B546" t="s">
        <v>313</v>
      </c>
      <c r="C546">
        <v>172</v>
      </c>
      <c r="D546" t="s">
        <v>145</v>
      </c>
      <c r="E546">
        <v>869</v>
      </c>
      <c r="F546" t="s">
        <v>815</v>
      </c>
      <c r="M546" t="s">
        <v>1116</v>
      </c>
      <c r="N546" t="s">
        <v>1116</v>
      </c>
      <c r="O546" t="s">
        <v>1116</v>
      </c>
    </row>
    <row r="547" spans="1:15" x14ac:dyDescent="0.3">
      <c r="A547">
        <v>205</v>
      </c>
      <c r="B547" t="s">
        <v>313</v>
      </c>
      <c r="C547">
        <v>172</v>
      </c>
      <c r="D547" t="s">
        <v>145</v>
      </c>
      <c r="E547">
        <v>871</v>
      </c>
      <c r="F547" t="s">
        <v>376</v>
      </c>
      <c r="M547" t="s">
        <v>1116</v>
      </c>
      <c r="N547" t="s">
        <v>1116</v>
      </c>
      <c r="O547" t="s">
        <v>1116</v>
      </c>
    </row>
    <row r="548" spans="1:15" x14ac:dyDescent="0.3">
      <c r="A548">
        <v>205</v>
      </c>
      <c r="B548" t="s">
        <v>313</v>
      </c>
      <c r="C548">
        <v>172</v>
      </c>
      <c r="D548" t="s">
        <v>145</v>
      </c>
      <c r="E548">
        <v>874</v>
      </c>
      <c r="F548" t="s">
        <v>816</v>
      </c>
      <c r="M548" t="s">
        <v>1116</v>
      </c>
      <c r="N548" t="s">
        <v>1116</v>
      </c>
      <c r="O548" t="s">
        <v>1116</v>
      </c>
    </row>
    <row r="549" spans="1:15" x14ac:dyDescent="0.3">
      <c r="A549">
        <v>205</v>
      </c>
      <c r="B549" t="s">
        <v>313</v>
      </c>
      <c r="C549">
        <v>172</v>
      </c>
      <c r="D549" t="s">
        <v>145</v>
      </c>
      <c r="E549">
        <v>1387</v>
      </c>
      <c r="F549" t="s">
        <v>817</v>
      </c>
      <c r="M549" t="s">
        <v>1116</v>
      </c>
      <c r="N549" t="s">
        <v>1116</v>
      </c>
      <c r="O549" t="s">
        <v>1116</v>
      </c>
    </row>
    <row r="550" spans="1:15" x14ac:dyDescent="0.3">
      <c r="A550">
        <v>206</v>
      </c>
      <c r="B550" t="s">
        <v>323</v>
      </c>
      <c r="C550">
        <v>173</v>
      </c>
      <c r="D550" t="s">
        <v>147</v>
      </c>
      <c r="E550">
        <v>1498</v>
      </c>
      <c r="F550" t="s">
        <v>818</v>
      </c>
      <c r="G550">
        <v>0</v>
      </c>
      <c r="H550">
        <v>3</v>
      </c>
      <c r="I550">
        <v>2</v>
      </c>
      <c r="J550">
        <v>2</v>
      </c>
      <c r="K550">
        <v>0</v>
      </c>
      <c r="L550">
        <v>0</v>
      </c>
      <c r="M550" t="s">
        <v>566</v>
      </c>
      <c r="N550" t="s">
        <v>336</v>
      </c>
      <c r="O550" t="s">
        <v>340</v>
      </c>
    </row>
    <row r="551" spans="1:15" x14ac:dyDescent="0.3">
      <c r="A551">
        <v>206</v>
      </c>
      <c r="B551" t="s">
        <v>323</v>
      </c>
      <c r="C551">
        <v>173</v>
      </c>
      <c r="D551" t="s">
        <v>147</v>
      </c>
      <c r="E551">
        <v>1500</v>
      </c>
      <c r="F551" t="s">
        <v>420</v>
      </c>
      <c r="G551">
        <v>2</v>
      </c>
      <c r="H551">
        <v>1</v>
      </c>
      <c r="I551">
        <v>0</v>
      </c>
      <c r="J551">
        <v>2</v>
      </c>
      <c r="K551">
        <v>0</v>
      </c>
      <c r="L551">
        <v>0</v>
      </c>
      <c r="M551" t="s">
        <v>325</v>
      </c>
      <c r="N551" t="s">
        <v>484</v>
      </c>
      <c r="O551" t="s">
        <v>330</v>
      </c>
    </row>
    <row r="552" spans="1:15" x14ac:dyDescent="0.3">
      <c r="A552">
        <v>206</v>
      </c>
      <c r="B552" t="s">
        <v>323</v>
      </c>
      <c r="C552">
        <v>173</v>
      </c>
      <c r="D552" t="s">
        <v>147</v>
      </c>
      <c r="E552">
        <v>1501</v>
      </c>
      <c r="F552" t="s">
        <v>665</v>
      </c>
      <c r="G552">
        <v>0</v>
      </c>
      <c r="H552">
        <v>0</v>
      </c>
      <c r="I552">
        <v>0</v>
      </c>
      <c r="J552">
        <v>1</v>
      </c>
      <c r="K552">
        <v>2</v>
      </c>
      <c r="L552">
        <v>4</v>
      </c>
      <c r="M552" t="s">
        <v>325</v>
      </c>
      <c r="N552" t="s">
        <v>336</v>
      </c>
      <c r="O552" t="s">
        <v>330</v>
      </c>
    </row>
    <row r="553" spans="1:15" x14ac:dyDescent="0.3">
      <c r="A553">
        <v>206</v>
      </c>
      <c r="B553" t="s">
        <v>323</v>
      </c>
      <c r="C553">
        <v>173</v>
      </c>
      <c r="D553" t="s">
        <v>147</v>
      </c>
      <c r="E553">
        <v>1503</v>
      </c>
      <c r="F553" t="s">
        <v>819</v>
      </c>
      <c r="G553">
        <v>1</v>
      </c>
      <c r="H553">
        <v>2</v>
      </c>
      <c r="I553">
        <v>3</v>
      </c>
      <c r="J553">
        <v>2</v>
      </c>
      <c r="K553">
        <v>1</v>
      </c>
      <c r="L553">
        <v>3</v>
      </c>
      <c r="M553" t="s">
        <v>325</v>
      </c>
      <c r="N553" t="s">
        <v>336</v>
      </c>
      <c r="O553" t="s">
        <v>330</v>
      </c>
    </row>
    <row r="554" spans="1:15" x14ac:dyDescent="0.3">
      <c r="A554">
        <v>206</v>
      </c>
      <c r="B554" t="s">
        <v>323</v>
      </c>
      <c r="C554">
        <v>173</v>
      </c>
      <c r="D554" t="s">
        <v>147</v>
      </c>
      <c r="E554">
        <v>1504</v>
      </c>
      <c r="F554" t="s">
        <v>820</v>
      </c>
      <c r="G554">
        <v>1</v>
      </c>
      <c r="H554">
        <v>0</v>
      </c>
      <c r="I554">
        <v>2</v>
      </c>
      <c r="J554">
        <v>1</v>
      </c>
      <c r="K554">
        <v>0</v>
      </c>
      <c r="L554">
        <v>0</v>
      </c>
      <c r="M554" t="s">
        <v>325</v>
      </c>
      <c r="N554" t="s">
        <v>484</v>
      </c>
      <c r="O554" t="s">
        <v>330</v>
      </c>
    </row>
    <row r="555" spans="1:15" x14ac:dyDescent="0.3">
      <c r="A555">
        <v>206</v>
      </c>
      <c r="B555" t="s">
        <v>323</v>
      </c>
      <c r="C555">
        <v>173</v>
      </c>
      <c r="D555" t="s">
        <v>147</v>
      </c>
      <c r="E555">
        <v>1506</v>
      </c>
      <c r="F555" t="s">
        <v>821</v>
      </c>
      <c r="G555">
        <v>1</v>
      </c>
      <c r="H555">
        <v>1</v>
      </c>
      <c r="I555">
        <v>2</v>
      </c>
      <c r="J555">
        <v>3</v>
      </c>
      <c r="K555">
        <v>0</v>
      </c>
      <c r="L555">
        <v>0</v>
      </c>
      <c r="M555" t="s">
        <v>414</v>
      </c>
      <c r="N555" t="s">
        <v>348</v>
      </c>
      <c r="O555" t="s">
        <v>338</v>
      </c>
    </row>
    <row r="556" spans="1:15" x14ac:dyDescent="0.3">
      <c r="A556">
        <v>206</v>
      </c>
      <c r="B556" t="s">
        <v>323</v>
      </c>
      <c r="C556">
        <v>173</v>
      </c>
      <c r="D556" t="s">
        <v>147</v>
      </c>
      <c r="E556">
        <v>1507</v>
      </c>
      <c r="F556" t="s">
        <v>822</v>
      </c>
      <c r="G556">
        <v>3</v>
      </c>
      <c r="H556">
        <v>2</v>
      </c>
      <c r="I556">
        <v>1</v>
      </c>
      <c r="J556">
        <v>0</v>
      </c>
      <c r="K556">
        <v>0</v>
      </c>
      <c r="L556">
        <v>0</v>
      </c>
      <c r="M556" t="s">
        <v>325</v>
      </c>
      <c r="N556" t="s">
        <v>484</v>
      </c>
      <c r="O556" t="s">
        <v>352</v>
      </c>
    </row>
    <row r="557" spans="1:15" x14ac:dyDescent="0.3">
      <c r="A557">
        <v>206</v>
      </c>
      <c r="B557" t="s">
        <v>323</v>
      </c>
      <c r="C557">
        <v>173</v>
      </c>
      <c r="D557" t="s">
        <v>147</v>
      </c>
      <c r="E557">
        <v>1508</v>
      </c>
      <c r="F557" t="s">
        <v>823</v>
      </c>
      <c r="G557">
        <v>2</v>
      </c>
      <c r="H557">
        <v>4</v>
      </c>
      <c r="I557">
        <v>0</v>
      </c>
      <c r="J557">
        <v>0</v>
      </c>
      <c r="K557">
        <v>0</v>
      </c>
      <c r="L557">
        <v>0</v>
      </c>
      <c r="M557" t="s">
        <v>325</v>
      </c>
      <c r="N557" t="s">
        <v>484</v>
      </c>
      <c r="O557" t="s">
        <v>340</v>
      </c>
    </row>
    <row r="558" spans="1:15" x14ac:dyDescent="0.3">
      <c r="A558">
        <v>206</v>
      </c>
      <c r="B558" t="s">
        <v>323</v>
      </c>
      <c r="C558">
        <v>173</v>
      </c>
      <c r="D558" t="s">
        <v>147</v>
      </c>
      <c r="E558">
        <v>1509</v>
      </c>
      <c r="F558" t="s">
        <v>824</v>
      </c>
      <c r="G558">
        <v>1</v>
      </c>
      <c r="H558">
        <v>2</v>
      </c>
      <c r="I558">
        <v>1</v>
      </c>
      <c r="J558">
        <v>0</v>
      </c>
      <c r="K558">
        <v>0</v>
      </c>
      <c r="L558">
        <v>0</v>
      </c>
      <c r="M558" t="s">
        <v>414</v>
      </c>
      <c r="N558" t="s">
        <v>343</v>
      </c>
      <c r="O558" t="s">
        <v>352</v>
      </c>
    </row>
    <row r="559" spans="1:15" x14ac:dyDescent="0.3">
      <c r="A559">
        <v>206</v>
      </c>
      <c r="B559" t="s">
        <v>323</v>
      </c>
      <c r="C559">
        <v>173</v>
      </c>
      <c r="D559" t="s">
        <v>147</v>
      </c>
      <c r="E559">
        <v>1510</v>
      </c>
      <c r="F559" t="s">
        <v>825</v>
      </c>
      <c r="G559">
        <v>2</v>
      </c>
      <c r="H559">
        <v>1</v>
      </c>
      <c r="I559">
        <v>0</v>
      </c>
      <c r="J559">
        <v>1</v>
      </c>
      <c r="K559">
        <v>0</v>
      </c>
      <c r="L559">
        <v>0</v>
      </c>
      <c r="M559" t="s">
        <v>410</v>
      </c>
      <c r="N559" t="s">
        <v>484</v>
      </c>
      <c r="O559" t="s">
        <v>352</v>
      </c>
    </row>
    <row r="560" spans="1:15" x14ac:dyDescent="0.3">
      <c r="A560">
        <v>206</v>
      </c>
      <c r="B560" t="s">
        <v>323</v>
      </c>
      <c r="C560">
        <v>173</v>
      </c>
      <c r="D560" t="s">
        <v>147</v>
      </c>
      <c r="E560">
        <v>1511</v>
      </c>
      <c r="F560" t="s">
        <v>398</v>
      </c>
      <c r="G560">
        <v>1</v>
      </c>
      <c r="H560">
        <v>2</v>
      </c>
      <c r="I560">
        <v>0</v>
      </c>
      <c r="J560">
        <v>0</v>
      </c>
      <c r="K560">
        <v>0</v>
      </c>
      <c r="L560">
        <v>0</v>
      </c>
      <c r="M560" t="s">
        <v>414</v>
      </c>
      <c r="N560" t="s">
        <v>343</v>
      </c>
      <c r="O560" t="s">
        <v>340</v>
      </c>
    </row>
    <row r="561" spans="1:15" x14ac:dyDescent="0.3">
      <c r="A561">
        <v>206</v>
      </c>
      <c r="B561" t="s">
        <v>323</v>
      </c>
      <c r="C561">
        <v>173</v>
      </c>
      <c r="D561" t="s">
        <v>147</v>
      </c>
      <c r="E561">
        <v>1512</v>
      </c>
      <c r="F561" t="s">
        <v>826</v>
      </c>
      <c r="G561">
        <v>0</v>
      </c>
      <c r="H561">
        <v>2</v>
      </c>
      <c r="I561">
        <v>3</v>
      </c>
      <c r="J561">
        <v>0</v>
      </c>
      <c r="K561">
        <v>1</v>
      </c>
      <c r="L561">
        <v>0</v>
      </c>
      <c r="M561" t="s">
        <v>325</v>
      </c>
      <c r="N561" t="s">
        <v>484</v>
      </c>
      <c r="O561" t="s">
        <v>330</v>
      </c>
    </row>
    <row r="562" spans="1:15" x14ac:dyDescent="0.3">
      <c r="A562">
        <v>206</v>
      </c>
      <c r="B562" t="s">
        <v>323</v>
      </c>
      <c r="C562">
        <v>173</v>
      </c>
      <c r="D562" t="s">
        <v>147</v>
      </c>
      <c r="E562">
        <v>1514</v>
      </c>
      <c r="F562" t="s">
        <v>827</v>
      </c>
      <c r="G562">
        <v>3</v>
      </c>
      <c r="H562">
        <v>2</v>
      </c>
      <c r="I562">
        <v>0</v>
      </c>
      <c r="J562">
        <v>0</v>
      </c>
      <c r="K562">
        <v>0</v>
      </c>
      <c r="L562">
        <v>0</v>
      </c>
      <c r="M562" t="s">
        <v>410</v>
      </c>
      <c r="N562" t="s">
        <v>336</v>
      </c>
      <c r="O562" t="s">
        <v>338</v>
      </c>
    </row>
    <row r="563" spans="1:15" x14ac:dyDescent="0.3">
      <c r="A563">
        <v>206</v>
      </c>
      <c r="B563" t="s">
        <v>323</v>
      </c>
      <c r="C563">
        <v>173</v>
      </c>
      <c r="D563" t="s">
        <v>147</v>
      </c>
      <c r="E563">
        <v>1515</v>
      </c>
      <c r="F563" t="s">
        <v>828</v>
      </c>
      <c r="G563">
        <v>1</v>
      </c>
      <c r="H563">
        <v>1</v>
      </c>
      <c r="I563">
        <v>2</v>
      </c>
      <c r="J563">
        <v>1</v>
      </c>
      <c r="K563">
        <v>0</v>
      </c>
      <c r="L563">
        <v>0</v>
      </c>
      <c r="M563" t="s">
        <v>325</v>
      </c>
      <c r="N563" t="s">
        <v>484</v>
      </c>
      <c r="O563" t="s">
        <v>330</v>
      </c>
    </row>
    <row r="564" spans="1:15" x14ac:dyDescent="0.3">
      <c r="A564">
        <v>206</v>
      </c>
      <c r="B564" t="s">
        <v>323</v>
      </c>
      <c r="C564">
        <v>173</v>
      </c>
      <c r="D564" t="s">
        <v>147</v>
      </c>
      <c r="E564">
        <v>1517</v>
      </c>
      <c r="F564" t="s">
        <v>829</v>
      </c>
      <c r="G564">
        <v>0</v>
      </c>
      <c r="H564">
        <v>3</v>
      </c>
      <c r="I564">
        <v>0</v>
      </c>
      <c r="J564">
        <v>1</v>
      </c>
      <c r="K564">
        <v>1</v>
      </c>
      <c r="L564">
        <v>0</v>
      </c>
      <c r="M564" t="s">
        <v>410</v>
      </c>
      <c r="N564" t="s">
        <v>343</v>
      </c>
      <c r="O564" t="s">
        <v>338</v>
      </c>
    </row>
    <row r="565" spans="1:15" x14ac:dyDescent="0.3">
      <c r="A565">
        <v>206</v>
      </c>
      <c r="B565" t="s">
        <v>323</v>
      </c>
      <c r="C565">
        <v>173</v>
      </c>
      <c r="D565" t="s">
        <v>147</v>
      </c>
      <c r="E565">
        <v>1519</v>
      </c>
      <c r="F565" t="s">
        <v>639</v>
      </c>
      <c r="G565">
        <v>1</v>
      </c>
      <c r="H565">
        <v>1</v>
      </c>
      <c r="I565">
        <v>2</v>
      </c>
      <c r="J565">
        <v>1</v>
      </c>
      <c r="K565">
        <v>1</v>
      </c>
      <c r="L565">
        <v>0</v>
      </c>
      <c r="M565" t="s">
        <v>333</v>
      </c>
      <c r="N565" t="s">
        <v>484</v>
      </c>
      <c r="O565" t="s">
        <v>330</v>
      </c>
    </row>
    <row r="566" spans="1:15" x14ac:dyDescent="0.3">
      <c r="A566">
        <v>206</v>
      </c>
      <c r="B566" t="s">
        <v>323</v>
      </c>
      <c r="C566">
        <v>173</v>
      </c>
      <c r="D566" t="s">
        <v>147</v>
      </c>
      <c r="E566">
        <v>1520</v>
      </c>
      <c r="F566" t="s">
        <v>830</v>
      </c>
      <c r="G566">
        <v>0</v>
      </c>
      <c r="H566">
        <v>1</v>
      </c>
      <c r="I566">
        <v>1</v>
      </c>
      <c r="J566">
        <v>1</v>
      </c>
      <c r="K566">
        <v>1</v>
      </c>
      <c r="L566">
        <v>0</v>
      </c>
      <c r="M566" t="s">
        <v>325</v>
      </c>
      <c r="N566" t="s">
        <v>484</v>
      </c>
      <c r="O566" t="s">
        <v>330</v>
      </c>
    </row>
    <row r="567" spans="1:15" x14ac:dyDescent="0.3">
      <c r="A567">
        <v>206</v>
      </c>
      <c r="B567" t="s">
        <v>323</v>
      </c>
      <c r="C567">
        <v>173</v>
      </c>
      <c r="D567" t="s">
        <v>147</v>
      </c>
      <c r="E567">
        <v>1521</v>
      </c>
      <c r="F567" t="s">
        <v>831</v>
      </c>
      <c r="G567">
        <v>1</v>
      </c>
      <c r="H567">
        <v>3</v>
      </c>
      <c r="I567">
        <v>1</v>
      </c>
      <c r="J567">
        <v>1</v>
      </c>
      <c r="K567">
        <v>0</v>
      </c>
      <c r="L567">
        <v>0</v>
      </c>
      <c r="M567" t="s">
        <v>410</v>
      </c>
      <c r="N567" t="s">
        <v>326</v>
      </c>
      <c r="O567" t="s">
        <v>340</v>
      </c>
    </row>
    <row r="568" spans="1:15" x14ac:dyDescent="0.3">
      <c r="A568">
        <v>206</v>
      </c>
      <c r="B568" t="s">
        <v>323</v>
      </c>
      <c r="C568">
        <v>173</v>
      </c>
      <c r="D568" t="s">
        <v>147</v>
      </c>
      <c r="E568">
        <v>1522</v>
      </c>
      <c r="F568" t="s">
        <v>832</v>
      </c>
      <c r="G568">
        <v>0</v>
      </c>
      <c r="H568">
        <v>0</v>
      </c>
      <c r="I568">
        <v>1</v>
      </c>
      <c r="J568">
        <v>1</v>
      </c>
      <c r="K568">
        <v>2</v>
      </c>
      <c r="L568">
        <v>0</v>
      </c>
      <c r="M568" t="s">
        <v>325</v>
      </c>
      <c r="N568" t="s">
        <v>326</v>
      </c>
      <c r="O568" t="s">
        <v>330</v>
      </c>
    </row>
    <row r="569" spans="1:15" x14ac:dyDescent="0.3">
      <c r="A569">
        <v>206</v>
      </c>
      <c r="B569" t="s">
        <v>323</v>
      </c>
      <c r="C569">
        <v>173</v>
      </c>
      <c r="D569" t="s">
        <v>147</v>
      </c>
      <c r="E569">
        <v>1523</v>
      </c>
      <c r="F569" t="s">
        <v>833</v>
      </c>
      <c r="G569">
        <v>2</v>
      </c>
      <c r="H569">
        <v>2</v>
      </c>
      <c r="I569">
        <v>0</v>
      </c>
      <c r="J569">
        <v>2</v>
      </c>
      <c r="K569">
        <v>0</v>
      </c>
      <c r="L569">
        <v>2</v>
      </c>
      <c r="M569" t="s">
        <v>414</v>
      </c>
      <c r="N569" t="s">
        <v>326</v>
      </c>
      <c r="O569" t="s">
        <v>330</v>
      </c>
    </row>
    <row r="570" spans="1:15" x14ac:dyDescent="0.3">
      <c r="A570">
        <v>208</v>
      </c>
      <c r="B570" t="s">
        <v>323</v>
      </c>
      <c r="C570">
        <v>175</v>
      </c>
      <c r="D570" t="s">
        <v>151</v>
      </c>
      <c r="E570">
        <v>486</v>
      </c>
      <c r="F570" t="s">
        <v>393</v>
      </c>
      <c r="G570">
        <v>0</v>
      </c>
      <c r="H570">
        <v>0</v>
      </c>
      <c r="I570">
        <v>0</v>
      </c>
      <c r="J570">
        <v>5</v>
      </c>
      <c r="K570">
        <v>0</v>
      </c>
      <c r="L570">
        <v>0</v>
      </c>
      <c r="M570" t="s">
        <v>566</v>
      </c>
      <c r="N570" t="s">
        <v>336</v>
      </c>
      <c r="O570" t="s">
        <v>338</v>
      </c>
    </row>
    <row r="571" spans="1:15" x14ac:dyDescent="0.3">
      <c r="A571">
        <v>208</v>
      </c>
      <c r="B571" t="s">
        <v>323</v>
      </c>
      <c r="C571">
        <v>175</v>
      </c>
      <c r="D571" t="s">
        <v>151</v>
      </c>
      <c r="E571">
        <v>487</v>
      </c>
      <c r="F571" t="s">
        <v>834</v>
      </c>
      <c r="G571">
        <v>1</v>
      </c>
      <c r="H571">
        <v>3</v>
      </c>
      <c r="I571">
        <v>1</v>
      </c>
      <c r="J571">
        <v>1</v>
      </c>
      <c r="K571">
        <v>0</v>
      </c>
      <c r="L571">
        <v>0</v>
      </c>
      <c r="M571" t="s">
        <v>410</v>
      </c>
      <c r="N571" t="s">
        <v>343</v>
      </c>
      <c r="O571" t="s">
        <v>338</v>
      </c>
    </row>
    <row r="572" spans="1:15" x14ac:dyDescent="0.3">
      <c r="A572">
        <v>208</v>
      </c>
      <c r="B572" t="s">
        <v>323</v>
      </c>
      <c r="C572">
        <v>175</v>
      </c>
      <c r="D572" t="s">
        <v>151</v>
      </c>
      <c r="E572">
        <v>488</v>
      </c>
      <c r="F572" t="s">
        <v>835</v>
      </c>
      <c r="G572">
        <v>1</v>
      </c>
      <c r="H572">
        <v>2</v>
      </c>
      <c r="I572">
        <v>3</v>
      </c>
      <c r="J572">
        <v>0</v>
      </c>
      <c r="K572">
        <v>0</v>
      </c>
      <c r="L572">
        <v>0</v>
      </c>
      <c r="M572" t="s">
        <v>325</v>
      </c>
      <c r="N572" t="s">
        <v>326</v>
      </c>
      <c r="O572" t="s">
        <v>352</v>
      </c>
    </row>
    <row r="573" spans="1:15" x14ac:dyDescent="0.3">
      <c r="A573">
        <v>208</v>
      </c>
      <c r="B573" t="s">
        <v>323</v>
      </c>
      <c r="C573">
        <v>175</v>
      </c>
      <c r="D573" t="s">
        <v>151</v>
      </c>
      <c r="E573">
        <v>489</v>
      </c>
      <c r="F573" t="s">
        <v>836</v>
      </c>
      <c r="G573">
        <v>0</v>
      </c>
      <c r="H573">
        <v>5</v>
      </c>
      <c r="I573">
        <v>0</v>
      </c>
      <c r="J573">
        <v>1</v>
      </c>
      <c r="K573">
        <v>0</v>
      </c>
      <c r="L573">
        <v>0</v>
      </c>
      <c r="M573" t="s">
        <v>333</v>
      </c>
      <c r="N573" t="s">
        <v>326</v>
      </c>
      <c r="O573" t="s">
        <v>352</v>
      </c>
    </row>
    <row r="574" spans="1:15" x14ac:dyDescent="0.3">
      <c r="A574">
        <v>208</v>
      </c>
      <c r="B574" t="s">
        <v>323</v>
      </c>
      <c r="C574">
        <v>175</v>
      </c>
      <c r="D574" t="s">
        <v>151</v>
      </c>
      <c r="E574">
        <v>490</v>
      </c>
      <c r="F574" t="s">
        <v>837</v>
      </c>
      <c r="G574">
        <v>0</v>
      </c>
      <c r="H574">
        <v>0</v>
      </c>
      <c r="I574">
        <v>0</v>
      </c>
      <c r="J574">
        <v>0</v>
      </c>
      <c r="K574">
        <v>0</v>
      </c>
      <c r="L574">
        <v>6</v>
      </c>
      <c r="M574" t="s">
        <v>325</v>
      </c>
      <c r="N574" t="s">
        <v>329</v>
      </c>
      <c r="O574" t="s">
        <v>352</v>
      </c>
    </row>
    <row r="575" spans="1:15" x14ac:dyDescent="0.3">
      <c r="A575">
        <v>208</v>
      </c>
      <c r="B575" t="s">
        <v>323</v>
      </c>
      <c r="C575">
        <v>175</v>
      </c>
      <c r="D575" t="s">
        <v>151</v>
      </c>
      <c r="E575">
        <v>491</v>
      </c>
      <c r="F575" t="s">
        <v>838</v>
      </c>
      <c r="G575">
        <v>0</v>
      </c>
      <c r="H575">
        <v>0</v>
      </c>
      <c r="I575">
        <v>0</v>
      </c>
      <c r="J575">
        <v>0</v>
      </c>
      <c r="K575">
        <v>0</v>
      </c>
      <c r="L575">
        <v>5</v>
      </c>
      <c r="M575" t="s">
        <v>325</v>
      </c>
      <c r="N575" t="s">
        <v>348</v>
      </c>
      <c r="O575" t="s">
        <v>352</v>
      </c>
    </row>
    <row r="576" spans="1:15" x14ac:dyDescent="0.3">
      <c r="A576">
        <v>208</v>
      </c>
      <c r="B576" t="s">
        <v>323</v>
      </c>
      <c r="C576">
        <v>175</v>
      </c>
      <c r="D576" t="s">
        <v>151</v>
      </c>
      <c r="E576">
        <v>492</v>
      </c>
      <c r="F576" t="s">
        <v>839</v>
      </c>
      <c r="G576">
        <v>7</v>
      </c>
      <c r="H576">
        <v>0</v>
      </c>
      <c r="I576">
        <v>0</v>
      </c>
      <c r="J576">
        <v>0</v>
      </c>
      <c r="K576">
        <v>0</v>
      </c>
      <c r="L576">
        <v>0</v>
      </c>
      <c r="M576" t="s">
        <v>325</v>
      </c>
      <c r="N576" t="s">
        <v>484</v>
      </c>
      <c r="O576" t="s">
        <v>340</v>
      </c>
    </row>
    <row r="577" spans="1:15" x14ac:dyDescent="0.3">
      <c r="A577">
        <v>208</v>
      </c>
      <c r="B577" t="s">
        <v>323</v>
      </c>
      <c r="C577">
        <v>175</v>
      </c>
      <c r="D577" t="s">
        <v>151</v>
      </c>
      <c r="E577">
        <v>493</v>
      </c>
      <c r="F577" t="s">
        <v>840</v>
      </c>
      <c r="G577">
        <v>0</v>
      </c>
      <c r="H577">
        <v>3</v>
      </c>
      <c r="I577">
        <v>0</v>
      </c>
      <c r="J577">
        <v>1</v>
      </c>
      <c r="K577">
        <v>0</v>
      </c>
      <c r="L577">
        <v>0</v>
      </c>
      <c r="M577" t="s">
        <v>333</v>
      </c>
      <c r="N577" t="s">
        <v>329</v>
      </c>
      <c r="O577" t="s">
        <v>330</v>
      </c>
    </row>
    <row r="578" spans="1:15" x14ac:dyDescent="0.3">
      <c r="A578">
        <v>208</v>
      </c>
      <c r="B578" t="s">
        <v>323</v>
      </c>
      <c r="C578">
        <v>175</v>
      </c>
      <c r="D578" t="s">
        <v>151</v>
      </c>
      <c r="E578">
        <v>494</v>
      </c>
      <c r="F578" t="s">
        <v>676</v>
      </c>
      <c r="G578">
        <v>1</v>
      </c>
      <c r="H578">
        <v>0</v>
      </c>
      <c r="I578">
        <v>7</v>
      </c>
      <c r="J578">
        <v>1</v>
      </c>
      <c r="K578">
        <v>0</v>
      </c>
      <c r="L578">
        <v>0</v>
      </c>
      <c r="M578" t="s">
        <v>325</v>
      </c>
      <c r="N578" t="s">
        <v>326</v>
      </c>
      <c r="O578" t="s">
        <v>327</v>
      </c>
    </row>
    <row r="579" spans="1:15" x14ac:dyDescent="0.3">
      <c r="A579">
        <v>208</v>
      </c>
      <c r="B579" t="s">
        <v>323</v>
      </c>
      <c r="C579">
        <v>175</v>
      </c>
      <c r="D579" t="s">
        <v>151</v>
      </c>
      <c r="E579">
        <v>495</v>
      </c>
      <c r="F579" t="s">
        <v>841</v>
      </c>
      <c r="G579">
        <v>0</v>
      </c>
      <c r="H579">
        <v>2</v>
      </c>
      <c r="I579">
        <v>2</v>
      </c>
      <c r="J579">
        <v>1</v>
      </c>
      <c r="K579">
        <v>0</v>
      </c>
      <c r="L579">
        <v>0</v>
      </c>
      <c r="M579" t="s">
        <v>325</v>
      </c>
      <c r="N579" t="s">
        <v>326</v>
      </c>
      <c r="O579" t="s">
        <v>352</v>
      </c>
    </row>
    <row r="580" spans="1:15" x14ac:dyDescent="0.3">
      <c r="A580">
        <v>208</v>
      </c>
      <c r="B580" t="s">
        <v>323</v>
      </c>
      <c r="C580">
        <v>175</v>
      </c>
      <c r="D580" t="s">
        <v>151</v>
      </c>
      <c r="E580">
        <v>496</v>
      </c>
      <c r="F580" t="s">
        <v>842</v>
      </c>
      <c r="G580">
        <v>3</v>
      </c>
      <c r="H580">
        <v>2</v>
      </c>
      <c r="I580">
        <v>0</v>
      </c>
      <c r="J580">
        <v>0</v>
      </c>
      <c r="K580">
        <v>0</v>
      </c>
      <c r="L580">
        <v>0</v>
      </c>
      <c r="M580" t="s">
        <v>333</v>
      </c>
      <c r="N580" t="s">
        <v>343</v>
      </c>
      <c r="O580" t="s">
        <v>340</v>
      </c>
    </row>
    <row r="581" spans="1:15" x14ac:dyDescent="0.3">
      <c r="A581">
        <v>208</v>
      </c>
      <c r="B581" t="s">
        <v>323</v>
      </c>
      <c r="C581">
        <v>175</v>
      </c>
      <c r="D581" t="s">
        <v>151</v>
      </c>
      <c r="E581">
        <v>497</v>
      </c>
      <c r="F581" t="s">
        <v>843</v>
      </c>
      <c r="G581">
        <v>0</v>
      </c>
      <c r="H581">
        <v>0</v>
      </c>
      <c r="I581">
        <v>3</v>
      </c>
      <c r="J581">
        <v>2</v>
      </c>
      <c r="K581">
        <v>1</v>
      </c>
      <c r="L581">
        <v>0</v>
      </c>
      <c r="M581" t="s">
        <v>410</v>
      </c>
      <c r="N581" t="s">
        <v>484</v>
      </c>
      <c r="O581" t="s">
        <v>330</v>
      </c>
    </row>
    <row r="582" spans="1:15" x14ac:dyDescent="0.3">
      <c r="A582">
        <v>208</v>
      </c>
      <c r="B582" t="s">
        <v>323</v>
      </c>
      <c r="C582">
        <v>175</v>
      </c>
      <c r="D582" t="s">
        <v>151</v>
      </c>
      <c r="E582">
        <v>498</v>
      </c>
      <c r="F582" t="s">
        <v>844</v>
      </c>
      <c r="G582">
        <v>1</v>
      </c>
      <c r="H582">
        <v>4</v>
      </c>
      <c r="I582">
        <v>3</v>
      </c>
      <c r="J582">
        <v>2</v>
      </c>
      <c r="K582">
        <v>0</v>
      </c>
      <c r="L582">
        <v>0</v>
      </c>
      <c r="M582" t="s">
        <v>333</v>
      </c>
      <c r="N582" t="s">
        <v>326</v>
      </c>
      <c r="O582" t="s">
        <v>352</v>
      </c>
    </row>
    <row r="583" spans="1:15" x14ac:dyDescent="0.3">
      <c r="A583">
        <v>208</v>
      </c>
      <c r="B583" t="s">
        <v>323</v>
      </c>
      <c r="C583">
        <v>175</v>
      </c>
      <c r="D583" t="s">
        <v>151</v>
      </c>
      <c r="E583">
        <v>499</v>
      </c>
      <c r="F583" t="s">
        <v>845</v>
      </c>
      <c r="G583">
        <v>1</v>
      </c>
      <c r="H583">
        <v>0</v>
      </c>
      <c r="I583">
        <v>0</v>
      </c>
      <c r="J583">
        <v>0</v>
      </c>
      <c r="K583">
        <v>0</v>
      </c>
      <c r="L583">
        <v>5</v>
      </c>
      <c r="M583" t="s">
        <v>325</v>
      </c>
      <c r="N583" t="s">
        <v>348</v>
      </c>
      <c r="O583" t="s">
        <v>330</v>
      </c>
    </row>
    <row r="584" spans="1:15" x14ac:dyDescent="0.3">
      <c r="A584">
        <v>208</v>
      </c>
      <c r="B584" t="s">
        <v>323</v>
      </c>
      <c r="C584">
        <v>175</v>
      </c>
      <c r="D584" t="s">
        <v>151</v>
      </c>
      <c r="E584">
        <v>500</v>
      </c>
      <c r="F584" t="s">
        <v>846</v>
      </c>
      <c r="G584">
        <v>0</v>
      </c>
      <c r="H584">
        <v>5</v>
      </c>
      <c r="I584">
        <v>0</v>
      </c>
      <c r="J584">
        <v>0</v>
      </c>
      <c r="K584">
        <v>0</v>
      </c>
      <c r="L584">
        <v>0</v>
      </c>
      <c r="M584" t="s">
        <v>410</v>
      </c>
      <c r="N584" t="s">
        <v>348</v>
      </c>
      <c r="O584" t="s">
        <v>330</v>
      </c>
    </row>
    <row r="585" spans="1:15" x14ac:dyDescent="0.3">
      <c r="A585">
        <v>208</v>
      </c>
      <c r="B585" t="s">
        <v>323</v>
      </c>
      <c r="C585">
        <v>175</v>
      </c>
      <c r="D585" t="s">
        <v>151</v>
      </c>
      <c r="E585">
        <v>501</v>
      </c>
      <c r="F585" t="s">
        <v>847</v>
      </c>
      <c r="G585">
        <v>0</v>
      </c>
      <c r="H585">
        <v>0</v>
      </c>
      <c r="I585">
        <v>5</v>
      </c>
      <c r="J585">
        <v>2</v>
      </c>
      <c r="K585">
        <v>0</v>
      </c>
      <c r="L585">
        <v>0</v>
      </c>
      <c r="M585" t="s">
        <v>325</v>
      </c>
      <c r="N585" t="s">
        <v>326</v>
      </c>
      <c r="O585" t="s">
        <v>330</v>
      </c>
    </row>
    <row r="586" spans="1:15" x14ac:dyDescent="0.3">
      <c r="A586">
        <v>208</v>
      </c>
      <c r="B586" t="s">
        <v>323</v>
      </c>
      <c r="C586">
        <v>175</v>
      </c>
      <c r="D586" t="s">
        <v>151</v>
      </c>
      <c r="E586">
        <v>502</v>
      </c>
      <c r="F586" t="s">
        <v>848</v>
      </c>
      <c r="G586">
        <v>2</v>
      </c>
      <c r="H586">
        <v>4</v>
      </c>
      <c r="I586">
        <v>1</v>
      </c>
      <c r="J586">
        <v>0</v>
      </c>
      <c r="K586">
        <v>1</v>
      </c>
      <c r="L586">
        <v>0</v>
      </c>
      <c r="M586" t="s">
        <v>325</v>
      </c>
      <c r="N586" t="s">
        <v>326</v>
      </c>
      <c r="O586" t="s">
        <v>340</v>
      </c>
    </row>
    <row r="587" spans="1:15" x14ac:dyDescent="0.3">
      <c r="A587">
        <v>208</v>
      </c>
      <c r="B587" t="s">
        <v>323</v>
      </c>
      <c r="C587">
        <v>175</v>
      </c>
      <c r="D587" t="s">
        <v>151</v>
      </c>
      <c r="E587">
        <v>503</v>
      </c>
      <c r="F587" t="s">
        <v>849</v>
      </c>
      <c r="G587">
        <v>0</v>
      </c>
      <c r="H587">
        <v>0</v>
      </c>
      <c r="I587">
        <v>0</v>
      </c>
      <c r="J587">
        <v>5</v>
      </c>
      <c r="K587">
        <v>0</v>
      </c>
      <c r="L587">
        <v>0</v>
      </c>
      <c r="M587" t="s">
        <v>333</v>
      </c>
      <c r="N587" t="s">
        <v>326</v>
      </c>
      <c r="O587" t="s">
        <v>330</v>
      </c>
    </row>
    <row r="588" spans="1:15" x14ac:dyDescent="0.3">
      <c r="A588">
        <v>208</v>
      </c>
      <c r="B588" t="s">
        <v>323</v>
      </c>
      <c r="C588">
        <v>175</v>
      </c>
      <c r="D588" t="s">
        <v>151</v>
      </c>
      <c r="E588">
        <v>504</v>
      </c>
      <c r="F588" t="s">
        <v>353</v>
      </c>
      <c r="G588">
        <v>0</v>
      </c>
      <c r="H588">
        <v>0</v>
      </c>
      <c r="I588">
        <v>4</v>
      </c>
      <c r="J588">
        <v>2</v>
      </c>
      <c r="K588">
        <v>1</v>
      </c>
      <c r="L588">
        <v>0</v>
      </c>
      <c r="M588" t="s">
        <v>325</v>
      </c>
      <c r="N588" t="s">
        <v>326</v>
      </c>
      <c r="O588" t="s">
        <v>338</v>
      </c>
    </row>
    <row r="589" spans="1:15" x14ac:dyDescent="0.3">
      <c r="A589">
        <v>208</v>
      </c>
      <c r="B589" t="s">
        <v>323</v>
      </c>
      <c r="C589">
        <v>175</v>
      </c>
      <c r="D589" t="s">
        <v>151</v>
      </c>
      <c r="E589">
        <v>505</v>
      </c>
      <c r="F589" t="s">
        <v>850</v>
      </c>
      <c r="G589">
        <v>2</v>
      </c>
      <c r="H589">
        <v>1</v>
      </c>
      <c r="I589">
        <v>13</v>
      </c>
      <c r="J589">
        <v>3</v>
      </c>
      <c r="K589">
        <v>2</v>
      </c>
      <c r="L589">
        <v>0</v>
      </c>
      <c r="M589" t="s">
        <v>333</v>
      </c>
      <c r="N589" t="s">
        <v>326</v>
      </c>
      <c r="O589" t="s">
        <v>352</v>
      </c>
    </row>
    <row r="590" spans="1:15" x14ac:dyDescent="0.3">
      <c r="A590">
        <v>208</v>
      </c>
      <c r="B590" t="s">
        <v>323</v>
      </c>
      <c r="C590">
        <v>175</v>
      </c>
      <c r="D590" t="s">
        <v>151</v>
      </c>
      <c r="E590">
        <v>506</v>
      </c>
      <c r="F590" t="s">
        <v>851</v>
      </c>
      <c r="G590">
        <v>0</v>
      </c>
      <c r="H590">
        <v>3</v>
      </c>
      <c r="I590">
        <v>12</v>
      </c>
      <c r="J590">
        <v>6</v>
      </c>
      <c r="K590">
        <v>4</v>
      </c>
      <c r="L590">
        <v>0</v>
      </c>
      <c r="M590" t="s">
        <v>333</v>
      </c>
      <c r="N590" t="s">
        <v>326</v>
      </c>
      <c r="O590" t="s">
        <v>352</v>
      </c>
    </row>
    <row r="591" spans="1:15" x14ac:dyDescent="0.3">
      <c r="A591">
        <v>208</v>
      </c>
      <c r="B591" t="s">
        <v>323</v>
      </c>
      <c r="C591">
        <v>175</v>
      </c>
      <c r="D591" t="s">
        <v>151</v>
      </c>
      <c r="E591">
        <v>507</v>
      </c>
      <c r="F591" t="s">
        <v>852</v>
      </c>
      <c r="G591">
        <v>2</v>
      </c>
      <c r="H591">
        <v>3</v>
      </c>
      <c r="I591">
        <v>9</v>
      </c>
      <c r="J591">
        <v>2</v>
      </c>
      <c r="K591">
        <v>0</v>
      </c>
      <c r="L591">
        <v>0</v>
      </c>
      <c r="M591" t="s">
        <v>333</v>
      </c>
      <c r="N591" t="s">
        <v>326</v>
      </c>
      <c r="O591" t="s">
        <v>352</v>
      </c>
    </row>
    <row r="592" spans="1:15" x14ac:dyDescent="0.3">
      <c r="A592">
        <v>208</v>
      </c>
      <c r="B592" t="s">
        <v>323</v>
      </c>
      <c r="C592">
        <v>175</v>
      </c>
      <c r="D592" t="s">
        <v>151</v>
      </c>
      <c r="E592">
        <v>508</v>
      </c>
      <c r="F592" t="s">
        <v>853</v>
      </c>
      <c r="G592">
        <v>0</v>
      </c>
      <c r="H592">
        <v>2</v>
      </c>
      <c r="I592">
        <v>5</v>
      </c>
      <c r="J592">
        <v>3</v>
      </c>
      <c r="K592">
        <v>1</v>
      </c>
      <c r="L592">
        <v>0</v>
      </c>
      <c r="M592" t="s">
        <v>325</v>
      </c>
      <c r="N592" t="s">
        <v>326</v>
      </c>
      <c r="O592" t="s">
        <v>330</v>
      </c>
    </row>
    <row r="593" spans="1:15" x14ac:dyDescent="0.3">
      <c r="A593">
        <v>208</v>
      </c>
      <c r="B593" t="s">
        <v>323</v>
      </c>
      <c r="C593">
        <v>175</v>
      </c>
      <c r="D593" t="s">
        <v>151</v>
      </c>
      <c r="E593">
        <v>509</v>
      </c>
      <c r="F593" t="s">
        <v>854</v>
      </c>
      <c r="G593">
        <v>1</v>
      </c>
      <c r="H593">
        <v>1</v>
      </c>
      <c r="I593">
        <v>0</v>
      </c>
      <c r="J593">
        <v>2</v>
      </c>
      <c r="K593">
        <v>3</v>
      </c>
      <c r="L593">
        <v>0</v>
      </c>
      <c r="M593" t="s">
        <v>333</v>
      </c>
      <c r="N593" t="s">
        <v>326</v>
      </c>
      <c r="O593" t="s">
        <v>352</v>
      </c>
    </row>
    <row r="594" spans="1:15" x14ac:dyDescent="0.3">
      <c r="A594">
        <v>208</v>
      </c>
      <c r="B594" t="s">
        <v>323</v>
      </c>
      <c r="C594">
        <v>175</v>
      </c>
      <c r="D594" t="s">
        <v>151</v>
      </c>
      <c r="E594">
        <v>510</v>
      </c>
      <c r="F594" t="s">
        <v>855</v>
      </c>
      <c r="G594">
        <v>0</v>
      </c>
      <c r="H594">
        <v>1</v>
      </c>
      <c r="I594">
        <v>0</v>
      </c>
      <c r="J594">
        <v>0</v>
      </c>
      <c r="K594">
        <v>0</v>
      </c>
      <c r="L594">
        <v>5</v>
      </c>
      <c r="M594" t="s">
        <v>325</v>
      </c>
      <c r="N594" t="s">
        <v>343</v>
      </c>
      <c r="O594" t="s">
        <v>352</v>
      </c>
    </row>
    <row r="595" spans="1:15" x14ac:dyDescent="0.3">
      <c r="A595">
        <v>208</v>
      </c>
      <c r="B595" t="s">
        <v>323</v>
      </c>
      <c r="C595">
        <v>175</v>
      </c>
      <c r="D595" t="s">
        <v>151</v>
      </c>
      <c r="E595">
        <v>511</v>
      </c>
      <c r="F595" t="s">
        <v>856</v>
      </c>
      <c r="G595">
        <v>0</v>
      </c>
      <c r="H595">
        <v>0</v>
      </c>
      <c r="I595">
        <v>6</v>
      </c>
      <c r="J595">
        <v>0</v>
      </c>
      <c r="K595">
        <v>0</v>
      </c>
      <c r="L595">
        <v>0</v>
      </c>
      <c r="M595" t="s">
        <v>410</v>
      </c>
      <c r="N595" t="s">
        <v>343</v>
      </c>
      <c r="O595" t="s">
        <v>352</v>
      </c>
    </row>
    <row r="596" spans="1:15" x14ac:dyDescent="0.3">
      <c r="A596">
        <v>208</v>
      </c>
      <c r="B596" t="s">
        <v>323</v>
      </c>
      <c r="C596">
        <v>175</v>
      </c>
      <c r="D596" t="s">
        <v>151</v>
      </c>
      <c r="E596">
        <v>512</v>
      </c>
      <c r="F596" t="s">
        <v>857</v>
      </c>
      <c r="G596">
        <v>0</v>
      </c>
      <c r="H596">
        <v>5</v>
      </c>
      <c r="I596">
        <v>0</v>
      </c>
      <c r="J596">
        <v>0</v>
      </c>
      <c r="K596">
        <v>0</v>
      </c>
      <c r="L596">
        <v>0</v>
      </c>
      <c r="M596" t="s">
        <v>333</v>
      </c>
      <c r="N596" t="s">
        <v>348</v>
      </c>
      <c r="O596" t="s">
        <v>352</v>
      </c>
    </row>
    <row r="597" spans="1:15" x14ac:dyDescent="0.3">
      <c r="A597">
        <v>208</v>
      </c>
      <c r="B597" t="s">
        <v>323</v>
      </c>
      <c r="C597">
        <v>175</v>
      </c>
      <c r="D597" t="s">
        <v>151</v>
      </c>
      <c r="E597">
        <v>513</v>
      </c>
      <c r="F597" t="s">
        <v>858</v>
      </c>
      <c r="G597">
        <v>1</v>
      </c>
      <c r="H597">
        <v>3</v>
      </c>
      <c r="I597">
        <v>0</v>
      </c>
      <c r="J597">
        <v>0</v>
      </c>
      <c r="K597">
        <v>0</v>
      </c>
      <c r="L597">
        <v>0</v>
      </c>
      <c r="M597" t="s">
        <v>325</v>
      </c>
      <c r="N597" t="s">
        <v>348</v>
      </c>
      <c r="O597" t="s">
        <v>330</v>
      </c>
    </row>
    <row r="598" spans="1:15" x14ac:dyDescent="0.3">
      <c r="A598">
        <v>208</v>
      </c>
      <c r="B598" t="s">
        <v>323</v>
      </c>
      <c r="C598">
        <v>175</v>
      </c>
      <c r="D598" t="s">
        <v>151</v>
      </c>
      <c r="E598">
        <v>514</v>
      </c>
      <c r="F598" t="s">
        <v>859</v>
      </c>
      <c r="G598">
        <v>0</v>
      </c>
      <c r="H598">
        <v>1</v>
      </c>
      <c r="I598">
        <v>4</v>
      </c>
      <c r="J598">
        <v>1</v>
      </c>
      <c r="K598">
        <v>0</v>
      </c>
      <c r="L598">
        <v>0</v>
      </c>
      <c r="M598" t="s">
        <v>414</v>
      </c>
      <c r="N598" t="s">
        <v>326</v>
      </c>
      <c r="O598" t="s">
        <v>330</v>
      </c>
    </row>
    <row r="599" spans="1:15" x14ac:dyDescent="0.3">
      <c r="A599">
        <v>208</v>
      </c>
      <c r="B599" t="s">
        <v>323</v>
      </c>
      <c r="C599">
        <v>175</v>
      </c>
      <c r="D599" t="s">
        <v>151</v>
      </c>
      <c r="E599">
        <v>515</v>
      </c>
      <c r="F599" t="s">
        <v>860</v>
      </c>
      <c r="G599">
        <v>2</v>
      </c>
      <c r="H599">
        <v>3</v>
      </c>
      <c r="I599">
        <v>5</v>
      </c>
      <c r="J599">
        <v>4</v>
      </c>
      <c r="K599">
        <v>0</v>
      </c>
      <c r="L599">
        <v>0</v>
      </c>
      <c r="M599" t="s">
        <v>325</v>
      </c>
      <c r="N599" t="s">
        <v>326</v>
      </c>
      <c r="O599" t="s">
        <v>338</v>
      </c>
    </row>
    <row r="600" spans="1:15" x14ac:dyDescent="0.3">
      <c r="A600">
        <v>208</v>
      </c>
      <c r="B600" t="s">
        <v>323</v>
      </c>
      <c r="C600">
        <v>175</v>
      </c>
      <c r="D600" t="s">
        <v>151</v>
      </c>
      <c r="E600">
        <v>516</v>
      </c>
      <c r="F600" t="s">
        <v>861</v>
      </c>
      <c r="G600">
        <v>3</v>
      </c>
      <c r="H600">
        <v>4</v>
      </c>
      <c r="I600">
        <v>4</v>
      </c>
      <c r="J600">
        <v>6</v>
      </c>
      <c r="K600">
        <v>1</v>
      </c>
      <c r="L600">
        <v>0</v>
      </c>
      <c r="M600" t="s">
        <v>325</v>
      </c>
      <c r="N600" t="s">
        <v>326</v>
      </c>
      <c r="O600" t="s">
        <v>338</v>
      </c>
    </row>
    <row r="601" spans="1:15" x14ac:dyDescent="0.3">
      <c r="A601">
        <v>208</v>
      </c>
      <c r="B601" t="s">
        <v>323</v>
      </c>
      <c r="C601">
        <v>175</v>
      </c>
      <c r="D601" t="s">
        <v>151</v>
      </c>
      <c r="E601">
        <v>517</v>
      </c>
      <c r="F601" t="s">
        <v>862</v>
      </c>
      <c r="G601">
        <v>2</v>
      </c>
      <c r="H601">
        <v>3</v>
      </c>
      <c r="I601">
        <v>0</v>
      </c>
      <c r="J601">
        <v>1</v>
      </c>
      <c r="K601">
        <v>0</v>
      </c>
      <c r="L601">
        <v>0</v>
      </c>
      <c r="M601" t="s">
        <v>325</v>
      </c>
      <c r="N601" t="s">
        <v>326</v>
      </c>
      <c r="O601" t="s">
        <v>338</v>
      </c>
    </row>
    <row r="602" spans="1:15" x14ac:dyDescent="0.3">
      <c r="A602">
        <v>208</v>
      </c>
      <c r="B602" t="s">
        <v>323</v>
      </c>
      <c r="C602">
        <v>175</v>
      </c>
      <c r="D602" t="s">
        <v>151</v>
      </c>
      <c r="E602">
        <v>518</v>
      </c>
      <c r="F602" t="s">
        <v>863</v>
      </c>
      <c r="G602">
        <v>1</v>
      </c>
      <c r="H602">
        <v>0</v>
      </c>
      <c r="I602">
        <v>4</v>
      </c>
      <c r="J602">
        <v>0</v>
      </c>
      <c r="K602">
        <v>0</v>
      </c>
      <c r="L602">
        <v>0</v>
      </c>
      <c r="M602" t="s">
        <v>325</v>
      </c>
      <c r="N602" t="s">
        <v>326</v>
      </c>
      <c r="O602" t="s">
        <v>338</v>
      </c>
    </row>
    <row r="603" spans="1:15" x14ac:dyDescent="0.3">
      <c r="A603">
        <v>208</v>
      </c>
      <c r="B603" t="s">
        <v>323</v>
      </c>
      <c r="C603">
        <v>175</v>
      </c>
      <c r="D603" t="s">
        <v>151</v>
      </c>
      <c r="E603">
        <v>519</v>
      </c>
      <c r="F603" t="s">
        <v>864</v>
      </c>
      <c r="G603">
        <v>2</v>
      </c>
      <c r="H603">
        <v>4</v>
      </c>
      <c r="I603">
        <v>0</v>
      </c>
      <c r="J603">
        <v>0</v>
      </c>
      <c r="K603">
        <v>0</v>
      </c>
      <c r="L603">
        <v>0</v>
      </c>
      <c r="M603" t="s">
        <v>410</v>
      </c>
      <c r="N603" t="s">
        <v>336</v>
      </c>
      <c r="O603" t="s">
        <v>330</v>
      </c>
    </row>
    <row r="604" spans="1:15" x14ac:dyDescent="0.3">
      <c r="A604">
        <v>208</v>
      </c>
      <c r="B604" t="s">
        <v>323</v>
      </c>
      <c r="C604">
        <v>175</v>
      </c>
      <c r="D604" t="s">
        <v>151</v>
      </c>
      <c r="E604">
        <v>520</v>
      </c>
      <c r="F604" t="s">
        <v>865</v>
      </c>
      <c r="G604">
        <v>0</v>
      </c>
      <c r="H604">
        <v>0</v>
      </c>
      <c r="I604">
        <v>6</v>
      </c>
      <c r="J604">
        <v>0</v>
      </c>
      <c r="K604">
        <v>0</v>
      </c>
      <c r="L604">
        <v>0</v>
      </c>
      <c r="M604" t="s">
        <v>410</v>
      </c>
      <c r="N604" t="s">
        <v>484</v>
      </c>
      <c r="O604" t="s">
        <v>338</v>
      </c>
    </row>
    <row r="605" spans="1:15" x14ac:dyDescent="0.3">
      <c r="A605">
        <v>208</v>
      </c>
      <c r="B605" t="s">
        <v>323</v>
      </c>
      <c r="C605">
        <v>175</v>
      </c>
      <c r="D605" t="s">
        <v>151</v>
      </c>
      <c r="E605">
        <v>521</v>
      </c>
      <c r="F605" t="s">
        <v>866</v>
      </c>
      <c r="G605">
        <v>0</v>
      </c>
      <c r="H605">
        <v>2</v>
      </c>
      <c r="I605">
        <v>2</v>
      </c>
      <c r="J605">
        <v>2</v>
      </c>
      <c r="K605">
        <v>0</v>
      </c>
      <c r="L605">
        <v>0</v>
      </c>
      <c r="M605" t="s">
        <v>333</v>
      </c>
      <c r="N605" t="s">
        <v>329</v>
      </c>
      <c r="O605" t="s">
        <v>330</v>
      </c>
    </row>
    <row r="606" spans="1:15" x14ac:dyDescent="0.3">
      <c r="A606">
        <v>208</v>
      </c>
      <c r="B606" t="s">
        <v>323</v>
      </c>
      <c r="C606">
        <v>175</v>
      </c>
      <c r="D606" t="s">
        <v>151</v>
      </c>
      <c r="E606">
        <v>522</v>
      </c>
      <c r="F606" t="s">
        <v>867</v>
      </c>
      <c r="G606">
        <v>3</v>
      </c>
      <c r="H606">
        <v>3</v>
      </c>
      <c r="I606">
        <v>10</v>
      </c>
      <c r="J606">
        <v>12</v>
      </c>
      <c r="K606">
        <v>6</v>
      </c>
      <c r="L606">
        <v>0</v>
      </c>
      <c r="M606" t="s">
        <v>333</v>
      </c>
      <c r="N606" t="s">
        <v>326</v>
      </c>
      <c r="O606" t="s">
        <v>352</v>
      </c>
    </row>
    <row r="607" spans="1:15" x14ac:dyDescent="0.3">
      <c r="A607">
        <v>208</v>
      </c>
      <c r="B607" t="s">
        <v>323</v>
      </c>
      <c r="C607">
        <v>175</v>
      </c>
      <c r="D607" t="s">
        <v>151</v>
      </c>
      <c r="E607">
        <v>1526</v>
      </c>
      <c r="F607" t="s">
        <v>868</v>
      </c>
      <c r="G607">
        <v>1</v>
      </c>
      <c r="H607">
        <v>0</v>
      </c>
      <c r="I607">
        <v>0</v>
      </c>
      <c r="J607">
        <v>0</v>
      </c>
      <c r="K607">
        <v>0</v>
      </c>
      <c r="L607">
        <v>4</v>
      </c>
      <c r="M607" t="s">
        <v>325</v>
      </c>
      <c r="N607" t="s">
        <v>348</v>
      </c>
      <c r="O607" t="s">
        <v>330</v>
      </c>
    </row>
    <row r="608" spans="1:15" x14ac:dyDescent="0.3">
      <c r="A608">
        <v>208</v>
      </c>
      <c r="B608" t="s">
        <v>323</v>
      </c>
      <c r="C608">
        <v>175</v>
      </c>
      <c r="D608" t="s">
        <v>151</v>
      </c>
      <c r="E608">
        <v>1527</v>
      </c>
      <c r="F608" t="s">
        <v>869</v>
      </c>
      <c r="G608">
        <v>0</v>
      </c>
      <c r="H608">
        <v>5</v>
      </c>
      <c r="I608">
        <v>0</v>
      </c>
      <c r="J608">
        <v>0</v>
      </c>
      <c r="K608">
        <v>0</v>
      </c>
      <c r="L608">
        <v>0</v>
      </c>
      <c r="M608" t="s">
        <v>333</v>
      </c>
      <c r="N608" t="s">
        <v>348</v>
      </c>
      <c r="O608" t="s">
        <v>352</v>
      </c>
    </row>
    <row r="609" spans="1:15" x14ac:dyDescent="0.3">
      <c r="A609">
        <v>208</v>
      </c>
      <c r="B609" t="s">
        <v>323</v>
      </c>
      <c r="C609">
        <v>175</v>
      </c>
      <c r="D609" t="s">
        <v>151</v>
      </c>
      <c r="E609">
        <v>1528</v>
      </c>
      <c r="F609" t="s">
        <v>870</v>
      </c>
      <c r="G609">
        <v>0</v>
      </c>
      <c r="H609">
        <v>0</v>
      </c>
      <c r="I609">
        <v>4</v>
      </c>
      <c r="J609">
        <v>2</v>
      </c>
      <c r="K609">
        <v>0</v>
      </c>
      <c r="L609">
        <v>0</v>
      </c>
      <c r="M609" t="s">
        <v>325</v>
      </c>
      <c r="N609" t="s">
        <v>336</v>
      </c>
      <c r="O609" t="s">
        <v>330</v>
      </c>
    </row>
    <row r="610" spans="1:15" x14ac:dyDescent="0.3">
      <c r="A610">
        <v>209</v>
      </c>
      <c r="B610" t="s">
        <v>323</v>
      </c>
      <c r="C610">
        <v>176</v>
      </c>
      <c r="D610" t="s">
        <v>153</v>
      </c>
      <c r="E610">
        <v>372</v>
      </c>
      <c r="F610" t="s">
        <v>871</v>
      </c>
      <c r="G610">
        <v>0</v>
      </c>
      <c r="H610">
        <v>2</v>
      </c>
      <c r="I610">
        <v>2</v>
      </c>
      <c r="J610">
        <v>4</v>
      </c>
      <c r="K610">
        <v>1</v>
      </c>
      <c r="L610">
        <v>0</v>
      </c>
      <c r="M610" t="s">
        <v>325</v>
      </c>
      <c r="N610" t="s">
        <v>326</v>
      </c>
      <c r="O610" t="s">
        <v>330</v>
      </c>
    </row>
    <row r="611" spans="1:15" x14ac:dyDescent="0.3">
      <c r="A611">
        <v>209</v>
      </c>
      <c r="B611" t="s">
        <v>323</v>
      </c>
      <c r="C611">
        <v>176</v>
      </c>
      <c r="D611" t="s">
        <v>153</v>
      </c>
      <c r="E611">
        <v>373</v>
      </c>
      <c r="F611" t="s">
        <v>872</v>
      </c>
      <c r="G611">
        <v>0</v>
      </c>
      <c r="H611">
        <v>0</v>
      </c>
      <c r="I611">
        <v>0</v>
      </c>
      <c r="J611">
        <v>2</v>
      </c>
      <c r="K611">
        <v>7</v>
      </c>
      <c r="L611">
        <v>0</v>
      </c>
      <c r="M611" t="s">
        <v>333</v>
      </c>
      <c r="N611" t="s">
        <v>326</v>
      </c>
      <c r="O611" t="s">
        <v>340</v>
      </c>
    </row>
    <row r="612" spans="1:15" x14ac:dyDescent="0.3">
      <c r="A612">
        <v>209</v>
      </c>
      <c r="B612" t="s">
        <v>323</v>
      </c>
      <c r="C612">
        <v>176</v>
      </c>
      <c r="D612" t="s">
        <v>153</v>
      </c>
      <c r="E612">
        <v>374</v>
      </c>
      <c r="F612" t="s">
        <v>873</v>
      </c>
      <c r="G612">
        <v>0</v>
      </c>
      <c r="H612">
        <v>2</v>
      </c>
      <c r="I612">
        <v>2</v>
      </c>
      <c r="J612">
        <v>4</v>
      </c>
      <c r="K612">
        <v>6</v>
      </c>
      <c r="L612">
        <v>0</v>
      </c>
      <c r="M612" t="s">
        <v>325</v>
      </c>
      <c r="N612" t="s">
        <v>326</v>
      </c>
      <c r="O612" t="s">
        <v>330</v>
      </c>
    </row>
    <row r="613" spans="1:15" x14ac:dyDescent="0.3">
      <c r="A613">
        <v>209</v>
      </c>
      <c r="B613" t="s">
        <v>323</v>
      </c>
      <c r="C613">
        <v>176</v>
      </c>
      <c r="D613" t="s">
        <v>153</v>
      </c>
      <c r="E613">
        <v>376</v>
      </c>
      <c r="F613" t="s">
        <v>678</v>
      </c>
      <c r="G613">
        <v>0</v>
      </c>
      <c r="H613">
        <v>3</v>
      </c>
      <c r="I613">
        <v>8</v>
      </c>
      <c r="J613">
        <v>7</v>
      </c>
      <c r="K613">
        <v>7</v>
      </c>
      <c r="L613">
        <v>0</v>
      </c>
      <c r="M613" t="s">
        <v>325</v>
      </c>
      <c r="N613" t="s">
        <v>326</v>
      </c>
      <c r="O613" t="s">
        <v>352</v>
      </c>
    </row>
    <row r="614" spans="1:15" x14ac:dyDescent="0.3">
      <c r="A614">
        <v>209</v>
      </c>
      <c r="B614" t="s">
        <v>323</v>
      </c>
      <c r="C614">
        <v>176</v>
      </c>
      <c r="D614" t="s">
        <v>153</v>
      </c>
      <c r="E614">
        <v>377</v>
      </c>
      <c r="F614" t="s">
        <v>874</v>
      </c>
      <c r="G614">
        <v>0</v>
      </c>
      <c r="H614">
        <v>1</v>
      </c>
      <c r="I614">
        <v>2</v>
      </c>
      <c r="J614">
        <v>2</v>
      </c>
      <c r="K614">
        <v>0</v>
      </c>
      <c r="L614">
        <v>0</v>
      </c>
      <c r="M614" t="s">
        <v>333</v>
      </c>
      <c r="N614" t="s">
        <v>326</v>
      </c>
      <c r="O614" t="s">
        <v>340</v>
      </c>
    </row>
    <row r="615" spans="1:15" x14ac:dyDescent="0.3">
      <c r="A615">
        <v>209</v>
      </c>
      <c r="B615" t="s">
        <v>323</v>
      </c>
      <c r="C615">
        <v>176</v>
      </c>
      <c r="D615" t="s">
        <v>153</v>
      </c>
      <c r="E615">
        <v>378</v>
      </c>
      <c r="F615" t="s">
        <v>875</v>
      </c>
      <c r="G615">
        <v>0</v>
      </c>
      <c r="H615">
        <v>2</v>
      </c>
      <c r="I615">
        <v>0</v>
      </c>
      <c r="J615">
        <v>0</v>
      </c>
      <c r="K615">
        <v>0</v>
      </c>
      <c r="L615">
        <v>0</v>
      </c>
      <c r="M615" t="s">
        <v>333</v>
      </c>
      <c r="N615" t="s">
        <v>336</v>
      </c>
      <c r="O615" t="s">
        <v>352</v>
      </c>
    </row>
    <row r="616" spans="1:15" x14ac:dyDescent="0.3">
      <c r="A616">
        <v>209</v>
      </c>
      <c r="B616" t="s">
        <v>323</v>
      </c>
      <c r="C616">
        <v>176</v>
      </c>
      <c r="D616" t="s">
        <v>153</v>
      </c>
      <c r="E616">
        <v>379</v>
      </c>
      <c r="F616" t="s">
        <v>876</v>
      </c>
      <c r="G616">
        <v>0</v>
      </c>
      <c r="H616">
        <v>1</v>
      </c>
      <c r="I616">
        <v>5</v>
      </c>
      <c r="J616">
        <v>2</v>
      </c>
      <c r="K616">
        <v>3</v>
      </c>
      <c r="L616">
        <v>0</v>
      </c>
      <c r="M616" t="s">
        <v>333</v>
      </c>
      <c r="N616" t="s">
        <v>326</v>
      </c>
      <c r="O616" t="s">
        <v>340</v>
      </c>
    </row>
    <row r="617" spans="1:15" x14ac:dyDescent="0.3">
      <c r="A617">
        <v>209</v>
      </c>
      <c r="B617" t="s">
        <v>323</v>
      </c>
      <c r="C617">
        <v>176</v>
      </c>
      <c r="D617" t="s">
        <v>153</v>
      </c>
      <c r="E617">
        <v>381</v>
      </c>
      <c r="F617" t="s">
        <v>877</v>
      </c>
      <c r="G617">
        <v>0</v>
      </c>
      <c r="H617">
        <v>2</v>
      </c>
      <c r="I617">
        <v>2</v>
      </c>
      <c r="J617">
        <v>1</v>
      </c>
      <c r="K617">
        <v>0</v>
      </c>
      <c r="L617">
        <v>0</v>
      </c>
      <c r="M617" t="s">
        <v>325</v>
      </c>
      <c r="N617" t="s">
        <v>326</v>
      </c>
      <c r="O617" t="s">
        <v>330</v>
      </c>
    </row>
    <row r="618" spans="1:15" x14ac:dyDescent="0.3">
      <c r="A618">
        <v>209</v>
      </c>
      <c r="B618" t="s">
        <v>323</v>
      </c>
      <c r="C618">
        <v>176</v>
      </c>
      <c r="D618" t="s">
        <v>153</v>
      </c>
      <c r="E618">
        <v>382</v>
      </c>
      <c r="F618" t="s">
        <v>878</v>
      </c>
      <c r="G618">
        <v>5</v>
      </c>
      <c r="H618">
        <v>0</v>
      </c>
      <c r="I618">
        <v>0</v>
      </c>
      <c r="J618">
        <v>0</v>
      </c>
      <c r="K618">
        <v>0</v>
      </c>
      <c r="L618">
        <v>0</v>
      </c>
      <c r="M618" t="s">
        <v>333</v>
      </c>
      <c r="N618" t="s">
        <v>336</v>
      </c>
      <c r="O618" t="s">
        <v>340</v>
      </c>
    </row>
    <row r="619" spans="1:15" x14ac:dyDescent="0.3">
      <c r="A619">
        <v>209</v>
      </c>
      <c r="B619" t="s">
        <v>323</v>
      </c>
      <c r="C619">
        <v>176</v>
      </c>
      <c r="D619" t="s">
        <v>153</v>
      </c>
      <c r="E619">
        <v>386</v>
      </c>
      <c r="F619" t="s">
        <v>439</v>
      </c>
      <c r="G619">
        <v>0</v>
      </c>
      <c r="H619">
        <v>2</v>
      </c>
      <c r="I619">
        <v>6</v>
      </c>
      <c r="J619">
        <v>4</v>
      </c>
      <c r="K619">
        <v>0</v>
      </c>
      <c r="L619">
        <v>0</v>
      </c>
      <c r="M619" t="s">
        <v>333</v>
      </c>
      <c r="N619" t="s">
        <v>326</v>
      </c>
      <c r="O619" t="s">
        <v>352</v>
      </c>
    </row>
    <row r="620" spans="1:15" x14ac:dyDescent="0.3">
      <c r="A620">
        <v>209</v>
      </c>
      <c r="B620" t="s">
        <v>323</v>
      </c>
      <c r="C620">
        <v>176</v>
      </c>
      <c r="D620" t="s">
        <v>153</v>
      </c>
      <c r="E620">
        <v>387</v>
      </c>
      <c r="F620" t="s">
        <v>398</v>
      </c>
      <c r="G620">
        <v>0</v>
      </c>
      <c r="H620">
        <v>0</v>
      </c>
      <c r="I620">
        <v>0</v>
      </c>
      <c r="J620">
        <v>0</v>
      </c>
      <c r="K620">
        <v>0</v>
      </c>
      <c r="L620">
        <v>0</v>
      </c>
      <c r="M620" t="s">
        <v>333</v>
      </c>
      <c r="N620" t="s">
        <v>343</v>
      </c>
      <c r="O620" t="s">
        <v>330</v>
      </c>
    </row>
    <row r="621" spans="1:15" x14ac:dyDescent="0.3">
      <c r="A621">
        <v>209</v>
      </c>
      <c r="B621" t="s">
        <v>323</v>
      </c>
      <c r="C621">
        <v>176</v>
      </c>
      <c r="D621" t="s">
        <v>153</v>
      </c>
      <c r="E621">
        <v>388</v>
      </c>
      <c r="F621" t="s">
        <v>879</v>
      </c>
      <c r="G621">
        <v>0</v>
      </c>
      <c r="H621">
        <v>4</v>
      </c>
      <c r="I621">
        <v>1</v>
      </c>
      <c r="J621">
        <v>0</v>
      </c>
      <c r="K621">
        <v>0</v>
      </c>
      <c r="L621">
        <v>0</v>
      </c>
      <c r="M621" t="s">
        <v>325</v>
      </c>
      <c r="N621" t="s">
        <v>343</v>
      </c>
      <c r="O621" t="s">
        <v>330</v>
      </c>
    </row>
    <row r="622" spans="1:15" x14ac:dyDescent="0.3">
      <c r="A622">
        <v>209</v>
      </c>
      <c r="B622" t="s">
        <v>323</v>
      </c>
      <c r="C622">
        <v>176</v>
      </c>
      <c r="D622" t="s">
        <v>153</v>
      </c>
      <c r="E622">
        <v>389</v>
      </c>
      <c r="F622" t="s">
        <v>880</v>
      </c>
      <c r="G622">
        <v>0</v>
      </c>
      <c r="H622">
        <v>0</v>
      </c>
      <c r="I622">
        <v>0</v>
      </c>
      <c r="J622">
        <v>4</v>
      </c>
      <c r="K622">
        <v>3</v>
      </c>
      <c r="L622">
        <v>0</v>
      </c>
      <c r="M622" t="s">
        <v>333</v>
      </c>
      <c r="N622" t="s">
        <v>326</v>
      </c>
      <c r="O622" t="s">
        <v>340</v>
      </c>
    </row>
    <row r="623" spans="1:15" x14ac:dyDescent="0.3">
      <c r="A623">
        <v>209</v>
      </c>
      <c r="B623" t="s">
        <v>323</v>
      </c>
      <c r="C623">
        <v>176</v>
      </c>
      <c r="D623" t="s">
        <v>153</v>
      </c>
      <c r="E623">
        <v>391</v>
      </c>
      <c r="F623" t="s">
        <v>459</v>
      </c>
      <c r="G623">
        <v>0</v>
      </c>
      <c r="H623">
        <v>0</v>
      </c>
      <c r="I623">
        <v>1</v>
      </c>
      <c r="J623">
        <v>2</v>
      </c>
      <c r="K623">
        <v>6</v>
      </c>
      <c r="L623">
        <v>0</v>
      </c>
      <c r="M623" t="s">
        <v>325</v>
      </c>
      <c r="N623" t="s">
        <v>326</v>
      </c>
      <c r="O623" t="s">
        <v>340</v>
      </c>
    </row>
    <row r="624" spans="1:15" x14ac:dyDescent="0.3">
      <c r="A624">
        <v>209</v>
      </c>
      <c r="B624" t="s">
        <v>323</v>
      </c>
      <c r="C624">
        <v>176</v>
      </c>
      <c r="D624" t="s">
        <v>153</v>
      </c>
      <c r="E624">
        <v>392</v>
      </c>
      <c r="F624" t="s">
        <v>869</v>
      </c>
      <c r="G624">
        <v>1</v>
      </c>
      <c r="H624">
        <v>3</v>
      </c>
      <c r="I624">
        <v>0</v>
      </c>
      <c r="J624">
        <v>0</v>
      </c>
      <c r="K624">
        <v>0</v>
      </c>
      <c r="L624">
        <v>0</v>
      </c>
      <c r="M624" t="s">
        <v>333</v>
      </c>
      <c r="N624" t="s">
        <v>343</v>
      </c>
      <c r="O624" t="s">
        <v>340</v>
      </c>
    </row>
    <row r="625" spans="1:15" x14ac:dyDescent="0.3">
      <c r="A625">
        <v>209</v>
      </c>
      <c r="B625" t="s">
        <v>323</v>
      </c>
      <c r="C625">
        <v>176</v>
      </c>
      <c r="D625" t="s">
        <v>153</v>
      </c>
      <c r="E625">
        <v>393</v>
      </c>
      <c r="F625" t="s">
        <v>881</v>
      </c>
      <c r="G625">
        <v>0</v>
      </c>
      <c r="H625">
        <v>6</v>
      </c>
      <c r="I625">
        <v>6</v>
      </c>
      <c r="J625">
        <v>2</v>
      </c>
      <c r="K625">
        <v>0</v>
      </c>
      <c r="L625">
        <v>0</v>
      </c>
      <c r="M625" t="s">
        <v>333</v>
      </c>
      <c r="N625" t="s">
        <v>326</v>
      </c>
      <c r="O625" t="s">
        <v>340</v>
      </c>
    </row>
    <row r="626" spans="1:15" x14ac:dyDescent="0.3">
      <c r="A626">
        <v>209</v>
      </c>
      <c r="B626" t="s">
        <v>323</v>
      </c>
      <c r="C626">
        <v>176</v>
      </c>
      <c r="D626" t="s">
        <v>153</v>
      </c>
      <c r="E626">
        <v>394</v>
      </c>
      <c r="F626" t="s">
        <v>882</v>
      </c>
      <c r="G626">
        <v>1</v>
      </c>
      <c r="H626">
        <v>1</v>
      </c>
      <c r="I626">
        <v>2</v>
      </c>
      <c r="J626">
        <v>0</v>
      </c>
      <c r="K626">
        <v>0</v>
      </c>
      <c r="L626">
        <v>0</v>
      </c>
      <c r="M626" t="s">
        <v>333</v>
      </c>
      <c r="N626" t="s">
        <v>343</v>
      </c>
      <c r="O626" t="s">
        <v>330</v>
      </c>
    </row>
    <row r="627" spans="1:15" x14ac:dyDescent="0.3">
      <c r="A627">
        <v>209</v>
      </c>
      <c r="B627" t="s">
        <v>323</v>
      </c>
      <c r="C627">
        <v>176</v>
      </c>
      <c r="D627" t="s">
        <v>153</v>
      </c>
      <c r="E627">
        <v>395</v>
      </c>
      <c r="F627" t="s">
        <v>883</v>
      </c>
      <c r="G627">
        <v>0</v>
      </c>
      <c r="H627">
        <v>0</v>
      </c>
      <c r="I627">
        <v>2</v>
      </c>
      <c r="J627">
        <v>0</v>
      </c>
      <c r="K627">
        <v>0</v>
      </c>
      <c r="L627">
        <v>0</v>
      </c>
      <c r="M627" t="s">
        <v>325</v>
      </c>
      <c r="N627" t="s">
        <v>343</v>
      </c>
      <c r="O627" t="s">
        <v>352</v>
      </c>
    </row>
    <row r="628" spans="1:15" x14ac:dyDescent="0.3">
      <c r="A628">
        <v>209</v>
      </c>
      <c r="B628" t="s">
        <v>323</v>
      </c>
      <c r="C628">
        <v>176</v>
      </c>
      <c r="D628" t="s">
        <v>153</v>
      </c>
      <c r="E628">
        <v>396</v>
      </c>
      <c r="F628" t="s">
        <v>831</v>
      </c>
      <c r="G628">
        <v>0</v>
      </c>
      <c r="H628">
        <v>0</v>
      </c>
      <c r="I628">
        <v>2</v>
      </c>
      <c r="J628">
        <v>3</v>
      </c>
      <c r="K628">
        <v>0</v>
      </c>
      <c r="L628">
        <v>0</v>
      </c>
      <c r="M628" t="s">
        <v>333</v>
      </c>
      <c r="N628" t="s">
        <v>326</v>
      </c>
      <c r="O628" t="s">
        <v>340</v>
      </c>
    </row>
    <row r="629" spans="1:15" x14ac:dyDescent="0.3">
      <c r="A629">
        <v>209</v>
      </c>
      <c r="B629" t="s">
        <v>323</v>
      </c>
      <c r="C629">
        <v>176</v>
      </c>
      <c r="D629" t="s">
        <v>153</v>
      </c>
      <c r="E629">
        <v>397</v>
      </c>
      <c r="F629" t="s">
        <v>884</v>
      </c>
      <c r="G629">
        <v>0</v>
      </c>
      <c r="H629">
        <v>2</v>
      </c>
      <c r="I629">
        <v>2</v>
      </c>
      <c r="J629">
        <v>0</v>
      </c>
      <c r="K629">
        <v>0</v>
      </c>
      <c r="L629">
        <v>0</v>
      </c>
      <c r="M629" t="s">
        <v>333</v>
      </c>
      <c r="N629" t="s">
        <v>336</v>
      </c>
      <c r="O629" t="s">
        <v>340</v>
      </c>
    </row>
    <row r="630" spans="1:15" x14ac:dyDescent="0.3">
      <c r="A630">
        <v>209</v>
      </c>
      <c r="B630" t="s">
        <v>323</v>
      </c>
      <c r="C630">
        <v>176</v>
      </c>
      <c r="D630" t="s">
        <v>153</v>
      </c>
      <c r="E630">
        <v>398</v>
      </c>
      <c r="F630" t="s">
        <v>885</v>
      </c>
      <c r="G630">
        <v>0</v>
      </c>
      <c r="H630">
        <v>2</v>
      </c>
      <c r="I630">
        <v>1</v>
      </c>
      <c r="J630">
        <v>1</v>
      </c>
      <c r="K630">
        <v>0</v>
      </c>
      <c r="L630">
        <v>0</v>
      </c>
      <c r="M630" t="s">
        <v>333</v>
      </c>
      <c r="N630" t="s">
        <v>343</v>
      </c>
      <c r="O630" t="s">
        <v>330</v>
      </c>
    </row>
    <row r="631" spans="1:15" x14ac:dyDescent="0.3">
      <c r="A631">
        <v>209</v>
      </c>
      <c r="B631" t="s">
        <v>323</v>
      </c>
      <c r="C631">
        <v>176</v>
      </c>
      <c r="D631" t="s">
        <v>153</v>
      </c>
      <c r="E631">
        <v>400</v>
      </c>
      <c r="F631" t="s">
        <v>886</v>
      </c>
      <c r="G631">
        <v>0</v>
      </c>
      <c r="H631">
        <v>5</v>
      </c>
      <c r="I631">
        <v>0</v>
      </c>
      <c r="J631">
        <v>0</v>
      </c>
      <c r="K631">
        <v>0</v>
      </c>
      <c r="L631">
        <v>0</v>
      </c>
      <c r="M631" t="s">
        <v>325</v>
      </c>
      <c r="N631" t="s">
        <v>336</v>
      </c>
      <c r="O631" t="s">
        <v>330</v>
      </c>
    </row>
    <row r="632" spans="1:15" x14ac:dyDescent="0.3">
      <c r="A632">
        <v>209</v>
      </c>
      <c r="B632" t="s">
        <v>323</v>
      </c>
      <c r="C632">
        <v>176</v>
      </c>
      <c r="D632" t="s">
        <v>153</v>
      </c>
      <c r="E632">
        <v>1478</v>
      </c>
      <c r="F632" t="s">
        <v>887</v>
      </c>
      <c r="G632">
        <v>0</v>
      </c>
      <c r="H632">
        <v>3</v>
      </c>
      <c r="I632">
        <v>1</v>
      </c>
      <c r="J632">
        <v>0</v>
      </c>
      <c r="K632">
        <v>0</v>
      </c>
      <c r="L632">
        <v>0</v>
      </c>
      <c r="M632" t="s">
        <v>333</v>
      </c>
      <c r="N632" t="s">
        <v>336</v>
      </c>
      <c r="O632" t="s">
        <v>340</v>
      </c>
    </row>
    <row r="633" spans="1:15" x14ac:dyDescent="0.3">
      <c r="A633">
        <v>209</v>
      </c>
      <c r="B633" t="s">
        <v>323</v>
      </c>
      <c r="C633">
        <v>176</v>
      </c>
      <c r="D633" t="s">
        <v>153</v>
      </c>
      <c r="E633">
        <v>1481</v>
      </c>
      <c r="F633" t="s">
        <v>888</v>
      </c>
      <c r="G633">
        <v>5</v>
      </c>
      <c r="H633">
        <v>0</v>
      </c>
      <c r="I633">
        <v>0</v>
      </c>
      <c r="J633">
        <v>0</v>
      </c>
      <c r="K633">
        <v>0</v>
      </c>
      <c r="L633">
        <v>0</v>
      </c>
      <c r="M633" t="s">
        <v>333</v>
      </c>
      <c r="N633" t="s">
        <v>484</v>
      </c>
      <c r="O633" t="s">
        <v>330</v>
      </c>
    </row>
    <row r="634" spans="1:15" x14ac:dyDescent="0.3">
      <c r="A634">
        <v>209</v>
      </c>
      <c r="B634" t="s">
        <v>323</v>
      </c>
      <c r="C634">
        <v>176</v>
      </c>
      <c r="D634" t="s">
        <v>153</v>
      </c>
      <c r="E634">
        <v>1482</v>
      </c>
      <c r="F634" t="s">
        <v>889</v>
      </c>
      <c r="G634">
        <v>0</v>
      </c>
      <c r="H634">
        <v>5</v>
      </c>
      <c r="I634">
        <v>0</v>
      </c>
      <c r="J634">
        <v>0</v>
      </c>
      <c r="K634">
        <v>0</v>
      </c>
      <c r="L634">
        <v>0</v>
      </c>
      <c r="M634" t="s">
        <v>333</v>
      </c>
      <c r="N634" t="s">
        <v>336</v>
      </c>
      <c r="O634" t="s">
        <v>330</v>
      </c>
    </row>
    <row r="635" spans="1:15" x14ac:dyDescent="0.3">
      <c r="A635">
        <v>209</v>
      </c>
      <c r="B635" t="s">
        <v>323</v>
      </c>
      <c r="C635">
        <v>176</v>
      </c>
      <c r="D635" t="s">
        <v>153</v>
      </c>
      <c r="E635">
        <v>1483</v>
      </c>
      <c r="F635" t="s">
        <v>890</v>
      </c>
      <c r="G635">
        <v>1</v>
      </c>
      <c r="H635">
        <v>4</v>
      </c>
      <c r="I635">
        <v>0</v>
      </c>
      <c r="J635">
        <v>0</v>
      </c>
      <c r="K635">
        <v>0</v>
      </c>
      <c r="L635">
        <v>0</v>
      </c>
      <c r="M635" t="s">
        <v>325</v>
      </c>
      <c r="N635" t="s">
        <v>343</v>
      </c>
      <c r="O635" t="s">
        <v>330</v>
      </c>
    </row>
    <row r="636" spans="1:15" x14ac:dyDescent="0.3">
      <c r="A636">
        <v>209</v>
      </c>
      <c r="B636" t="s">
        <v>323</v>
      </c>
      <c r="C636">
        <v>176</v>
      </c>
      <c r="D636" t="s">
        <v>153</v>
      </c>
      <c r="E636">
        <v>1484</v>
      </c>
      <c r="F636" t="s">
        <v>891</v>
      </c>
      <c r="G636">
        <v>0</v>
      </c>
      <c r="H636">
        <v>5</v>
      </c>
      <c r="I636">
        <v>0</v>
      </c>
      <c r="J636">
        <v>0</v>
      </c>
      <c r="K636">
        <v>0</v>
      </c>
      <c r="L636">
        <v>0</v>
      </c>
      <c r="M636" t="s">
        <v>325</v>
      </c>
      <c r="N636" t="s">
        <v>326</v>
      </c>
      <c r="O636" t="s">
        <v>330</v>
      </c>
    </row>
    <row r="637" spans="1:15" x14ac:dyDescent="0.3">
      <c r="A637">
        <v>209</v>
      </c>
      <c r="B637" t="s">
        <v>323</v>
      </c>
      <c r="C637">
        <v>176</v>
      </c>
      <c r="D637" t="s">
        <v>153</v>
      </c>
      <c r="E637">
        <v>1485</v>
      </c>
      <c r="F637" t="s">
        <v>892</v>
      </c>
      <c r="G637">
        <v>0</v>
      </c>
      <c r="H637">
        <v>4</v>
      </c>
      <c r="I637">
        <v>2</v>
      </c>
      <c r="J637">
        <v>0</v>
      </c>
      <c r="K637">
        <v>0</v>
      </c>
      <c r="L637">
        <v>0</v>
      </c>
      <c r="M637" t="s">
        <v>414</v>
      </c>
      <c r="N637" t="s">
        <v>326</v>
      </c>
      <c r="O637" t="s">
        <v>330</v>
      </c>
    </row>
    <row r="638" spans="1:15" x14ac:dyDescent="0.3">
      <c r="A638">
        <v>210</v>
      </c>
      <c r="B638" t="s">
        <v>323</v>
      </c>
      <c r="C638">
        <v>177</v>
      </c>
      <c r="D638" t="s">
        <v>155</v>
      </c>
      <c r="E638">
        <v>1460</v>
      </c>
      <c r="F638" t="s">
        <v>893</v>
      </c>
      <c r="G638">
        <v>0</v>
      </c>
      <c r="H638">
        <v>0</v>
      </c>
      <c r="I638">
        <v>0</v>
      </c>
      <c r="J638">
        <v>1</v>
      </c>
      <c r="K638">
        <v>0</v>
      </c>
      <c r="L638">
        <v>0</v>
      </c>
      <c r="M638" t="s">
        <v>325</v>
      </c>
      <c r="N638" t="s">
        <v>326</v>
      </c>
      <c r="O638" t="s">
        <v>340</v>
      </c>
    </row>
    <row r="639" spans="1:15" x14ac:dyDescent="0.3">
      <c r="A639">
        <v>210</v>
      </c>
      <c r="B639" t="s">
        <v>323</v>
      </c>
      <c r="C639">
        <v>177</v>
      </c>
      <c r="D639" t="s">
        <v>155</v>
      </c>
      <c r="E639">
        <v>1461</v>
      </c>
      <c r="F639" t="s">
        <v>894</v>
      </c>
      <c r="G639">
        <v>0</v>
      </c>
      <c r="H639">
        <v>0</v>
      </c>
      <c r="I639">
        <v>0</v>
      </c>
      <c r="J639">
        <v>1</v>
      </c>
      <c r="K639">
        <v>0</v>
      </c>
      <c r="L639">
        <v>0</v>
      </c>
      <c r="M639" t="s">
        <v>333</v>
      </c>
      <c r="N639" t="s">
        <v>326</v>
      </c>
      <c r="O639" t="s">
        <v>340</v>
      </c>
    </row>
    <row r="640" spans="1:15" x14ac:dyDescent="0.3">
      <c r="A640">
        <v>210</v>
      </c>
      <c r="B640" t="s">
        <v>323</v>
      </c>
      <c r="C640">
        <v>177</v>
      </c>
      <c r="D640" t="s">
        <v>155</v>
      </c>
      <c r="E640">
        <v>1462</v>
      </c>
      <c r="F640" t="s">
        <v>895</v>
      </c>
      <c r="G640">
        <v>0</v>
      </c>
      <c r="H640">
        <v>0</v>
      </c>
      <c r="I640">
        <v>0</v>
      </c>
      <c r="J640">
        <v>1</v>
      </c>
      <c r="K640">
        <v>0</v>
      </c>
      <c r="L640">
        <v>0</v>
      </c>
      <c r="M640" t="s">
        <v>325</v>
      </c>
      <c r="N640" t="s">
        <v>326</v>
      </c>
      <c r="O640" t="s">
        <v>352</v>
      </c>
    </row>
    <row r="641" spans="1:15" x14ac:dyDescent="0.3">
      <c r="A641">
        <v>210</v>
      </c>
      <c r="B641" t="s">
        <v>323</v>
      </c>
      <c r="C641">
        <v>177</v>
      </c>
      <c r="D641" t="s">
        <v>155</v>
      </c>
      <c r="E641">
        <v>1463</v>
      </c>
      <c r="F641" t="s">
        <v>175</v>
      </c>
      <c r="G641">
        <v>0</v>
      </c>
      <c r="H641">
        <v>0</v>
      </c>
      <c r="I641">
        <v>0</v>
      </c>
      <c r="J641">
        <v>1</v>
      </c>
      <c r="K641">
        <v>0</v>
      </c>
      <c r="L641">
        <v>0</v>
      </c>
      <c r="M641" t="s">
        <v>325</v>
      </c>
      <c r="N641" t="s">
        <v>326</v>
      </c>
      <c r="O641" t="s">
        <v>340</v>
      </c>
    </row>
    <row r="642" spans="1:15" x14ac:dyDescent="0.3">
      <c r="A642">
        <v>212</v>
      </c>
      <c r="B642" t="s">
        <v>323</v>
      </c>
      <c r="C642">
        <v>179</v>
      </c>
      <c r="D642" t="s">
        <v>159</v>
      </c>
      <c r="E642">
        <v>710</v>
      </c>
      <c r="F642" t="s">
        <v>896</v>
      </c>
      <c r="G642">
        <v>0</v>
      </c>
      <c r="H642">
        <v>3</v>
      </c>
      <c r="I642">
        <v>2</v>
      </c>
      <c r="J642">
        <v>0</v>
      </c>
      <c r="K642">
        <v>0</v>
      </c>
      <c r="L642">
        <v>0</v>
      </c>
      <c r="M642" t="s">
        <v>333</v>
      </c>
      <c r="N642" t="s">
        <v>326</v>
      </c>
      <c r="O642" t="s">
        <v>340</v>
      </c>
    </row>
    <row r="643" spans="1:15" x14ac:dyDescent="0.3">
      <c r="A643">
        <v>212</v>
      </c>
      <c r="B643" t="s">
        <v>323</v>
      </c>
      <c r="C643">
        <v>179</v>
      </c>
      <c r="D643" t="s">
        <v>159</v>
      </c>
      <c r="E643">
        <v>711</v>
      </c>
      <c r="F643" t="s">
        <v>897</v>
      </c>
      <c r="G643">
        <v>0</v>
      </c>
      <c r="H643">
        <v>1</v>
      </c>
      <c r="I643">
        <v>2</v>
      </c>
      <c r="J643">
        <v>2</v>
      </c>
      <c r="K643">
        <v>0</v>
      </c>
      <c r="L643">
        <v>2</v>
      </c>
      <c r="M643" t="s">
        <v>325</v>
      </c>
      <c r="N643" t="s">
        <v>484</v>
      </c>
      <c r="O643" t="s">
        <v>330</v>
      </c>
    </row>
    <row r="644" spans="1:15" x14ac:dyDescent="0.3">
      <c r="A644">
        <v>212</v>
      </c>
      <c r="B644" t="s">
        <v>323</v>
      </c>
      <c r="C644">
        <v>179</v>
      </c>
      <c r="D644" t="s">
        <v>159</v>
      </c>
      <c r="E644">
        <v>712</v>
      </c>
      <c r="F644" t="s">
        <v>898</v>
      </c>
      <c r="G644">
        <v>0</v>
      </c>
      <c r="H644">
        <v>2</v>
      </c>
      <c r="I644">
        <v>1</v>
      </c>
      <c r="J644">
        <v>2</v>
      </c>
      <c r="K644">
        <v>0</v>
      </c>
      <c r="L644">
        <v>0</v>
      </c>
      <c r="M644" t="s">
        <v>333</v>
      </c>
      <c r="N644" t="s">
        <v>326</v>
      </c>
      <c r="O644" t="s">
        <v>352</v>
      </c>
    </row>
    <row r="645" spans="1:15" x14ac:dyDescent="0.3">
      <c r="A645">
        <v>212</v>
      </c>
      <c r="B645" t="s">
        <v>323</v>
      </c>
      <c r="C645">
        <v>179</v>
      </c>
      <c r="D645" t="s">
        <v>159</v>
      </c>
      <c r="E645">
        <v>713</v>
      </c>
      <c r="F645" t="s">
        <v>899</v>
      </c>
      <c r="G645">
        <v>0</v>
      </c>
      <c r="H645">
        <v>0</v>
      </c>
      <c r="I645">
        <v>4</v>
      </c>
      <c r="J645">
        <v>0</v>
      </c>
      <c r="K645">
        <v>0</v>
      </c>
      <c r="L645">
        <v>0</v>
      </c>
      <c r="M645" t="s">
        <v>566</v>
      </c>
      <c r="N645" t="s">
        <v>336</v>
      </c>
      <c r="O645" t="s">
        <v>327</v>
      </c>
    </row>
    <row r="646" spans="1:15" x14ac:dyDescent="0.3">
      <c r="A646">
        <v>212</v>
      </c>
      <c r="B646" t="s">
        <v>323</v>
      </c>
      <c r="C646">
        <v>179</v>
      </c>
      <c r="D646" t="s">
        <v>159</v>
      </c>
      <c r="E646">
        <v>714</v>
      </c>
      <c r="F646" t="s">
        <v>900</v>
      </c>
      <c r="G646">
        <v>0</v>
      </c>
      <c r="H646">
        <v>0</v>
      </c>
      <c r="I646">
        <v>0</v>
      </c>
      <c r="J646">
        <v>1</v>
      </c>
      <c r="K646">
        <v>1</v>
      </c>
      <c r="L646">
        <v>1</v>
      </c>
      <c r="M646" t="s">
        <v>333</v>
      </c>
      <c r="N646" t="s">
        <v>336</v>
      </c>
      <c r="O646" t="s">
        <v>330</v>
      </c>
    </row>
    <row r="647" spans="1:15" x14ac:dyDescent="0.3">
      <c r="A647">
        <v>212</v>
      </c>
      <c r="B647" t="s">
        <v>323</v>
      </c>
      <c r="C647">
        <v>179</v>
      </c>
      <c r="D647" t="s">
        <v>159</v>
      </c>
      <c r="E647">
        <v>715</v>
      </c>
      <c r="F647" t="s">
        <v>901</v>
      </c>
      <c r="G647">
        <v>0</v>
      </c>
      <c r="H647">
        <v>0</v>
      </c>
      <c r="I647">
        <v>0</v>
      </c>
      <c r="J647">
        <v>1</v>
      </c>
      <c r="K647">
        <v>1</v>
      </c>
      <c r="L647">
        <v>4</v>
      </c>
      <c r="M647" t="s">
        <v>325</v>
      </c>
      <c r="N647" t="s">
        <v>336</v>
      </c>
      <c r="O647" t="s">
        <v>338</v>
      </c>
    </row>
    <row r="648" spans="1:15" x14ac:dyDescent="0.3">
      <c r="A648">
        <v>212</v>
      </c>
      <c r="B648" t="s">
        <v>323</v>
      </c>
      <c r="C648">
        <v>179</v>
      </c>
      <c r="D648" t="s">
        <v>159</v>
      </c>
      <c r="E648">
        <v>717</v>
      </c>
      <c r="F648" t="s">
        <v>902</v>
      </c>
      <c r="G648">
        <v>0</v>
      </c>
      <c r="H648">
        <v>6</v>
      </c>
      <c r="I648">
        <v>1</v>
      </c>
      <c r="J648">
        <v>0</v>
      </c>
      <c r="K648">
        <v>0</v>
      </c>
      <c r="L648">
        <v>1</v>
      </c>
      <c r="M648" t="s">
        <v>325</v>
      </c>
      <c r="N648" t="s">
        <v>343</v>
      </c>
      <c r="O648" t="s">
        <v>338</v>
      </c>
    </row>
    <row r="649" spans="1:15" x14ac:dyDescent="0.3">
      <c r="A649">
        <v>212</v>
      </c>
      <c r="B649" t="s">
        <v>323</v>
      </c>
      <c r="C649">
        <v>179</v>
      </c>
      <c r="D649" t="s">
        <v>159</v>
      </c>
      <c r="E649">
        <v>718</v>
      </c>
      <c r="F649" t="s">
        <v>903</v>
      </c>
      <c r="G649">
        <v>0</v>
      </c>
      <c r="H649">
        <v>2</v>
      </c>
      <c r="I649">
        <v>2</v>
      </c>
      <c r="J649">
        <v>0</v>
      </c>
      <c r="K649">
        <v>1</v>
      </c>
      <c r="L649">
        <v>0</v>
      </c>
      <c r="M649" t="s">
        <v>333</v>
      </c>
      <c r="N649" t="s">
        <v>336</v>
      </c>
      <c r="O649" t="s">
        <v>340</v>
      </c>
    </row>
    <row r="650" spans="1:15" x14ac:dyDescent="0.3">
      <c r="A650">
        <v>212</v>
      </c>
      <c r="B650" t="s">
        <v>323</v>
      </c>
      <c r="C650">
        <v>179</v>
      </c>
      <c r="D650" t="s">
        <v>159</v>
      </c>
      <c r="E650">
        <v>719</v>
      </c>
      <c r="F650" t="s">
        <v>904</v>
      </c>
      <c r="G650">
        <v>0</v>
      </c>
      <c r="H650">
        <v>0</v>
      </c>
      <c r="I650">
        <v>0</v>
      </c>
      <c r="J650">
        <v>0</v>
      </c>
      <c r="K650">
        <v>0</v>
      </c>
      <c r="L650">
        <v>0</v>
      </c>
      <c r="M650" t="s">
        <v>325</v>
      </c>
      <c r="N650" t="s">
        <v>343</v>
      </c>
      <c r="O650" t="s">
        <v>330</v>
      </c>
    </row>
    <row r="651" spans="1:15" x14ac:dyDescent="0.3">
      <c r="A651">
        <v>212</v>
      </c>
      <c r="B651" t="s">
        <v>323</v>
      </c>
      <c r="C651">
        <v>179</v>
      </c>
      <c r="D651" t="s">
        <v>159</v>
      </c>
      <c r="E651">
        <v>720</v>
      </c>
      <c r="F651" t="s">
        <v>905</v>
      </c>
      <c r="G651">
        <v>0</v>
      </c>
      <c r="H651">
        <v>2</v>
      </c>
      <c r="I651">
        <v>2</v>
      </c>
      <c r="J651">
        <v>0</v>
      </c>
      <c r="K651">
        <v>0</v>
      </c>
      <c r="L651">
        <v>0</v>
      </c>
      <c r="M651" t="s">
        <v>333</v>
      </c>
      <c r="N651" t="s">
        <v>336</v>
      </c>
      <c r="O651" t="s">
        <v>352</v>
      </c>
    </row>
    <row r="652" spans="1:15" x14ac:dyDescent="0.3">
      <c r="A652">
        <v>212</v>
      </c>
      <c r="B652" t="s">
        <v>323</v>
      </c>
      <c r="C652">
        <v>179</v>
      </c>
      <c r="D652" t="s">
        <v>159</v>
      </c>
      <c r="E652">
        <v>722</v>
      </c>
      <c r="F652" t="s">
        <v>906</v>
      </c>
      <c r="G652">
        <v>3</v>
      </c>
      <c r="H652">
        <v>3</v>
      </c>
      <c r="I652">
        <v>3</v>
      </c>
      <c r="J652">
        <v>3</v>
      </c>
      <c r="K652">
        <v>0</v>
      </c>
      <c r="L652">
        <v>0</v>
      </c>
      <c r="M652" t="s">
        <v>325</v>
      </c>
      <c r="N652" t="s">
        <v>336</v>
      </c>
      <c r="O652" t="s">
        <v>338</v>
      </c>
    </row>
    <row r="653" spans="1:15" x14ac:dyDescent="0.3">
      <c r="A653">
        <v>212</v>
      </c>
      <c r="B653" t="s">
        <v>323</v>
      </c>
      <c r="C653">
        <v>179</v>
      </c>
      <c r="D653" t="s">
        <v>159</v>
      </c>
      <c r="E653">
        <v>723</v>
      </c>
      <c r="F653" t="s">
        <v>907</v>
      </c>
      <c r="G653">
        <v>0</v>
      </c>
      <c r="H653">
        <v>0</v>
      </c>
      <c r="I653">
        <v>1</v>
      </c>
      <c r="J653">
        <v>0</v>
      </c>
      <c r="K653">
        <v>0</v>
      </c>
      <c r="L653">
        <v>0</v>
      </c>
      <c r="M653" t="s">
        <v>325</v>
      </c>
      <c r="N653" t="s">
        <v>348</v>
      </c>
      <c r="O653" t="s">
        <v>352</v>
      </c>
    </row>
    <row r="654" spans="1:15" x14ac:dyDescent="0.3">
      <c r="A654">
        <v>212</v>
      </c>
      <c r="B654" t="s">
        <v>323</v>
      </c>
      <c r="C654">
        <v>179</v>
      </c>
      <c r="D654" t="s">
        <v>159</v>
      </c>
      <c r="E654">
        <v>724</v>
      </c>
      <c r="F654" t="s">
        <v>908</v>
      </c>
      <c r="G654">
        <v>0</v>
      </c>
      <c r="H654">
        <v>1</v>
      </c>
      <c r="I654">
        <v>2</v>
      </c>
      <c r="J654">
        <v>4</v>
      </c>
      <c r="K654">
        <v>3</v>
      </c>
      <c r="L654">
        <v>3</v>
      </c>
      <c r="M654" t="s">
        <v>333</v>
      </c>
      <c r="N654" t="s">
        <v>326</v>
      </c>
      <c r="O654" t="s">
        <v>352</v>
      </c>
    </row>
    <row r="655" spans="1:15" x14ac:dyDescent="0.3">
      <c r="A655">
        <v>212</v>
      </c>
      <c r="B655" t="s">
        <v>323</v>
      </c>
      <c r="C655">
        <v>179</v>
      </c>
      <c r="D655" t="s">
        <v>159</v>
      </c>
      <c r="E655">
        <v>725</v>
      </c>
      <c r="F655" t="s">
        <v>909</v>
      </c>
      <c r="G655">
        <v>0</v>
      </c>
      <c r="H655">
        <v>0</v>
      </c>
      <c r="I655">
        <v>1</v>
      </c>
      <c r="J655">
        <v>2</v>
      </c>
      <c r="K655">
        <v>3</v>
      </c>
      <c r="L655">
        <v>1</v>
      </c>
      <c r="M655" t="s">
        <v>333</v>
      </c>
      <c r="N655" t="s">
        <v>326</v>
      </c>
      <c r="O655" t="s">
        <v>352</v>
      </c>
    </row>
    <row r="656" spans="1:15" x14ac:dyDescent="0.3">
      <c r="A656">
        <v>212</v>
      </c>
      <c r="B656" t="s">
        <v>323</v>
      </c>
      <c r="C656">
        <v>179</v>
      </c>
      <c r="D656" t="s">
        <v>159</v>
      </c>
      <c r="E656">
        <v>726</v>
      </c>
      <c r="F656" t="s">
        <v>910</v>
      </c>
      <c r="G656">
        <v>3</v>
      </c>
      <c r="H656">
        <v>1</v>
      </c>
      <c r="I656">
        <v>1</v>
      </c>
      <c r="J656">
        <v>0</v>
      </c>
      <c r="K656">
        <v>0</v>
      </c>
      <c r="L656">
        <v>0</v>
      </c>
      <c r="M656" t="s">
        <v>333</v>
      </c>
      <c r="N656" t="s">
        <v>336</v>
      </c>
      <c r="O656" t="s">
        <v>340</v>
      </c>
    </row>
    <row r="657" spans="1:15" x14ac:dyDescent="0.3">
      <c r="A657">
        <v>212</v>
      </c>
      <c r="B657" t="s">
        <v>323</v>
      </c>
      <c r="C657">
        <v>179</v>
      </c>
      <c r="D657" t="s">
        <v>159</v>
      </c>
      <c r="E657">
        <v>729</v>
      </c>
      <c r="F657" t="s">
        <v>911</v>
      </c>
      <c r="G657">
        <v>1</v>
      </c>
      <c r="H657">
        <v>0</v>
      </c>
      <c r="I657">
        <v>1</v>
      </c>
      <c r="J657">
        <v>0</v>
      </c>
      <c r="K657">
        <v>0</v>
      </c>
      <c r="L657">
        <v>0</v>
      </c>
      <c r="M657" t="s">
        <v>325</v>
      </c>
      <c r="N657" t="s">
        <v>343</v>
      </c>
      <c r="O657" t="s">
        <v>340</v>
      </c>
    </row>
    <row r="658" spans="1:15" x14ac:dyDescent="0.3">
      <c r="A658">
        <v>212</v>
      </c>
      <c r="B658" t="s">
        <v>323</v>
      </c>
      <c r="C658">
        <v>179</v>
      </c>
      <c r="D658" t="s">
        <v>159</v>
      </c>
      <c r="E658">
        <v>730</v>
      </c>
      <c r="F658" t="s">
        <v>912</v>
      </c>
      <c r="G658">
        <v>0</v>
      </c>
      <c r="H658">
        <v>4</v>
      </c>
      <c r="I658">
        <v>4</v>
      </c>
      <c r="J658">
        <v>2</v>
      </c>
      <c r="K658">
        <v>2</v>
      </c>
      <c r="L658">
        <v>4</v>
      </c>
      <c r="M658" t="s">
        <v>333</v>
      </c>
      <c r="N658" t="s">
        <v>326</v>
      </c>
      <c r="O658" t="s">
        <v>352</v>
      </c>
    </row>
    <row r="659" spans="1:15" x14ac:dyDescent="0.3">
      <c r="A659">
        <v>212</v>
      </c>
      <c r="B659" t="s">
        <v>323</v>
      </c>
      <c r="C659">
        <v>179</v>
      </c>
      <c r="D659" t="s">
        <v>159</v>
      </c>
      <c r="E659">
        <v>731</v>
      </c>
      <c r="F659" t="s">
        <v>913</v>
      </c>
      <c r="G659">
        <v>0</v>
      </c>
      <c r="H659">
        <v>5</v>
      </c>
      <c r="I659">
        <v>5</v>
      </c>
      <c r="J659">
        <v>6</v>
      </c>
      <c r="K659">
        <v>6</v>
      </c>
      <c r="L659">
        <v>7</v>
      </c>
      <c r="M659" t="s">
        <v>333</v>
      </c>
      <c r="N659" t="s">
        <v>326</v>
      </c>
      <c r="O659" t="s">
        <v>352</v>
      </c>
    </row>
    <row r="660" spans="1:15" x14ac:dyDescent="0.3">
      <c r="A660">
        <v>212</v>
      </c>
      <c r="B660" t="s">
        <v>323</v>
      </c>
      <c r="C660">
        <v>179</v>
      </c>
      <c r="D660" t="s">
        <v>159</v>
      </c>
      <c r="E660">
        <v>733</v>
      </c>
      <c r="F660" t="s">
        <v>914</v>
      </c>
      <c r="G660">
        <v>3</v>
      </c>
      <c r="H660">
        <v>1</v>
      </c>
      <c r="I660">
        <v>3</v>
      </c>
      <c r="J660">
        <v>0</v>
      </c>
      <c r="K660">
        <v>3</v>
      </c>
      <c r="L660">
        <v>1</v>
      </c>
      <c r="M660" t="s">
        <v>410</v>
      </c>
      <c r="N660" t="s">
        <v>326</v>
      </c>
      <c r="O660" t="s">
        <v>330</v>
      </c>
    </row>
    <row r="661" spans="1:15" x14ac:dyDescent="0.3">
      <c r="A661">
        <v>212</v>
      </c>
      <c r="B661" t="s">
        <v>323</v>
      </c>
      <c r="C661">
        <v>179</v>
      </c>
      <c r="D661" t="s">
        <v>159</v>
      </c>
      <c r="E661">
        <v>734</v>
      </c>
      <c r="F661" t="s">
        <v>915</v>
      </c>
      <c r="G661">
        <v>0</v>
      </c>
      <c r="H661">
        <v>0</v>
      </c>
      <c r="I661">
        <v>1</v>
      </c>
      <c r="J661">
        <v>2</v>
      </c>
      <c r="K661">
        <v>0</v>
      </c>
      <c r="L661">
        <v>0</v>
      </c>
      <c r="M661" t="s">
        <v>333</v>
      </c>
      <c r="N661" t="s">
        <v>336</v>
      </c>
      <c r="O661" t="s">
        <v>352</v>
      </c>
    </row>
    <row r="662" spans="1:15" x14ac:dyDescent="0.3">
      <c r="A662">
        <v>212</v>
      </c>
      <c r="B662" t="s">
        <v>323</v>
      </c>
      <c r="C662">
        <v>179</v>
      </c>
      <c r="D662" t="s">
        <v>159</v>
      </c>
      <c r="E662">
        <v>735</v>
      </c>
      <c r="F662" t="s">
        <v>916</v>
      </c>
      <c r="G662">
        <v>3</v>
      </c>
      <c r="H662">
        <v>1</v>
      </c>
      <c r="I662">
        <v>1</v>
      </c>
      <c r="J662">
        <v>1</v>
      </c>
      <c r="K662">
        <v>0</v>
      </c>
      <c r="L662">
        <v>1</v>
      </c>
      <c r="M662" t="s">
        <v>325</v>
      </c>
      <c r="N662" t="s">
        <v>343</v>
      </c>
      <c r="O662" t="s">
        <v>338</v>
      </c>
    </row>
    <row r="663" spans="1:15" x14ac:dyDescent="0.3">
      <c r="A663">
        <v>212</v>
      </c>
      <c r="B663" t="s">
        <v>323</v>
      </c>
      <c r="C663">
        <v>179</v>
      </c>
      <c r="D663" t="s">
        <v>159</v>
      </c>
      <c r="E663">
        <v>736</v>
      </c>
      <c r="F663" t="s">
        <v>833</v>
      </c>
      <c r="G663">
        <v>0</v>
      </c>
      <c r="H663">
        <v>2</v>
      </c>
      <c r="I663">
        <v>2</v>
      </c>
      <c r="J663">
        <v>0</v>
      </c>
      <c r="K663">
        <v>0</v>
      </c>
      <c r="L663">
        <v>3</v>
      </c>
      <c r="M663" t="s">
        <v>325</v>
      </c>
      <c r="N663" t="s">
        <v>484</v>
      </c>
      <c r="O663" t="s">
        <v>338</v>
      </c>
    </row>
    <row r="664" spans="1:15" x14ac:dyDescent="0.3">
      <c r="A664">
        <v>212</v>
      </c>
      <c r="B664" t="s">
        <v>323</v>
      </c>
      <c r="C664">
        <v>179</v>
      </c>
      <c r="D664" t="s">
        <v>159</v>
      </c>
      <c r="E664">
        <v>737</v>
      </c>
      <c r="F664" t="s">
        <v>917</v>
      </c>
      <c r="G664">
        <v>1</v>
      </c>
      <c r="H664">
        <v>2</v>
      </c>
      <c r="I664">
        <v>2</v>
      </c>
      <c r="J664">
        <v>0</v>
      </c>
      <c r="K664">
        <v>0</v>
      </c>
      <c r="L664">
        <v>1</v>
      </c>
      <c r="M664" t="s">
        <v>333</v>
      </c>
      <c r="N664" t="s">
        <v>336</v>
      </c>
      <c r="O664" t="s">
        <v>340</v>
      </c>
    </row>
    <row r="665" spans="1:15" x14ac:dyDescent="0.3">
      <c r="A665">
        <v>212</v>
      </c>
      <c r="B665" t="s">
        <v>323</v>
      </c>
      <c r="C665">
        <v>179</v>
      </c>
      <c r="D665" t="s">
        <v>159</v>
      </c>
      <c r="E665">
        <v>738</v>
      </c>
      <c r="F665" t="s">
        <v>918</v>
      </c>
      <c r="G665">
        <v>1</v>
      </c>
      <c r="H665">
        <v>4</v>
      </c>
      <c r="I665">
        <v>5</v>
      </c>
      <c r="J665">
        <v>4</v>
      </c>
      <c r="K665">
        <v>5</v>
      </c>
      <c r="L665">
        <v>2</v>
      </c>
      <c r="M665" t="s">
        <v>333</v>
      </c>
      <c r="N665" t="s">
        <v>326</v>
      </c>
      <c r="O665" t="s">
        <v>352</v>
      </c>
    </row>
    <row r="666" spans="1:15" x14ac:dyDescent="0.3">
      <c r="A666">
        <v>212</v>
      </c>
      <c r="B666" t="s">
        <v>323</v>
      </c>
      <c r="C666">
        <v>179</v>
      </c>
      <c r="D666" t="s">
        <v>159</v>
      </c>
      <c r="E666">
        <v>739</v>
      </c>
      <c r="F666" t="s">
        <v>919</v>
      </c>
      <c r="G666">
        <v>0</v>
      </c>
      <c r="H666">
        <v>6</v>
      </c>
      <c r="I666">
        <v>4</v>
      </c>
      <c r="J666">
        <v>8</v>
      </c>
      <c r="K666">
        <v>13</v>
      </c>
      <c r="L666">
        <v>7</v>
      </c>
      <c r="M666" t="s">
        <v>333</v>
      </c>
      <c r="N666" t="s">
        <v>326</v>
      </c>
      <c r="O666" t="s">
        <v>352</v>
      </c>
    </row>
    <row r="667" spans="1:15" x14ac:dyDescent="0.3">
      <c r="A667">
        <v>212</v>
      </c>
      <c r="B667" t="s">
        <v>323</v>
      </c>
      <c r="C667">
        <v>179</v>
      </c>
      <c r="D667" t="s">
        <v>159</v>
      </c>
      <c r="E667">
        <v>740</v>
      </c>
      <c r="F667" t="s">
        <v>920</v>
      </c>
      <c r="G667">
        <v>0</v>
      </c>
      <c r="H667">
        <v>0</v>
      </c>
      <c r="I667">
        <v>1</v>
      </c>
      <c r="J667">
        <v>0</v>
      </c>
      <c r="K667">
        <v>0</v>
      </c>
      <c r="L667">
        <v>0</v>
      </c>
      <c r="M667" t="s">
        <v>325</v>
      </c>
      <c r="N667" t="s">
        <v>348</v>
      </c>
      <c r="O667" t="s">
        <v>352</v>
      </c>
    </row>
    <row r="668" spans="1:15" x14ac:dyDescent="0.3">
      <c r="A668">
        <v>212</v>
      </c>
      <c r="B668" t="s">
        <v>323</v>
      </c>
      <c r="C668">
        <v>179</v>
      </c>
      <c r="D668" t="s">
        <v>159</v>
      </c>
      <c r="E668">
        <v>741</v>
      </c>
      <c r="F668" t="s">
        <v>921</v>
      </c>
      <c r="G668">
        <v>0</v>
      </c>
      <c r="H668">
        <v>0</v>
      </c>
      <c r="I668">
        <v>0</v>
      </c>
      <c r="J668">
        <v>0</v>
      </c>
      <c r="K668">
        <v>4</v>
      </c>
      <c r="L668">
        <v>0</v>
      </c>
      <c r="M668" t="s">
        <v>333</v>
      </c>
      <c r="N668" t="s">
        <v>326</v>
      </c>
      <c r="O668" t="s">
        <v>352</v>
      </c>
    </row>
    <row r="669" spans="1:15" x14ac:dyDescent="0.3">
      <c r="A669">
        <v>212</v>
      </c>
      <c r="B669" t="s">
        <v>323</v>
      </c>
      <c r="C669">
        <v>179</v>
      </c>
      <c r="D669" t="s">
        <v>159</v>
      </c>
      <c r="E669">
        <v>742</v>
      </c>
      <c r="F669" t="s">
        <v>884</v>
      </c>
      <c r="G669">
        <v>1</v>
      </c>
      <c r="H669">
        <v>2</v>
      </c>
      <c r="I669">
        <v>3</v>
      </c>
      <c r="J669">
        <v>1</v>
      </c>
      <c r="K669">
        <v>0</v>
      </c>
      <c r="L669">
        <v>0</v>
      </c>
      <c r="M669" t="s">
        <v>333</v>
      </c>
      <c r="N669" t="s">
        <v>336</v>
      </c>
      <c r="O669" t="s">
        <v>340</v>
      </c>
    </row>
    <row r="670" spans="1:15" x14ac:dyDescent="0.3">
      <c r="A670">
        <v>212</v>
      </c>
      <c r="B670" t="s">
        <v>323</v>
      </c>
      <c r="C670">
        <v>179</v>
      </c>
      <c r="D670" t="s">
        <v>159</v>
      </c>
      <c r="E670">
        <v>743</v>
      </c>
      <c r="F670" t="s">
        <v>831</v>
      </c>
      <c r="G670">
        <v>0</v>
      </c>
      <c r="H670">
        <v>2</v>
      </c>
      <c r="I670">
        <v>1</v>
      </c>
      <c r="J670">
        <v>1</v>
      </c>
      <c r="K670">
        <v>0</v>
      </c>
      <c r="L670">
        <v>1</v>
      </c>
      <c r="M670" t="s">
        <v>325</v>
      </c>
      <c r="N670" t="s">
        <v>484</v>
      </c>
      <c r="O670" t="s">
        <v>352</v>
      </c>
    </row>
    <row r="671" spans="1:15" x14ac:dyDescent="0.3">
      <c r="A671">
        <v>212</v>
      </c>
      <c r="B671" t="s">
        <v>323</v>
      </c>
      <c r="C671">
        <v>179</v>
      </c>
      <c r="D671" t="s">
        <v>159</v>
      </c>
      <c r="E671">
        <v>745</v>
      </c>
      <c r="F671" t="s">
        <v>922</v>
      </c>
      <c r="G671">
        <v>0</v>
      </c>
      <c r="H671">
        <v>2</v>
      </c>
      <c r="I671">
        <v>1</v>
      </c>
      <c r="J671">
        <v>1</v>
      </c>
      <c r="K671">
        <v>0</v>
      </c>
      <c r="L671">
        <v>1</v>
      </c>
      <c r="M671" t="s">
        <v>325</v>
      </c>
      <c r="N671" t="s">
        <v>326</v>
      </c>
      <c r="O671" t="s">
        <v>352</v>
      </c>
    </row>
    <row r="672" spans="1:15" x14ac:dyDescent="0.3">
      <c r="A672">
        <v>212</v>
      </c>
      <c r="B672" t="s">
        <v>323</v>
      </c>
      <c r="C672">
        <v>179</v>
      </c>
      <c r="D672" t="s">
        <v>159</v>
      </c>
      <c r="E672">
        <v>1091</v>
      </c>
      <c r="F672" t="s">
        <v>923</v>
      </c>
      <c r="G672">
        <v>0</v>
      </c>
      <c r="H672">
        <v>3</v>
      </c>
      <c r="I672">
        <v>2</v>
      </c>
      <c r="J672">
        <v>2</v>
      </c>
      <c r="K672">
        <v>1</v>
      </c>
      <c r="L672">
        <v>1</v>
      </c>
      <c r="M672" t="s">
        <v>325</v>
      </c>
      <c r="N672" t="s">
        <v>326</v>
      </c>
      <c r="O672" t="s">
        <v>340</v>
      </c>
    </row>
    <row r="673" spans="1:15" x14ac:dyDescent="0.3">
      <c r="A673">
        <v>212</v>
      </c>
      <c r="B673" t="s">
        <v>323</v>
      </c>
      <c r="C673">
        <v>179</v>
      </c>
      <c r="D673" t="s">
        <v>159</v>
      </c>
      <c r="E673">
        <v>1093</v>
      </c>
      <c r="F673" t="s">
        <v>924</v>
      </c>
      <c r="G673">
        <v>0</v>
      </c>
      <c r="H673">
        <v>2</v>
      </c>
      <c r="I673">
        <v>2</v>
      </c>
      <c r="J673">
        <v>0</v>
      </c>
      <c r="K673">
        <v>2</v>
      </c>
      <c r="L673">
        <v>0</v>
      </c>
      <c r="M673" t="s">
        <v>333</v>
      </c>
      <c r="N673" t="s">
        <v>326</v>
      </c>
      <c r="O673" t="s">
        <v>330</v>
      </c>
    </row>
    <row r="674" spans="1:15" x14ac:dyDescent="0.3">
      <c r="A674">
        <v>212</v>
      </c>
      <c r="B674" t="s">
        <v>323</v>
      </c>
      <c r="C674">
        <v>179</v>
      </c>
      <c r="D674" t="s">
        <v>159</v>
      </c>
      <c r="E674">
        <v>1094</v>
      </c>
      <c r="F674" t="s">
        <v>925</v>
      </c>
      <c r="G674">
        <v>0</v>
      </c>
      <c r="H674">
        <v>3</v>
      </c>
      <c r="I674">
        <v>2</v>
      </c>
      <c r="J674">
        <v>1</v>
      </c>
      <c r="K674">
        <v>0</v>
      </c>
      <c r="L674">
        <v>1</v>
      </c>
      <c r="M674" t="s">
        <v>333</v>
      </c>
      <c r="N674" t="s">
        <v>336</v>
      </c>
      <c r="O674" t="s">
        <v>340</v>
      </c>
    </row>
    <row r="675" spans="1:15" x14ac:dyDescent="0.3">
      <c r="A675">
        <v>212</v>
      </c>
      <c r="B675" t="s">
        <v>323</v>
      </c>
      <c r="C675">
        <v>179</v>
      </c>
      <c r="D675" t="s">
        <v>159</v>
      </c>
      <c r="E675">
        <v>1095</v>
      </c>
      <c r="F675" t="s">
        <v>926</v>
      </c>
      <c r="G675">
        <v>0</v>
      </c>
      <c r="H675">
        <v>2</v>
      </c>
      <c r="I675">
        <v>1</v>
      </c>
      <c r="J675">
        <v>2</v>
      </c>
      <c r="K675">
        <v>0</v>
      </c>
      <c r="L675">
        <v>2</v>
      </c>
      <c r="M675" t="s">
        <v>333</v>
      </c>
      <c r="N675" t="s">
        <v>326</v>
      </c>
      <c r="O675" t="s">
        <v>352</v>
      </c>
    </row>
    <row r="676" spans="1:15" x14ac:dyDescent="0.3">
      <c r="A676">
        <v>212</v>
      </c>
      <c r="B676" t="s">
        <v>323</v>
      </c>
      <c r="C676">
        <v>179</v>
      </c>
      <c r="D676" t="s">
        <v>159</v>
      </c>
      <c r="E676">
        <v>1333</v>
      </c>
      <c r="F676" t="s">
        <v>927</v>
      </c>
      <c r="G676">
        <v>0</v>
      </c>
      <c r="H676">
        <v>0</v>
      </c>
      <c r="I676">
        <v>1</v>
      </c>
      <c r="J676">
        <v>0</v>
      </c>
      <c r="K676">
        <v>0</v>
      </c>
      <c r="L676">
        <v>0</v>
      </c>
      <c r="M676" t="s">
        <v>333</v>
      </c>
      <c r="N676" t="s">
        <v>336</v>
      </c>
      <c r="O676" t="s">
        <v>340</v>
      </c>
    </row>
    <row r="677" spans="1:15" x14ac:dyDescent="0.3">
      <c r="A677">
        <v>212</v>
      </c>
      <c r="B677" t="s">
        <v>323</v>
      </c>
      <c r="C677">
        <v>179</v>
      </c>
      <c r="D677" t="s">
        <v>159</v>
      </c>
      <c r="E677">
        <v>1334</v>
      </c>
      <c r="F677" t="s">
        <v>928</v>
      </c>
      <c r="G677">
        <v>0</v>
      </c>
      <c r="H677">
        <v>0</v>
      </c>
      <c r="I677">
        <v>3</v>
      </c>
      <c r="J677">
        <v>1</v>
      </c>
      <c r="K677">
        <v>0</v>
      </c>
      <c r="L677">
        <v>0</v>
      </c>
      <c r="M677" t="s">
        <v>410</v>
      </c>
      <c r="N677" t="s">
        <v>326</v>
      </c>
      <c r="O677" t="s">
        <v>338</v>
      </c>
    </row>
    <row r="678" spans="1:15" x14ac:dyDescent="0.3">
      <c r="A678">
        <v>213</v>
      </c>
      <c r="B678" t="s">
        <v>323</v>
      </c>
      <c r="C678">
        <v>180</v>
      </c>
      <c r="D678" t="s">
        <v>161</v>
      </c>
      <c r="E678">
        <v>800</v>
      </c>
      <c r="F678" t="s">
        <v>474</v>
      </c>
      <c r="G678">
        <v>0</v>
      </c>
      <c r="H678">
        <v>0</v>
      </c>
      <c r="I678">
        <v>3</v>
      </c>
      <c r="J678">
        <v>2</v>
      </c>
      <c r="K678">
        <v>4</v>
      </c>
      <c r="L678">
        <v>2</v>
      </c>
      <c r="M678" t="s">
        <v>325</v>
      </c>
      <c r="N678" t="s">
        <v>326</v>
      </c>
      <c r="O678" t="s">
        <v>352</v>
      </c>
    </row>
    <row r="679" spans="1:15" x14ac:dyDescent="0.3">
      <c r="A679">
        <v>213</v>
      </c>
      <c r="B679" t="s">
        <v>323</v>
      </c>
      <c r="C679">
        <v>180</v>
      </c>
      <c r="D679" t="s">
        <v>161</v>
      </c>
      <c r="E679">
        <v>801</v>
      </c>
      <c r="F679" t="s">
        <v>929</v>
      </c>
      <c r="G679">
        <v>1</v>
      </c>
      <c r="H679">
        <v>3</v>
      </c>
      <c r="I679">
        <v>7</v>
      </c>
      <c r="J679">
        <v>7</v>
      </c>
      <c r="K679">
        <v>3</v>
      </c>
      <c r="L679">
        <v>3</v>
      </c>
      <c r="M679" t="s">
        <v>325</v>
      </c>
      <c r="N679" t="s">
        <v>326</v>
      </c>
      <c r="O679" t="s">
        <v>352</v>
      </c>
    </row>
    <row r="680" spans="1:15" x14ac:dyDescent="0.3">
      <c r="A680">
        <v>213</v>
      </c>
      <c r="B680" t="s">
        <v>323</v>
      </c>
      <c r="C680">
        <v>180</v>
      </c>
      <c r="D680" t="s">
        <v>161</v>
      </c>
      <c r="E680">
        <v>802</v>
      </c>
      <c r="F680" t="s">
        <v>930</v>
      </c>
      <c r="G680">
        <v>0</v>
      </c>
      <c r="H680">
        <v>0</v>
      </c>
      <c r="I680">
        <v>2</v>
      </c>
      <c r="J680">
        <v>2</v>
      </c>
      <c r="K680">
        <v>6</v>
      </c>
      <c r="L680">
        <v>0</v>
      </c>
      <c r="M680" t="s">
        <v>333</v>
      </c>
      <c r="N680" t="s">
        <v>326</v>
      </c>
      <c r="O680" t="s">
        <v>340</v>
      </c>
    </row>
    <row r="681" spans="1:15" x14ac:dyDescent="0.3">
      <c r="A681">
        <v>213</v>
      </c>
      <c r="B681" t="s">
        <v>323</v>
      </c>
      <c r="C681">
        <v>180</v>
      </c>
      <c r="D681" t="s">
        <v>161</v>
      </c>
      <c r="E681">
        <v>803</v>
      </c>
      <c r="F681" t="s">
        <v>931</v>
      </c>
      <c r="G681">
        <v>0</v>
      </c>
      <c r="H681">
        <v>0</v>
      </c>
      <c r="I681">
        <v>5</v>
      </c>
      <c r="J681">
        <v>2</v>
      </c>
      <c r="K681">
        <v>0</v>
      </c>
      <c r="L681">
        <v>0</v>
      </c>
      <c r="M681" t="s">
        <v>333</v>
      </c>
      <c r="N681" t="s">
        <v>326</v>
      </c>
      <c r="O681" t="s">
        <v>340</v>
      </c>
    </row>
    <row r="682" spans="1:15" x14ac:dyDescent="0.3">
      <c r="A682">
        <v>213</v>
      </c>
      <c r="B682" t="s">
        <v>323</v>
      </c>
      <c r="C682">
        <v>180</v>
      </c>
      <c r="D682" t="s">
        <v>161</v>
      </c>
      <c r="E682">
        <v>806</v>
      </c>
      <c r="F682" t="s">
        <v>932</v>
      </c>
      <c r="G682">
        <v>0</v>
      </c>
      <c r="H682">
        <v>2</v>
      </c>
      <c r="I682">
        <v>1</v>
      </c>
      <c r="J682">
        <v>4</v>
      </c>
      <c r="K682">
        <v>1</v>
      </c>
      <c r="L682">
        <v>2</v>
      </c>
      <c r="M682" t="s">
        <v>333</v>
      </c>
      <c r="N682" t="s">
        <v>326</v>
      </c>
      <c r="O682" t="s">
        <v>340</v>
      </c>
    </row>
    <row r="683" spans="1:15" x14ac:dyDescent="0.3">
      <c r="A683">
        <v>213</v>
      </c>
      <c r="B683" t="s">
        <v>323</v>
      </c>
      <c r="C683">
        <v>180</v>
      </c>
      <c r="D683" t="s">
        <v>161</v>
      </c>
      <c r="E683">
        <v>808</v>
      </c>
      <c r="F683" t="s">
        <v>933</v>
      </c>
      <c r="G683">
        <v>0</v>
      </c>
      <c r="H683">
        <v>0</v>
      </c>
      <c r="I683">
        <v>4</v>
      </c>
      <c r="J683">
        <v>4</v>
      </c>
      <c r="K683">
        <v>4</v>
      </c>
      <c r="L683">
        <v>2</v>
      </c>
      <c r="M683" t="s">
        <v>325</v>
      </c>
      <c r="N683" t="s">
        <v>326</v>
      </c>
      <c r="O683" t="s">
        <v>330</v>
      </c>
    </row>
    <row r="684" spans="1:15" x14ac:dyDescent="0.3">
      <c r="A684">
        <v>213</v>
      </c>
      <c r="B684" t="s">
        <v>323</v>
      </c>
      <c r="C684">
        <v>180</v>
      </c>
      <c r="D684" t="s">
        <v>161</v>
      </c>
      <c r="E684">
        <v>809</v>
      </c>
      <c r="F684" t="s">
        <v>934</v>
      </c>
      <c r="G684">
        <v>0</v>
      </c>
      <c r="H684">
        <v>0</v>
      </c>
      <c r="I684">
        <v>0</v>
      </c>
      <c r="J684">
        <v>0</v>
      </c>
      <c r="K684">
        <v>1</v>
      </c>
      <c r="L684">
        <v>0</v>
      </c>
      <c r="M684" t="s">
        <v>325</v>
      </c>
      <c r="N684" t="s">
        <v>329</v>
      </c>
      <c r="O684" t="s">
        <v>338</v>
      </c>
    </row>
    <row r="685" spans="1:15" x14ac:dyDescent="0.3">
      <c r="A685">
        <v>213</v>
      </c>
      <c r="B685" t="s">
        <v>323</v>
      </c>
      <c r="C685">
        <v>180</v>
      </c>
      <c r="D685" t="s">
        <v>161</v>
      </c>
      <c r="E685">
        <v>810</v>
      </c>
      <c r="F685" t="s">
        <v>935</v>
      </c>
      <c r="G685">
        <v>0</v>
      </c>
      <c r="H685">
        <v>0</v>
      </c>
      <c r="I685">
        <v>4</v>
      </c>
      <c r="J685">
        <v>2</v>
      </c>
      <c r="K685">
        <v>1</v>
      </c>
      <c r="L685">
        <v>0</v>
      </c>
      <c r="M685" t="s">
        <v>325</v>
      </c>
      <c r="N685" t="s">
        <v>326</v>
      </c>
      <c r="O685" t="s">
        <v>338</v>
      </c>
    </row>
    <row r="686" spans="1:15" x14ac:dyDescent="0.3">
      <c r="A686">
        <v>213</v>
      </c>
      <c r="B686" t="s">
        <v>323</v>
      </c>
      <c r="C686">
        <v>180</v>
      </c>
      <c r="D686" t="s">
        <v>161</v>
      </c>
      <c r="E686">
        <v>811</v>
      </c>
      <c r="F686" t="s">
        <v>936</v>
      </c>
      <c r="G686">
        <v>0</v>
      </c>
      <c r="H686">
        <v>0</v>
      </c>
      <c r="I686">
        <v>3</v>
      </c>
      <c r="J686">
        <v>2</v>
      </c>
      <c r="K686">
        <v>2</v>
      </c>
      <c r="L686">
        <v>0</v>
      </c>
      <c r="M686" t="s">
        <v>333</v>
      </c>
      <c r="N686" t="s">
        <v>336</v>
      </c>
      <c r="O686" t="s">
        <v>352</v>
      </c>
    </row>
    <row r="687" spans="1:15" x14ac:dyDescent="0.3">
      <c r="A687">
        <v>213</v>
      </c>
      <c r="B687" t="s">
        <v>323</v>
      </c>
      <c r="C687">
        <v>180</v>
      </c>
      <c r="D687" t="s">
        <v>161</v>
      </c>
      <c r="E687">
        <v>814</v>
      </c>
      <c r="F687" t="s">
        <v>640</v>
      </c>
      <c r="G687">
        <v>0</v>
      </c>
      <c r="H687">
        <v>0</v>
      </c>
      <c r="I687">
        <v>0</v>
      </c>
      <c r="J687">
        <v>0</v>
      </c>
      <c r="K687">
        <v>3</v>
      </c>
      <c r="L687">
        <v>3</v>
      </c>
      <c r="M687" t="s">
        <v>333</v>
      </c>
      <c r="N687" t="s">
        <v>326</v>
      </c>
      <c r="O687" t="s">
        <v>330</v>
      </c>
    </row>
    <row r="688" spans="1:15" x14ac:dyDescent="0.3">
      <c r="A688">
        <v>213</v>
      </c>
      <c r="B688" t="s">
        <v>323</v>
      </c>
      <c r="C688">
        <v>180</v>
      </c>
      <c r="D688" t="s">
        <v>161</v>
      </c>
      <c r="E688">
        <v>815</v>
      </c>
      <c r="F688" t="s">
        <v>937</v>
      </c>
      <c r="G688">
        <v>0</v>
      </c>
      <c r="H688">
        <v>0</v>
      </c>
      <c r="I688">
        <v>0</v>
      </c>
      <c r="J688">
        <v>2</v>
      </c>
      <c r="K688">
        <v>1</v>
      </c>
      <c r="L688">
        <v>1</v>
      </c>
      <c r="M688" t="s">
        <v>333</v>
      </c>
      <c r="N688" t="s">
        <v>326</v>
      </c>
      <c r="O688" t="s">
        <v>330</v>
      </c>
    </row>
    <row r="689" spans="1:15" x14ac:dyDescent="0.3">
      <c r="A689">
        <v>213</v>
      </c>
      <c r="B689" t="s">
        <v>323</v>
      </c>
      <c r="C689">
        <v>180</v>
      </c>
      <c r="D689" t="s">
        <v>161</v>
      </c>
      <c r="E689">
        <v>816</v>
      </c>
      <c r="F689" t="s">
        <v>938</v>
      </c>
      <c r="G689">
        <v>2</v>
      </c>
      <c r="H689">
        <v>3</v>
      </c>
      <c r="I689">
        <v>4</v>
      </c>
      <c r="J689">
        <v>0</v>
      </c>
      <c r="K689">
        <v>0</v>
      </c>
      <c r="L689">
        <v>0</v>
      </c>
      <c r="M689" t="s">
        <v>333</v>
      </c>
      <c r="N689" t="s">
        <v>326</v>
      </c>
      <c r="O689" t="s">
        <v>352</v>
      </c>
    </row>
    <row r="690" spans="1:15" x14ac:dyDescent="0.3">
      <c r="A690">
        <v>213</v>
      </c>
      <c r="B690" t="s">
        <v>323</v>
      </c>
      <c r="C690">
        <v>180</v>
      </c>
      <c r="D690" t="s">
        <v>161</v>
      </c>
      <c r="E690">
        <v>818</v>
      </c>
      <c r="F690" t="s">
        <v>939</v>
      </c>
      <c r="G690">
        <v>0</v>
      </c>
      <c r="H690">
        <v>1</v>
      </c>
      <c r="I690">
        <v>4</v>
      </c>
      <c r="J690">
        <v>1</v>
      </c>
      <c r="K690">
        <v>0</v>
      </c>
      <c r="L690">
        <v>0</v>
      </c>
      <c r="M690" t="s">
        <v>333</v>
      </c>
      <c r="N690" t="s">
        <v>326</v>
      </c>
      <c r="O690" t="s">
        <v>340</v>
      </c>
    </row>
    <row r="691" spans="1:15" x14ac:dyDescent="0.3">
      <c r="A691">
        <v>213</v>
      </c>
      <c r="B691" t="s">
        <v>323</v>
      </c>
      <c r="C691">
        <v>180</v>
      </c>
      <c r="D691" t="s">
        <v>161</v>
      </c>
      <c r="E691">
        <v>819</v>
      </c>
      <c r="F691" t="s">
        <v>940</v>
      </c>
      <c r="G691">
        <v>1</v>
      </c>
      <c r="H691">
        <v>0</v>
      </c>
      <c r="I691">
        <v>2</v>
      </c>
      <c r="J691">
        <v>2</v>
      </c>
      <c r="K691">
        <v>0</v>
      </c>
      <c r="L691">
        <v>0</v>
      </c>
      <c r="M691" t="s">
        <v>333</v>
      </c>
      <c r="N691" t="s">
        <v>326</v>
      </c>
      <c r="O691" t="s">
        <v>340</v>
      </c>
    </row>
    <row r="692" spans="1:15" x14ac:dyDescent="0.3">
      <c r="A692">
        <v>213</v>
      </c>
      <c r="B692" t="s">
        <v>323</v>
      </c>
      <c r="C692">
        <v>180</v>
      </c>
      <c r="D692" t="s">
        <v>161</v>
      </c>
      <c r="E692">
        <v>820</v>
      </c>
      <c r="F692" t="s">
        <v>941</v>
      </c>
      <c r="G692">
        <v>6</v>
      </c>
      <c r="H692">
        <v>0</v>
      </c>
      <c r="I692">
        <v>0</v>
      </c>
      <c r="J692">
        <v>0</v>
      </c>
      <c r="K692">
        <v>0</v>
      </c>
      <c r="L692">
        <v>0</v>
      </c>
      <c r="M692" t="s">
        <v>333</v>
      </c>
      <c r="N692" t="s">
        <v>326</v>
      </c>
      <c r="O692" t="s">
        <v>340</v>
      </c>
    </row>
    <row r="693" spans="1:15" x14ac:dyDescent="0.3">
      <c r="A693">
        <v>213</v>
      </c>
      <c r="B693" t="s">
        <v>323</v>
      </c>
      <c r="C693">
        <v>180</v>
      </c>
      <c r="D693" t="s">
        <v>161</v>
      </c>
      <c r="E693">
        <v>821</v>
      </c>
      <c r="F693" t="s">
        <v>942</v>
      </c>
      <c r="G693">
        <v>0</v>
      </c>
      <c r="H693">
        <v>0</v>
      </c>
      <c r="I693">
        <v>2</v>
      </c>
      <c r="J693">
        <v>2</v>
      </c>
      <c r="K693">
        <v>2</v>
      </c>
      <c r="L693">
        <v>0</v>
      </c>
      <c r="M693" t="s">
        <v>325</v>
      </c>
      <c r="N693" t="s">
        <v>336</v>
      </c>
      <c r="O693" t="s">
        <v>330</v>
      </c>
    </row>
    <row r="694" spans="1:15" x14ac:dyDescent="0.3">
      <c r="A694">
        <v>213</v>
      </c>
      <c r="B694" t="s">
        <v>323</v>
      </c>
      <c r="C694">
        <v>180</v>
      </c>
      <c r="D694" t="s">
        <v>161</v>
      </c>
      <c r="E694">
        <v>822</v>
      </c>
      <c r="F694" t="s">
        <v>943</v>
      </c>
      <c r="G694">
        <v>0</v>
      </c>
      <c r="H694">
        <v>0</v>
      </c>
      <c r="I694">
        <v>6</v>
      </c>
      <c r="J694">
        <v>0</v>
      </c>
      <c r="K694">
        <v>0</v>
      </c>
      <c r="L694">
        <v>0</v>
      </c>
      <c r="M694" t="s">
        <v>325</v>
      </c>
      <c r="N694" t="s">
        <v>343</v>
      </c>
      <c r="O694" t="s">
        <v>338</v>
      </c>
    </row>
    <row r="695" spans="1:15" x14ac:dyDescent="0.3">
      <c r="A695">
        <v>213</v>
      </c>
      <c r="B695" t="s">
        <v>323</v>
      </c>
      <c r="C695">
        <v>180</v>
      </c>
      <c r="D695" t="s">
        <v>161</v>
      </c>
      <c r="E695">
        <v>824</v>
      </c>
      <c r="F695" t="s">
        <v>944</v>
      </c>
      <c r="G695">
        <v>1</v>
      </c>
      <c r="H695">
        <v>0</v>
      </c>
      <c r="I695">
        <v>2</v>
      </c>
      <c r="J695">
        <v>2</v>
      </c>
      <c r="K695">
        <v>2</v>
      </c>
      <c r="L695">
        <v>2</v>
      </c>
      <c r="M695" t="s">
        <v>325</v>
      </c>
      <c r="N695" t="s">
        <v>326</v>
      </c>
      <c r="O695" t="s">
        <v>330</v>
      </c>
    </row>
    <row r="696" spans="1:15" x14ac:dyDescent="0.3">
      <c r="A696">
        <v>213</v>
      </c>
      <c r="B696" t="s">
        <v>323</v>
      </c>
      <c r="C696">
        <v>180</v>
      </c>
      <c r="D696" t="s">
        <v>161</v>
      </c>
      <c r="E696">
        <v>825</v>
      </c>
      <c r="F696" t="s">
        <v>945</v>
      </c>
      <c r="G696">
        <v>0</v>
      </c>
      <c r="H696">
        <v>0</v>
      </c>
      <c r="I696">
        <v>0</v>
      </c>
      <c r="J696">
        <v>10</v>
      </c>
      <c r="K696">
        <v>10</v>
      </c>
      <c r="L696">
        <v>0</v>
      </c>
      <c r="M696" t="s">
        <v>325</v>
      </c>
      <c r="N696" t="s">
        <v>336</v>
      </c>
      <c r="O696" t="s">
        <v>330</v>
      </c>
    </row>
    <row r="697" spans="1:15" x14ac:dyDescent="0.3">
      <c r="A697">
        <v>213</v>
      </c>
      <c r="B697" t="s">
        <v>323</v>
      </c>
      <c r="C697">
        <v>180</v>
      </c>
      <c r="D697" t="s">
        <v>161</v>
      </c>
      <c r="E697">
        <v>826</v>
      </c>
      <c r="F697" t="s">
        <v>946</v>
      </c>
      <c r="G697">
        <v>0</v>
      </c>
      <c r="H697">
        <v>0</v>
      </c>
      <c r="I697">
        <v>0</v>
      </c>
      <c r="J697">
        <v>0</v>
      </c>
      <c r="K697">
        <v>6</v>
      </c>
      <c r="L697">
        <v>0</v>
      </c>
      <c r="M697" t="s">
        <v>325</v>
      </c>
      <c r="N697" t="s">
        <v>336</v>
      </c>
      <c r="O697" t="s">
        <v>338</v>
      </c>
    </row>
    <row r="698" spans="1:15" x14ac:dyDescent="0.3">
      <c r="A698">
        <v>213</v>
      </c>
      <c r="B698" t="s">
        <v>323</v>
      </c>
      <c r="C698">
        <v>180</v>
      </c>
      <c r="D698" t="s">
        <v>161</v>
      </c>
      <c r="E698">
        <v>827</v>
      </c>
      <c r="F698" t="s">
        <v>947</v>
      </c>
      <c r="G698">
        <v>0</v>
      </c>
      <c r="H698">
        <v>0</v>
      </c>
      <c r="I698">
        <v>3</v>
      </c>
      <c r="J698">
        <v>3</v>
      </c>
      <c r="K698">
        <v>3</v>
      </c>
      <c r="L698">
        <v>5</v>
      </c>
      <c r="M698" t="s">
        <v>325</v>
      </c>
      <c r="N698" t="s">
        <v>326</v>
      </c>
      <c r="O698" t="s">
        <v>352</v>
      </c>
    </row>
    <row r="699" spans="1:15" x14ac:dyDescent="0.3">
      <c r="A699">
        <v>213</v>
      </c>
      <c r="B699" t="s">
        <v>323</v>
      </c>
      <c r="C699">
        <v>180</v>
      </c>
      <c r="D699" t="s">
        <v>161</v>
      </c>
      <c r="E699">
        <v>828</v>
      </c>
      <c r="F699" t="s">
        <v>948</v>
      </c>
      <c r="G699">
        <v>2</v>
      </c>
      <c r="H699">
        <v>2</v>
      </c>
      <c r="I699">
        <v>2</v>
      </c>
      <c r="J699">
        <v>2</v>
      </c>
      <c r="K699">
        <v>0</v>
      </c>
      <c r="L699">
        <v>0</v>
      </c>
      <c r="M699" t="s">
        <v>333</v>
      </c>
      <c r="N699" t="s">
        <v>326</v>
      </c>
      <c r="O699" t="s">
        <v>338</v>
      </c>
    </row>
    <row r="700" spans="1:15" x14ac:dyDescent="0.3">
      <c r="A700">
        <v>213</v>
      </c>
      <c r="B700" t="s">
        <v>323</v>
      </c>
      <c r="C700">
        <v>180</v>
      </c>
      <c r="D700" t="s">
        <v>161</v>
      </c>
      <c r="E700">
        <v>829</v>
      </c>
      <c r="F700" t="s">
        <v>949</v>
      </c>
      <c r="G700">
        <v>0</v>
      </c>
      <c r="H700">
        <v>0</v>
      </c>
      <c r="I700">
        <v>0</v>
      </c>
      <c r="J700">
        <v>3</v>
      </c>
      <c r="K700">
        <v>3</v>
      </c>
      <c r="L700">
        <v>3</v>
      </c>
      <c r="M700" t="s">
        <v>333</v>
      </c>
      <c r="N700" t="s">
        <v>326</v>
      </c>
      <c r="O700" t="s">
        <v>340</v>
      </c>
    </row>
    <row r="701" spans="1:15" x14ac:dyDescent="0.3">
      <c r="A701">
        <v>213</v>
      </c>
      <c r="B701" t="s">
        <v>323</v>
      </c>
      <c r="C701">
        <v>180</v>
      </c>
      <c r="D701" t="s">
        <v>161</v>
      </c>
      <c r="E701">
        <v>831</v>
      </c>
      <c r="F701" t="s">
        <v>950</v>
      </c>
      <c r="G701">
        <v>0</v>
      </c>
      <c r="H701">
        <v>0</v>
      </c>
      <c r="I701">
        <v>2</v>
      </c>
      <c r="J701">
        <v>2</v>
      </c>
      <c r="K701">
        <v>0</v>
      </c>
      <c r="L701">
        <v>0</v>
      </c>
      <c r="M701" t="s">
        <v>325</v>
      </c>
      <c r="N701" t="s">
        <v>329</v>
      </c>
      <c r="O701" t="s">
        <v>330</v>
      </c>
    </row>
    <row r="702" spans="1:15" x14ac:dyDescent="0.3">
      <c r="A702">
        <v>213</v>
      </c>
      <c r="B702" t="s">
        <v>323</v>
      </c>
      <c r="C702">
        <v>180</v>
      </c>
      <c r="D702" t="s">
        <v>161</v>
      </c>
      <c r="E702">
        <v>832</v>
      </c>
      <c r="F702" t="s">
        <v>951</v>
      </c>
      <c r="G702">
        <v>1</v>
      </c>
      <c r="H702">
        <v>1</v>
      </c>
      <c r="I702">
        <v>4</v>
      </c>
      <c r="J702">
        <v>2</v>
      </c>
      <c r="K702">
        <v>2</v>
      </c>
      <c r="L702">
        <v>0</v>
      </c>
      <c r="M702" t="s">
        <v>325</v>
      </c>
      <c r="N702" t="s">
        <v>326</v>
      </c>
      <c r="O702" t="s">
        <v>330</v>
      </c>
    </row>
    <row r="703" spans="1:15" x14ac:dyDescent="0.3">
      <c r="A703">
        <v>213</v>
      </c>
      <c r="B703" t="s">
        <v>323</v>
      </c>
      <c r="C703">
        <v>180</v>
      </c>
      <c r="D703" t="s">
        <v>161</v>
      </c>
      <c r="E703">
        <v>833</v>
      </c>
      <c r="F703" t="s">
        <v>952</v>
      </c>
      <c r="G703">
        <v>0</v>
      </c>
      <c r="H703">
        <v>2</v>
      </c>
      <c r="I703">
        <v>0</v>
      </c>
      <c r="J703">
        <v>4</v>
      </c>
      <c r="K703">
        <v>6</v>
      </c>
      <c r="L703">
        <v>3</v>
      </c>
      <c r="M703" t="s">
        <v>333</v>
      </c>
      <c r="N703" t="s">
        <v>326</v>
      </c>
      <c r="O703" t="s">
        <v>330</v>
      </c>
    </row>
    <row r="704" spans="1:15" x14ac:dyDescent="0.3">
      <c r="A704">
        <v>213</v>
      </c>
      <c r="B704" t="s">
        <v>323</v>
      </c>
      <c r="C704">
        <v>180</v>
      </c>
      <c r="D704" t="s">
        <v>161</v>
      </c>
      <c r="E704">
        <v>834</v>
      </c>
      <c r="F704" t="s">
        <v>393</v>
      </c>
      <c r="G704">
        <v>0</v>
      </c>
      <c r="H704">
        <v>0</v>
      </c>
      <c r="I704">
        <v>3</v>
      </c>
      <c r="J704">
        <v>3</v>
      </c>
      <c r="K704">
        <v>0</v>
      </c>
      <c r="L704">
        <v>0</v>
      </c>
      <c r="M704" t="s">
        <v>566</v>
      </c>
      <c r="N704" t="s">
        <v>336</v>
      </c>
      <c r="O704" t="s">
        <v>330</v>
      </c>
    </row>
    <row r="705" spans="1:15" x14ac:dyDescent="0.3">
      <c r="A705">
        <v>214</v>
      </c>
      <c r="B705" t="s">
        <v>323</v>
      </c>
      <c r="C705">
        <v>181</v>
      </c>
      <c r="D705" t="s">
        <v>163</v>
      </c>
      <c r="E705">
        <v>1015</v>
      </c>
      <c r="F705" t="s">
        <v>953</v>
      </c>
      <c r="G705">
        <v>2</v>
      </c>
      <c r="H705">
        <v>2</v>
      </c>
      <c r="I705">
        <v>1</v>
      </c>
      <c r="J705">
        <v>0</v>
      </c>
      <c r="K705">
        <v>0</v>
      </c>
      <c r="L705">
        <v>0</v>
      </c>
      <c r="M705" t="s">
        <v>333</v>
      </c>
      <c r="N705" t="s">
        <v>329</v>
      </c>
      <c r="O705" t="s">
        <v>352</v>
      </c>
    </row>
    <row r="706" spans="1:15" x14ac:dyDescent="0.3">
      <c r="A706">
        <v>214</v>
      </c>
      <c r="B706" t="s">
        <v>323</v>
      </c>
      <c r="C706">
        <v>181</v>
      </c>
      <c r="D706" t="s">
        <v>163</v>
      </c>
      <c r="E706">
        <v>1016</v>
      </c>
      <c r="F706" t="s">
        <v>954</v>
      </c>
      <c r="G706">
        <v>2</v>
      </c>
      <c r="H706">
        <v>1</v>
      </c>
      <c r="I706">
        <v>0</v>
      </c>
      <c r="J706">
        <v>1</v>
      </c>
      <c r="K706">
        <v>0</v>
      </c>
      <c r="L706">
        <v>0</v>
      </c>
      <c r="M706" t="s">
        <v>325</v>
      </c>
      <c r="N706" t="s">
        <v>336</v>
      </c>
      <c r="O706" t="s">
        <v>340</v>
      </c>
    </row>
    <row r="707" spans="1:15" x14ac:dyDescent="0.3">
      <c r="A707">
        <v>214</v>
      </c>
      <c r="B707" t="s">
        <v>323</v>
      </c>
      <c r="C707">
        <v>181</v>
      </c>
      <c r="D707" t="s">
        <v>163</v>
      </c>
      <c r="E707">
        <v>1019</v>
      </c>
      <c r="F707" t="s">
        <v>781</v>
      </c>
      <c r="G707">
        <v>8</v>
      </c>
      <c r="H707">
        <v>0</v>
      </c>
      <c r="I707">
        <v>0</v>
      </c>
      <c r="J707">
        <v>0</v>
      </c>
      <c r="K707">
        <v>0</v>
      </c>
      <c r="L707">
        <v>0</v>
      </c>
      <c r="M707" t="s">
        <v>325</v>
      </c>
      <c r="N707" t="s">
        <v>336</v>
      </c>
      <c r="O707" t="s">
        <v>338</v>
      </c>
    </row>
    <row r="708" spans="1:15" x14ac:dyDescent="0.3">
      <c r="A708">
        <v>214</v>
      </c>
      <c r="B708" t="s">
        <v>323</v>
      </c>
      <c r="C708">
        <v>181</v>
      </c>
      <c r="D708" t="s">
        <v>163</v>
      </c>
      <c r="E708">
        <v>1020</v>
      </c>
      <c r="F708" t="s">
        <v>911</v>
      </c>
      <c r="G708">
        <v>4</v>
      </c>
      <c r="H708">
        <v>4</v>
      </c>
      <c r="I708">
        <v>1</v>
      </c>
      <c r="J708">
        <v>0</v>
      </c>
      <c r="K708">
        <v>0</v>
      </c>
      <c r="L708">
        <v>0</v>
      </c>
      <c r="M708" t="s">
        <v>325</v>
      </c>
      <c r="N708" t="s">
        <v>336</v>
      </c>
      <c r="O708" t="s">
        <v>338</v>
      </c>
    </row>
    <row r="709" spans="1:15" x14ac:dyDescent="0.3">
      <c r="A709">
        <v>214</v>
      </c>
      <c r="B709" t="s">
        <v>323</v>
      </c>
      <c r="C709">
        <v>181</v>
      </c>
      <c r="D709" t="s">
        <v>163</v>
      </c>
      <c r="E709">
        <v>1021</v>
      </c>
      <c r="F709" t="s">
        <v>955</v>
      </c>
      <c r="G709">
        <v>0</v>
      </c>
      <c r="H709">
        <v>5</v>
      </c>
      <c r="I709">
        <v>0</v>
      </c>
      <c r="J709">
        <v>0</v>
      </c>
      <c r="K709">
        <v>0</v>
      </c>
      <c r="L709">
        <v>0</v>
      </c>
      <c r="M709" t="s">
        <v>325</v>
      </c>
      <c r="N709" t="s">
        <v>336</v>
      </c>
      <c r="O709" t="s">
        <v>330</v>
      </c>
    </row>
    <row r="710" spans="1:15" x14ac:dyDescent="0.3">
      <c r="A710">
        <v>214</v>
      </c>
      <c r="B710" t="s">
        <v>323</v>
      </c>
      <c r="C710">
        <v>181</v>
      </c>
      <c r="D710" t="s">
        <v>163</v>
      </c>
      <c r="E710">
        <v>1022</v>
      </c>
      <c r="F710" t="s">
        <v>956</v>
      </c>
      <c r="G710">
        <v>0</v>
      </c>
      <c r="H710">
        <v>0</v>
      </c>
      <c r="I710">
        <v>0</v>
      </c>
      <c r="J710">
        <v>0</v>
      </c>
      <c r="K710">
        <v>0</v>
      </c>
      <c r="L710">
        <v>13</v>
      </c>
      <c r="M710" t="s">
        <v>333</v>
      </c>
      <c r="N710" t="s">
        <v>336</v>
      </c>
      <c r="O710" t="s">
        <v>330</v>
      </c>
    </row>
    <row r="711" spans="1:15" x14ac:dyDescent="0.3">
      <c r="A711">
        <v>214</v>
      </c>
      <c r="B711" t="s">
        <v>323</v>
      </c>
      <c r="C711">
        <v>181</v>
      </c>
      <c r="D711" t="s">
        <v>163</v>
      </c>
      <c r="E711">
        <v>1023</v>
      </c>
      <c r="F711" t="s">
        <v>957</v>
      </c>
      <c r="G711">
        <v>0</v>
      </c>
      <c r="H711">
        <v>0</v>
      </c>
      <c r="I711">
        <v>0</v>
      </c>
      <c r="J711">
        <v>0</v>
      </c>
      <c r="K711">
        <v>0</v>
      </c>
      <c r="L711">
        <v>7</v>
      </c>
      <c r="M711" t="s">
        <v>333</v>
      </c>
      <c r="N711" t="s">
        <v>336</v>
      </c>
      <c r="O711" t="s">
        <v>330</v>
      </c>
    </row>
    <row r="712" spans="1:15" x14ac:dyDescent="0.3">
      <c r="A712">
        <v>214</v>
      </c>
      <c r="B712" t="s">
        <v>323</v>
      </c>
      <c r="C712">
        <v>181</v>
      </c>
      <c r="D712" t="s">
        <v>163</v>
      </c>
      <c r="E712">
        <v>1024</v>
      </c>
      <c r="F712" t="s">
        <v>958</v>
      </c>
      <c r="G712">
        <v>0</v>
      </c>
      <c r="H712">
        <v>0</v>
      </c>
      <c r="I712">
        <v>0</v>
      </c>
      <c r="J712">
        <v>0</v>
      </c>
      <c r="K712">
        <v>0</v>
      </c>
      <c r="L712">
        <v>4</v>
      </c>
      <c r="M712" t="s">
        <v>325</v>
      </c>
      <c r="N712" t="s">
        <v>336</v>
      </c>
      <c r="O712" t="s">
        <v>330</v>
      </c>
    </row>
    <row r="713" spans="1:15" x14ac:dyDescent="0.3">
      <c r="A713">
        <v>214</v>
      </c>
      <c r="B713" t="s">
        <v>323</v>
      </c>
      <c r="C713">
        <v>181</v>
      </c>
      <c r="D713" t="s">
        <v>163</v>
      </c>
      <c r="E713">
        <v>1025</v>
      </c>
      <c r="F713" t="s">
        <v>959</v>
      </c>
      <c r="G713">
        <v>4</v>
      </c>
      <c r="H713">
        <v>4</v>
      </c>
      <c r="I713">
        <v>0</v>
      </c>
      <c r="J713">
        <v>0</v>
      </c>
      <c r="K713">
        <v>0</v>
      </c>
      <c r="L713">
        <v>0</v>
      </c>
      <c r="M713" t="s">
        <v>325</v>
      </c>
      <c r="N713" t="s">
        <v>348</v>
      </c>
      <c r="O713" t="s">
        <v>338</v>
      </c>
    </row>
    <row r="714" spans="1:15" x14ac:dyDescent="0.3">
      <c r="A714">
        <v>214</v>
      </c>
      <c r="B714" t="s">
        <v>323</v>
      </c>
      <c r="C714">
        <v>181</v>
      </c>
      <c r="D714" t="s">
        <v>163</v>
      </c>
      <c r="E714">
        <v>1026</v>
      </c>
      <c r="F714" t="s">
        <v>960</v>
      </c>
      <c r="G714">
        <v>2</v>
      </c>
      <c r="H714">
        <v>3</v>
      </c>
      <c r="I714">
        <v>1</v>
      </c>
      <c r="J714">
        <v>3</v>
      </c>
      <c r="K714">
        <v>0</v>
      </c>
      <c r="L714">
        <v>0</v>
      </c>
      <c r="M714" t="s">
        <v>333</v>
      </c>
      <c r="N714" t="s">
        <v>336</v>
      </c>
      <c r="O714" t="s">
        <v>330</v>
      </c>
    </row>
    <row r="715" spans="1:15" x14ac:dyDescent="0.3">
      <c r="A715">
        <v>214</v>
      </c>
      <c r="B715" t="s">
        <v>323</v>
      </c>
      <c r="C715">
        <v>181</v>
      </c>
      <c r="D715" t="s">
        <v>163</v>
      </c>
      <c r="E715">
        <v>1027</v>
      </c>
      <c r="F715" t="s">
        <v>961</v>
      </c>
      <c r="G715">
        <v>1</v>
      </c>
      <c r="H715">
        <v>4</v>
      </c>
      <c r="I715">
        <v>0</v>
      </c>
      <c r="J715">
        <v>0</v>
      </c>
      <c r="K715">
        <v>0</v>
      </c>
      <c r="L715">
        <v>0</v>
      </c>
      <c r="M715" t="s">
        <v>410</v>
      </c>
      <c r="N715" t="s">
        <v>343</v>
      </c>
      <c r="O715" t="s">
        <v>340</v>
      </c>
    </row>
    <row r="716" spans="1:15" x14ac:dyDescent="0.3">
      <c r="A716">
        <v>214</v>
      </c>
      <c r="B716" t="s">
        <v>323</v>
      </c>
      <c r="C716">
        <v>181</v>
      </c>
      <c r="D716" t="s">
        <v>163</v>
      </c>
      <c r="E716">
        <v>1029</v>
      </c>
      <c r="F716" t="s">
        <v>962</v>
      </c>
      <c r="G716">
        <v>4</v>
      </c>
      <c r="H716">
        <v>6</v>
      </c>
      <c r="I716">
        <v>3</v>
      </c>
      <c r="J716">
        <v>3</v>
      </c>
      <c r="K716">
        <v>0</v>
      </c>
      <c r="L716">
        <v>0</v>
      </c>
      <c r="M716" t="s">
        <v>325</v>
      </c>
      <c r="N716" t="s">
        <v>336</v>
      </c>
      <c r="O716" t="s">
        <v>352</v>
      </c>
    </row>
    <row r="717" spans="1:15" x14ac:dyDescent="0.3">
      <c r="A717">
        <v>214</v>
      </c>
      <c r="B717" t="s">
        <v>323</v>
      </c>
      <c r="C717">
        <v>181</v>
      </c>
      <c r="D717" t="s">
        <v>163</v>
      </c>
      <c r="E717">
        <v>1030</v>
      </c>
      <c r="F717" t="s">
        <v>782</v>
      </c>
      <c r="G717">
        <v>0</v>
      </c>
      <c r="H717">
        <v>8</v>
      </c>
      <c r="I717">
        <v>0</v>
      </c>
      <c r="J717">
        <v>0</v>
      </c>
      <c r="K717">
        <v>0</v>
      </c>
      <c r="L717">
        <v>0</v>
      </c>
      <c r="M717" t="s">
        <v>333</v>
      </c>
      <c r="N717" t="s">
        <v>336</v>
      </c>
      <c r="O717" t="s">
        <v>340</v>
      </c>
    </row>
    <row r="718" spans="1:15" x14ac:dyDescent="0.3">
      <c r="A718">
        <v>214</v>
      </c>
      <c r="B718" t="s">
        <v>323</v>
      </c>
      <c r="C718">
        <v>181</v>
      </c>
      <c r="D718" t="s">
        <v>163</v>
      </c>
      <c r="E718">
        <v>1031</v>
      </c>
      <c r="F718" t="s">
        <v>831</v>
      </c>
      <c r="G718">
        <v>2</v>
      </c>
      <c r="H718">
        <v>5</v>
      </c>
      <c r="I718">
        <v>2</v>
      </c>
      <c r="J718">
        <v>0</v>
      </c>
      <c r="K718">
        <v>0</v>
      </c>
      <c r="L718">
        <v>0</v>
      </c>
      <c r="M718" t="s">
        <v>325</v>
      </c>
      <c r="N718" t="s">
        <v>343</v>
      </c>
      <c r="O718" t="s">
        <v>338</v>
      </c>
    </row>
    <row r="719" spans="1:15" x14ac:dyDescent="0.3">
      <c r="A719">
        <v>214</v>
      </c>
      <c r="B719" t="s">
        <v>323</v>
      </c>
      <c r="C719">
        <v>181</v>
      </c>
      <c r="D719" t="s">
        <v>163</v>
      </c>
      <c r="E719">
        <v>1032</v>
      </c>
      <c r="F719" t="s">
        <v>963</v>
      </c>
      <c r="G719">
        <v>0</v>
      </c>
      <c r="H719">
        <v>6</v>
      </c>
      <c r="I719">
        <v>0</v>
      </c>
      <c r="J719">
        <v>0</v>
      </c>
      <c r="K719">
        <v>0</v>
      </c>
      <c r="L719">
        <v>0</v>
      </c>
      <c r="M719" t="s">
        <v>325</v>
      </c>
      <c r="N719" t="s">
        <v>336</v>
      </c>
      <c r="O719" t="s">
        <v>352</v>
      </c>
    </row>
    <row r="720" spans="1:15" x14ac:dyDescent="0.3">
      <c r="A720">
        <v>214</v>
      </c>
      <c r="B720" t="s">
        <v>323</v>
      </c>
      <c r="C720">
        <v>181</v>
      </c>
      <c r="D720" t="s">
        <v>163</v>
      </c>
      <c r="E720">
        <v>1033</v>
      </c>
      <c r="F720" t="s">
        <v>964</v>
      </c>
      <c r="G720">
        <v>0</v>
      </c>
      <c r="H720">
        <v>5</v>
      </c>
      <c r="I720">
        <v>0</v>
      </c>
      <c r="J720">
        <v>0</v>
      </c>
      <c r="K720">
        <v>0</v>
      </c>
      <c r="L720">
        <v>0</v>
      </c>
      <c r="M720" t="s">
        <v>325</v>
      </c>
      <c r="N720" t="s">
        <v>484</v>
      </c>
      <c r="O720" t="s">
        <v>352</v>
      </c>
    </row>
    <row r="721" spans="1:15" x14ac:dyDescent="0.3">
      <c r="A721">
        <v>214</v>
      </c>
      <c r="B721" t="s">
        <v>323</v>
      </c>
      <c r="C721">
        <v>181</v>
      </c>
      <c r="D721" t="s">
        <v>163</v>
      </c>
      <c r="E721">
        <v>1034</v>
      </c>
      <c r="F721" t="s">
        <v>665</v>
      </c>
      <c r="G721">
        <v>0</v>
      </c>
      <c r="H721">
        <v>0</v>
      </c>
      <c r="I721">
        <v>2</v>
      </c>
      <c r="J721">
        <v>6</v>
      </c>
      <c r="K721">
        <v>0</v>
      </c>
      <c r="L721">
        <v>0</v>
      </c>
      <c r="M721" t="s">
        <v>333</v>
      </c>
      <c r="N721" t="s">
        <v>336</v>
      </c>
      <c r="O721" t="s">
        <v>330</v>
      </c>
    </row>
    <row r="722" spans="1:15" x14ac:dyDescent="0.3">
      <c r="A722">
        <v>214</v>
      </c>
      <c r="B722" t="s">
        <v>323</v>
      </c>
      <c r="C722">
        <v>181</v>
      </c>
      <c r="D722" t="s">
        <v>163</v>
      </c>
      <c r="E722">
        <v>1035</v>
      </c>
      <c r="F722" t="s">
        <v>819</v>
      </c>
      <c r="G722">
        <v>0</v>
      </c>
      <c r="H722">
        <v>0</v>
      </c>
      <c r="I722">
        <v>2</v>
      </c>
      <c r="J722">
        <v>2</v>
      </c>
      <c r="K722">
        <v>0</v>
      </c>
      <c r="L722">
        <v>6</v>
      </c>
      <c r="M722" t="s">
        <v>325</v>
      </c>
      <c r="N722" t="s">
        <v>336</v>
      </c>
      <c r="O722" t="s">
        <v>330</v>
      </c>
    </row>
    <row r="723" spans="1:15" x14ac:dyDescent="0.3">
      <c r="A723">
        <v>214</v>
      </c>
      <c r="B723" t="s">
        <v>323</v>
      </c>
      <c r="C723">
        <v>181</v>
      </c>
      <c r="D723" t="s">
        <v>163</v>
      </c>
      <c r="E723">
        <v>1590</v>
      </c>
      <c r="F723" t="s">
        <v>833</v>
      </c>
      <c r="G723">
        <v>0</v>
      </c>
      <c r="H723">
        <v>0</v>
      </c>
      <c r="I723">
        <v>0</v>
      </c>
      <c r="J723">
        <v>0</v>
      </c>
      <c r="K723">
        <v>0</v>
      </c>
      <c r="L723">
        <v>6</v>
      </c>
      <c r="M723" t="s">
        <v>325</v>
      </c>
      <c r="N723" t="s">
        <v>326</v>
      </c>
      <c r="O723" t="s">
        <v>338</v>
      </c>
    </row>
    <row r="724" spans="1:15" x14ac:dyDescent="0.3">
      <c r="A724">
        <v>214</v>
      </c>
      <c r="B724" t="s">
        <v>323</v>
      </c>
      <c r="C724">
        <v>181</v>
      </c>
      <c r="D724" t="s">
        <v>163</v>
      </c>
      <c r="E724">
        <v>1592</v>
      </c>
      <c r="F724" t="s">
        <v>965</v>
      </c>
      <c r="G724">
        <v>0</v>
      </c>
      <c r="H724">
        <v>0</v>
      </c>
      <c r="I724">
        <v>0</v>
      </c>
      <c r="J724">
        <v>0</v>
      </c>
      <c r="K724">
        <v>0</v>
      </c>
      <c r="L724">
        <v>4</v>
      </c>
      <c r="M724" t="s">
        <v>325</v>
      </c>
      <c r="N724" t="s">
        <v>484</v>
      </c>
      <c r="O724" t="s">
        <v>330</v>
      </c>
    </row>
    <row r="725" spans="1:15" x14ac:dyDescent="0.3">
      <c r="A725">
        <v>214</v>
      </c>
      <c r="B725" t="s">
        <v>323</v>
      </c>
      <c r="C725">
        <v>181</v>
      </c>
      <c r="D725" t="s">
        <v>163</v>
      </c>
      <c r="E725">
        <v>1594</v>
      </c>
      <c r="F725" t="s">
        <v>966</v>
      </c>
      <c r="G725">
        <v>0</v>
      </c>
      <c r="H725">
        <v>0</v>
      </c>
      <c r="I725">
        <v>0</v>
      </c>
      <c r="J725">
        <v>0</v>
      </c>
      <c r="K725">
        <v>0</v>
      </c>
      <c r="L725">
        <v>4</v>
      </c>
      <c r="M725" t="s">
        <v>325</v>
      </c>
      <c r="N725" t="s">
        <v>336</v>
      </c>
      <c r="O725" t="s">
        <v>330</v>
      </c>
    </row>
    <row r="726" spans="1:15" x14ac:dyDescent="0.3">
      <c r="A726">
        <v>214</v>
      </c>
      <c r="B726" t="s">
        <v>323</v>
      </c>
      <c r="C726">
        <v>181</v>
      </c>
      <c r="D726" t="s">
        <v>163</v>
      </c>
      <c r="E726">
        <v>1595</v>
      </c>
      <c r="F726" t="s">
        <v>897</v>
      </c>
      <c r="G726">
        <v>0</v>
      </c>
      <c r="H726">
        <v>0</v>
      </c>
      <c r="I726">
        <v>0</v>
      </c>
      <c r="J726">
        <v>0</v>
      </c>
      <c r="K726">
        <v>0</v>
      </c>
      <c r="L726">
        <v>7</v>
      </c>
      <c r="M726" t="s">
        <v>325</v>
      </c>
      <c r="N726" t="s">
        <v>326</v>
      </c>
      <c r="O726" t="s">
        <v>338</v>
      </c>
    </row>
    <row r="727" spans="1:15" x14ac:dyDescent="0.3">
      <c r="A727">
        <v>216</v>
      </c>
      <c r="B727" t="s">
        <v>323</v>
      </c>
      <c r="C727">
        <v>183</v>
      </c>
      <c r="D727" t="s">
        <v>167</v>
      </c>
      <c r="E727">
        <v>349</v>
      </c>
      <c r="F727" t="s">
        <v>393</v>
      </c>
      <c r="G727">
        <v>0</v>
      </c>
      <c r="H727">
        <v>0</v>
      </c>
      <c r="I727">
        <v>0</v>
      </c>
      <c r="J727">
        <v>1</v>
      </c>
      <c r="K727">
        <v>1</v>
      </c>
      <c r="L727">
        <v>0</v>
      </c>
      <c r="M727" t="s">
        <v>410</v>
      </c>
      <c r="N727" t="s">
        <v>326</v>
      </c>
      <c r="O727" t="s">
        <v>352</v>
      </c>
    </row>
    <row r="728" spans="1:15" x14ac:dyDescent="0.3">
      <c r="A728">
        <v>216</v>
      </c>
      <c r="B728" t="s">
        <v>323</v>
      </c>
      <c r="C728">
        <v>183</v>
      </c>
      <c r="D728" t="s">
        <v>167</v>
      </c>
      <c r="E728">
        <v>353</v>
      </c>
      <c r="F728" t="s">
        <v>816</v>
      </c>
      <c r="G728">
        <v>0</v>
      </c>
      <c r="H728">
        <v>0</v>
      </c>
      <c r="I728">
        <v>0</v>
      </c>
      <c r="J728">
        <v>2</v>
      </c>
      <c r="K728">
        <v>2</v>
      </c>
      <c r="L728">
        <v>0</v>
      </c>
      <c r="M728" t="s">
        <v>333</v>
      </c>
      <c r="N728" t="s">
        <v>326</v>
      </c>
      <c r="O728" t="s">
        <v>330</v>
      </c>
    </row>
    <row r="729" spans="1:15" x14ac:dyDescent="0.3">
      <c r="A729">
        <v>219</v>
      </c>
      <c r="B729" t="s">
        <v>323</v>
      </c>
      <c r="C729">
        <v>186</v>
      </c>
      <c r="D729" t="s">
        <v>173</v>
      </c>
      <c r="E729">
        <v>1342</v>
      </c>
      <c r="F729" t="s">
        <v>967</v>
      </c>
      <c r="G729">
        <v>2</v>
      </c>
      <c r="H729">
        <v>1</v>
      </c>
      <c r="I729">
        <v>2</v>
      </c>
      <c r="J729">
        <v>0</v>
      </c>
      <c r="K729">
        <v>1</v>
      </c>
      <c r="L729">
        <v>0</v>
      </c>
      <c r="M729" t="s">
        <v>333</v>
      </c>
      <c r="N729" t="s">
        <v>326</v>
      </c>
      <c r="O729" t="s">
        <v>330</v>
      </c>
    </row>
    <row r="730" spans="1:15" x14ac:dyDescent="0.3">
      <c r="A730">
        <v>219</v>
      </c>
      <c r="B730" t="s">
        <v>323</v>
      </c>
      <c r="C730">
        <v>186</v>
      </c>
      <c r="D730" t="s">
        <v>173</v>
      </c>
      <c r="E730">
        <v>1343</v>
      </c>
      <c r="F730" t="s">
        <v>968</v>
      </c>
      <c r="G730">
        <v>0</v>
      </c>
      <c r="H730">
        <v>0</v>
      </c>
      <c r="I730">
        <v>4</v>
      </c>
      <c r="J730">
        <v>3</v>
      </c>
      <c r="K730">
        <v>3</v>
      </c>
      <c r="L730">
        <v>0</v>
      </c>
      <c r="M730" t="s">
        <v>333</v>
      </c>
      <c r="N730" t="s">
        <v>326</v>
      </c>
      <c r="O730" t="s">
        <v>330</v>
      </c>
    </row>
    <row r="731" spans="1:15" x14ac:dyDescent="0.3">
      <c r="A731">
        <v>219</v>
      </c>
      <c r="B731" t="s">
        <v>323</v>
      </c>
      <c r="C731">
        <v>186</v>
      </c>
      <c r="D731" t="s">
        <v>173</v>
      </c>
      <c r="E731">
        <v>1344</v>
      </c>
      <c r="F731" t="s">
        <v>969</v>
      </c>
      <c r="G731">
        <v>0</v>
      </c>
      <c r="H731">
        <v>4</v>
      </c>
      <c r="I731">
        <v>2</v>
      </c>
      <c r="J731">
        <v>0</v>
      </c>
      <c r="K731">
        <v>1</v>
      </c>
      <c r="L731">
        <v>0</v>
      </c>
      <c r="M731" t="s">
        <v>333</v>
      </c>
      <c r="N731" t="s">
        <v>348</v>
      </c>
      <c r="O731" t="s">
        <v>340</v>
      </c>
    </row>
    <row r="732" spans="1:15" x14ac:dyDescent="0.3">
      <c r="A732">
        <v>219</v>
      </c>
      <c r="B732" t="s">
        <v>323</v>
      </c>
      <c r="C732">
        <v>186</v>
      </c>
      <c r="D732" t="s">
        <v>173</v>
      </c>
      <c r="E732">
        <v>1345</v>
      </c>
      <c r="F732" t="s">
        <v>432</v>
      </c>
      <c r="G732">
        <v>0</v>
      </c>
      <c r="H732">
        <v>0</v>
      </c>
      <c r="I732">
        <v>1</v>
      </c>
      <c r="J732">
        <v>2</v>
      </c>
      <c r="K732">
        <v>0</v>
      </c>
      <c r="L732">
        <v>0</v>
      </c>
      <c r="M732" t="s">
        <v>333</v>
      </c>
      <c r="N732" t="s">
        <v>329</v>
      </c>
      <c r="O732" t="s">
        <v>340</v>
      </c>
    </row>
    <row r="733" spans="1:15" x14ac:dyDescent="0.3">
      <c r="A733">
        <v>219</v>
      </c>
      <c r="B733" t="s">
        <v>323</v>
      </c>
      <c r="C733">
        <v>186</v>
      </c>
      <c r="D733" t="s">
        <v>173</v>
      </c>
      <c r="E733">
        <v>1348</v>
      </c>
      <c r="F733" t="s">
        <v>970</v>
      </c>
      <c r="G733">
        <v>2</v>
      </c>
      <c r="H733">
        <v>1</v>
      </c>
      <c r="I733">
        <v>2</v>
      </c>
      <c r="J733">
        <v>2</v>
      </c>
      <c r="K733">
        <v>0</v>
      </c>
      <c r="L733">
        <v>0</v>
      </c>
      <c r="M733" t="s">
        <v>414</v>
      </c>
      <c r="N733" t="s">
        <v>348</v>
      </c>
      <c r="O733" t="s">
        <v>338</v>
      </c>
    </row>
    <row r="734" spans="1:15" x14ac:dyDescent="0.3">
      <c r="A734">
        <v>219</v>
      </c>
      <c r="B734" t="s">
        <v>323</v>
      </c>
      <c r="C734">
        <v>186</v>
      </c>
      <c r="D734" t="s">
        <v>173</v>
      </c>
      <c r="E734">
        <v>1349</v>
      </c>
      <c r="F734" t="s">
        <v>971</v>
      </c>
      <c r="G734">
        <v>0</v>
      </c>
      <c r="H734">
        <v>0</v>
      </c>
      <c r="I734">
        <v>1</v>
      </c>
      <c r="J734">
        <v>23</v>
      </c>
      <c r="K734">
        <v>0</v>
      </c>
      <c r="L734">
        <v>0</v>
      </c>
      <c r="M734" t="s">
        <v>325</v>
      </c>
      <c r="N734" t="s">
        <v>329</v>
      </c>
      <c r="O734" t="s">
        <v>330</v>
      </c>
    </row>
    <row r="735" spans="1:15" x14ac:dyDescent="0.3">
      <c r="A735">
        <v>219</v>
      </c>
      <c r="B735" t="s">
        <v>323</v>
      </c>
      <c r="C735">
        <v>186</v>
      </c>
      <c r="D735" t="s">
        <v>173</v>
      </c>
      <c r="E735">
        <v>1350</v>
      </c>
      <c r="F735" t="s">
        <v>349</v>
      </c>
      <c r="G735">
        <v>0</v>
      </c>
      <c r="H735">
        <v>0</v>
      </c>
      <c r="I735">
        <v>1</v>
      </c>
      <c r="J735">
        <v>3</v>
      </c>
      <c r="K735">
        <v>0</v>
      </c>
      <c r="L735">
        <v>0</v>
      </c>
      <c r="M735" t="s">
        <v>566</v>
      </c>
      <c r="N735" t="s">
        <v>336</v>
      </c>
      <c r="O735" t="s">
        <v>327</v>
      </c>
    </row>
    <row r="736" spans="1:15" x14ac:dyDescent="0.3">
      <c r="A736">
        <v>219</v>
      </c>
      <c r="B736" t="s">
        <v>323</v>
      </c>
      <c r="C736">
        <v>186</v>
      </c>
      <c r="D736" t="s">
        <v>173</v>
      </c>
      <c r="E736">
        <v>1351</v>
      </c>
      <c r="F736" t="s">
        <v>972</v>
      </c>
      <c r="G736">
        <v>0</v>
      </c>
      <c r="H736">
        <v>1</v>
      </c>
      <c r="I736">
        <v>2</v>
      </c>
      <c r="J736">
        <v>0</v>
      </c>
      <c r="K736">
        <v>0</v>
      </c>
      <c r="L736">
        <v>0</v>
      </c>
      <c r="M736" t="s">
        <v>416</v>
      </c>
      <c r="N736" t="s">
        <v>336</v>
      </c>
      <c r="O736" t="s">
        <v>340</v>
      </c>
    </row>
    <row r="737" spans="1:15" x14ac:dyDescent="0.3">
      <c r="A737">
        <v>219</v>
      </c>
      <c r="B737" t="s">
        <v>323</v>
      </c>
      <c r="C737">
        <v>186</v>
      </c>
      <c r="D737" t="s">
        <v>173</v>
      </c>
      <c r="E737">
        <v>1352</v>
      </c>
      <c r="F737" t="s">
        <v>339</v>
      </c>
      <c r="G737">
        <v>3</v>
      </c>
      <c r="H737">
        <v>0</v>
      </c>
      <c r="I737">
        <v>1</v>
      </c>
      <c r="J737">
        <v>0</v>
      </c>
      <c r="K737">
        <v>0</v>
      </c>
      <c r="L737">
        <v>0</v>
      </c>
      <c r="M737" t="s">
        <v>333</v>
      </c>
      <c r="N737" t="s">
        <v>348</v>
      </c>
      <c r="O737" t="s">
        <v>338</v>
      </c>
    </row>
    <row r="738" spans="1:15" x14ac:dyDescent="0.3">
      <c r="A738">
        <v>219</v>
      </c>
      <c r="B738" t="s">
        <v>323</v>
      </c>
      <c r="C738">
        <v>186</v>
      </c>
      <c r="D738" t="s">
        <v>173</v>
      </c>
      <c r="E738">
        <v>1354</v>
      </c>
      <c r="F738" t="s">
        <v>973</v>
      </c>
      <c r="G738">
        <v>0</v>
      </c>
      <c r="H738">
        <v>1</v>
      </c>
      <c r="I738">
        <v>2</v>
      </c>
      <c r="J738">
        <v>1</v>
      </c>
      <c r="K738">
        <v>1</v>
      </c>
      <c r="L738">
        <v>0</v>
      </c>
      <c r="M738" t="s">
        <v>414</v>
      </c>
      <c r="N738" t="s">
        <v>329</v>
      </c>
      <c r="O738" t="s">
        <v>340</v>
      </c>
    </row>
    <row r="739" spans="1:15" x14ac:dyDescent="0.3">
      <c r="A739">
        <v>219</v>
      </c>
      <c r="B739" t="s">
        <v>323</v>
      </c>
      <c r="C739">
        <v>186</v>
      </c>
      <c r="D739" t="s">
        <v>173</v>
      </c>
      <c r="E739">
        <v>1355</v>
      </c>
      <c r="F739" t="s">
        <v>974</v>
      </c>
      <c r="G739">
        <v>2</v>
      </c>
      <c r="H739">
        <v>0</v>
      </c>
      <c r="I739">
        <v>3</v>
      </c>
      <c r="J739">
        <v>2</v>
      </c>
      <c r="K739">
        <v>0</v>
      </c>
      <c r="L739">
        <v>0</v>
      </c>
      <c r="M739" t="s">
        <v>410</v>
      </c>
      <c r="N739" t="s">
        <v>348</v>
      </c>
      <c r="O739" t="s">
        <v>338</v>
      </c>
    </row>
    <row r="740" spans="1:15" x14ac:dyDescent="0.3">
      <c r="A740">
        <v>219</v>
      </c>
      <c r="B740" t="s">
        <v>323</v>
      </c>
      <c r="C740">
        <v>186</v>
      </c>
      <c r="D740" t="s">
        <v>173</v>
      </c>
      <c r="E740">
        <v>1356</v>
      </c>
      <c r="F740" t="s">
        <v>468</v>
      </c>
      <c r="G740">
        <v>0</v>
      </c>
      <c r="H740">
        <v>0</v>
      </c>
      <c r="I740">
        <v>5</v>
      </c>
      <c r="J740">
        <v>1</v>
      </c>
      <c r="K740">
        <v>3</v>
      </c>
      <c r="L740">
        <v>0</v>
      </c>
      <c r="M740" t="s">
        <v>333</v>
      </c>
      <c r="N740" t="s">
        <v>326</v>
      </c>
      <c r="O740" t="s">
        <v>330</v>
      </c>
    </row>
    <row r="741" spans="1:15" x14ac:dyDescent="0.3">
      <c r="A741">
        <v>219</v>
      </c>
      <c r="B741" t="s">
        <v>323</v>
      </c>
      <c r="C741">
        <v>186</v>
      </c>
      <c r="D741" t="s">
        <v>173</v>
      </c>
      <c r="E741">
        <v>1357</v>
      </c>
      <c r="F741" t="s">
        <v>377</v>
      </c>
      <c r="G741">
        <v>1</v>
      </c>
      <c r="H741">
        <v>1</v>
      </c>
      <c r="I741">
        <v>1</v>
      </c>
      <c r="J741">
        <v>5</v>
      </c>
      <c r="K741">
        <v>0</v>
      </c>
      <c r="L741">
        <v>0</v>
      </c>
      <c r="M741" t="s">
        <v>410</v>
      </c>
      <c r="N741" t="s">
        <v>343</v>
      </c>
      <c r="O741" t="s">
        <v>338</v>
      </c>
    </row>
    <row r="742" spans="1:15" x14ac:dyDescent="0.3">
      <c r="A742">
        <v>219</v>
      </c>
      <c r="B742" t="s">
        <v>323</v>
      </c>
      <c r="C742">
        <v>186</v>
      </c>
      <c r="D742" t="s">
        <v>173</v>
      </c>
      <c r="E742">
        <v>1358</v>
      </c>
      <c r="F742" t="s">
        <v>975</v>
      </c>
      <c r="G742">
        <v>3</v>
      </c>
      <c r="H742">
        <v>0</v>
      </c>
      <c r="I742">
        <v>2</v>
      </c>
      <c r="J742">
        <v>1</v>
      </c>
      <c r="K742">
        <v>0</v>
      </c>
      <c r="L742">
        <v>0</v>
      </c>
      <c r="M742" t="s">
        <v>416</v>
      </c>
      <c r="N742" t="s">
        <v>348</v>
      </c>
      <c r="O742" t="s">
        <v>327</v>
      </c>
    </row>
    <row r="743" spans="1:15" x14ac:dyDescent="0.3">
      <c r="A743">
        <v>219</v>
      </c>
      <c r="B743" t="s">
        <v>323</v>
      </c>
      <c r="C743">
        <v>186</v>
      </c>
      <c r="D743" t="s">
        <v>173</v>
      </c>
      <c r="E743">
        <v>1359</v>
      </c>
      <c r="F743" t="s">
        <v>976</v>
      </c>
      <c r="G743">
        <v>0</v>
      </c>
      <c r="H743">
        <v>1</v>
      </c>
      <c r="I743">
        <v>3</v>
      </c>
      <c r="J743">
        <v>2</v>
      </c>
      <c r="K743">
        <v>1</v>
      </c>
      <c r="L743">
        <v>0</v>
      </c>
      <c r="M743" t="s">
        <v>325</v>
      </c>
      <c r="N743" t="s">
        <v>326</v>
      </c>
      <c r="O743" t="s">
        <v>338</v>
      </c>
    </row>
    <row r="744" spans="1:15" x14ac:dyDescent="0.3">
      <c r="A744">
        <v>219</v>
      </c>
      <c r="B744" t="s">
        <v>323</v>
      </c>
      <c r="C744">
        <v>186</v>
      </c>
      <c r="D744" t="s">
        <v>173</v>
      </c>
      <c r="E744">
        <v>1360</v>
      </c>
      <c r="F744" t="s">
        <v>977</v>
      </c>
      <c r="G744">
        <v>2</v>
      </c>
      <c r="H744">
        <v>2</v>
      </c>
      <c r="I744">
        <v>3</v>
      </c>
      <c r="J744">
        <v>2</v>
      </c>
      <c r="K744">
        <v>2</v>
      </c>
      <c r="L744">
        <v>0</v>
      </c>
      <c r="M744" t="s">
        <v>333</v>
      </c>
      <c r="N744" t="s">
        <v>326</v>
      </c>
      <c r="O744" t="s">
        <v>352</v>
      </c>
    </row>
    <row r="745" spans="1:15" x14ac:dyDescent="0.3">
      <c r="A745">
        <v>219</v>
      </c>
      <c r="B745" t="s">
        <v>323</v>
      </c>
      <c r="C745">
        <v>186</v>
      </c>
      <c r="D745" t="s">
        <v>173</v>
      </c>
      <c r="E745">
        <v>1361</v>
      </c>
      <c r="F745" t="s">
        <v>500</v>
      </c>
      <c r="G745">
        <v>0</v>
      </c>
      <c r="H745">
        <v>3</v>
      </c>
      <c r="I745">
        <v>0</v>
      </c>
      <c r="J745">
        <v>2</v>
      </c>
      <c r="K745">
        <v>0</v>
      </c>
      <c r="L745">
        <v>0</v>
      </c>
      <c r="M745" t="s">
        <v>325</v>
      </c>
      <c r="N745" t="s">
        <v>348</v>
      </c>
      <c r="O745" t="s">
        <v>340</v>
      </c>
    </row>
    <row r="746" spans="1:15" x14ac:dyDescent="0.3">
      <c r="A746">
        <v>219</v>
      </c>
      <c r="B746" t="s">
        <v>323</v>
      </c>
      <c r="C746">
        <v>186</v>
      </c>
      <c r="D746" t="s">
        <v>173</v>
      </c>
      <c r="E746">
        <v>1362</v>
      </c>
      <c r="F746" t="s">
        <v>466</v>
      </c>
      <c r="G746">
        <v>7</v>
      </c>
      <c r="H746">
        <v>0</v>
      </c>
      <c r="I746">
        <v>0</v>
      </c>
      <c r="J746">
        <v>0</v>
      </c>
      <c r="K746">
        <v>0</v>
      </c>
      <c r="L746">
        <v>0</v>
      </c>
      <c r="M746" t="s">
        <v>333</v>
      </c>
      <c r="N746" t="s">
        <v>329</v>
      </c>
      <c r="O746" t="s">
        <v>330</v>
      </c>
    </row>
    <row r="747" spans="1:15" x14ac:dyDescent="0.3">
      <c r="A747">
        <v>219</v>
      </c>
      <c r="B747" t="s">
        <v>323</v>
      </c>
      <c r="C747">
        <v>186</v>
      </c>
      <c r="D747" t="s">
        <v>173</v>
      </c>
      <c r="E747">
        <v>1363</v>
      </c>
      <c r="F747" t="s">
        <v>978</v>
      </c>
      <c r="G747">
        <v>0</v>
      </c>
      <c r="H747">
        <v>0</v>
      </c>
      <c r="I747">
        <v>1</v>
      </c>
      <c r="J747">
        <v>1</v>
      </c>
      <c r="K747">
        <v>0</v>
      </c>
      <c r="L747">
        <v>0</v>
      </c>
      <c r="M747" t="s">
        <v>333</v>
      </c>
      <c r="N747" t="s">
        <v>326</v>
      </c>
      <c r="O747" t="s">
        <v>340</v>
      </c>
    </row>
    <row r="748" spans="1:15" x14ac:dyDescent="0.3">
      <c r="A748">
        <v>219</v>
      </c>
      <c r="B748" t="s">
        <v>323</v>
      </c>
      <c r="C748">
        <v>186</v>
      </c>
      <c r="D748" t="s">
        <v>173</v>
      </c>
      <c r="E748">
        <v>1364</v>
      </c>
      <c r="F748" t="s">
        <v>979</v>
      </c>
      <c r="G748">
        <v>0</v>
      </c>
      <c r="H748">
        <v>1</v>
      </c>
      <c r="I748">
        <v>0</v>
      </c>
      <c r="J748">
        <v>2</v>
      </c>
      <c r="K748">
        <v>1</v>
      </c>
      <c r="L748">
        <v>0</v>
      </c>
      <c r="M748" t="s">
        <v>325</v>
      </c>
      <c r="N748" t="s">
        <v>484</v>
      </c>
      <c r="O748" t="s">
        <v>330</v>
      </c>
    </row>
    <row r="749" spans="1:15" x14ac:dyDescent="0.3">
      <c r="A749">
        <v>219</v>
      </c>
      <c r="B749" t="s">
        <v>323</v>
      </c>
      <c r="C749">
        <v>186</v>
      </c>
      <c r="D749" t="s">
        <v>173</v>
      </c>
      <c r="E749">
        <v>1365</v>
      </c>
      <c r="F749" t="s">
        <v>980</v>
      </c>
      <c r="G749">
        <v>1</v>
      </c>
      <c r="H749">
        <v>0</v>
      </c>
      <c r="I749">
        <v>3</v>
      </c>
      <c r="J749">
        <v>2</v>
      </c>
      <c r="K749">
        <v>1</v>
      </c>
      <c r="L749">
        <v>0</v>
      </c>
      <c r="M749" t="s">
        <v>325</v>
      </c>
      <c r="N749" t="s">
        <v>326</v>
      </c>
      <c r="O749" t="s">
        <v>338</v>
      </c>
    </row>
    <row r="750" spans="1:15" x14ac:dyDescent="0.3">
      <c r="A750">
        <v>219</v>
      </c>
      <c r="B750" t="s">
        <v>323</v>
      </c>
      <c r="C750">
        <v>186</v>
      </c>
      <c r="D750" t="s">
        <v>173</v>
      </c>
      <c r="E750">
        <v>1366</v>
      </c>
      <c r="F750" t="s">
        <v>981</v>
      </c>
      <c r="G750">
        <v>0</v>
      </c>
      <c r="H750">
        <v>0</v>
      </c>
      <c r="I750">
        <v>0</v>
      </c>
      <c r="J750">
        <v>3</v>
      </c>
      <c r="K750">
        <v>2</v>
      </c>
      <c r="L750">
        <v>4</v>
      </c>
      <c r="M750" t="s">
        <v>333</v>
      </c>
      <c r="N750" t="s">
        <v>326</v>
      </c>
      <c r="O750" t="s">
        <v>330</v>
      </c>
    </row>
    <row r="751" spans="1:15" x14ac:dyDescent="0.3">
      <c r="A751">
        <v>219</v>
      </c>
      <c r="B751" t="s">
        <v>323</v>
      </c>
      <c r="C751">
        <v>186</v>
      </c>
      <c r="D751" t="s">
        <v>173</v>
      </c>
      <c r="E751">
        <v>1367</v>
      </c>
      <c r="F751" t="s">
        <v>982</v>
      </c>
      <c r="G751">
        <v>1</v>
      </c>
      <c r="H751">
        <v>3</v>
      </c>
      <c r="I751">
        <v>3</v>
      </c>
      <c r="J751">
        <v>1</v>
      </c>
      <c r="K751">
        <v>1</v>
      </c>
      <c r="L751">
        <v>0</v>
      </c>
      <c r="M751" t="s">
        <v>333</v>
      </c>
      <c r="N751" t="s">
        <v>326</v>
      </c>
      <c r="O751" t="s">
        <v>352</v>
      </c>
    </row>
    <row r="752" spans="1:15" x14ac:dyDescent="0.3">
      <c r="A752">
        <v>219</v>
      </c>
      <c r="B752" t="s">
        <v>323</v>
      </c>
      <c r="C752">
        <v>186</v>
      </c>
      <c r="D752" t="s">
        <v>173</v>
      </c>
      <c r="E752">
        <v>1368</v>
      </c>
      <c r="F752" t="s">
        <v>983</v>
      </c>
      <c r="G752">
        <v>0</v>
      </c>
      <c r="H752">
        <v>2</v>
      </c>
      <c r="I752">
        <v>2</v>
      </c>
      <c r="J752">
        <v>2</v>
      </c>
      <c r="K752">
        <v>5</v>
      </c>
      <c r="L752">
        <v>0</v>
      </c>
      <c r="M752" t="s">
        <v>333</v>
      </c>
      <c r="N752" t="s">
        <v>326</v>
      </c>
      <c r="O752" t="s">
        <v>330</v>
      </c>
    </row>
    <row r="753" spans="1:15" x14ac:dyDescent="0.3">
      <c r="A753">
        <v>219</v>
      </c>
      <c r="B753" t="s">
        <v>323</v>
      </c>
      <c r="C753">
        <v>186</v>
      </c>
      <c r="D753" t="s">
        <v>173</v>
      </c>
      <c r="E753">
        <v>1369</v>
      </c>
      <c r="F753" t="s">
        <v>984</v>
      </c>
      <c r="G753">
        <v>0</v>
      </c>
      <c r="H753">
        <v>0</v>
      </c>
      <c r="I753">
        <v>2</v>
      </c>
      <c r="J753">
        <v>2</v>
      </c>
      <c r="K753">
        <v>1</v>
      </c>
      <c r="L753">
        <v>0</v>
      </c>
      <c r="M753" t="s">
        <v>410</v>
      </c>
      <c r="N753" t="s">
        <v>348</v>
      </c>
      <c r="O753" t="s">
        <v>330</v>
      </c>
    </row>
    <row r="754" spans="1:15" x14ac:dyDescent="0.3">
      <c r="A754">
        <v>219</v>
      </c>
      <c r="B754" t="s">
        <v>323</v>
      </c>
      <c r="C754">
        <v>186</v>
      </c>
      <c r="D754" t="s">
        <v>173</v>
      </c>
      <c r="E754">
        <v>1390</v>
      </c>
      <c r="F754" t="s">
        <v>381</v>
      </c>
      <c r="G754">
        <v>0</v>
      </c>
      <c r="H754">
        <v>0</v>
      </c>
      <c r="I754">
        <v>4</v>
      </c>
      <c r="J754">
        <v>3</v>
      </c>
      <c r="K754">
        <v>1</v>
      </c>
      <c r="L754">
        <v>0</v>
      </c>
      <c r="M754" t="s">
        <v>333</v>
      </c>
      <c r="N754" t="s">
        <v>326</v>
      </c>
      <c r="O754" t="s">
        <v>338</v>
      </c>
    </row>
    <row r="755" spans="1:15" x14ac:dyDescent="0.3">
      <c r="A755">
        <v>220</v>
      </c>
      <c r="B755" t="s">
        <v>323</v>
      </c>
      <c r="C755">
        <v>187</v>
      </c>
      <c r="D755" t="s">
        <v>176</v>
      </c>
      <c r="E755">
        <v>525</v>
      </c>
      <c r="F755" t="s">
        <v>349</v>
      </c>
      <c r="G755">
        <v>0</v>
      </c>
      <c r="H755">
        <v>3</v>
      </c>
      <c r="I755">
        <v>3</v>
      </c>
      <c r="J755">
        <v>2</v>
      </c>
      <c r="K755">
        <v>0</v>
      </c>
      <c r="L755">
        <v>0</v>
      </c>
      <c r="M755" t="s">
        <v>566</v>
      </c>
      <c r="N755" t="s">
        <v>336</v>
      </c>
      <c r="O755" t="s">
        <v>330</v>
      </c>
    </row>
    <row r="756" spans="1:15" x14ac:dyDescent="0.3">
      <c r="A756">
        <v>220</v>
      </c>
      <c r="B756" t="s">
        <v>323</v>
      </c>
      <c r="C756">
        <v>187</v>
      </c>
      <c r="D756" t="s">
        <v>176</v>
      </c>
      <c r="E756">
        <v>526</v>
      </c>
      <c r="F756" t="s">
        <v>760</v>
      </c>
      <c r="G756">
        <v>2</v>
      </c>
      <c r="H756">
        <v>7</v>
      </c>
      <c r="I756">
        <v>0</v>
      </c>
      <c r="J756">
        <v>0</v>
      </c>
      <c r="K756">
        <v>0</v>
      </c>
      <c r="L756">
        <v>0</v>
      </c>
      <c r="M756" t="s">
        <v>416</v>
      </c>
      <c r="N756" t="s">
        <v>343</v>
      </c>
      <c r="O756" t="s">
        <v>327</v>
      </c>
    </row>
    <row r="757" spans="1:15" x14ac:dyDescent="0.3">
      <c r="A757">
        <v>220</v>
      </c>
      <c r="B757" t="s">
        <v>323</v>
      </c>
      <c r="C757">
        <v>187</v>
      </c>
      <c r="D757" t="s">
        <v>176</v>
      </c>
      <c r="E757">
        <v>1234</v>
      </c>
      <c r="F757" t="s">
        <v>985</v>
      </c>
      <c r="G757">
        <v>6</v>
      </c>
      <c r="H757">
        <v>2</v>
      </c>
      <c r="I757">
        <v>0</v>
      </c>
      <c r="J757">
        <v>0</v>
      </c>
      <c r="K757">
        <v>0</v>
      </c>
      <c r="L757">
        <v>0</v>
      </c>
      <c r="M757" t="s">
        <v>325</v>
      </c>
      <c r="N757" t="s">
        <v>484</v>
      </c>
      <c r="O757" t="s">
        <v>330</v>
      </c>
    </row>
    <row r="758" spans="1:15" x14ac:dyDescent="0.3">
      <c r="A758">
        <v>220</v>
      </c>
      <c r="B758" t="s">
        <v>323</v>
      </c>
      <c r="C758">
        <v>187</v>
      </c>
      <c r="D758" t="s">
        <v>176</v>
      </c>
      <c r="E758">
        <v>1235</v>
      </c>
      <c r="F758" t="s">
        <v>986</v>
      </c>
      <c r="G758">
        <v>0</v>
      </c>
      <c r="H758">
        <v>4</v>
      </c>
      <c r="I758">
        <v>4</v>
      </c>
      <c r="J758">
        <v>0</v>
      </c>
      <c r="K758">
        <v>0</v>
      </c>
      <c r="L758">
        <v>0</v>
      </c>
      <c r="M758" t="s">
        <v>414</v>
      </c>
      <c r="N758" t="s">
        <v>343</v>
      </c>
      <c r="O758" t="s">
        <v>327</v>
      </c>
    </row>
    <row r="759" spans="1:15" x14ac:dyDescent="0.3">
      <c r="A759">
        <v>220</v>
      </c>
      <c r="B759" t="s">
        <v>323</v>
      </c>
      <c r="C759">
        <v>187</v>
      </c>
      <c r="D759" t="s">
        <v>176</v>
      </c>
      <c r="E759">
        <v>1236</v>
      </c>
      <c r="F759" t="s">
        <v>987</v>
      </c>
      <c r="G759">
        <v>0</v>
      </c>
      <c r="H759">
        <v>0</v>
      </c>
      <c r="I759">
        <v>0</v>
      </c>
      <c r="J759">
        <v>0</v>
      </c>
      <c r="K759">
        <v>0</v>
      </c>
      <c r="L759">
        <v>0</v>
      </c>
      <c r="M759" t="s">
        <v>333</v>
      </c>
      <c r="N759" t="s">
        <v>329</v>
      </c>
      <c r="O759" t="s">
        <v>352</v>
      </c>
    </row>
    <row r="760" spans="1:15" x14ac:dyDescent="0.3">
      <c r="A760">
        <v>220</v>
      </c>
      <c r="B760" t="s">
        <v>323</v>
      </c>
      <c r="C760">
        <v>187</v>
      </c>
      <c r="D760" t="s">
        <v>176</v>
      </c>
      <c r="E760">
        <v>1238</v>
      </c>
      <c r="F760" t="s">
        <v>988</v>
      </c>
      <c r="G760">
        <v>0</v>
      </c>
      <c r="H760">
        <v>3</v>
      </c>
      <c r="I760">
        <v>3</v>
      </c>
      <c r="J760">
        <v>1</v>
      </c>
      <c r="K760">
        <v>0</v>
      </c>
      <c r="L760">
        <v>0</v>
      </c>
      <c r="M760" t="s">
        <v>333</v>
      </c>
      <c r="N760" t="s">
        <v>326</v>
      </c>
      <c r="O760" t="s">
        <v>330</v>
      </c>
    </row>
    <row r="761" spans="1:15" x14ac:dyDescent="0.3">
      <c r="A761">
        <v>220</v>
      </c>
      <c r="B761" t="s">
        <v>323</v>
      </c>
      <c r="C761">
        <v>187</v>
      </c>
      <c r="D761" t="s">
        <v>176</v>
      </c>
      <c r="E761">
        <v>1239</v>
      </c>
      <c r="F761" t="s">
        <v>989</v>
      </c>
      <c r="G761">
        <v>0</v>
      </c>
      <c r="H761">
        <v>2</v>
      </c>
      <c r="I761">
        <v>4</v>
      </c>
      <c r="J761">
        <v>3</v>
      </c>
      <c r="K761">
        <v>0</v>
      </c>
      <c r="L761">
        <v>0</v>
      </c>
      <c r="M761" t="s">
        <v>325</v>
      </c>
      <c r="N761" t="s">
        <v>326</v>
      </c>
      <c r="O761" t="s">
        <v>330</v>
      </c>
    </row>
    <row r="762" spans="1:15" x14ac:dyDescent="0.3">
      <c r="A762">
        <v>220</v>
      </c>
      <c r="B762" t="s">
        <v>323</v>
      </c>
      <c r="C762">
        <v>187</v>
      </c>
      <c r="D762" t="s">
        <v>176</v>
      </c>
      <c r="E762">
        <v>1240</v>
      </c>
      <c r="F762" t="s">
        <v>897</v>
      </c>
      <c r="G762">
        <v>0</v>
      </c>
      <c r="H762">
        <v>2</v>
      </c>
      <c r="I762">
        <v>3</v>
      </c>
      <c r="J762">
        <v>1</v>
      </c>
      <c r="K762">
        <v>0</v>
      </c>
      <c r="L762">
        <v>0</v>
      </c>
      <c r="M762" t="s">
        <v>410</v>
      </c>
      <c r="N762" t="s">
        <v>343</v>
      </c>
      <c r="O762" t="s">
        <v>330</v>
      </c>
    </row>
    <row r="763" spans="1:15" x14ac:dyDescent="0.3">
      <c r="A763">
        <v>220</v>
      </c>
      <c r="B763" t="s">
        <v>323</v>
      </c>
      <c r="C763">
        <v>187</v>
      </c>
      <c r="D763" t="s">
        <v>176</v>
      </c>
      <c r="E763">
        <v>1241</v>
      </c>
      <c r="F763" t="s">
        <v>648</v>
      </c>
      <c r="G763">
        <v>0</v>
      </c>
      <c r="H763">
        <v>0</v>
      </c>
      <c r="I763">
        <v>5</v>
      </c>
      <c r="J763">
        <v>4</v>
      </c>
      <c r="K763">
        <v>0</v>
      </c>
      <c r="L763">
        <v>0</v>
      </c>
      <c r="M763" t="s">
        <v>333</v>
      </c>
      <c r="N763" t="s">
        <v>326</v>
      </c>
      <c r="O763" t="s">
        <v>330</v>
      </c>
    </row>
    <row r="764" spans="1:15" x14ac:dyDescent="0.3">
      <c r="A764">
        <v>220</v>
      </c>
      <c r="B764" t="s">
        <v>323</v>
      </c>
      <c r="C764">
        <v>187</v>
      </c>
      <c r="D764" t="s">
        <v>176</v>
      </c>
      <c r="E764">
        <v>1242</v>
      </c>
      <c r="F764" t="s">
        <v>990</v>
      </c>
      <c r="G764">
        <v>0</v>
      </c>
      <c r="H764">
        <v>0</v>
      </c>
      <c r="I764">
        <v>3</v>
      </c>
      <c r="J764">
        <v>3</v>
      </c>
      <c r="K764">
        <v>2</v>
      </c>
      <c r="L764">
        <v>0</v>
      </c>
      <c r="M764" t="s">
        <v>333</v>
      </c>
      <c r="N764" t="s">
        <v>326</v>
      </c>
      <c r="O764" t="s">
        <v>330</v>
      </c>
    </row>
    <row r="765" spans="1:15" x14ac:dyDescent="0.3">
      <c r="A765">
        <v>220</v>
      </c>
      <c r="B765" t="s">
        <v>323</v>
      </c>
      <c r="C765">
        <v>187</v>
      </c>
      <c r="D765" t="s">
        <v>176</v>
      </c>
      <c r="E765">
        <v>1243</v>
      </c>
      <c r="F765" t="s">
        <v>663</v>
      </c>
      <c r="G765">
        <v>0</v>
      </c>
      <c r="H765">
        <v>4</v>
      </c>
      <c r="I765">
        <v>4</v>
      </c>
      <c r="J765">
        <v>0</v>
      </c>
      <c r="K765">
        <v>0</v>
      </c>
      <c r="L765">
        <v>0</v>
      </c>
      <c r="M765" t="s">
        <v>416</v>
      </c>
      <c r="N765" t="s">
        <v>484</v>
      </c>
      <c r="O765" t="s">
        <v>338</v>
      </c>
    </row>
    <row r="766" spans="1:15" x14ac:dyDescent="0.3">
      <c r="A766">
        <v>220</v>
      </c>
      <c r="B766" t="s">
        <v>323</v>
      </c>
      <c r="C766">
        <v>187</v>
      </c>
      <c r="D766" t="s">
        <v>176</v>
      </c>
      <c r="E766">
        <v>1244</v>
      </c>
      <c r="F766" t="s">
        <v>991</v>
      </c>
      <c r="G766">
        <v>2</v>
      </c>
      <c r="H766">
        <v>4</v>
      </c>
      <c r="I766">
        <v>0</v>
      </c>
      <c r="J766">
        <v>0</v>
      </c>
      <c r="K766">
        <v>0</v>
      </c>
      <c r="L766">
        <v>0</v>
      </c>
      <c r="M766" t="s">
        <v>325</v>
      </c>
      <c r="N766" t="s">
        <v>348</v>
      </c>
      <c r="O766" t="s">
        <v>330</v>
      </c>
    </row>
    <row r="767" spans="1:15" x14ac:dyDescent="0.3">
      <c r="A767">
        <v>220</v>
      </c>
      <c r="B767" t="s">
        <v>323</v>
      </c>
      <c r="C767">
        <v>187</v>
      </c>
      <c r="D767" t="s">
        <v>176</v>
      </c>
      <c r="E767">
        <v>1246</v>
      </c>
      <c r="F767" t="s">
        <v>992</v>
      </c>
      <c r="G767">
        <v>2</v>
      </c>
      <c r="H767">
        <v>3</v>
      </c>
      <c r="I767">
        <v>0</v>
      </c>
      <c r="J767">
        <v>0</v>
      </c>
      <c r="K767">
        <v>0</v>
      </c>
      <c r="L767">
        <v>0</v>
      </c>
      <c r="M767" t="s">
        <v>325</v>
      </c>
      <c r="N767" t="s">
        <v>348</v>
      </c>
      <c r="O767" t="s">
        <v>330</v>
      </c>
    </row>
    <row r="768" spans="1:15" x14ac:dyDescent="0.3">
      <c r="A768">
        <v>220</v>
      </c>
      <c r="B768" t="s">
        <v>323</v>
      </c>
      <c r="C768">
        <v>187</v>
      </c>
      <c r="D768" t="s">
        <v>176</v>
      </c>
      <c r="E768">
        <v>1247</v>
      </c>
      <c r="F768" t="s">
        <v>993</v>
      </c>
      <c r="G768">
        <v>5</v>
      </c>
      <c r="H768">
        <v>10</v>
      </c>
      <c r="I768">
        <v>10</v>
      </c>
      <c r="J768">
        <v>3</v>
      </c>
      <c r="K768">
        <v>3</v>
      </c>
      <c r="L768">
        <v>0</v>
      </c>
      <c r="M768" t="s">
        <v>325</v>
      </c>
      <c r="N768" t="s">
        <v>326</v>
      </c>
      <c r="O768" t="s">
        <v>330</v>
      </c>
    </row>
    <row r="769" spans="1:15" x14ac:dyDescent="0.3">
      <c r="A769">
        <v>220</v>
      </c>
      <c r="B769" t="s">
        <v>323</v>
      </c>
      <c r="C769">
        <v>187</v>
      </c>
      <c r="D769" t="s">
        <v>176</v>
      </c>
      <c r="E769">
        <v>1248</v>
      </c>
      <c r="F769" t="s">
        <v>994</v>
      </c>
      <c r="G769">
        <v>1</v>
      </c>
      <c r="H769">
        <v>2</v>
      </c>
      <c r="I769">
        <v>2</v>
      </c>
      <c r="J769">
        <v>2</v>
      </c>
      <c r="K769">
        <v>2</v>
      </c>
      <c r="L769">
        <v>0</v>
      </c>
      <c r="M769" t="s">
        <v>333</v>
      </c>
      <c r="N769" t="s">
        <v>326</v>
      </c>
      <c r="O769" t="s">
        <v>330</v>
      </c>
    </row>
    <row r="770" spans="1:15" x14ac:dyDescent="0.3">
      <c r="A770">
        <v>220</v>
      </c>
      <c r="B770" t="s">
        <v>323</v>
      </c>
      <c r="C770">
        <v>187</v>
      </c>
      <c r="D770" t="s">
        <v>176</v>
      </c>
      <c r="E770">
        <v>1249</v>
      </c>
      <c r="F770" t="s">
        <v>647</v>
      </c>
      <c r="G770">
        <v>3</v>
      </c>
      <c r="H770">
        <v>3</v>
      </c>
      <c r="I770">
        <v>3</v>
      </c>
      <c r="J770">
        <v>0</v>
      </c>
      <c r="K770">
        <v>0</v>
      </c>
      <c r="L770">
        <v>0</v>
      </c>
      <c r="M770" t="s">
        <v>325</v>
      </c>
      <c r="N770" t="s">
        <v>326</v>
      </c>
      <c r="O770" t="s">
        <v>327</v>
      </c>
    </row>
    <row r="771" spans="1:15" x14ac:dyDescent="0.3">
      <c r="A771">
        <v>220</v>
      </c>
      <c r="B771" t="s">
        <v>323</v>
      </c>
      <c r="C771">
        <v>187</v>
      </c>
      <c r="D771" t="s">
        <v>176</v>
      </c>
      <c r="E771">
        <v>1250</v>
      </c>
      <c r="F771" t="s">
        <v>995</v>
      </c>
      <c r="G771">
        <v>1</v>
      </c>
      <c r="H771">
        <v>4</v>
      </c>
      <c r="I771">
        <v>0</v>
      </c>
      <c r="J771">
        <v>0</v>
      </c>
      <c r="K771">
        <v>0</v>
      </c>
      <c r="L771">
        <v>0</v>
      </c>
      <c r="M771" t="s">
        <v>325</v>
      </c>
      <c r="N771" t="s">
        <v>348</v>
      </c>
      <c r="O771" t="s">
        <v>330</v>
      </c>
    </row>
    <row r="772" spans="1:15" x14ac:dyDescent="0.3">
      <c r="A772">
        <v>220</v>
      </c>
      <c r="B772" t="s">
        <v>323</v>
      </c>
      <c r="C772">
        <v>187</v>
      </c>
      <c r="D772" t="s">
        <v>176</v>
      </c>
      <c r="E772">
        <v>1251</v>
      </c>
      <c r="F772" t="s">
        <v>996</v>
      </c>
      <c r="G772">
        <v>2</v>
      </c>
      <c r="H772">
        <v>3</v>
      </c>
      <c r="I772">
        <v>2</v>
      </c>
      <c r="J772">
        <v>0</v>
      </c>
      <c r="K772">
        <v>0</v>
      </c>
      <c r="L772">
        <v>0</v>
      </c>
      <c r="M772" t="s">
        <v>333</v>
      </c>
      <c r="N772" t="s">
        <v>326</v>
      </c>
      <c r="O772" t="s">
        <v>330</v>
      </c>
    </row>
    <row r="773" spans="1:15" x14ac:dyDescent="0.3">
      <c r="A773">
        <v>220</v>
      </c>
      <c r="B773" t="s">
        <v>323</v>
      </c>
      <c r="C773">
        <v>187</v>
      </c>
      <c r="D773" t="s">
        <v>176</v>
      </c>
      <c r="E773">
        <v>1252</v>
      </c>
      <c r="F773" t="s">
        <v>997</v>
      </c>
      <c r="G773">
        <v>4</v>
      </c>
      <c r="H773">
        <v>2</v>
      </c>
      <c r="I773">
        <v>2</v>
      </c>
      <c r="J773">
        <v>0</v>
      </c>
      <c r="K773">
        <v>0</v>
      </c>
      <c r="L773">
        <v>0</v>
      </c>
      <c r="M773" t="s">
        <v>325</v>
      </c>
      <c r="N773" t="s">
        <v>326</v>
      </c>
      <c r="O773" t="s">
        <v>330</v>
      </c>
    </row>
    <row r="774" spans="1:15" x14ac:dyDescent="0.3">
      <c r="A774">
        <v>220</v>
      </c>
      <c r="B774" t="s">
        <v>323</v>
      </c>
      <c r="C774">
        <v>187</v>
      </c>
      <c r="D774" t="s">
        <v>176</v>
      </c>
      <c r="E774">
        <v>1254</v>
      </c>
      <c r="F774" t="s">
        <v>998</v>
      </c>
      <c r="G774">
        <v>3</v>
      </c>
      <c r="H774">
        <v>3</v>
      </c>
      <c r="I774">
        <v>2</v>
      </c>
      <c r="J774">
        <v>0</v>
      </c>
      <c r="K774">
        <v>0</v>
      </c>
      <c r="L774">
        <v>0</v>
      </c>
      <c r="M774" t="s">
        <v>333</v>
      </c>
      <c r="N774" t="s">
        <v>326</v>
      </c>
      <c r="O774" t="s">
        <v>330</v>
      </c>
    </row>
    <row r="775" spans="1:15" x14ac:dyDescent="0.3">
      <c r="A775">
        <v>220</v>
      </c>
      <c r="B775" t="s">
        <v>323</v>
      </c>
      <c r="C775">
        <v>187</v>
      </c>
      <c r="D775" t="s">
        <v>176</v>
      </c>
      <c r="E775">
        <v>1255</v>
      </c>
      <c r="F775" t="s">
        <v>999</v>
      </c>
      <c r="G775">
        <v>2</v>
      </c>
      <c r="H775">
        <v>0</v>
      </c>
      <c r="I775">
        <v>0</v>
      </c>
      <c r="J775">
        <v>0</v>
      </c>
      <c r="K775">
        <v>0</v>
      </c>
      <c r="L775">
        <v>0</v>
      </c>
      <c r="M775" t="s">
        <v>325</v>
      </c>
      <c r="N775" t="s">
        <v>326</v>
      </c>
      <c r="O775" t="s">
        <v>340</v>
      </c>
    </row>
    <row r="776" spans="1:15" x14ac:dyDescent="0.3">
      <c r="A776">
        <v>220</v>
      </c>
      <c r="B776" t="s">
        <v>323</v>
      </c>
      <c r="C776">
        <v>187</v>
      </c>
      <c r="D776" t="s">
        <v>176</v>
      </c>
      <c r="E776">
        <v>1256</v>
      </c>
      <c r="F776" t="s">
        <v>1000</v>
      </c>
      <c r="G776">
        <v>0</v>
      </c>
      <c r="H776">
        <v>4</v>
      </c>
      <c r="I776">
        <v>3</v>
      </c>
      <c r="J776">
        <v>0</v>
      </c>
      <c r="K776">
        <v>0</v>
      </c>
      <c r="L776">
        <v>0</v>
      </c>
      <c r="M776" t="s">
        <v>325</v>
      </c>
      <c r="N776" t="s">
        <v>348</v>
      </c>
      <c r="O776" t="s">
        <v>352</v>
      </c>
    </row>
    <row r="777" spans="1:15" x14ac:dyDescent="0.3">
      <c r="A777">
        <v>220</v>
      </c>
      <c r="B777" t="s">
        <v>323</v>
      </c>
      <c r="C777">
        <v>187</v>
      </c>
      <c r="D777" t="s">
        <v>176</v>
      </c>
      <c r="E777">
        <v>1257</v>
      </c>
      <c r="F777" t="s">
        <v>1001</v>
      </c>
      <c r="G777">
        <v>3</v>
      </c>
      <c r="H777">
        <v>3</v>
      </c>
      <c r="I777">
        <v>0</v>
      </c>
      <c r="J777">
        <v>0</v>
      </c>
      <c r="K777">
        <v>0</v>
      </c>
      <c r="L777">
        <v>0</v>
      </c>
      <c r="M777" t="s">
        <v>325</v>
      </c>
      <c r="N777" t="s">
        <v>348</v>
      </c>
      <c r="O777" t="s">
        <v>340</v>
      </c>
    </row>
    <row r="778" spans="1:15" x14ac:dyDescent="0.3">
      <c r="A778">
        <v>220</v>
      </c>
      <c r="B778" t="s">
        <v>323</v>
      </c>
      <c r="C778">
        <v>187</v>
      </c>
      <c r="D778" t="s">
        <v>176</v>
      </c>
      <c r="E778">
        <v>1258</v>
      </c>
      <c r="F778" t="s">
        <v>1002</v>
      </c>
      <c r="G778">
        <v>0</v>
      </c>
      <c r="H778">
        <v>5</v>
      </c>
      <c r="I778">
        <v>2</v>
      </c>
      <c r="J778">
        <v>1</v>
      </c>
      <c r="K778">
        <v>0</v>
      </c>
      <c r="L778">
        <v>0</v>
      </c>
      <c r="M778" t="s">
        <v>325</v>
      </c>
      <c r="N778" t="s">
        <v>348</v>
      </c>
      <c r="O778" t="s">
        <v>352</v>
      </c>
    </row>
    <row r="779" spans="1:15" x14ac:dyDescent="0.3">
      <c r="A779">
        <v>220</v>
      </c>
      <c r="B779" t="s">
        <v>323</v>
      </c>
      <c r="C779">
        <v>187</v>
      </c>
      <c r="D779" t="s">
        <v>176</v>
      </c>
      <c r="E779">
        <v>1259</v>
      </c>
      <c r="F779" t="s">
        <v>1003</v>
      </c>
      <c r="G779">
        <v>1</v>
      </c>
      <c r="H779">
        <v>3</v>
      </c>
      <c r="I779">
        <v>1</v>
      </c>
      <c r="J779">
        <v>0</v>
      </c>
      <c r="K779">
        <v>0</v>
      </c>
      <c r="L779">
        <v>0</v>
      </c>
      <c r="M779" t="s">
        <v>325</v>
      </c>
      <c r="N779" t="s">
        <v>326</v>
      </c>
      <c r="O779" t="s">
        <v>330</v>
      </c>
    </row>
    <row r="780" spans="1:15" x14ac:dyDescent="0.3">
      <c r="A780">
        <v>220</v>
      </c>
      <c r="B780" t="s">
        <v>323</v>
      </c>
      <c r="C780">
        <v>187</v>
      </c>
      <c r="D780" t="s">
        <v>176</v>
      </c>
      <c r="E780">
        <v>1260</v>
      </c>
      <c r="F780" t="s">
        <v>1004</v>
      </c>
      <c r="G780">
        <v>0</v>
      </c>
      <c r="H780">
        <v>0</v>
      </c>
      <c r="I780">
        <v>4</v>
      </c>
      <c r="J780">
        <v>5</v>
      </c>
      <c r="K780">
        <v>2</v>
      </c>
      <c r="L780">
        <v>0</v>
      </c>
      <c r="M780" t="s">
        <v>416</v>
      </c>
      <c r="N780" t="s">
        <v>329</v>
      </c>
      <c r="O780" t="s">
        <v>338</v>
      </c>
    </row>
    <row r="781" spans="1:15" x14ac:dyDescent="0.3">
      <c r="A781">
        <v>220</v>
      </c>
      <c r="B781" t="s">
        <v>323</v>
      </c>
      <c r="C781">
        <v>187</v>
      </c>
      <c r="D781" t="s">
        <v>176</v>
      </c>
      <c r="E781">
        <v>1543</v>
      </c>
      <c r="F781" t="s">
        <v>1005</v>
      </c>
      <c r="G781">
        <v>0</v>
      </c>
      <c r="H781">
        <v>0</v>
      </c>
      <c r="I781">
        <v>3</v>
      </c>
      <c r="J781">
        <v>3</v>
      </c>
      <c r="K781">
        <v>0</v>
      </c>
      <c r="L781">
        <v>0</v>
      </c>
      <c r="M781" t="s">
        <v>325</v>
      </c>
      <c r="N781" t="s">
        <v>348</v>
      </c>
      <c r="O781" t="s">
        <v>330</v>
      </c>
    </row>
    <row r="782" spans="1:15" x14ac:dyDescent="0.3">
      <c r="A782">
        <v>220</v>
      </c>
      <c r="B782" t="s">
        <v>323</v>
      </c>
      <c r="C782">
        <v>187</v>
      </c>
      <c r="D782" t="s">
        <v>176</v>
      </c>
      <c r="E782">
        <v>1544</v>
      </c>
      <c r="F782" t="s">
        <v>1006</v>
      </c>
      <c r="G782">
        <v>0</v>
      </c>
      <c r="H782">
        <v>2</v>
      </c>
      <c r="I782">
        <v>3</v>
      </c>
      <c r="J782">
        <v>3</v>
      </c>
      <c r="K782">
        <v>0</v>
      </c>
      <c r="L782">
        <v>0</v>
      </c>
      <c r="M782" t="s">
        <v>325</v>
      </c>
      <c r="N782" t="s">
        <v>484</v>
      </c>
      <c r="O782" t="s">
        <v>330</v>
      </c>
    </row>
    <row r="783" spans="1:15" x14ac:dyDescent="0.3">
      <c r="A783">
        <v>220</v>
      </c>
      <c r="B783" t="s">
        <v>323</v>
      </c>
      <c r="C783">
        <v>187</v>
      </c>
      <c r="D783" t="s">
        <v>176</v>
      </c>
      <c r="E783">
        <v>1546</v>
      </c>
      <c r="F783" t="s">
        <v>1007</v>
      </c>
      <c r="G783">
        <v>5</v>
      </c>
      <c r="H783">
        <v>7</v>
      </c>
      <c r="I783">
        <v>3</v>
      </c>
      <c r="J783">
        <v>0</v>
      </c>
      <c r="K783">
        <v>0</v>
      </c>
      <c r="L783">
        <v>0</v>
      </c>
      <c r="M783" t="s">
        <v>410</v>
      </c>
      <c r="N783" t="s">
        <v>326</v>
      </c>
      <c r="O783" t="s">
        <v>352</v>
      </c>
    </row>
    <row r="784" spans="1:15" x14ac:dyDescent="0.3">
      <c r="A784">
        <v>222</v>
      </c>
      <c r="B784" t="s">
        <v>323</v>
      </c>
      <c r="C784">
        <v>189</v>
      </c>
      <c r="D784" t="s">
        <v>180</v>
      </c>
      <c r="E784">
        <v>410</v>
      </c>
      <c r="F784" t="s">
        <v>1008</v>
      </c>
      <c r="G784">
        <v>2</v>
      </c>
      <c r="H784">
        <v>0</v>
      </c>
      <c r="I784">
        <v>1</v>
      </c>
      <c r="J784">
        <v>0</v>
      </c>
      <c r="K784">
        <v>0</v>
      </c>
      <c r="L784">
        <v>0</v>
      </c>
      <c r="M784" t="s">
        <v>325</v>
      </c>
      <c r="N784" t="s">
        <v>348</v>
      </c>
      <c r="O784" t="s">
        <v>330</v>
      </c>
    </row>
    <row r="785" spans="1:15" x14ac:dyDescent="0.3">
      <c r="A785">
        <v>222</v>
      </c>
      <c r="B785" t="s">
        <v>323</v>
      </c>
      <c r="C785">
        <v>189</v>
      </c>
      <c r="D785" t="s">
        <v>180</v>
      </c>
      <c r="E785">
        <v>411</v>
      </c>
      <c r="F785" t="s">
        <v>1009</v>
      </c>
      <c r="G785">
        <v>0</v>
      </c>
      <c r="H785">
        <v>1</v>
      </c>
      <c r="I785">
        <v>1</v>
      </c>
      <c r="J785">
        <v>3</v>
      </c>
      <c r="K785">
        <v>1</v>
      </c>
      <c r="L785">
        <v>0</v>
      </c>
      <c r="M785" t="s">
        <v>333</v>
      </c>
      <c r="N785" t="s">
        <v>326</v>
      </c>
      <c r="O785" t="s">
        <v>352</v>
      </c>
    </row>
    <row r="786" spans="1:15" x14ac:dyDescent="0.3">
      <c r="A786">
        <v>222</v>
      </c>
      <c r="B786" t="s">
        <v>323</v>
      </c>
      <c r="C786">
        <v>189</v>
      </c>
      <c r="D786" t="s">
        <v>180</v>
      </c>
      <c r="E786">
        <v>412</v>
      </c>
      <c r="F786" t="s">
        <v>1010</v>
      </c>
      <c r="G786">
        <v>3</v>
      </c>
      <c r="H786">
        <v>2</v>
      </c>
      <c r="I786">
        <v>0</v>
      </c>
      <c r="J786">
        <v>0</v>
      </c>
      <c r="K786">
        <v>0</v>
      </c>
      <c r="L786">
        <v>0</v>
      </c>
      <c r="M786" t="s">
        <v>414</v>
      </c>
      <c r="N786" t="s">
        <v>348</v>
      </c>
      <c r="O786" t="s">
        <v>330</v>
      </c>
    </row>
    <row r="787" spans="1:15" x14ac:dyDescent="0.3">
      <c r="A787">
        <v>222</v>
      </c>
      <c r="B787" t="s">
        <v>323</v>
      </c>
      <c r="C787">
        <v>189</v>
      </c>
      <c r="D787" t="s">
        <v>180</v>
      </c>
      <c r="E787">
        <v>413</v>
      </c>
      <c r="F787" t="s">
        <v>1011</v>
      </c>
      <c r="G787">
        <v>1</v>
      </c>
      <c r="H787">
        <v>2</v>
      </c>
      <c r="I787">
        <v>0</v>
      </c>
      <c r="J787">
        <v>1</v>
      </c>
      <c r="K787">
        <v>1</v>
      </c>
      <c r="L787">
        <v>0</v>
      </c>
      <c r="M787" t="s">
        <v>414</v>
      </c>
      <c r="N787" t="s">
        <v>348</v>
      </c>
      <c r="O787" t="s">
        <v>330</v>
      </c>
    </row>
    <row r="788" spans="1:15" x14ac:dyDescent="0.3">
      <c r="A788">
        <v>222</v>
      </c>
      <c r="B788" t="s">
        <v>323</v>
      </c>
      <c r="C788">
        <v>189</v>
      </c>
      <c r="D788" t="s">
        <v>180</v>
      </c>
      <c r="E788">
        <v>414</v>
      </c>
      <c r="F788" t="s">
        <v>1012</v>
      </c>
      <c r="G788">
        <v>5</v>
      </c>
      <c r="H788">
        <v>0</v>
      </c>
      <c r="I788">
        <v>0</v>
      </c>
      <c r="J788">
        <v>0</v>
      </c>
      <c r="K788">
        <v>0</v>
      </c>
      <c r="L788">
        <v>0</v>
      </c>
      <c r="M788" t="s">
        <v>325</v>
      </c>
      <c r="N788" t="s">
        <v>329</v>
      </c>
      <c r="O788" t="s">
        <v>340</v>
      </c>
    </row>
    <row r="789" spans="1:15" x14ac:dyDescent="0.3">
      <c r="A789">
        <v>222</v>
      </c>
      <c r="B789" t="s">
        <v>323</v>
      </c>
      <c r="C789">
        <v>189</v>
      </c>
      <c r="D789" t="s">
        <v>180</v>
      </c>
      <c r="E789">
        <v>415</v>
      </c>
      <c r="F789" t="s">
        <v>1013</v>
      </c>
      <c r="G789">
        <v>0</v>
      </c>
      <c r="H789">
        <v>1</v>
      </c>
      <c r="I789">
        <v>1</v>
      </c>
      <c r="J789">
        <v>1</v>
      </c>
      <c r="K789">
        <v>1</v>
      </c>
      <c r="L789">
        <v>0</v>
      </c>
      <c r="M789" t="s">
        <v>333</v>
      </c>
      <c r="N789" t="s">
        <v>326</v>
      </c>
      <c r="O789" t="s">
        <v>330</v>
      </c>
    </row>
    <row r="790" spans="1:15" x14ac:dyDescent="0.3">
      <c r="A790">
        <v>222</v>
      </c>
      <c r="B790" t="s">
        <v>323</v>
      </c>
      <c r="C790">
        <v>189</v>
      </c>
      <c r="D790" t="s">
        <v>180</v>
      </c>
      <c r="E790">
        <v>416</v>
      </c>
      <c r="F790" t="s">
        <v>1014</v>
      </c>
      <c r="G790">
        <v>0</v>
      </c>
      <c r="H790">
        <v>0</v>
      </c>
      <c r="I790">
        <v>1</v>
      </c>
      <c r="J790">
        <v>4</v>
      </c>
      <c r="K790">
        <v>1</v>
      </c>
      <c r="L790">
        <v>0</v>
      </c>
      <c r="M790" t="s">
        <v>333</v>
      </c>
      <c r="N790" t="s">
        <v>326</v>
      </c>
      <c r="O790" t="s">
        <v>352</v>
      </c>
    </row>
    <row r="791" spans="1:15" x14ac:dyDescent="0.3">
      <c r="A791">
        <v>222</v>
      </c>
      <c r="B791" t="s">
        <v>323</v>
      </c>
      <c r="C791">
        <v>189</v>
      </c>
      <c r="D791" t="s">
        <v>180</v>
      </c>
      <c r="E791">
        <v>417</v>
      </c>
      <c r="F791" t="s">
        <v>1015</v>
      </c>
      <c r="G791">
        <v>0</v>
      </c>
      <c r="H791">
        <v>1</v>
      </c>
      <c r="I791">
        <v>0</v>
      </c>
      <c r="J791">
        <v>0</v>
      </c>
      <c r="K791">
        <v>0</v>
      </c>
      <c r="L791">
        <v>0</v>
      </c>
      <c r="M791" t="s">
        <v>325</v>
      </c>
      <c r="N791" t="s">
        <v>329</v>
      </c>
      <c r="O791" t="s">
        <v>340</v>
      </c>
    </row>
    <row r="792" spans="1:15" x14ac:dyDescent="0.3">
      <c r="A792">
        <v>222</v>
      </c>
      <c r="B792" t="s">
        <v>323</v>
      </c>
      <c r="C792">
        <v>189</v>
      </c>
      <c r="D792" t="s">
        <v>180</v>
      </c>
      <c r="E792">
        <v>418</v>
      </c>
      <c r="F792" t="s">
        <v>1016</v>
      </c>
      <c r="G792">
        <v>0</v>
      </c>
      <c r="H792">
        <v>0</v>
      </c>
      <c r="I792">
        <v>0</v>
      </c>
      <c r="J792">
        <v>0</v>
      </c>
      <c r="K792">
        <v>0</v>
      </c>
      <c r="L792">
        <v>0</v>
      </c>
      <c r="M792" t="s">
        <v>333</v>
      </c>
      <c r="N792" t="s">
        <v>326</v>
      </c>
      <c r="O792" t="s">
        <v>330</v>
      </c>
    </row>
    <row r="793" spans="1:15" x14ac:dyDescent="0.3">
      <c r="A793">
        <v>222</v>
      </c>
      <c r="B793" t="s">
        <v>323</v>
      </c>
      <c r="C793">
        <v>189</v>
      </c>
      <c r="D793" t="s">
        <v>180</v>
      </c>
      <c r="E793">
        <v>419</v>
      </c>
      <c r="F793" t="s">
        <v>1017</v>
      </c>
      <c r="G793">
        <v>0</v>
      </c>
      <c r="H793">
        <v>1</v>
      </c>
      <c r="I793">
        <v>2</v>
      </c>
      <c r="J793">
        <v>0</v>
      </c>
      <c r="K793">
        <v>0</v>
      </c>
      <c r="L793">
        <v>0</v>
      </c>
      <c r="M793" t="s">
        <v>325</v>
      </c>
      <c r="N793" t="s">
        <v>326</v>
      </c>
      <c r="O793" t="s">
        <v>330</v>
      </c>
    </row>
    <row r="794" spans="1:15" x14ac:dyDescent="0.3">
      <c r="A794">
        <v>222</v>
      </c>
      <c r="B794" t="s">
        <v>323</v>
      </c>
      <c r="C794">
        <v>189</v>
      </c>
      <c r="D794" t="s">
        <v>180</v>
      </c>
      <c r="E794">
        <v>420</v>
      </c>
      <c r="F794" t="s">
        <v>1018</v>
      </c>
      <c r="G794">
        <v>0</v>
      </c>
      <c r="H794">
        <v>4</v>
      </c>
      <c r="I794">
        <v>1</v>
      </c>
      <c r="J794">
        <v>0</v>
      </c>
      <c r="K794">
        <v>0</v>
      </c>
      <c r="L794">
        <v>0</v>
      </c>
      <c r="M794" t="s">
        <v>333</v>
      </c>
      <c r="N794" t="s">
        <v>329</v>
      </c>
      <c r="O794" t="s">
        <v>352</v>
      </c>
    </row>
    <row r="795" spans="1:15" x14ac:dyDescent="0.3">
      <c r="A795">
        <v>222</v>
      </c>
      <c r="B795" t="s">
        <v>323</v>
      </c>
      <c r="C795">
        <v>189</v>
      </c>
      <c r="D795" t="s">
        <v>180</v>
      </c>
      <c r="E795">
        <v>421</v>
      </c>
      <c r="F795" t="s">
        <v>1019</v>
      </c>
      <c r="G795">
        <v>0</v>
      </c>
      <c r="H795">
        <v>0</v>
      </c>
      <c r="I795">
        <v>4</v>
      </c>
      <c r="J795">
        <v>0</v>
      </c>
      <c r="K795">
        <v>2</v>
      </c>
      <c r="L795">
        <v>0</v>
      </c>
      <c r="M795" t="s">
        <v>410</v>
      </c>
      <c r="N795" t="s">
        <v>326</v>
      </c>
      <c r="O795" t="s">
        <v>330</v>
      </c>
    </row>
    <row r="796" spans="1:15" x14ac:dyDescent="0.3">
      <c r="A796">
        <v>222</v>
      </c>
      <c r="B796" t="s">
        <v>323</v>
      </c>
      <c r="C796">
        <v>189</v>
      </c>
      <c r="D796" t="s">
        <v>180</v>
      </c>
      <c r="E796">
        <v>422</v>
      </c>
      <c r="F796" t="s">
        <v>1020</v>
      </c>
      <c r="G796">
        <v>6</v>
      </c>
      <c r="H796">
        <v>0</v>
      </c>
      <c r="I796">
        <v>0</v>
      </c>
      <c r="J796">
        <v>0</v>
      </c>
      <c r="K796">
        <v>0</v>
      </c>
      <c r="L796">
        <v>0</v>
      </c>
      <c r="M796" t="s">
        <v>410</v>
      </c>
      <c r="N796" t="s">
        <v>329</v>
      </c>
      <c r="O796" t="s">
        <v>330</v>
      </c>
    </row>
    <row r="797" spans="1:15" x14ac:dyDescent="0.3">
      <c r="A797">
        <v>222</v>
      </c>
      <c r="B797" t="s">
        <v>323</v>
      </c>
      <c r="C797">
        <v>189</v>
      </c>
      <c r="D797" t="s">
        <v>180</v>
      </c>
      <c r="E797">
        <v>423</v>
      </c>
      <c r="F797" t="s">
        <v>1021</v>
      </c>
      <c r="G797">
        <v>0</v>
      </c>
      <c r="H797">
        <v>0</v>
      </c>
      <c r="I797">
        <v>1</v>
      </c>
      <c r="J797">
        <v>0</v>
      </c>
      <c r="K797">
        <v>3</v>
      </c>
      <c r="L797">
        <v>0</v>
      </c>
      <c r="M797" t="s">
        <v>333</v>
      </c>
      <c r="N797" t="s">
        <v>326</v>
      </c>
      <c r="O797" t="s">
        <v>330</v>
      </c>
    </row>
    <row r="798" spans="1:15" x14ac:dyDescent="0.3">
      <c r="A798">
        <v>222</v>
      </c>
      <c r="B798" t="s">
        <v>323</v>
      </c>
      <c r="C798">
        <v>189</v>
      </c>
      <c r="D798" t="s">
        <v>180</v>
      </c>
      <c r="E798">
        <v>424</v>
      </c>
      <c r="F798" t="s">
        <v>523</v>
      </c>
      <c r="G798">
        <v>0</v>
      </c>
      <c r="H798">
        <v>0</v>
      </c>
      <c r="I798">
        <v>3</v>
      </c>
      <c r="J798">
        <v>1</v>
      </c>
      <c r="K798">
        <v>0</v>
      </c>
      <c r="L798">
        <v>0</v>
      </c>
      <c r="M798" t="s">
        <v>325</v>
      </c>
      <c r="N798" t="s">
        <v>326</v>
      </c>
      <c r="O798" t="s">
        <v>330</v>
      </c>
    </row>
    <row r="799" spans="1:15" x14ac:dyDescent="0.3">
      <c r="A799">
        <v>222</v>
      </c>
      <c r="B799" t="s">
        <v>323</v>
      </c>
      <c r="C799">
        <v>189</v>
      </c>
      <c r="D799" t="s">
        <v>180</v>
      </c>
      <c r="E799">
        <v>425</v>
      </c>
      <c r="F799" t="s">
        <v>1022</v>
      </c>
      <c r="G799">
        <v>4</v>
      </c>
      <c r="H799">
        <v>1</v>
      </c>
      <c r="I799">
        <v>0</v>
      </c>
      <c r="J799">
        <v>0</v>
      </c>
      <c r="K799">
        <v>0</v>
      </c>
      <c r="L799">
        <v>0</v>
      </c>
      <c r="M799" t="s">
        <v>410</v>
      </c>
      <c r="N799" t="s">
        <v>348</v>
      </c>
      <c r="O799" t="s">
        <v>340</v>
      </c>
    </row>
    <row r="800" spans="1:15" x14ac:dyDescent="0.3">
      <c r="A800">
        <v>222</v>
      </c>
      <c r="B800" t="s">
        <v>323</v>
      </c>
      <c r="C800">
        <v>189</v>
      </c>
      <c r="D800" t="s">
        <v>180</v>
      </c>
      <c r="E800">
        <v>426</v>
      </c>
      <c r="F800" t="s">
        <v>1023</v>
      </c>
      <c r="G800">
        <v>0</v>
      </c>
      <c r="H800">
        <v>0</v>
      </c>
      <c r="I800">
        <v>2</v>
      </c>
      <c r="J800">
        <v>1</v>
      </c>
      <c r="K800">
        <v>0</v>
      </c>
      <c r="L800">
        <v>0</v>
      </c>
      <c r="M800" t="s">
        <v>333</v>
      </c>
      <c r="N800" t="s">
        <v>326</v>
      </c>
      <c r="O800" t="s">
        <v>330</v>
      </c>
    </row>
    <row r="801" spans="1:15" x14ac:dyDescent="0.3">
      <c r="A801">
        <v>222</v>
      </c>
      <c r="B801" t="s">
        <v>323</v>
      </c>
      <c r="C801">
        <v>189</v>
      </c>
      <c r="D801" t="s">
        <v>180</v>
      </c>
      <c r="E801">
        <v>428</v>
      </c>
      <c r="F801" t="s">
        <v>1024</v>
      </c>
      <c r="G801">
        <v>0</v>
      </c>
      <c r="H801">
        <v>1</v>
      </c>
      <c r="I801">
        <v>2</v>
      </c>
      <c r="J801">
        <v>1</v>
      </c>
      <c r="K801">
        <v>0</v>
      </c>
      <c r="L801">
        <v>0</v>
      </c>
      <c r="M801" t="s">
        <v>410</v>
      </c>
      <c r="N801" t="s">
        <v>348</v>
      </c>
      <c r="O801" t="s">
        <v>330</v>
      </c>
    </row>
    <row r="802" spans="1:15" x14ac:dyDescent="0.3">
      <c r="A802">
        <v>222</v>
      </c>
      <c r="B802" t="s">
        <v>323</v>
      </c>
      <c r="C802">
        <v>189</v>
      </c>
      <c r="D802" t="s">
        <v>180</v>
      </c>
      <c r="E802">
        <v>430</v>
      </c>
      <c r="F802" t="s">
        <v>1025</v>
      </c>
      <c r="G802">
        <v>0</v>
      </c>
      <c r="H802">
        <v>2</v>
      </c>
      <c r="I802">
        <v>4</v>
      </c>
      <c r="J802">
        <v>0</v>
      </c>
      <c r="K802">
        <v>0</v>
      </c>
      <c r="L802">
        <v>0</v>
      </c>
      <c r="M802" t="s">
        <v>410</v>
      </c>
      <c r="N802" t="s">
        <v>326</v>
      </c>
      <c r="O802" t="s">
        <v>330</v>
      </c>
    </row>
    <row r="803" spans="1:15" x14ac:dyDescent="0.3">
      <c r="A803">
        <v>222</v>
      </c>
      <c r="B803" t="s">
        <v>323</v>
      </c>
      <c r="C803">
        <v>189</v>
      </c>
      <c r="D803" t="s">
        <v>180</v>
      </c>
      <c r="E803">
        <v>431</v>
      </c>
      <c r="F803" t="s">
        <v>381</v>
      </c>
      <c r="G803">
        <v>0</v>
      </c>
      <c r="H803">
        <v>0</v>
      </c>
      <c r="I803">
        <v>1</v>
      </c>
      <c r="J803">
        <v>3</v>
      </c>
      <c r="K803">
        <v>1</v>
      </c>
      <c r="L803">
        <v>0</v>
      </c>
      <c r="M803" t="s">
        <v>410</v>
      </c>
      <c r="N803" t="s">
        <v>326</v>
      </c>
      <c r="O803" t="s">
        <v>330</v>
      </c>
    </row>
    <row r="804" spans="1:15" x14ac:dyDescent="0.3">
      <c r="A804">
        <v>222</v>
      </c>
      <c r="B804" t="s">
        <v>323</v>
      </c>
      <c r="C804">
        <v>189</v>
      </c>
      <c r="D804" t="s">
        <v>180</v>
      </c>
      <c r="E804">
        <v>432</v>
      </c>
      <c r="F804" t="s">
        <v>447</v>
      </c>
      <c r="G804">
        <v>0</v>
      </c>
      <c r="H804">
        <v>0</v>
      </c>
      <c r="I804">
        <v>0</v>
      </c>
      <c r="J804">
        <v>0</v>
      </c>
      <c r="K804">
        <v>3</v>
      </c>
      <c r="L804">
        <v>0</v>
      </c>
      <c r="M804" t="s">
        <v>325</v>
      </c>
      <c r="N804" t="s">
        <v>326</v>
      </c>
      <c r="O804" t="s">
        <v>330</v>
      </c>
    </row>
    <row r="805" spans="1:15" x14ac:dyDescent="0.3">
      <c r="A805">
        <v>222</v>
      </c>
      <c r="B805" t="s">
        <v>323</v>
      </c>
      <c r="C805">
        <v>189</v>
      </c>
      <c r="D805" t="s">
        <v>180</v>
      </c>
      <c r="E805">
        <v>433</v>
      </c>
      <c r="F805" t="s">
        <v>1026</v>
      </c>
      <c r="G805">
        <v>1</v>
      </c>
      <c r="H805">
        <v>0</v>
      </c>
      <c r="I805">
        <v>0</v>
      </c>
      <c r="J805">
        <v>0</v>
      </c>
      <c r="K805">
        <v>1</v>
      </c>
      <c r="L805">
        <v>0</v>
      </c>
      <c r="M805" t="s">
        <v>333</v>
      </c>
      <c r="N805" t="s">
        <v>326</v>
      </c>
      <c r="O805" t="s">
        <v>330</v>
      </c>
    </row>
    <row r="806" spans="1:15" x14ac:dyDescent="0.3">
      <c r="A806">
        <v>222</v>
      </c>
      <c r="B806" t="s">
        <v>323</v>
      </c>
      <c r="C806">
        <v>189</v>
      </c>
      <c r="D806" t="s">
        <v>180</v>
      </c>
      <c r="E806">
        <v>434</v>
      </c>
      <c r="F806" t="s">
        <v>1027</v>
      </c>
      <c r="G806">
        <v>0</v>
      </c>
      <c r="H806">
        <v>2</v>
      </c>
      <c r="I806">
        <v>2</v>
      </c>
      <c r="J806">
        <v>2</v>
      </c>
      <c r="K806">
        <v>0</v>
      </c>
      <c r="L806">
        <v>0</v>
      </c>
      <c r="M806" t="s">
        <v>325</v>
      </c>
      <c r="N806" t="s">
        <v>326</v>
      </c>
      <c r="O806" t="s">
        <v>352</v>
      </c>
    </row>
    <row r="807" spans="1:15" x14ac:dyDescent="0.3">
      <c r="A807">
        <v>222</v>
      </c>
      <c r="B807" t="s">
        <v>323</v>
      </c>
      <c r="C807">
        <v>189</v>
      </c>
      <c r="D807" t="s">
        <v>180</v>
      </c>
      <c r="E807">
        <v>436</v>
      </c>
      <c r="F807" t="s">
        <v>1028</v>
      </c>
      <c r="G807">
        <v>0</v>
      </c>
      <c r="H807">
        <v>0</v>
      </c>
      <c r="I807">
        <v>3</v>
      </c>
      <c r="J807">
        <v>1</v>
      </c>
      <c r="K807">
        <v>0</v>
      </c>
      <c r="L807">
        <v>0</v>
      </c>
      <c r="M807" t="s">
        <v>325</v>
      </c>
      <c r="N807" t="s">
        <v>326</v>
      </c>
      <c r="O807" t="s">
        <v>330</v>
      </c>
    </row>
    <row r="808" spans="1:15" x14ac:dyDescent="0.3">
      <c r="A808">
        <v>222</v>
      </c>
      <c r="B808" t="s">
        <v>323</v>
      </c>
      <c r="C808">
        <v>189</v>
      </c>
      <c r="D808" t="s">
        <v>180</v>
      </c>
      <c r="E808">
        <v>437</v>
      </c>
      <c r="F808" t="s">
        <v>1029</v>
      </c>
      <c r="G808">
        <v>0</v>
      </c>
      <c r="H808">
        <v>0</v>
      </c>
      <c r="I808">
        <v>1</v>
      </c>
      <c r="J808">
        <v>0</v>
      </c>
      <c r="K808">
        <v>2</v>
      </c>
      <c r="L808">
        <v>0</v>
      </c>
      <c r="M808" t="s">
        <v>333</v>
      </c>
      <c r="N808" t="s">
        <v>326</v>
      </c>
      <c r="O808" t="s">
        <v>330</v>
      </c>
    </row>
    <row r="809" spans="1:15" x14ac:dyDescent="0.3">
      <c r="A809">
        <v>222</v>
      </c>
      <c r="B809" t="s">
        <v>323</v>
      </c>
      <c r="C809">
        <v>189</v>
      </c>
      <c r="D809" t="s">
        <v>180</v>
      </c>
      <c r="E809">
        <v>438</v>
      </c>
      <c r="F809" t="s">
        <v>1030</v>
      </c>
      <c r="G809">
        <v>0</v>
      </c>
      <c r="H809">
        <v>1</v>
      </c>
      <c r="I809">
        <v>0</v>
      </c>
      <c r="J809">
        <v>0</v>
      </c>
      <c r="K809">
        <v>0</v>
      </c>
      <c r="L809">
        <v>0</v>
      </c>
      <c r="M809" t="s">
        <v>325</v>
      </c>
      <c r="N809" t="s">
        <v>329</v>
      </c>
      <c r="O809" t="s">
        <v>330</v>
      </c>
    </row>
    <row r="810" spans="1:15" x14ac:dyDescent="0.3">
      <c r="A810">
        <v>222</v>
      </c>
      <c r="B810" t="s">
        <v>323</v>
      </c>
      <c r="C810">
        <v>189</v>
      </c>
      <c r="D810" t="s">
        <v>180</v>
      </c>
      <c r="E810">
        <v>439</v>
      </c>
      <c r="F810" t="s">
        <v>1031</v>
      </c>
      <c r="G810">
        <v>2</v>
      </c>
      <c r="H810">
        <v>1</v>
      </c>
      <c r="I810">
        <v>2</v>
      </c>
      <c r="J810">
        <v>1</v>
      </c>
      <c r="K810">
        <v>0</v>
      </c>
      <c r="L810">
        <v>0</v>
      </c>
      <c r="M810" t="s">
        <v>410</v>
      </c>
      <c r="N810" t="s">
        <v>326</v>
      </c>
      <c r="O810" t="s">
        <v>340</v>
      </c>
    </row>
    <row r="811" spans="1:15" x14ac:dyDescent="0.3">
      <c r="A811">
        <v>222</v>
      </c>
      <c r="B811" t="s">
        <v>323</v>
      </c>
      <c r="C811">
        <v>189</v>
      </c>
      <c r="D811" t="s">
        <v>180</v>
      </c>
      <c r="E811">
        <v>440</v>
      </c>
      <c r="F811" t="s">
        <v>1032</v>
      </c>
      <c r="G811">
        <v>2</v>
      </c>
      <c r="H811">
        <v>0</v>
      </c>
      <c r="I811">
        <v>0</v>
      </c>
      <c r="J811">
        <v>1</v>
      </c>
      <c r="K811">
        <v>1</v>
      </c>
      <c r="L811">
        <v>0</v>
      </c>
      <c r="M811" t="s">
        <v>414</v>
      </c>
      <c r="N811" t="s">
        <v>348</v>
      </c>
      <c r="O811" t="s">
        <v>338</v>
      </c>
    </row>
    <row r="812" spans="1:15" x14ac:dyDescent="0.3">
      <c r="A812">
        <v>222</v>
      </c>
      <c r="B812" t="s">
        <v>323</v>
      </c>
      <c r="C812">
        <v>189</v>
      </c>
      <c r="D812" t="s">
        <v>180</v>
      </c>
      <c r="E812">
        <v>1336</v>
      </c>
      <c r="F812" t="s">
        <v>1033</v>
      </c>
      <c r="G812">
        <v>1</v>
      </c>
      <c r="H812">
        <v>1</v>
      </c>
      <c r="I812">
        <v>1</v>
      </c>
      <c r="J812">
        <v>1</v>
      </c>
      <c r="K812">
        <v>2</v>
      </c>
      <c r="L812">
        <v>0</v>
      </c>
      <c r="M812" t="s">
        <v>414</v>
      </c>
      <c r="N812" t="s">
        <v>336</v>
      </c>
      <c r="O812" t="s">
        <v>330</v>
      </c>
    </row>
    <row r="813" spans="1:15" x14ac:dyDescent="0.3">
      <c r="A813">
        <v>222</v>
      </c>
      <c r="B813" t="s">
        <v>323</v>
      </c>
      <c r="C813">
        <v>189</v>
      </c>
      <c r="D813" t="s">
        <v>180</v>
      </c>
      <c r="E813">
        <v>1337</v>
      </c>
      <c r="F813" t="s">
        <v>1034</v>
      </c>
      <c r="G813">
        <v>3</v>
      </c>
      <c r="H813">
        <v>0</v>
      </c>
      <c r="I813">
        <v>0</v>
      </c>
      <c r="J813">
        <v>0</v>
      </c>
      <c r="K813">
        <v>0</v>
      </c>
      <c r="L813">
        <v>0</v>
      </c>
      <c r="M813" t="s">
        <v>325</v>
      </c>
      <c r="N813" t="s">
        <v>329</v>
      </c>
      <c r="O813" t="s">
        <v>330</v>
      </c>
    </row>
    <row r="814" spans="1:15" x14ac:dyDescent="0.3">
      <c r="A814">
        <v>222</v>
      </c>
      <c r="B814" t="s">
        <v>323</v>
      </c>
      <c r="C814">
        <v>189</v>
      </c>
      <c r="D814" t="s">
        <v>180</v>
      </c>
      <c r="E814">
        <v>1338</v>
      </c>
      <c r="F814" t="s">
        <v>1035</v>
      </c>
      <c r="G814">
        <v>0</v>
      </c>
      <c r="H814">
        <v>2</v>
      </c>
      <c r="I814">
        <v>1</v>
      </c>
      <c r="J814">
        <v>1</v>
      </c>
      <c r="K814">
        <v>0</v>
      </c>
      <c r="L814">
        <v>0</v>
      </c>
      <c r="M814" t="s">
        <v>414</v>
      </c>
      <c r="N814" t="s">
        <v>348</v>
      </c>
      <c r="O814" t="s">
        <v>330</v>
      </c>
    </row>
    <row r="815" spans="1:15" x14ac:dyDescent="0.3">
      <c r="A815">
        <v>222</v>
      </c>
      <c r="B815" t="s">
        <v>323</v>
      </c>
      <c r="C815">
        <v>189</v>
      </c>
      <c r="D815" t="s">
        <v>180</v>
      </c>
      <c r="E815">
        <v>1339</v>
      </c>
      <c r="F815" t="s">
        <v>1036</v>
      </c>
      <c r="G815">
        <v>0</v>
      </c>
      <c r="H815">
        <v>2</v>
      </c>
      <c r="I815">
        <v>1</v>
      </c>
      <c r="J815">
        <v>0</v>
      </c>
      <c r="K815">
        <v>0</v>
      </c>
      <c r="L815">
        <v>0</v>
      </c>
      <c r="M815" t="s">
        <v>566</v>
      </c>
      <c r="N815" t="s">
        <v>336</v>
      </c>
      <c r="O815" t="s">
        <v>330</v>
      </c>
    </row>
    <row r="816" spans="1:15" x14ac:dyDescent="0.3">
      <c r="A816">
        <v>225</v>
      </c>
      <c r="B816" t="s">
        <v>313</v>
      </c>
      <c r="C816">
        <v>192</v>
      </c>
      <c r="D816" t="s">
        <v>186</v>
      </c>
      <c r="E816">
        <v>1635</v>
      </c>
      <c r="F816" t="s">
        <v>349</v>
      </c>
      <c r="M816" t="s">
        <v>1116</v>
      </c>
      <c r="N816" t="s">
        <v>1116</v>
      </c>
      <c r="O816" t="s">
        <v>1116</v>
      </c>
    </row>
    <row r="817" spans="1:15" x14ac:dyDescent="0.3">
      <c r="A817">
        <v>225</v>
      </c>
      <c r="B817" t="s">
        <v>313</v>
      </c>
      <c r="C817">
        <v>192</v>
      </c>
      <c r="D817" t="s">
        <v>186</v>
      </c>
      <c r="E817">
        <v>1637</v>
      </c>
      <c r="F817" t="s">
        <v>1037</v>
      </c>
      <c r="M817" t="s">
        <v>1116</v>
      </c>
      <c r="N817" t="s">
        <v>1116</v>
      </c>
      <c r="O817" t="s">
        <v>1116</v>
      </c>
    </row>
    <row r="818" spans="1:15" x14ac:dyDescent="0.3">
      <c r="A818">
        <v>225</v>
      </c>
      <c r="B818" t="s">
        <v>313</v>
      </c>
      <c r="C818">
        <v>192</v>
      </c>
      <c r="D818" t="s">
        <v>186</v>
      </c>
      <c r="E818">
        <v>1638</v>
      </c>
      <c r="F818" t="s">
        <v>1038</v>
      </c>
      <c r="M818" t="s">
        <v>1116</v>
      </c>
      <c r="N818" t="s">
        <v>1116</v>
      </c>
      <c r="O818" t="s">
        <v>1116</v>
      </c>
    </row>
    <row r="819" spans="1:15" x14ac:dyDescent="0.3">
      <c r="A819">
        <v>225</v>
      </c>
      <c r="B819" t="s">
        <v>313</v>
      </c>
      <c r="C819">
        <v>192</v>
      </c>
      <c r="D819" t="s">
        <v>186</v>
      </c>
      <c r="E819">
        <v>1639</v>
      </c>
      <c r="F819" t="s">
        <v>1039</v>
      </c>
      <c r="M819" t="s">
        <v>1116</v>
      </c>
      <c r="N819" t="s">
        <v>1116</v>
      </c>
      <c r="O819" t="s">
        <v>1116</v>
      </c>
    </row>
    <row r="820" spans="1:15" x14ac:dyDescent="0.3">
      <c r="A820">
        <v>228</v>
      </c>
      <c r="B820" t="s">
        <v>323</v>
      </c>
      <c r="C820">
        <v>195</v>
      </c>
      <c r="D820" t="s">
        <v>192</v>
      </c>
      <c r="E820">
        <v>839</v>
      </c>
      <c r="F820" t="s">
        <v>1040</v>
      </c>
      <c r="G820">
        <v>0</v>
      </c>
      <c r="H820">
        <v>0</v>
      </c>
      <c r="I820">
        <v>4</v>
      </c>
      <c r="J820">
        <v>2</v>
      </c>
      <c r="K820">
        <v>0</v>
      </c>
      <c r="L820">
        <v>0</v>
      </c>
      <c r="M820" t="s">
        <v>566</v>
      </c>
      <c r="N820" t="s">
        <v>326</v>
      </c>
      <c r="O820" t="s">
        <v>338</v>
      </c>
    </row>
    <row r="821" spans="1:15" x14ac:dyDescent="0.3">
      <c r="A821">
        <v>228</v>
      </c>
      <c r="B821" t="s">
        <v>323</v>
      </c>
      <c r="C821">
        <v>195</v>
      </c>
      <c r="D821" t="s">
        <v>192</v>
      </c>
      <c r="E821">
        <v>840</v>
      </c>
      <c r="F821" t="s">
        <v>1041</v>
      </c>
      <c r="G821">
        <v>0</v>
      </c>
      <c r="H821">
        <v>2</v>
      </c>
      <c r="I821">
        <v>3</v>
      </c>
      <c r="J821">
        <v>0</v>
      </c>
      <c r="K821">
        <v>0</v>
      </c>
      <c r="L821">
        <v>0</v>
      </c>
      <c r="M821" t="s">
        <v>414</v>
      </c>
      <c r="N821" t="s">
        <v>343</v>
      </c>
      <c r="O821" t="s">
        <v>330</v>
      </c>
    </row>
    <row r="822" spans="1:15" x14ac:dyDescent="0.3">
      <c r="A822">
        <v>228</v>
      </c>
      <c r="B822" t="s">
        <v>323</v>
      </c>
      <c r="C822">
        <v>195</v>
      </c>
      <c r="D822" t="s">
        <v>192</v>
      </c>
      <c r="E822">
        <v>841</v>
      </c>
      <c r="F822" t="s">
        <v>1042</v>
      </c>
      <c r="G822">
        <v>0</v>
      </c>
      <c r="H822">
        <v>0</v>
      </c>
      <c r="I822">
        <v>0</v>
      </c>
      <c r="J822">
        <v>4</v>
      </c>
      <c r="K822">
        <v>1</v>
      </c>
      <c r="L822">
        <v>0</v>
      </c>
      <c r="M822" t="s">
        <v>325</v>
      </c>
      <c r="N822" t="s">
        <v>484</v>
      </c>
      <c r="O822" t="s">
        <v>338</v>
      </c>
    </row>
    <row r="823" spans="1:15" x14ac:dyDescent="0.3">
      <c r="A823">
        <v>228</v>
      </c>
      <c r="B823" t="s">
        <v>323</v>
      </c>
      <c r="C823">
        <v>195</v>
      </c>
      <c r="D823" t="s">
        <v>192</v>
      </c>
      <c r="E823">
        <v>842</v>
      </c>
      <c r="F823" t="s">
        <v>1043</v>
      </c>
      <c r="G823">
        <v>0</v>
      </c>
      <c r="H823">
        <v>0</v>
      </c>
      <c r="I823">
        <v>3</v>
      </c>
      <c r="J823">
        <v>2</v>
      </c>
      <c r="K823">
        <v>0</v>
      </c>
      <c r="L823">
        <v>0</v>
      </c>
      <c r="M823" t="s">
        <v>325</v>
      </c>
      <c r="N823" t="s">
        <v>343</v>
      </c>
      <c r="O823" t="s">
        <v>338</v>
      </c>
    </row>
    <row r="824" spans="1:15" x14ac:dyDescent="0.3">
      <c r="A824">
        <v>228</v>
      </c>
      <c r="B824" t="s">
        <v>323</v>
      </c>
      <c r="C824">
        <v>195</v>
      </c>
      <c r="D824" t="s">
        <v>192</v>
      </c>
      <c r="E824">
        <v>843</v>
      </c>
      <c r="F824" t="s">
        <v>1044</v>
      </c>
      <c r="G824">
        <v>0</v>
      </c>
      <c r="H824">
        <v>3</v>
      </c>
      <c r="I824">
        <v>2</v>
      </c>
      <c r="J824">
        <v>0</v>
      </c>
      <c r="K824">
        <v>0</v>
      </c>
      <c r="L824">
        <v>0</v>
      </c>
      <c r="M824" t="s">
        <v>414</v>
      </c>
      <c r="N824" t="s">
        <v>343</v>
      </c>
      <c r="O824" t="s">
        <v>330</v>
      </c>
    </row>
    <row r="825" spans="1:15" x14ac:dyDescent="0.3">
      <c r="A825">
        <v>230</v>
      </c>
      <c r="B825" t="s">
        <v>323</v>
      </c>
      <c r="C825">
        <v>197</v>
      </c>
      <c r="D825" t="s">
        <v>197</v>
      </c>
      <c r="E825">
        <v>1468</v>
      </c>
      <c r="F825" t="s">
        <v>1045</v>
      </c>
      <c r="G825">
        <v>0</v>
      </c>
      <c r="H825">
        <v>0</v>
      </c>
      <c r="I825">
        <v>2</v>
      </c>
      <c r="J825">
        <v>0</v>
      </c>
      <c r="K825">
        <v>0</v>
      </c>
      <c r="L825">
        <v>0</v>
      </c>
      <c r="M825" t="s">
        <v>333</v>
      </c>
      <c r="N825" t="s">
        <v>336</v>
      </c>
      <c r="O825" t="s">
        <v>352</v>
      </c>
    </row>
    <row r="826" spans="1:15" x14ac:dyDescent="0.3">
      <c r="A826">
        <v>231</v>
      </c>
      <c r="B826" t="s">
        <v>323</v>
      </c>
      <c r="C826">
        <v>198</v>
      </c>
      <c r="D826" t="s">
        <v>200</v>
      </c>
      <c r="E826">
        <v>1224</v>
      </c>
      <c r="F826" t="s">
        <v>1046</v>
      </c>
      <c r="G826">
        <v>1</v>
      </c>
      <c r="H826">
        <v>2</v>
      </c>
      <c r="I826">
        <v>0</v>
      </c>
      <c r="J826">
        <v>0</v>
      </c>
      <c r="K826">
        <v>3</v>
      </c>
      <c r="L826">
        <v>7</v>
      </c>
      <c r="M826" t="s">
        <v>410</v>
      </c>
      <c r="N826" t="s">
        <v>336</v>
      </c>
      <c r="O826" t="s">
        <v>340</v>
      </c>
    </row>
    <row r="827" spans="1:15" x14ac:dyDescent="0.3">
      <c r="A827">
        <v>231</v>
      </c>
      <c r="B827" t="s">
        <v>323</v>
      </c>
      <c r="C827">
        <v>198</v>
      </c>
      <c r="D827" t="s">
        <v>200</v>
      </c>
      <c r="E827">
        <v>1225</v>
      </c>
      <c r="F827" t="s">
        <v>1047</v>
      </c>
      <c r="G827">
        <v>0</v>
      </c>
      <c r="H827">
        <v>0</v>
      </c>
      <c r="I827">
        <v>0</v>
      </c>
      <c r="J827">
        <v>0</v>
      </c>
      <c r="K827">
        <v>1</v>
      </c>
      <c r="L827">
        <v>1</v>
      </c>
      <c r="M827" t="s">
        <v>325</v>
      </c>
      <c r="N827" t="s">
        <v>326</v>
      </c>
      <c r="O827" t="s">
        <v>352</v>
      </c>
    </row>
    <row r="828" spans="1:15" x14ac:dyDescent="0.3">
      <c r="A828">
        <v>231</v>
      </c>
      <c r="B828" t="s">
        <v>323</v>
      </c>
      <c r="C828">
        <v>198</v>
      </c>
      <c r="D828" t="s">
        <v>200</v>
      </c>
      <c r="E828">
        <v>1226</v>
      </c>
      <c r="F828" t="s">
        <v>1048</v>
      </c>
      <c r="G828">
        <v>1</v>
      </c>
      <c r="H828">
        <v>0</v>
      </c>
      <c r="I828">
        <v>0</v>
      </c>
      <c r="J828">
        <v>0</v>
      </c>
      <c r="K828">
        <v>0</v>
      </c>
      <c r="L828">
        <v>2</v>
      </c>
      <c r="M828" t="s">
        <v>325</v>
      </c>
      <c r="N828" t="s">
        <v>326</v>
      </c>
      <c r="O828" t="s">
        <v>338</v>
      </c>
    </row>
    <row r="829" spans="1:15" x14ac:dyDescent="0.3">
      <c r="A829">
        <v>231</v>
      </c>
      <c r="B829" t="s">
        <v>323</v>
      </c>
      <c r="C829">
        <v>198</v>
      </c>
      <c r="D829" t="s">
        <v>200</v>
      </c>
      <c r="E829">
        <v>1227</v>
      </c>
      <c r="F829" t="s">
        <v>1049</v>
      </c>
      <c r="G829">
        <v>0</v>
      </c>
      <c r="H829">
        <v>0</v>
      </c>
      <c r="I829">
        <v>0</v>
      </c>
      <c r="J829">
        <v>0</v>
      </c>
      <c r="K829">
        <v>1</v>
      </c>
      <c r="L829">
        <v>1</v>
      </c>
      <c r="M829" t="s">
        <v>325</v>
      </c>
      <c r="N829" t="s">
        <v>336</v>
      </c>
      <c r="O829" t="s">
        <v>340</v>
      </c>
    </row>
    <row r="830" spans="1:15" x14ac:dyDescent="0.3">
      <c r="A830">
        <v>231</v>
      </c>
      <c r="B830" t="s">
        <v>323</v>
      </c>
      <c r="C830">
        <v>198</v>
      </c>
      <c r="D830" t="s">
        <v>200</v>
      </c>
      <c r="E830">
        <v>1228</v>
      </c>
      <c r="F830" t="s">
        <v>1050</v>
      </c>
      <c r="G830">
        <v>1</v>
      </c>
      <c r="H830">
        <v>0</v>
      </c>
      <c r="I830">
        <v>0</v>
      </c>
      <c r="J830">
        <v>0</v>
      </c>
      <c r="K830">
        <v>0</v>
      </c>
      <c r="L830">
        <v>3</v>
      </c>
      <c r="M830" t="s">
        <v>325</v>
      </c>
      <c r="N830" t="s">
        <v>336</v>
      </c>
      <c r="O830" t="s">
        <v>330</v>
      </c>
    </row>
    <row r="831" spans="1:15" x14ac:dyDescent="0.3">
      <c r="A831">
        <v>231</v>
      </c>
      <c r="B831" t="s">
        <v>323</v>
      </c>
      <c r="C831">
        <v>198</v>
      </c>
      <c r="D831" t="s">
        <v>200</v>
      </c>
      <c r="E831">
        <v>1229</v>
      </c>
      <c r="F831" t="s">
        <v>1051</v>
      </c>
      <c r="G831">
        <v>0</v>
      </c>
      <c r="H831">
        <v>0</v>
      </c>
      <c r="I831">
        <v>0</v>
      </c>
      <c r="J831">
        <v>0</v>
      </c>
      <c r="K831">
        <v>1</v>
      </c>
      <c r="L831">
        <v>1</v>
      </c>
      <c r="M831" t="s">
        <v>325</v>
      </c>
      <c r="N831" t="s">
        <v>336</v>
      </c>
      <c r="O831" t="s">
        <v>352</v>
      </c>
    </row>
    <row r="832" spans="1:15" x14ac:dyDescent="0.3">
      <c r="A832">
        <v>231</v>
      </c>
      <c r="B832" t="s">
        <v>323</v>
      </c>
      <c r="C832">
        <v>198</v>
      </c>
      <c r="D832" t="s">
        <v>200</v>
      </c>
      <c r="E832">
        <v>1230</v>
      </c>
      <c r="F832" t="s">
        <v>1052</v>
      </c>
      <c r="G832">
        <v>0</v>
      </c>
      <c r="H832">
        <v>0</v>
      </c>
      <c r="I832">
        <v>0</v>
      </c>
      <c r="J832">
        <v>0</v>
      </c>
      <c r="K832">
        <v>0</v>
      </c>
      <c r="L832">
        <v>2</v>
      </c>
      <c r="M832" t="s">
        <v>325</v>
      </c>
      <c r="N832" t="s">
        <v>336</v>
      </c>
      <c r="O832" t="s">
        <v>338</v>
      </c>
    </row>
    <row r="833" spans="1:15" x14ac:dyDescent="0.3">
      <c r="A833">
        <v>231</v>
      </c>
      <c r="B833" t="s">
        <v>323</v>
      </c>
      <c r="C833">
        <v>198</v>
      </c>
      <c r="D833" t="s">
        <v>200</v>
      </c>
      <c r="E833">
        <v>1231</v>
      </c>
      <c r="F833" t="s">
        <v>1053</v>
      </c>
      <c r="G833">
        <v>1</v>
      </c>
      <c r="H833">
        <v>0</v>
      </c>
      <c r="I833">
        <v>0</v>
      </c>
      <c r="J833">
        <v>0</v>
      </c>
      <c r="K833">
        <v>1</v>
      </c>
      <c r="L833">
        <v>0</v>
      </c>
      <c r="M833" t="s">
        <v>325</v>
      </c>
      <c r="N833" t="s">
        <v>326</v>
      </c>
      <c r="O833" t="s">
        <v>338</v>
      </c>
    </row>
    <row r="834" spans="1:15" x14ac:dyDescent="0.3">
      <c r="A834">
        <v>231</v>
      </c>
      <c r="B834" t="s">
        <v>323</v>
      </c>
      <c r="C834">
        <v>198</v>
      </c>
      <c r="D834" t="s">
        <v>200</v>
      </c>
      <c r="E834">
        <v>1232</v>
      </c>
      <c r="F834" t="s">
        <v>1054</v>
      </c>
      <c r="G834">
        <v>0</v>
      </c>
      <c r="H834">
        <v>0</v>
      </c>
      <c r="I834">
        <v>0</v>
      </c>
      <c r="J834">
        <v>0</v>
      </c>
      <c r="K834">
        <v>0</v>
      </c>
      <c r="L834">
        <v>4</v>
      </c>
      <c r="M834" t="s">
        <v>325</v>
      </c>
      <c r="N834" t="s">
        <v>326</v>
      </c>
      <c r="O834" t="s">
        <v>340</v>
      </c>
    </row>
    <row r="835" spans="1:15" x14ac:dyDescent="0.3">
      <c r="A835">
        <v>231</v>
      </c>
      <c r="B835" t="s">
        <v>323</v>
      </c>
      <c r="C835">
        <v>198</v>
      </c>
      <c r="D835" t="s">
        <v>200</v>
      </c>
      <c r="E835">
        <v>1554</v>
      </c>
      <c r="F835" t="s">
        <v>1055</v>
      </c>
      <c r="G835">
        <v>0</v>
      </c>
      <c r="H835">
        <v>0</v>
      </c>
      <c r="I835">
        <v>1</v>
      </c>
      <c r="J835">
        <v>0</v>
      </c>
      <c r="K835">
        <v>2</v>
      </c>
      <c r="L835">
        <v>0</v>
      </c>
      <c r="M835" t="s">
        <v>325</v>
      </c>
      <c r="N835" t="s">
        <v>326</v>
      </c>
      <c r="O835" t="s">
        <v>327</v>
      </c>
    </row>
    <row r="836" spans="1:15" x14ac:dyDescent="0.3">
      <c r="A836">
        <v>231</v>
      </c>
      <c r="B836" t="s">
        <v>323</v>
      </c>
      <c r="C836">
        <v>198</v>
      </c>
      <c r="D836" t="s">
        <v>200</v>
      </c>
      <c r="E836">
        <v>1558</v>
      </c>
      <c r="F836" t="s">
        <v>1056</v>
      </c>
      <c r="G836">
        <v>1</v>
      </c>
      <c r="H836">
        <v>0</v>
      </c>
      <c r="I836">
        <v>0</v>
      </c>
      <c r="J836">
        <v>0</v>
      </c>
      <c r="K836">
        <v>1</v>
      </c>
      <c r="L836">
        <v>0</v>
      </c>
      <c r="M836" t="s">
        <v>325</v>
      </c>
      <c r="N836" t="s">
        <v>326</v>
      </c>
      <c r="O836" t="s">
        <v>330</v>
      </c>
    </row>
    <row r="837" spans="1:15" x14ac:dyDescent="0.3">
      <c r="A837">
        <v>235</v>
      </c>
      <c r="B837" t="s">
        <v>323</v>
      </c>
      <c r="C837">
        <v>202</v>
      </c>
      <c r="D837" t="s">
        <v>208</v>
      </c>
      <c r="E837">
        <v>1381</v>
      </c>
      <c r="F837" t="s">
        <v>1057</v>
      </c>
      <c r="G837">
        <v>3</v>
      </c>
      <c r="H837">
        <v>1</v>
      </c>
      <c r="I837">
        <v>0</v>
      </c>
      <c r="J837">
        <v>0</v>
      </c>
      <c r="K837">
        <v>0</v>
      </c>
      <c r="L837">
        <v>0</v>
      </c>
      <c r="M837" t="s">
        <v>333</v>
      </c>
      <c r="N837" t="s">
        <v>484</v>
      </c>
      <c r="O837" t="s">
        <v>338</v>
      </c>
    </row>
    <row r="838" spans="1:15" x14ac:dyDescent="0.3">
      <c r="A838">
        <v>235</v>
      </c>
      <c r="B838" t="s">
        <v>323</v>
      </c>
      <c r="C838">
        <v>202</v>
      </c>
      <c r="D838" t="s">
        <v>208</v>
      </c>
      <c r="E838">
        <v>1382</v>
      </c>
      <c r="F838" t="s">
        <v>315</v>
      </c>
      <c r="G838">
        <v>2</v>
      </c>
      <c r="H838">
        <v>0</v>
      </c>
      <c r="I838">
        <v>0</v>
      </c>
      <c r="J838">
        <v>0</v>
      </c>
      <c r="K838">
        <v>0</v>
      </c>
      <c r="L838">
        <v>1</v>
      </c>
      <c r="M838" t="s">
        <v>333</v>
      </c>
      <c r="N838" t="s">
        <v>484</v>
      </c>
      <c r="O838" t="s">
        <v>340</v>
      </c>
    </row>
    <row r="839" spans="1:15" x14ac:dyDescent="0.3">
      <c r="A839">
        <v>235</v>
      </c>
      <c r="B839" t="s">
        <v>323</v>
      </c>
      <c r="C839">
        <v>202</v>
      </c>
      <c r="D839" t="s">
        <v>208</v>
      </c>
      <c r="E839">
        <v>1383</v>
      </c>
      <c r="F839" t="s">
        <v>1058</v>
      </c>
      <c r="G839">
        <v>1</v>
      </c>
      <c r="H839">
        <v>0</v>
      </c>
      <c r="I839">
        <v>0</v>
      </c>
      <c r="J839">
        <v>0</v>
      </c>
      <c r="K839">
        <v>1</v>
      </c>
      <c r="L839">
        <v>1</v>
      </c>
      <c r="M839" t="s">
        <v>333</v>
      </c>
      <c r="N839" t="s">
        <v>484</v>
      </c>
      <c r="O839" t="s">
        <v>352</v>
      </c>
    </row>
    <row r="840" spans="1:15" x14ac:dyDescent="0.3">
      <c r="A840">
        <v>235</v>
      </c>
      <c r="B840" t="s">
        <v>323</v>
      </c>
      <c r="C840">
        <v>202</v>
      </c>
      <c r="D840" t="s">
        <v>208</v>
      </c>
      <c r="E840">
        <v>1384</v>
      </c>
      <c r="F840" t="s">
        <v>393</v>
      </c>
      <c r="G840">
        <v>2</v>
      </c>
      <c r="H840">
        <v>1</v>
      </c>
      <c r="I840">
        <v>0</v>
      </c>
      <c r="J840">
        <v>0</v>
      </c>
      <c r="K840">
        <v>2</v>
      </c>
      <c r="L840">
        <v>0</v>
      </c>
      <c r="M840" t="s">
        <v>410</v>
      </c>
      <c r="N840" t="s">
        <v>336</v>
      </c>
      <c r="O840" t="s">
        <v>327</v>
      </c>
    </row>
    <row r="841" spans="1:15" x14ac:dyDescent="0.3">
      <c r="A841">
        <v>236</v>
      </c>
      <c r="B841" t="s">
        <v>323</v>
      </c>
      <c r="C841">
        <v>203</v>
      </c>
      <c r="D841" t="s">
        <v>210</v>
      </c>
      <c r="E841">
        <v>1560</v>
      </c>
      <c r="F841" t="s">
        <v>1059</v>
      </c>
      <c r="G841">
        <v>0</v>
      </c>
      <c r="H841">
        <v>0</v>
      </c>
      <c r="I841">
        <v>1</v>
      </c>
      <c r="J841">
        <v>2</v>
      </c>
      <c r="K841">
        <v>0</v>
      </c>
      <c r="L841">
        <v>0</v>
      </c>
      <c r="M841" t="s">
        <v>410</v>
      </c>
      <c r="N841" t="s">
        <v>336</v>
      </c>
      <c r="O841" t="s">
        <v>340</v>
      </c>
    </row>
    <row r="842" spans="1:15" x14ac:dyDescent="0.3">
      <c r="A842">
        <v>236</v>
      </c>
      <c r="B842" t="s">
        <v>323</v>
      </c>
      <c r="C842">
        <v>203</v>
      </c>
      <c r="D842" t="s">
        <v>210</v>
      </c>
      <c r="E842">
        <v>1597</v>
      </c>
      <c r="F842" t="s">
        <v>531</v>
      </c>
      <c r="G842">
        <v>0</v>
      </c>
      <c r="H842">
        <v>1</v>
      </c>
      <c r="I842">
        <v>2</v>
      </c>
      <c r="J842">
        <v>4</v>
      </c>
      <c r="K842">
        <v>0</v>
      </c>
      <c r="L842">
        <v>0</v>
      </c>
      <c r="M842" t="s">
        <v>333</v>
      </c>
      <c r="N842" t="s">
        <v>336</v>
      </c>
      <c r="O842" t="s">
        <v>330</v>
      </c>
    </row>
    <row r="843" spans="1:15" x14ac:dyDescent="0.3">
      <c r="A843">
        <v>236</v>
      </c>
      <c r="B843" t="s">
        <v>323</v>
      </c>
      <c r="C843">
        <v>203</v>
      </c>
      <c r="D843" t="s">
        <v>210</v>
      </c>
      <c r="E843">
        <v>1598</v>
      </c>
      <c r="F843" t="s">
        <v>1060</v>
      </c>
      <c r="G843">
        <v>0</v>
      </c>
      <c r="H843">
        <v>0</v>
      </c>
      <c r="I843">
        <v>0</v>
      </c>
      <c r="J843">
        <v>2</v>
      </c>
      <c r="K843">
        <v>2</v>
      </c>
      <c r="L843">
        <v>0</v>
      </c>
      <c r="M843" t="s">
        <v>333</v>
      </c>
      <c r="N843" t="s">
        <v>336</v>
      </c>
      <c r="O843" t="s">
        <v>330</v>
      </c>
    </row>
    <row r="844" spans="1:15" x14ac:dyDescent="0.3">
      <c r="A844">
        <v>237</v>
      </c>
      <c r="B844" t="s">
        <v>323</v>
      </c>
      <c r="C844">
        <v>204</v>
      </c>
      <c r="D844" t="s">
        <v>212</v>
      </c>
      <c r="E844">
        <v>314</v>
      </c>
      <c r="F844" t="s">
        <v>1061</v>
      </c>
      <c r="G844">
        <v>1</v>
      </c>
      <c r="H844">
        <v>2</v>
      </c>
      <c r="I844">
        <v>1</v>
      </c>
      <c r="J844">
        <v>2</v>
      </c>
      <c r="K844">
        <v>0</v>
      </c>
      <c r="L844">
        <v>0</v>
      </c>
      <c r="M844" t="s">
        <v>410</v>
      </c>
      <c r="N844" t="s">
        <v>336</v>
      </c>
      <c r="O844" t="s">
        <v>330</v>
      </c>
    </row>
    <row r="845" spans="1:15" x14ac:dyDescent="0.3">
      <c r="A845">
        <v>237</v>
      </c>
      <c r="B845" t="s">
        <v>323</v>
      </c>
      <c r="C845">
        <v>204</v>
      </c>
      <c r="D845" t="s">
        <v>212</v>
      </c>
      <c r="E845">
        <v>315</v>
      </c>
      <c r="F845" t="s">
        <v>1062</v>
      </c>
      <c r="G845">
        <v>0</v>
      </c>
      <c r="H845">
        <v>0</v>
      </c>
      <c r="I845">
        <v>1</v>
      </c>
      <c r="J845">
        <v>0</v>
      </c>
      <c r="K845">
        <v>1</v>
      </c>
      <c r="L845">
        <v>0</v>
      </c>
      <c r="M845" t="s">
        <v>333</v>
      </c>
      <c r="N845" t="s">
        <v>326</v>
      </c>
      <c r="O845" t="s">
        <v>352</v>
      </c>
    </row>
    <row r="846" spans="1:15" x14ac:dyDescent="0.3">
      <c r="A846">
        <v>237</v>
      </c>
      <c r="B846" t="s">
        <v>323</v>
      </c>
      <c r="C846">
        <v>204</v>
      </c>
      <c r="D846" t="s">
        <v>212</v>
      </c>
      <c r="E846">
        <v>316</v>
      </c>
      <c r="F846" t="s">
        <v>1063</v>
      </c>
      <c r="G846">
        <v>0</v>
      </c>
      <c r="H846">
        <v>0</v>
      </c>
      <c r="I846">
        <v>0</v>
      </c>
      <c r="J846">
        <v>0</v>
      </c>
      <c r="K846">
        <v>0</v>
      </c>
      <c r="L846">
        <v>0</v>
      </c>
      <c r="M846" t="s">
        <v>410</v>
      </c>
      <c r="N846" t="s">
        <v>343</v>
      </c>
      <c r="O846" t="s">
        <v>330</v>
      </c>
    </row>
    <row r="847" spans="1:15" x14ac:dyDescent="0.3">
      <c r="A847">
        <v>237</v>
      </c>
      <c r="B847" t="s">
        <v>323</v>
      </c>
      <c r="C847">
        <v>204</v>
      </c>
      <c r="D847" t="s">
        <v>212</v>
      </c>
      <c r="E847">
        <v>317</v>
      </c>
      <c r="F847" t="s">
        <v>1064</v>
      </c>
      <c r="G847">
        <v>0</v>
      </c>
      <c r="H847">
        <v>0</v>
      </c>
      <c r="I847">
        <v>0</v>
      </c>
      <c r="J847">
        <v>2</v>
      </c>
      <c r="K847">
        <v>2</v>
      </c>
      <c r="L847">
        <v>0</v>
      </c>
      <c r="M847" t="s">
        <v>325</v>
      </c>
      <c r="N847" t="s">
        <v>326</v>
      </c>
      <c r="O847" t="s">
        <v>330</v>
      </c>
    </row>
    <row r="848" spans="1:15" x14ac:dyDescent="0.3">
      <c r="A848">
        <v>237</v>
      </c>
      <c r="B848" t="s">
        <v>323</v>
      </c>
      <c r="C848">
        <v>204</v>
      </c>
      <c r="D848" t="s">
        <v>212</v>
      </c>
      <c r="E848">
        <v>318</v>
      </c>
      <c r="F848" t="s">
        <v>1065</v>
      </c>
      <c r="G848">
        <v>0</v>
      </c>
      <c r="H848">
        <v>0</v>
      </c>
      <c r="I848">
        <v>0</v>
      </c>
      <c r="J848">
        <v>0</v>
      </c>
      <c r="K848">
        <v>0</v>
      </c>
      <c r="L848">
        <v>0</v>
      </c>
      <c r="M848" t="s">
        <v>325</v>
      </c>
      <c r="N848" t="s">
        <v>336</v>
      </c>
      <c r="O848" t="s">
        <v>330</v>
      </c>
    </row>
    <row r="849" spans="1:15" x14ac:dyDescent="0.3">
      <c r="A849">
        <v>237</v>
      </c>
      <c r="B849" t="s">
        <v>323</v>
      </c>
      <c r="C849">
        <v>204</v>
      </c>
      <c r="D849" t="s">
        <v>212</v>
      </c>
      <c r="E849">
        <v>319</v>
      </c>
      <c r="F849" t="s">
        <v>531</v>
      </c>
      <c r="G849">
        <v>0</v>
      </c>
      <c r="H849">
        <v>0</v>
      </c>
      <c r="I849">
        <v>1</v>
      </c>
      <c r="J849">
        <v>1</v>
      </c>
      <c r="K849">
        <v>0</v>
      </c>
      <c r="L849">
        <v>3</v>
      </c>
      <c r="M849" t="s">
        <v>333</v>
      </c>
      <c r="N849" t="s">
        <v>326</v>
      </c>
      <c r="O849" t="s">
        <v>330</v>
      </c>
    </row>
    <row r="850" spans="1:15" x14ac:dyDescent="0.3">
      <c r="A850">
        <v>237</v>
      </c>
      <c r="B850" t="s">
        <v>323</v>
      </c>
      <c r="C850">
        <v>204</v>
      </c>
      <c r="D850" t="s">
        <v>212</v>
      </c>
      <c r="E850">
        <v>320</v>
      </c>
      <c r="F850" t="s">
        <v>322</v>
      </c>
      <c r="G850">
        <v>0</v>
      </c>
      <c r="H850">
        <v>0</v>
      </c>
      <c r="I850">
        <v>2</v>
      </c>
      <c r="J850">
        <v>1</v>
      </c>
      <c r="K850">
        <v>0</v>
      </c>
      <c r="L850">
        <v>1</v>
      </c>
      <c r="M850" t="s">
        <v>325</v>
      </c>
      <c r="N850" t="s">
        <v>326</v>
      </c>
      <c r="O850" t="s">
        <v>330</v>
      </c>
    </row>
    <row r="851" spans="1:15" x14ac:dyDescent="0.3">
      <c r="A851">
        <v>237</v>
      </c>
      <c r="B851" t="s">
        <v>323</v>
      </c>
      <c r="C851">
        <v>204</v>
      </c>
      <c r="D851" t="s">
        <v>212</v>
      </c>
      <c r="E851">
        <v>321</v>
      </c>
      <c r="F851" t="s">
        <v>1066</v>
      </c>
      <c r="G851">
        <v>0</v>
      </c>
      <c r="H851">
        <v>0</v>
      </c>
      <c r="I851">
        <v>0</v>
      </c>
      <c r="J851">
        <v>0</v>
      </c>
      <c r="K851">
        <v>0</v>
      </c>
      <c r="L851">
        <v>0</v>
      </c>
      <c r="M851" t="s">
        <v>325</v>
      </c>
      <c r="N851" t="s">
        <v>326</v>
      </c>
      <c r="O851" t="s">
        <v>330</v>
      </c>
    </row>
    <row r="852" spans="1:15" x14ac:dyDescent="0.3">
      <c r="A852">
        <v>237</v>
      </c>
      <c r="B852" t="s">
        <v>323</v>
      </c>
      <c r="C852">
        <v>204</v>
      </c>
      <c r="D852" t="s">
        <v>212</v>
      </c>
      <c r="E852">
        <v>961</v>
      </c>
      <c r="F852" t="s">
        <v>393</v>
      </c>
      <c r="G852">
        <v>0</v>
      </c>
      <c r="H852">
        <v>0</v>
      </c>
      <c r="I852">
        <v>2</v>
      </c>
      <c r="J852">
        <v>1</v>
      </c>
      <c r="K852">
        <v>1</v>
      </c>
      <c r="L852">
        <v>0</v>
      </c>
      <c r="M852" t="s">
        <v>566</v>
      </c>
      <c r="N852" t="s">
        <v>326</v>
      </c>
      <c r="O852" t="s">
        <v>327</v>
      </c>
    </row>
    <row r="853" spans="1:15" x14ac:dyDescent="0.3">
      <c r="A853">
        <v>237</v>
      </c>
      <c r="B853" t="s">
        <v>323</v>
      </c>
      <c r="C853">
        <v>204</v>
      </c>
      <c r="D853" t="s">
        <v>212</v>
      </c>
      <c r="E853">
        <v>1475</v>
      </c>
      <c r="F853" t="s">
        <v>1067</v>
      </c>
      <c r="G853">
        <v>0</v>
      </c>
      <c r="H853">
        <v>2</v>
      </c>
      <c r="I853">
        <v>1</v>
      </c>
      <c r="J853">
        <v>1</v>
      </c>
      <c r="K853">
        <v>1</v>
      </c>
      <c r="L853">
        <v>0</v>
      </c>
      <c r="M853" t="s">
        <v>333</v>
      </c>
      <c r="N853" t="s">
        <v>336</v>
      </c>
      <c r="O853" t="s">
        <v>330</v>
      </c>
    </row>
    <row r="854" spans="1:15" x14ac:dyDescent="0.3">
      <c r="A854">
        <v>237</v>
      </c>
      <c r="B854" t="s">
        <v>323</v>
      </c>
      <c r="C854">
        <v>204</v>
      </c>
      <c r="D854" t="s">
        <v>212</v>
      </c>
      <c r="E854">
        <v>1476</v>
      </c>
      <c r="F854" t="s">
        <v>1068</v>
      </c>
      <c r="G854">
        <v>0</v>
      </c>
      <c r="H854">
        <v>1</v>
      </c>
      <c r="I854">
        <v>2</v>
      </c>
      <c r="J854">
        <v>1</v>
      </c>
      <c r="K854">
        <v>0</v>
      </c>
      <c r="L854">
        <v>0</v>
      </c>
      <c r="M854" t="s">
        <v>325</v>
      </c>
      <c r="N854" t="s">
        <v>326</v>
      </c>
      <c r="O854" t="s">
        <v>330</v>
      </c>
    </row>
    <row r="855" spans="1:15" x14ac:dyDescent="0.3">
      <c r="A855">
        <v>237</v>
      </c>
      <c r="B855" t="s">
        <v>323</v>
      </c>
      <c r="C855">
        <v>204</v>
      </c>
      <c r="D855" t="s">
        <v>212</v>
      </c>
      <c r="E855">
        <v>1477</v>
      </c>
      <c r="F855" t="s">
        <v>1069</v>
      </c>
      <c r="G855">
        <v>0</v>
      </c>
      <c r="H855">
        <v>0</v>
      </c>
      <c r="I855">
        <v>0</v>
      </c>
      <c r="J855">
        <v>0</v>
      </c>
      <c r="K855">
        <v>0</v>
      </c>
      <c r="L855">
        <v>0</v>
      </c>
      <c r="M855" t="s">
        <v>325</v>
      </c>
      <c r="N855" t="s">
        <v>343</v>
      </c>
      <c r="O855" t="s">
        <v>330</v>
      </c>
    </row>
    <row r="856" spans="1:15" x14ac:dyDescent="0.3">
      <c r="A856">
        <v>237</v>
      </c>
      <c r="B856" t="s">
        <v>323</v>
      </c>
      <c r="C856">
        <v>204</v>
      </c>
      <c r="D856" t="s">
        <v>212</v>
      </c>
      <c r="E856">
        <v>1553</v>
      </c>
      <c r="F856" t="s">
        <v>1070</v>
      </c>
      <c r="G856">
        <v>0</v>
      </c>
      <c r="H856">
        <v>0</v>
      </c>
      <c r="I856">
        <v>1</v>
      </c>
      <c r="J856">
        <v>2</v>
      </c>
      <c r="K856">
        <v>1</v>
      </c>
      <c r="L856">
        <v>1</v>
      </c>
      <c r="M856" t="s">
        <v>410</v>
      </c>
      <c r="N856" t="s">
        <v>326</v>
      </c>
      <c r="O856" t="s">
        <v>330</v>
      </c>
    </row>
    <row r="857" spans="1:15" x14ac:dyDescent="0.3">
      <c r="A857">
        <v>238</v>
      </c>
      <c r="B857" t="s">
        <v>323</v>
      </c>
      <c r="C857">
        <v>206</v>
      </c>
      <c r="D857" t="s">
        <v>214</v>
      </c>
      <c r="E857">
        <v>347</v>
      </c>
      <c r="F857" t="s">
        <v>1071</v>
      </c>
      <c r="G857">
        <v>0</v>
      </c>
      <c r="H857">
        <v>3</v>
      </c>
      <c r="I857">
        <v>3</v>
      </c>
      <c r="J857">
        <v>2</v>
      </c>
      <c r="K857">
        <v>1</v>
      </c>
      <c r="L857">
        <v>0</v>
      </c>
      <c r="M857" t="s">
        <v>325</v>
      </c>
      <c r="N857" t="s">
        <v>348</v>
      </c>
      <c r="O857" t="s">
        <v>338</v>
      </c>
    </row>
    <row r="858" spans="1:15" x14ac:dyDescent="0.3">
      <c r="A858">
        <v>238</v>
      </c>
      <c r="B858" t="s">
        <v>323</v>
      </c>
      <c r="C858">
        <v>206</v>
      </c>
      <c r="D858" t="s">
        <v>214</v>
      </c>
      <c r="E858">
        <v>348</v>
      </c>
      <c r="F858" t="s">
        <v>349</v>
      </c>
      <c r="G858">
        <v>0</v>
      </c>
      <c r="H858">
        <v>0</v>
      </c>
      <c r="I858">
        <v>0</v>
      </c>
      <c r="J858">
        <v>1</v>
      </c>
      <c r="K858">
        <v>3</v>
      </c>
      <c r="L858">
        <v>0</v>
      </c>
      <c r="M858" t="s">
        <v>410</v>
      </c>
      <c r="N858" t="s">
        <v>336</v>
      </c>
      <c r="O858" t="s">
        <v>352</v>
      </c>
    </row>
    <row r="859" spans="1:15" x14ac:dyDescent="0.3">
      <c r="A859">
        <v>238</v>
      </c>
      <c r="B859" t="s">
        <v>323</v>
      </c>
      <c r="C859">
        <v>206</v>
      </c>
      <c r="D859" t="s">
        <v>214</v>
      </c>
      <c r="E859">
        <v>1441</v>
      </c>
      <c r="F859" t="s">
        <v>1072</v>
      </c>
      <c r="G859">
        <v>1</v>
      </c>
      <c r="H859">
        <v>1</v>
      </c>
      <c r="I859">
        <v>1</v>
      </c>
      <c r="J859">
        <v>0</v>
      </c>
      <c r="K859">
        <v>2</v>
      </c>
      <c r="L859">
        <v>4</v>
      </c>
      <c r="M859" t="s">
        <v>325</v>
      </c>
      <c r="N859" t="s">
        <v>348</v>
      </c>
      <c r="O859" t="s">
        <v>330</v>
      </c>
    </row>
    <row r="860" spans="1:15" x14ac:dyDescent="0.3">
      <c r="A860">
        <v>239</v>
      </c>
      <c r="B860" t="s">
        <v>323</v>
      </c>
      <c r="C860">
        <v>207</v>
      </c>
      <c r="D860" t="s">
        <v>216</v>
      </c>
      <c r="E860">
        <v>1596</v>
      </c>
      <c r="F860" t="s">
        <v>1073</v>
      </c>
      <c r="G860">
        <v>0</v>
      </c>
      <c r="H860">
        <v>1</v>
      </c>
      <c r="I860">
        <v>0</v>
      </c>
      <c r="J860">
        <v>3</v>
      </c>
      <c r="K860">
        <v>3</v>
      </c>
      <c r="L860">
        <v>0</v>
      </c>
      <c r="M860" t="s">
        <v>325</v>
      </c>
      <c r="N860" t="s">
        <v>336</v>
      </c>
      <c r="O860" t="s">
        <v>330</v>
      </c>
    </row>
    <row r="861" spans="1:15" x14ac:dyDescent="0.3">
      <c r="A861">
        <v>240</v>
      </c>
      <c r="B861" t="s">
        <v>323</v>
      </c>
      <c r="C861">
        <v>208</v>
      </c>
      <c r="D861" t="s">
        <v>218</v>
      </c>
      <c r="E861">
        <v>283</v>
      </c>
      <c r="F861" t="s">
        <v>1074</v>
      </c>
      <c r="G861">
        <v>0</v>
      </c>
      <c r="H861">
        <v>0</v>
      </c>
      <c r="I861">
        <v>1</v>
      </c>
      <c r="J861">
        <v>2</v>
      </c>
      <c r="K861">
        <v>0</v>
      </c>
      <c r="L861">
        <v>0</v>
      </c>
      <c r="M861" t="s">
        <v>414</v>
      </c>
      <c r="N861" t="s">
        <v>336</v>
      </c>
      <c r="O861" t="s">
        <v>330</v>
      </c>
    </row>
    <row r="862" spans="1:15" x14ac:dyDescent="0.3">
      <c r="A862">
        <v>240</v>
      </c>
      <c r="B862" t="s">
        <v>323</v>
      </c>
      <c r="C862">
        <v>208</v>
      </c>
      <c r="D862" t="s">
        <v>218</v>
      </c>
      <c r="E862">
        <v>1570</v>
      </c>
      <c r="F862" t="s">
        <v>1075</v>
      </c>
      <c r="G862">
        <v>0</v>
      </c>
      <c r="H862">
        <v>1</v>
      </c>
      <c r="I862">
        <v>1</v>
      </c>
      <c r="J862">
        <v>0</v>
      </c>
      <c r="K862">
        <v>0</v>
      </c>
      <c r="L862">
        <v>0</v>
      </c>
      <c r="M862" t="s">
        <v>414</v>
      </c>
      <c r="N862" t="s">
        <v>336</v>
      </c>
      <c r="O862" t="s">
        <v>340</v>
      </c>
    </row>
    <row r="863" spans="1:15" x14ac:dyDescent="0.3">
      <c r="A863">
        <v>240</v>
      </c>
      <c r="B863" t="s">
        <v>323</v>
      </c>
      <c r="C863">
        <v>208</v>
      </c>
      <c r="D863" t="s">
        <v>218</v>
      </c>
      <c r="E863">
        <v>1571</v>
      </c>
      <c r="F863" t="s">
        <v>1076</v>
      </c>
      <c r="G863">
        <v>0</v>
      </c>
      <c r="H863">
        <v>0</v>
      </c>
      <c r="I863">
        <v>1</v>
      </c>
      <c r="J863">
        <v>3</v>
      </c>
      <c r="K863">
        <v>0</v>
      </c>
      <c r="L863">
        <v>0</v>
      </c>
      <c r="M863" t="s">
        <v>566</v>
      </c>
      <c r="N863" t="s">
        <v>336</v>
      </c>
      <c r="O863" t="s">
        <v>330</v>
      </c>
    </row>
    <row r="864" spans="1:15" x14ac:dyDescent="0.3">
      <c r="A864">
        <v>244</v>
      </c>
      <c r="B864" t="s">
        <v>323</v>
      </c>
      <c r="C864">
        <v>212</v>
      </c>
      <c r="D864" t="s">
        <v>226</v>
      </c>
      <c r="E864">
        <v>1505</v>
      </c>
      <c r="F864" t="s">
        <v>1077</v>
      </c>
      <c r="G864">
        <v>0</v>
      </c>
      <c r="H864">
        <v>0</v>
      </c>
      <c r="I864">
        <v>6</v>
      </c>
      <c r="J864">
        <v>2</v>
      </c>
      <c r="K864">
        <v>0</v>
      </c>
      <c r="L864">
        <v>0</v>
      </c>
      <c r="M864" t="s">
        <v>416</v>
      </c>
      <c r="N864" t="s">
        <v>336</v>
      </c>
      <c r="O864" t="s">
        <v>352</v>
      </c>
    </row>
    <row r="865" spans="1:15" x14ac:dyDescent="0.3">
      <c r="A865">
        <v>245</v>
      </c>
      <c r="B865" t="s">
        <v>323</v>
      </c>
      <c r="C865">
        <v>213</v>
      </c>
      <c r="D865" t="s">
        <v>228</v>
      </c>
      <c r="E865">
        <v>1551</v>
      </c>
      <c r="F865" t="s">
        <v>1078</v>
      </c>
      <c r="G865">
        <v>0</v>
      </c>
      <c r="H865">
        <v>0</v>
      </c>
      <c r="I865">
        <v>0</v>
      </c>
      <c r="J865">
        <v>0</v>
      </c>
      <c r="K865">
        <v>0</v>
      </c>
      <c r="L865">
        <v>0</v>
      </c>
      <c r="M865" t="s">
        <v>325</v>
      </c>
      <c r="N865" t="s">
        <v>336</v>
      </c>
      <c r="O865" t="s">
        <v>330</v>
      </c>
    </row>
    <row r="866" spans="1:15" x14ac:dyDescent="0.3">
      <c r="A866">
        <v>251</v>
      </c>
      <c r="B866" t="s">
        <v>323</v>
      </c>
      <c r="C866">
        <v>219</v>
      </c>
      <c r="D866" t="s">
        <v>238</v>
      </c>
      <c r="E866">
        <v>1371</v>
      </c>
      <c r="F866" t="s">
        <v>1079</v>
      </c>
      <c r="G866">
        <v>0</v>
      </c>
      <c r="H866">
        <v>2</v>
      </c>
      <c r="I866">
        <v>0</v>
      </c>
      <c r="J866">
        <v>0</v>
      </c>
      <c r="K866">
        <v>0</v>
      </c>
      <c r="L866">
        <v>2</v>
      </c>
      <c r="M866" t="s">
        <v>333</v>
      </c>
      <c r="N866" t="s">
        <v>326</v>
      </c>
      <c r="O866" t="s">
        <v>330</v>
      </c>
    </row>
    <row r="867" spans="1:15" x14ac:dyDescent="0.3">
      <c r="A867">
        <v>251</v>
      </c>
      <c r="B867" t="s">
        <v>323</v>
      </c>
      <c r="C867">
        <v>219</v>
      </c>
      <c r="D867" t="s">
        <v>238</v>
      </c>
      <c r="E867">
        <v>1372</v>
      </c>
      <c r="F867" t="s">
        <v>1080</v>
      </c>
      <c r="G867">
        <v>0</v>
      </c>
      <c r="H867">
        <v>2</v>
      </c>
      <c r="I867">
        <v>0</v>
      </c>
      <c r="J867">
        <v>0</v>
      </c>
      <c r="K867">
        <v>0</v>
      </c>
      <c r="L867">
        <v>5</v>
      </c>
      <c r="M867" t="s">
        <v>325</v>
      </c>
      <c r="N867" t="s">
        <v>326</v>
      </c>
      <c r="O867" t="s">
        <v>330</v>
      </c>
    </row>
    <row r="868" spans="1:15" x14ac:dyDescent="0.3">
      <c r="A868">
        <v>251</v>
      </c>
      <c r="B868" t="s">
        <v>323</v>
      </c>
      <c r="C868">
        <v>219</v>
      </c>
      <c r="D868" t="s">
        <v>238</v>
      </c>
      <c r="E868">
        <v>1373</v>
      </c>
      <c r="F868" t="s">
        <v>1081</v>
      </c>
      <c r="G868">
        <v>0</v>
      </c>
      <c r="H868">
        <v>2</v>
      </c>
      <c r="I868">
        <v>2</v>
      </c>
      <c r="J868">
        <v>0</v>
      </c>
      <c r="K868">
        <v>0</v>
      </c>
      <c r="L868">
        <v>0</v>
      </c>
      <c r="M868" t="s">
        <v>325</v>
      </c>
      <c r="N868" t="s">
        <v>484</v>
      </c>
      <c r="O868" t="s">
        <v>330</v>
      </c>
    </row>
    <row r="869" spans="1:15" x14ac:dyDescent="0.3">
      <c r="A869">
        <v>251</v>
      </c>
      <c r="B869" t="s">
        <v>323</v>
      </c>
      <c r="C869">
        <v>219</v>
      </c>
      <c r="D869" t="s">
        <v>238</v>
      </c>
      <c r="E869">
        <v>1374</v>
      </c>
      <c r="F869" t="s">
        <v>482</v>
      </c>
      <c r="G869">
        <v>0</v>
      </c>
      <c r="H869">
        <v>2</v>
      </c>
      <c r="I869">
        <v>1</v>
      </c>
      <c r="J869">
        <v>0</v>
      </c>
      <c r="K869">
        <v>0</v>
      </c>
      <c r="L869">
        <v>0</v>
      </c>
      <c r="M869" t="s">
        <v>325</v>
      </c>
      <c r="N869" t="s">
        <v>326</v>
      </c>
      <c r="O869" t="s">
        <v>330</v>
      </c>
    </row>
    <row r="870" spans="1:15" x14ac:dyDescent="0.3">
      <c r="A870">
        <v>251</v>
      </c>
      <c r="B870" t="s">
        <v>323</v>
      </c>
      <c r="C870">
        <v>219</v>
      </c>
      <c r="D870" t="s">
        <v>238</v>
      </c>
      <c r="E870">
        <v>1375</v>
      </c>
      <c r="F870" t="s">
        <v>1082</v>
      </c>
      <c r="G870">
        <v>0</v>
      </c>
      <c r="H870">
        <v>1</v>
      </c>
      <c r="I870">
        <v>0</v>
      </c>
      <c r="J870">
        <v>0</v>
      </c>
      <c r="K870">
        <v>1</v>
      </c>
      <c r="L870">
        <v>1</v>
      </c>
      <c r="M870" t="s">
        <v>325</v>
      </c>
      <c r="N870" t="s">
        <v>326</v>
      </c>
      <c r="O870" t="s">
        <v>340</v>
      </c>
    </row>
    <row r="871" spans="1:15" x14ac:dyDescent="0.3">
      <c r="A871">
        <v>251</v>
      </c>
      <c r="B871" t="s">
        <v>323</v>
      </c>
      <c r="C871">
        <v>219</v>
      </c>
      <c r="D871" t="s">
        <v>238</v>
      </c>
      <c r="E871">
        <v>1378</v>
      </c>
      <c r="F871" t="s">
        <v>353</v>
      </c>
      <c r="G871">
        <v>0</v>
      </c>
      <c r="H871">
        <v>4</v>
      </c>
      <c r="I871">
        <v>2</v>
      </c>
      <c r="J871">
        <v>0</v>
      </c>
      <c r="K871">
        <v>0</v>
      </c>
      <c r="L871">
        <v>0</v>
      </c>
      <c r="M871" t="s">
        <v>325</v>
      </c>
      <c r="N871" t="s">
        <v>484</v>
      </c>
      <c r="O871" t="s">
        <v>330</v>
      </c>
    </row>
    <row r="872" spans="1:15" x14ac:dyDescent="0.3">
      <c r="A872">
        <v>251</v>
      </c>
      <c r="B872" t="s">
        <v>323</v>
      </c>
      <c r="C872">
        <v>219</v>
      </c>
      <c r="D872" t="s">
        <v>238</v>
      </c>
      <c r="E872">
        <v>1379</v>
      </c>
      <c r="F872" t="s">
        <v>1083</v>
      </c>
      <c r="G872">
        <v>0</v>
      </c>
      <c r="H872">
        <v>0</v>
      </c>
      <c r="I872">
        <v>0</v>
      </c>
      <c r="J872">
        <v>0</v>
      </c>
      <c r="K872">
        <v>0</v>
      </c>
      <c r="L872">
        <v>0</v>
      </c>
      <c r="M872" t="s">
        <v>325</v>
      </c>
      <c r="N872" t="s">
        <v>336</v>
      </c>
      <c r="O872" t="s">
        <v>330</v>
      </c>
    </row>
    <row r="873" spans="1:15" x14ac:dyDescent="0.3">
      <c r="A873">
        <v>251</v>
      </c>
      <c r="B873" t="s">
        <v>323</v>
      </c>
      <c r="C873">
        <v>219</v>
      </c>
      <c r="D873" t="s">
        <v>238</v>
      </c>
      <c r="E873">
        <v>1380</v>
      </c>
      <c r="F873" t="s">
        <v>1084</v>
      </c>
      <c r="G873">
        <v>0</v>
      </c>
      <c r="H873">
        <v>0</v>
      </c>
      <c r="I873">
        <v>0</v>
      </c>
      <c r="J873">
        <v>0</v>
      </c>
      <c r="K873">
        <v>0</v>
      </c>
      <c r="L873">
        <v>0</v>
      </c>
      <c r="M873" t="s">
        <v>325</v>
      </c>
      <c r="N873" t="s">
        <v>336</v>
      </c>
      <c r="O873" t="s">
        <v>330</v>
      </c>
    </row>
    <row r="874" spans="1:15" x14ac:dyDescent="0.3">
      <c r="A874">
        <v>252</v>
      </c>
      <c r="B874" t="s">
        <v>323</v>
      </c>
      <c r="C874">
        <v>220</v>
      </c>
      <c r="D874" t="s">
        <v>240</v>
      </c>
      <c r="E874">
        <v>524</v>
      </c>
      <c r="F874" t="s">
        <v>1052</v>
      </c>
      <c r="G874">
        <v>0</v>
      </c>
      <c r="H874">
        <v>0</v>
      </c>
      <c r="I874">
        <v>4</v>
      </c>
      <c r="J874">
        <v>1</v>
      </c>
      <c r="K874">
        <v>0</v>
      </c>
      <c r="L874">
        <v>0</v>
      </c>
      <c r="M874" t="s">
        <v>325</v>
      </c>
      <c r="N874" t="s">
        <v>326</v>
      </c>
      <c r="O874" t="s">
        <v>327</v>
      </c>
    </row>
    <row r="875" spans="1:15" x14ac:dyDescent="0.3">
      <c r="A875">
        <v>252</v>
      </c>
      <c r="B875" t="s">
        <v>323</v>
      </c>
      <c r="C875">
        <v>220</v>
      </c>
      <c r="D875" t="s">
        <v>240</v>
      </c>
      <c r="E875">
        <v>1525</v>
      </c>
      <c r="F875" t="s">
        <v>666</v>
      </c>
      <c r="G875">
        <v>0</v>
      </c>
      <c r="H875">
        <v>0</v>
      </c>
      <c r="I875">
        <v>2</v>
      </c>
      <c r="J875">
        <v>1</v>
      </c>
      <c r="K875">
        <v>0</v>
      </c>
      <c r="L875">
        <v>3</v>
      </c>
      <c r="M875" t="s">
        <v>333</v>
      </c>
      <c r="N875" t="s">
        <v>326</v>
      </c>
      <c r="O875" t="s">
        <v>330</v>
      </c>
    </row>
    <row r="876" spans="1:15" x14ac:dyDescent="0.3">
      <c r="A876">
        <v>253</v>
      </c>
      <c r="B876" t="s">
        <v>323</v>
      </c>
      <c r="C876">
        <v>221</v>
      </c>
      <c r="D876" t="s">
        <v>242</v>
      </c>
      <c r="E876">
        <v>1134</v>
      </c>
      <c r="F876" t="s">
        <v>1085</v>
      </c>
      <c r="G876">
        <v>0</v>
      </c>
      <c r="H876">
        <v>0</v>
      </c>
      <c r="I876">
        <v>0</v>
      </c>
      <c r="J876">
        <v>0</v>
      </c>
      <c r="K876">
        <v>0</v>
      </c>
      <c r="L876">
        <v>9</v>
      </c>
      <c r="M876" t="s">
        <v>325</v>
      </c>
      <c r="N876" t="s">
        <v>326</v>
      </c>
      <c r="O876" t="s">
        <v>352</v>
      </c>
    </row>
    <row r="877" spans="1:15" x14ac:dyDescent="0.3">
      <c r="A877">
        <v>253</v>
      </c>
      <c r="B877" t="s">
        <v>323</v>
      </c>
      <c r="C877">
        <v>221</v>
      </c>
      <c r="D877" t="s">
        <v>242</v>
      </c>
      <c r="E877">
        <v>1135</v>
      </c>
      <c r="F877" t="s">
        <v>1086</v>
      </c>
      <c r="G877">
        <v>0</v>
      </c>
      <c r="H877">
        <v>0</v>
      </c>
      <c r="I877">
        <v>0</v>
      </c>
      <c r="J877">
        <v>0</v>
      </c>
      <c r="K877">
        <v>0</v>
      </c>
      <c r="L877">
        <v>8</v>
      </c>
      <c r="M877" t="s">
        <v>325</v>
      </c>
      <c r="N877" t="s">
        <v>326</v>
      </c>
      <c r="O877" t="s">
        <v>352</v>
      </c>
    </row>
    <row r="878" spans="1:15" x14ac:dyDescent="0.3">
      <c r="A878">
        <v>253</v>
      </c>
      <c r="B878" t="s">
        <v>323</v>
      </c>
      <c r="C878">
        <v>221</v>
      </c>
      <c r="D878" t="s">
        <v>242</v>
      </c>
      <c r="E878">
        <v>1136</v>
      </c>
      <c r="F878" t="s">
        <v>1087</v>
      </c>
      <c r="G878">
        <v>0</v>
      </c>
      <c r="H878">
        <v>0</v>
      </c>
      <c r="I878">
        <v>0</v>
      </c>
      <c r="J878">
        <v>0</v>
      </c>
      <c r="K878">
        <v>0</v>
      </c>
      <c r="L878">
        <v>5</v>
      </c>
      <c r="M878" t="s">
        <v>333</v>
      </c>
      <c r="N878" t="s">
        <v>326</v>
      </c>
      <c r="O878" t="s">
        <v>340</v>
      </c>
    </row>
    <row r="879" spans="1:15" x14ac:dyDescent="0.3">
      <c r="A879">
        <v>253</v>
      </c>
      <c r="B879" t="s">
        <v>323</v>
      </c>
      <c r="C879">
        <v>221</v>
      </c>
      <c r="D879" t="s">
        <v>242</v>
      </c>
      <c r="E879">
        <v>1137</v>
      </c>
      <c r="F879" t="s">
        <v>1088</v>
      </c>
      <c r="G879">
        <v>0</v>
      </c>
      <c r="H879">
        <v>0</v>
      </c>
      <c r="I879">
        <v>0</v>
      </c>
      <c r="J879">
        <v>0</v>
      </c>
      <c r="K879">
        <v>0</v>
      </c>
      <c r="L879">
        <v>13</v>
      </c>
      <c r="M879" t="s">
        <v>325</v>
      </c>
      <c r="N879" t="s">
        <v>326</v>
      </c>
      <c r="O879" t="s">
        <v>352</v>
      </c>
    </row>
    <row r="880" spans="1:15" x14ac:dyDescent="0.3">
      <c r="A880">
        <v>253</v>
      </c>
      <c r="B880" t="s">
        <v>323</v>
      </c>
      <c r="C880">
        <v>221</v>
      </c>
      <c r="D880" t="s">
        <v>242</v>
      </c>
      <c r="E880">
        <v>1138</v>
      </c>
      <c r="F880" t="s">
        <v>505</v>
      </c>
      <c r="G880">
        <v>0</v>
      </c>
      <c r="H880">
        <v>0</v>
      </c>
      <c r="I880">
        <v>0</v>
      </c>
      <c r="J880">
        <v>0</v>
      </c>
      <c r="K880">
        <v>0</v>
      </c>
      <c r="L880">
        <v>4</v>
      </c>
      <c r="M880" t="s">
        <v>325</v>
      </c>
      <c r="N880" t="s">
        <v>326</v>
      </c>
      <c r="O880" t="s">
        <v>340</v>
      </c>
    </row>
    <row r="881" spans="1:15" x14ac:dyDescent="0.3">
      <c r="A881">
        <v>253</v>
      </c>
      <c r="B881" t="s">
        <v>323</v>
      </c>
      <c r="C881">
        <v>221</v>
      </c>
      <c r="D881" t="s">
        <v>242</v>
      </c>
      <c r="E881">
        <v>1139</v>
      </c>
      <c r="F881" t="s">
        <v>1089</v>
      </c>
      <c r="G881">
        <v>0</v>
      </c>
      <c r="H881">
        <v>2</v>
      </c>
      <c r="I881">
        <v>0</v>
      </c>
      <c r="J881">
        <v>1</v>
      </c>
      <c r="K881">
        <v>1</v>
      </c>
      <c r="L881">
        <v>0</v>
      </c>
      <c r="M881" t="s">
        <v>566</v>
      </c>
      <c r="N881" t="s">
        <v>336</v>
      </c>
      <c r="O881" t="s">
        <v>340</v>
      </c>
    </row>
    <row r="882" spans="1:15" x14ac:dyDescent="0.3">
      <c r="A882">
        <v>253</v>
      </c>
      <c r="B882" t="s">
        <v>323</v>
      </c>
      <c r="C882">
        <v>221</v>
      </c>
      <c r="D882" t="s">
        <v>242</v>
      </c>
      <c r="E882">
        <v>1140</v>
      </c>
      <c r="F882" t="s">
        <v>1090</v>
      </c>
      <c r="G882">
        <v>0</v>
      </c>
      <c r="H882">
        <v>0</v>
      </c>
      <c r="I882">
        <v>0</v>
      </c>
      <c r="J882">
        <v>0</v>
      </c>
      <c r="K882">
        <v>0</v>
      </c>
      <c r="L882">
        <v>5</v>
      </c>
      <c r="M882" t="s">
        <v>410</v>
      </c>
      <c r="N882" t="s">
        <v>326</v>
      </c>
      <c r="O882" t="s">
        <v>330</v>
      </c>
    </row>
    <row r="883" spans="1:15" x14ac:dyDescent="0.3">
      <c r="A883">
        <v>253</v>
      </c>
      <c r="B883" t="s">
        <v>323</v>
      </c>
      <c r="C883">
        <v>221</v>
      </c>
      <c r="D883" t="s">
        <v>242</v>
      </c>
      <c r="E883">
        <v>1141</v>
      </c>
      <c r="F883" t="s">
        <v>1091</v>
      </c>
      <c r="G883">
        <v>0</v>
      </c>
      <c r="H883">
        <v>0</v>
      </c>
      <c r="I883">
        <v>0</v>
      </c>
      <c r="J883">
        <v>0</v>
      </c>
      <c r="K883">
        <v>0</v>
      </c>
      <c r="L883">
        <v>7</v>
      </c>
      <c r="M883" t="s">
        <v>325</v>
      </c>
      <c r="N883" t="s">
        <v>326</v>
      </c>
      <c r="O883" t="s">
        <v>352</v>
      </c>
    </row>
    <row r="884" spans="1:15" x14ac:dyDescent="0.3">
      <c r="A884">
        <v>253</v>
      </c>
      <c r="B884" t="s">
        <v>323</v>
      </c>
      <c r="C884">
        <v>221</v>
      </c>
      <c r="D884" t="s">
        <v>242</v>
      </c>
      <c r="E884">
        <v>1142</v>
      </c>
      <c r="F884" t="s">
        <v>1092</v>
      </c>
      <c r="G884">
        <v>0</v>
      </c>
      <c r="H884">
        <v>0</v>
      </c>
      <c r="I884">
        <v>0</v>
      </c>
      <c r="J884">
        <v>0</v>
      </c>
      <c r="K884">
        <v>0</v>
      </c>
      <c r="L884">
        <v>8</v>
      </c>
      <c r="M884" t="s">
        <v>325</v>
      </c>
      <c r="N884" t="s">
        <v>326</v>
      </c>
      <c r="O884" t="s">
        <v>330</v>
      </c>
    </row>
    <row r="885" spans="1:15" x14ac:dyDescent="0.3">
      <c r="A885">
        <v>253</v>
      </c>
      <c r="B885" t="s">
        <v>323</v>
      </c>
      <c r="C885">
        <v>221</v>
      </c>
      <c r="D885" t="s">
        <v>242</v>
      </c>
      <c r="E885">
        <v>1640</v>
      </c>
      <c r="F885" t="s">
        <v>1093</v>
      </c>
      <c r="G885">
        <v>0</v>
      </c>
      <c r="H885">
        <v>0</v>
      </c>
      <c r="I885">
        <v>0</v>
      </c>
      <c r="J885">
        <v>0</v>
      </c>
      <c r="K885">
        <v>0</v>
      </c>
      <c r="L885">
        <v>5</v>
      </c>
      <c r="M885" t="s">
        <v>325</v>
      </c>
      <c r="N885" t="s">
        <v>326</v>
      </c>
      <c r="O885" t="s">
        <v>338</v>
      </c>
    </row>
    <row r="886" spans="1:15" x14ac:dyDescent="0.3">
      <c r="A886">
        <v>253</v>
      </c>
      <c r="B886" t="s">
        <v>323</v>
      </c>
      <c r="C886">
        <v>221</v>
      </c>
      <c r="D886" t="s">
        <v>242</v>
      </c>
      <c r="E886">
        <v>1641</v>
      </c>
      <c r="F886" t="s">
        <v>1094</v>
      </c>
      <c r="G886">
        <v>0</v>
      </c>
      <c r="H886">
        <v>0</v>
      </c>
      <c r="I886">
        <v>0</v>
      </c>
      <c r="J886">
        <v>0</v>
      </c>
      <c r="K886">
        <v>0</v>
      </c>
      <c r="L886">
        <v>8</v>
      </c>
      <c r="M886" t="s">
        <v>325</v>
      </c>
      <c r="N886" t="s">
        <v>326</v>
      </c>
      <c r="O886" t="s">
        <v>338</v>
      </c>
    </row>
    <row r="887" spans="1:15" x14ac:dyDescent="0.3">
      <c r="A887">
        <v>253</v>
      </c>
      <c r="B887" t="s">
        <v>323</v>
      </c>
      <c r="C887">
        <v>221</v>
      </c>
      <c r="D887" t="s">
        <v>242</v>
      </c>
      <c r="E887">
        <v>1642</v>
      </c>
      <c r="F887" t="s">
        <v>376</v>
      </c>
      <c r="G887">
        <v>0</v>
      </c>
      <c r="H887">
        <v>0</v>
      </c>
      <c r="I887">
        <v>0</v>
      </c>
      <c r="J887">
        <v>0</v>
      </c>
      <c r="K887">
        <v>0</v>
      </c>
      <c r="L887">
        <v>5</v>
      </c>
      <c r="M887" t="s">
        <v>325</v>
      </c>
      <c r="N887" t="s">
        <v>326</v>
      </c>
      <c r="O887" t="s">
        <v>330</v>
      </c>
    </row>
    <row r="888" spans="1:15" x14ac:dyDescent="0.3">
      <c r="A888">
        <v>253</v>
      </c>
      <c r="B888" t="s">
        <v>323</v>
      </c>
      <c r="C888">
        <v>221</v>
      </c>
      <c r="D888" t="s">
        <v>242</v>
      </c>
      <c r="E888">
        <v>1643</v>
      </c>
      <c r="F888" t="s">
        <v>363</v>
      </c>
      <c r="G888">
        <v>0</v>
      </c>
      <c r="H888">
        <v>0</v>
      </c>
      <c r="I888">
        <v>0</v>
      </c>
      <c r="J888">
        <v>0</v>
      </c>
      <c r="K888">
        <v>0</v>
      </c>
      <c r="L888">
        <v>6</v>
      </c>
      <c r="M888" t="s">
        <v>410</v>
      </c>
      <c r="N888" t="s">
        <v>336</v>
      </c>
      <c r="O888" t="s">
        <v>330</v>
      </c>
    </row>
    <row r="889" spans="1:15" x14ac:dyDescent="0.3">
      <c r="A889">
        <v>253</v>
      </c>
      <c r="B889" t="s">
        <v>323</v>
      </c>
      <c r="C889">
        <v>221</v>
      </c>
      <c r="D889" t="s">
        <v>242</v>
      </c>
      <c r="E889">
        <v>1644</v>
      </c>
      <c r="F889" t="s">
        <v>1095</v>
      </c>
      <c r="G889">
        <v>0</v>
      </c>
      <c r="H889">
        <v>0</v>
      </c>
      <c r="I889">
        <v>0</v>
      </c>
      <c r="J889">
        <v>0</v>
      </c>
      <c r="K889">
        <v>0</v>
      </c>
      <c r="L889">
        <v>3</v>
      </c>
      <c r="M889" t="s">
        <v>333</v>
      </c>
      <c r="N889" t="s">
        <v>326</v>
      </c>
      <c r="O889" t="s">
        <v>352</v>
      </c>
    </row>
    <row r="890" spans="1:15" x14ac:dyDescent="0.3">
      <c r="A890">
        <v>253</v>
      </c>
      <c r="B890" t="s">
        <v>323</v>
      </c>
      <c r="C890">
        <v>221</v>
      </c>
      <c r="D890" t="s">
        <v>242</v>
      </c>
      <c r="E890">
        <v>1645</v>
      </c>
      <c r="F890" t="s">
        <v>1096</v>
      </c>
      <c r="G890">
        <v>0</v>
      </c>
      <c r="H890">
        <v>0</v>
      </c>
      <c r="I890">
        <v>0</v>
      </c>
      <c r="J890">
        <v>0</v>
      </c>
      <c r="K890">
        <v>0</v>
      </c>
      <c r="L890">
        <v>12</v>
      </c>
      <c r="M890" t="s">
        <v>333</v>
      </c>
      <c r="N890" t="s">
        <v>326</v>
      </c>
      <c r="O890" t="s">
        <v>352</v>
      </c>
    </row>
    <row r="891" spans="1:15" x14ac:dyDescent="0.3">
      <c r="A891">
        <v>254</v>
      </c>
      <c r="B891" t="s">
        <v>313</v>
      </c>
      <c r="C891">
        <v>222</v>
      </c>
      <c r="D891" t="s">
        <v>244</v>
      </c>
      <c r="E891">
        <v>1493</v>
      </c>
      <c r="F891" t="s">
        <v>1097</v>
      </c>
      <c r="M891" t="s">
        <v>1116</v>
      </c>
      <c r="N891" t="s">
        <v>1116</v>
      </c>
      <c r="O891" t="s">
        <v>1116</v>
      </c>
    </row>
    <row r="892" spans="1:15" x14ac:dyDescent="0.3">
      <c r="A892">
        <v>254</v>
      </c>
      <c r="B892" t="s">
        <v>313</v>
      </c>
      <c r="C892">
        <v>222</v>
      </c>
      <c r="D892" t="s">
        <v>244</v>
      </c>
      <c r="E892">
        <v>1495</v>
      </c>
      <c r="F892" t="s">
        <v>1098</v>
      </c>
      <c r="M892" t="s">
        <v>1116</v>
      </c>
      <c r="N892" t="s">
        <v>1116</v>
      </c>
      <c r="O892" t="s">
        <v>1116</v>
      </c>
    </row>
    <row r="893" spans="1:15" x14ac:dyDescent="0.3">
      <c r="A893">
        <v>254</v>
      </c>
      <c r="B893" t="s">
        <v>313</v>
      </c>
      <c r="C893">
        <v>222</v>
      </c>
      <c r="D893" t="s">
        <v>244</v>
      </c>
      <c r="E893">
        <v>1496</v>
      </c>
      <c r="F893" t="s">
        <v>1099</v>
      </c>
      <c r="M893" t="s">
        <v>1116</v>
      </c>
      <c r="N893" t="s">
        <v>1116</v>
      </c>
      <c r="O893" t="s">
        <v>1116</v>
      </c>
    </row>
    <row r="894" spans="1:15" x14ac:dyDescent="0.3">
      <c r="A894">
        <v>259</v>
      </c>
      <c r="B894" t="s">
        <v>323</v>
      </c>
      <c r="C894">
        <v>227</v>
      </c>
      <c r="D894" t="s">
        <v>254</v>
      </c>
      <c r="E894">
        <v>1630</v>
      </c>
      <c r="F894" t="s">
        <v>1100</v>
      </c>
      <c r="G894">
        <v>0</v>
      </c>
      <c r="H894">
        <v>0</v>
      </c>
      <c r="I894">
        <v>0</v>
      </c>
      <c r="J894">
        <v>0</v>
      </c>
      <c r="K894">
        <v>0</v>
      </c>
      <c r="L894">
        <v>4</v>
      </c>
      <c r="M894" t="s">
        <v>333</v>
      </c>
      <c r="N894" t="s">
        <v>348</v>
      </c>
      <c r="O894" t="s">
        <v>338</v>
      </c>
    </row>
    <row r="895" spans="1:15" x14ac:dyDescent="0.3">
      <c r="A895">
        <v>259</v>
      </c>
      <c r="B895" t="s">
        <v>323</v>
      </c>
      <c r="C895">
        <v>227</v>
      </c>
      <c r="D895" t="s">
        <v>254</v>
      </c>
      <c r="E895">
        <v>1631</v>
      </c>
      <c r="F895" t="s">
        <v>1101</v>
      </c>
      <c r="G895">
        <v>0</v>
      </c>
      <c r="H895">
        <v>0</v>
      </c>
      <c r="I895">
        <v>0</v>
      </c>
      <c r="J895">
        <v>0</v>
      </c>
      <c r="K895">
        <v>0</v>
      </c>
      <c r="L895">
        <v>4</v>
      </c>
      <c r="M895" t="s">
        <v>333</v>
      </c>
      <c r="N895" t="s">
        <v>326</v>
      </c>
      <c r="O895" t="s">
        <v>330</v>
      </c>
    </row>
    <row r="896" spans="1:15" x14ac:dyDescent="0.3">
      <c r="A896">
        <v>259</v>
      </c>
      <c r="B896" t="s">
        <v>323</v>
      </c>
      <c r="C896">
        <v>227</v>
      </c>
      <c r="D896" t="s">
        <v>254</v>
      </c>
      <c r="E896">
        <v>1632</v>
      </c>
      <c r="F896" t="s">
        <v>498</v>
      </c>
      <c r="G896">
        <v>0</v>
      </c>
      <c r="H896">
        <v>0</v>
      </c>
      <c r="I896">
        <v>0</v>
      </c>
      <c r="J896">
        <v>0</v>
      </c>
      <c r="K896">
        <v>0</v>
      </c>
      <c r="L896">
        <v>2</v>
      </c>
      <c r="M896" t="s">
        <v>333</v>
      </c>
      <c r="N896" t="s">
        <v>326</v>
      </c>
      <c r="O896" t="s">
        <v>330</v>
      </c>
    </row>
    <row r="897" spans="1:15" x14ac:dyDescent="0.3">
      <c r="A897">
        <v>259</v>
      </c>
      <c r="B897" t="s">
        <v>323</v>
      </c>
      <c r="C897">
        <v>227</v>
      </c>
      <c r="D897" t="s">
        <v>254</v>
      </c>
      <c r="E897">
        <v>1633</v>
      </c>
      <c r="F897" t="s">
        <v>1102</v>
      </c>
      <c r="G897">
        <v>0</v>
      </c>
      <c r="H897">
        <v>0</v>
      </c>
      <c r="I897">
        <v>0</v>
      </c>
      <c r="J897">
        <v>0</v>
      </c>
      <c r="K897">
        <v>0</v>
      </c>
      <c r="L897">
        <v>0</v>
      </c>
      <c r="M897" t="s">
        <v>333</v>
      </c>
      <c r="N897" t="s">
        <v>326</v>
      </c>
      <c r="O897" t="s">
        <v>330</v>
      </c>
    </row>
    <row r="898" spans="1:15" x14ac:dyDescent="0.3">
      <c r="A898">
        <v>259</v>
      </c>
      <c r="B898" t="s">
        <v>323</v>
      </c>
      <c r="C898">
        <v>227</v>
      </c>
      <c r="D898" t="s">
        <v>254</v>
      </c>
      <c r="E898">
        <v>1634</v>
      </c>
      <c r="F898" t="s">
        <v>1103</v>
      </c>
      <c r="G898">
        <v>0</v>
      </c>
      <c r="H898">
        <v>0</v>
      </c>
      <c r="I898">
        <v>0</v>
      </c>
      <c r="J898">
        <v>0</v>
      </c>
      <c r="K898">
        <v>0</v>
      </c>
      <c r="L898">
        <v>1</v>
      </c>
      <c r="M898" t="s">
        <v>333</v>
      </c>
      <c r="N898" t="s">
        <v>326</v>
      </c>
      <c r="O898" t="s">
        <v>352</v>
      </c>
    </row>
    <row r="899" spans="1:15" x14ac:dyDescent="0.3">
      <c r="A899">
        <v>263</v>
      </c>
      <c r="B899" t="s">
        <v>323</v>
      </c>
      <c r="C899">
        <v>231</v>
      </c>
      <c r="D899" t="s">
        <v>260</v>
      </c>
      <c r="E899">
        <v>1341</v>
      </c>
      <c r="F899" t="s">
        <v>1104</v>
      </c>
      <c r="G899">
        <v>0</v>
      </c>
      <c r="H899">
        <v>0</v>
      </c>
      <c r="I899">
        <v>0</v>
      </c>
      <c r="J899">
        <v>0</v>
      </c>
      <c r="K899">
        <v>0</v>
      </c>
      <c r="L899">
        <v>0</v>
      </c>
      <c r="M899" t="s">
        <v>333</v>
      </c>
      <c r="N899" t="s">
        <v>329</v>
      </c>
      <c r="O899" t="s">
        <v>330</v>
      </c>
    </row>
    <row r="900" spans="1:15" x14ac:dyDescent="0.3">
      <c r="A900">
        <v>266</v>
      </c>
      <c r="B900" t="s">
        <v>323</v>
      </c>
      <c r="C900">
        <v>234</v>
      </c>
      <c r="D900" t="s">
        <v>266</v>
      </c>
      <c r="E900">
        <v>1414</v>
      </c>
      <c r="F900" t="s">
        <v>1105</v>
      </c>
      <c r="G900">
        <v>0</v>
      </c>
      <c r="H900">
        <v>3</v>
      </c>
      <c r="I900">
        <v>2</v>
      </c>
      <c r="J900">
        <v>0</v>
      </c>
      <c r="K900">
        <v>0</v>
      </c>
      <c r="L900">
        <v>0</v>
      </c>
      <c r="M900" t="s">
        <v>333</v>
      </c>
      <c r="N900" t="s">
        <v>336</v>
      </c>
      <c r="O900" t="s">
        <v>330</v>
      </c>
    </row>
    <row r="901" spans="1:15" x14ac:dyDescent="0.3">
      <c r="A901">
        <v>267</v>
      </c>
      <c r="B901" t="s">
        <v>323</v>
      </c>
      <c r="C901">
        <v>235</v>
      </c>
      <c r="D901" t="s">
        <v>268</v>
      </c>
      <c r="E901">
        <v>451</v>
      </c>
      <c r="F901" t="s">
        <v>1106</v>
      </c>
      <c r="G901">
        <v>2</v>
      </c>
      <c r="H901">
        <v>3</v>
      </c>
      <c r="I901">
        <v>0</v>
      </c>
      <c r="J901">
        <v>0</v>
      </c>
      <c r="K901">
        <v>2</v>
      </c>
      <c r="L901">
        <v>0</v>
      </c>
      <c r="M901" t="s">
        <v>410</v>
      </c>
      <c r="N901" t="s">
        <v>336</v>
      </c>
      <c r="O901" t="s">
        <v>338</v>
      </c>
    </row>
    <row r="902" spans="1:15" x14ac:dyDescent="0.3">
      <c r="A902">
        <v>267</v>
      </c>
      <c r="B902" t="s">
        <v>323</v>
      </c>
      <c r="C902">
        <v>235</v>
      </c>
      <c r="D902" t="s">
        <v>268</v>
      </c>
      <c r="E902">
        <v>452</v>
      </c>
      <c r="F902" t="s">
        <v>1107</v>
      </c>
      <c r="G902">
        <v>0</v>
      </c>
      <c r="H902">
        <v>0</v>
      </c>
      <c r="I902">
        <v>3</v>
      </c>
      <c r="J902">
        <v>0</v>
      </c>
      <c r="K902">
        <v>0</v>
      </c>
      <c r="L902">
        <v>0</v>
      </c>
      <c r="M902" t="s">
        <v>566</v>
      </c>
      <c r="N902" t="s">
        <v>326</v>
      </c>
      <c r="O902" t="s">
        <v>338</v>
      </c>
    </row>
    <row r="903" spans="1:15" x14ac:dyDescent="0.3">
      <c r="A903">
        <v>271</v>
      </c>
      <c r="B903" t="s">
        <v>323</v>
      </c>
      <c r="C903">
        <v>239</v>
      </c>
      <c r="D903" t="s">
        <v>276</v>
      </c>
      <c r="E903">
        <v>1128</v>
      </c>
      <c r="F903" t="s">
        <v>1108</v>
      </c>
      <c r="G903">
        <v>0</v>
      </c>
      <c r="H903">
        <v>0</v>
      </c>
      <c r="I903">
        <v>0</v>
      </c>
      <c r="J903">
        <v>0</v>
      </c>
      <c r="K903">
        <v>0</v>
      </c>
      <c r="L903">
        <v>0</v>
      </c>
      <c r="M903" t="s">
        <v>333</v>
      </c>
      <c r="N903" t="s">
        <v>329</v>
      </c>
      <c r="O903" t="s">
        <v>338</v>
      </c>
    </row>
    <row r="904" spans="1:15" x14ac:dyDescent="0.3">
      <c r="A904">
        <v>271</v>
      </c>
      <c r="B904" t="s">
        <v>323</v>
      </c>
      <c r="C904">
        <v>239</v>
      </c>
      <c r="D904" t="s">
        <v>276</v>
      </c>
      <c r="E904">
        <v>1129</v>
      </c>
      <c r="F904" t="s">
        <v>1109</v>
      </c>
      <c r="G904">
        <v>0</v>
      </c>
      <c r="H904">
        <v>0</v>
      </c>
      <c r="I904">
        <v>3</v>
      </c>
      <c r="J904">
        <v>2</v>
      </c>
      <c r="K904">
        <v>0</v>
      </c>
      <c r="L904">
        <v>0</v>
      </c>
      <c r="M904" t="s">
        <v>325</v>
      </c>
      <c r="N904" t="s">
        <v>326</v>
      </c>
      <c r="O904" t="s">
        <v>327</v>
      </c>
    </row>
    <row r="905" spans="1:15" x14ac:dyDescent="0.3">
      <c r="A905">
        <v>271</v>
      </c>
      <c r="B905" t="s">
        <v>323</v>
      </c>
      <c r="C905">
        <v>239</v>
      </c>
      <c r="D905" t="s">
        <v>276</v>
      </c>
      <c r="E905">
        <v>1130</v>
      </c>
      <c r="F905" t="s">
        <v>946</v>
      </c>
      <c r="G905">
        <v>0</v>
      </c>
      <c r="H905">
        <v>0</v>
      </c>
      <c r="I905">
        <v>2</v>
      </c>
      <c r="J905">
        <v>1</v>
      </c>
      <c r="K905">
        <v>0</v>
      </c>
      <c r="L905">
        <v>0</v>
      </c>
      <c r="M905" t="s">
        <v>333</v>
      </c>
      <c r="N905" t="s">
        <v>326</v>
      </c>
      <c r="O905" t="s">
        <v>352</v>
      </c>
    </row>
    <row r="906" spans="1:15" x14ac:dyDescent="0.3">
      <c r="A906">
        <v>271</v>
      </c>
      <c r="B906" t="s">
        <v>323</v>
      </c>
      <c r="C906">
        <v>239</v>
      </c>
      <c r="D906" t="s">
        <v>276</v>
      </c>
      <c r="E906">
        <v>1131</v>
      </c>
      <c r="F906" t="s">
        <v>1110</v>
      </c>
      <c r="G906">
        <v>0</v>
      </c>
      <c r="H906">
        <v>0</v>
      </c>
      <c r="I906">
        <v>3</v>
      </c>
      <c r="J906">
        <v>1</v>
      </c>
      <c r="K906">
        <v>0</v>
      </c>
      <c r="L906">
        <v>0</v>
      </c>
      <c r="M906" t="s">
        <v>325</v>
      </c>
      <c r="N906" t="s">
        <v>348</v>
      </c>
      <c r="O906" t="s">
        <v>338</v>
      </c>
    </row>
    <row r="907" spans="1:15" x14ac:dyDescent="0.3">
      <c r="A907">
        <v>271</v>
      </c>
      <c r="B907" t="s">
        <v>323</v>
      </c>
      <c r="C907">
        <v>239</v>
      </c>
      <c r="D907" t="s">
        <v>276</v>
      </c>
      <c r="E907">
        <v>1132</v>
      </c>
      <c r="F907" t="s">
        <v>1111</v>
      </c>
      <c r="G907">
        <v>0</v>
      </c>
      <c r="H907">
        <v>0</v>
      </c>
      <c r="I907">
        <v>0</v>
      </c>
      <c r="J907">
        <v>0</v>
      </c>
      <c r="K907">
        <v>0</v>
      </c>
      <c r="L907">
        <v>0</v>
      </c>
      <c r="M907" t="s">
        <v>325</v>
      </c>
      <c r="N907" t="s">
        <v>329</v>
      </c>
      <c r="O907" t="s">
        <v>352</v>
      </c>
    </row>
    <row r="908" spans="1:15" x14ac:dyDescent="0.3">
      <c r="A908">
        <v>271</v>
      </c>
      <c r="B908" t="s">
        <v>323</v>
      </c>
      <c r="C908">
        <v>239</v>
      </c>
      <c r="D908" t="s">
        <v>276</v>
      </c>
      <c r="E908">
        <v>1133</v>
      </c>
      <c r="F908" t="s">
        <v>353</v>
      </c>
      <c r="G908">
        <v>0</v>
      </c>
      <c r="H908">
        <v>0</v>
      </c>
      <c r="I908">
        <v>3</v>
      </c>
      <c r="J908">
        <v>0</v>
      </c>
      <c r="K908">
        <v>0</v>
      </c>
      <c r="L908">
        <v>0</v>
      </c>
      <c r="M908" t="s">
        <v>333</v>
      </c>
      <c r="N908" t="s">
        <v>326</v>
      </c>
      <c r="O908" t="s">
        <v>330</v>
      </c>
    </row>
    <row r="909" spans="1:15" x14ac:dyDescent="0.3">
      <c r="A909">
        <v>271</v>
      </c>
      <c r="B909" t="s">
        <v>323</v>
      </c>
      <c r="C909">
        <v>239</v>
      </c>
      <c r="D909" t="s">
        <v>276</v>
      </c>
      <c r="E909">
        <v>1524</v>
      </c>
      <c r="F909" t="s">
        <v>1112</v>
      </c>
      <c r="G909">
        <v>0</v>
      </c>
      <c r="H909">
        <v>0</v>
      </c>
      <c r="I909">
        <v>3</v>
      </c>
      <c r="J909">
        <v>2</v>
      </c>
      <c r="K909">
        <v>0</v>
      </c>
      <c r="L909">
        <v>0</v>
      </c>
      <c r="M909" t="s">
        <v>325</v>
      </c>
      <c r="N909" t="s">
        <v>336</v>
      </c>
      <c r="O909" t="s">
        <v>330</v>
      </c>
    </row>
    <row r="910" spans="1:15" x14ac:dyDescent="0.3">
      <c r="A910">
        <v>279</v>
      </c>
      <c r="B910" t="s">
        <v>323</v>
      </c>
      <c r="C910">
        <v>247</v>
      </c>
      <c r="D910" t="s">
        <v>292</v>
      </c>
      <c r="E910">
        <v>1408</v>
      </c>
      <c r="F910" t="s">
        <v>376</v>
      </c>
      <c r="G910">
        <v>0</v>
      </c>
      <c r="H910">
        <v>0</v>
      </c>
      <c r="I910">
        <v>0</v>
      </c>
      <c r="J910">
        <v>2</v>
      </c>
      <c r="K910">
        <v>2</v>
      </c>
      <c r="L910">
        <v>0</v>
      </c>
      <c r="M910" t="s">
        <v>333</v>
      </c>
      <c r="N910" t="s">
        <v>326</v>
      </c>
      <c r="O910" t="s">
        <v>352</v>
      </c>
    </row>
    <row r="911" spans="1:15" x14ac:dyDescent="0.3">
      <c r="A911">
        <v>279</v>
      </c>
      <c r="B911" t="s">
        <v>323</v>
      </c>
      <c r="C911">
        <v>247</v>
      </c>
      <c r="D911" t="s">
        <v>292</v>
      </c>
      <c r="E911">
        <v>1409</v>
      </c>
      <c r="F911" t="s">
        <v>1113</v>
      </c>
      <c r="G911">
        <v>0</v>
      </c>
      <c r="H911">
        <v>0</v>
      </c>
      <c r="I911">
        <v>1</v>
      </c>
      <c r="J911">
        <v>1</v>
      </c>
      <c r="K911">
        <v>0</v>
      </c>
      <c r="L911">
        <v>0</v>
      </c>
      <c r="M911" t="s">
        <v>333</v>
      </c>
      <c r="N911" t="s">
        <v>348</v>
      </c>
      <c r="O911" t="s">
        <v>338</v>
      </c>
    </row>
    <row r="912" spans="1:15" x14ac:dyDescent="0.3">
      <c r="A912">
        <v>279</v>
      </c>
      <c r="B912" t="s">
        <v>323</v>
      </c>
      <c r="C912">
        <v>247</v>
      </c>
      <c r="D912" t="s">
        <v>292</v>
      </c>
      <c r="E912">
        <v>1410</v>
      </c>
      <c r="F912" t="s">
        <v>640</v>
      </c>
      <c r="G912">
        <v>0</v>
      </c>
      <c r="H912">
        <v>0</v>
      </c>
      <c r="I912">
        <v>0</v>
      </c>
      <c r="J912">
        <v>0</v>
      </c>
      <c r="K912">
        <v>0</v>
      </c>
      <c r="L912">
        <v>4</v>
      </c>
      <c r="M912" t="s">
        <v>333</v>
      </c>
      <c r="N912" t="s">
        <v>326</v>
      </c>
      <c r="O912" t="s">
        <v>330</v>
      </c>
    </row>
    <row r="913" spans="1:15" x14ac:dyDescent="0.3">
      <c r="A913">
        <v>281</v>
      </c>
      <c r="B913" t="s">
        <v>323</v>
      </c>
      <c r="C913">
        <v>249</v>
      </c>
      <c r="D913" t="s">
        <v>296</v>
      </c>
      <c r="E913">
        <v>1411</v>
      </c>
      <c r="F913" t="s">
        <v>315</v>
      </c>
      <c r="G913">
        <v>0</v>
      </c>
      <c r="H913">
        <v>1</v>
      </c>
      <c r="I913">
        <v>2</v>
      </c>
      <c r="J913">
        <v>0</v>
      </c>
      <c r="K913">
        <v>0</v>
      </c>
      <c r="L913">
        <v>0</v>
      </c>
      <c r="M913" t="s">
        <v>333</v>
      </c>
      <c r="N913" t="s">
        <v>329</v>
      </c>
      <c r="O913" t="s">
        <v>330</v>
      </c>
    </row>
    <row r="914" spans="1:15" x14ac:dyDescent="0.3">
      <c r="A914">
        <v>281</v>
      </c>
      <c r="B914" t="s">
        <v>323</v>
      </c>
      <c r="C914">
        <v>249</v>
      </c>
      <c r="D914" t="s">
        <v>296</v>
      </c>
      <c r="E914">
        <v>1412</v>
      </c>
      <c r="F914" t="s">
        <v>1114</v>
      </c>
      <c r="G914">
        <v>3</v>
      </c>
      <c r="H914">
        <v>0</v>
      </c>
      <c r="I914">
        <v>0</v>
      </c>
      <c r="J914">
        <v>0</v>
      </c>
      <c r="K914">
        <v>0</v>
      </c>
      <c r="L914">
        <v>0</v>
      </c>
      <c r="M914" t="s">
        <v>333</v>
      </c>
      <c r="N914" t="s">
        <v>329</v>
      </c>
      <c r="O914" t="s">
        <v>330</v>
      </c>
    </row>
    <row r="915" spans="1:15" x14ac:dyDescent="0.3">
      <c r="A915">
        <v>281</v>
      </c>
      <c r="B915" t="s">
        <v>323</v>
      </c>
      <c r="C915">
        <v>249</v>
      </c>
      <c r="D915" t="s">
        <v>296</v>
      </c>
      <c r="E915">
        <v>1413</v>
      </c>
      <c r="F915" t="s">
        <v>1115</v>
      </c>
      <c r="G915">
        <v>2</v>
      </c>
      <c r="H915">
        <v>0</v>
      </c>
      <c r="I915">
        <v>0</v>
      </c>
      <c r="J915">
        <v>0</v>
      </c>
      <c r="K915">
        <v>0</v>
      </c>
      <c r="L915">
        <v>0</v>
      </c>
      <c r="M915" t="s">
        <v>333</v>
      </c>
      <c r="N915" t="s">
        <v>329</v>
      </c>
      <c r="O915" t="s">
        <v>330</v>
      </c>
    </row>
  </sheetData>
  <sheetProtection selectLockedCells="1" autoFilter="0" pivotTables="0" selectUnlockedCells="1"/>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C921A-405E-4130-AD05-BD46BF02E50B}">
  <sheetPr codeName="Sheet25">
    <tabColor rgb="FFF2F0F5"/>
  </sheetPr>
  <dimension ref="A1:AG140"/>
  <sheetViews>
    <sheetView topLeftCell="A2" zoomScale="90" zoomScaleNormal="90" workbookViewId="0">
      <selection activeCell="A2" sqref="A2:AG140"/>
    </sheetView>
  </sheetViews>
  <sheetFormatPr defaultRowHeight="14.4" x14ac:dyDescent="0.3"/>
  <cols>
    <col min="1" max="1" width="35.44140625" bestFit="1" customWidth="1"/>
    <col min="2" max="3" width="35.44140625" customWidth="1"/>
    <col min="4" max="4" width="21.6640625" bestFit="1" customWidth="1"/>
    <col min="5" max="5" width="20.33203125" customWidth="1"/>
    <col min="7" max="7" width="16.109375" bestFit="1" customWidth="1"/>
    <col min="8" max="8" width="16.109375" customWidth="1"/>
    <col min="10" max="10" width="23.109375" customWidth="1"/>
    <col min="12" max="12" width="12.88671875" bestFit="1" customWidth="1"/>
    <col min="15" max="15" width="16.33203125" customWidth="1"/>
    <col min="16" max="16" width="16.33203125" bestFit="1" customWidth="1"/>
    <col min="17" max="17" width="16.44140625" bestFit="1" customWidth="1"/>
    <col min="18" max="18" width="10.44140625" bestFit="1" customWidth="1"/>
    <col min="20" max="20" width="10.44140625" bestFit="1" customWidth="1"/>
    <col min="22" max="22" width="20.109375" bestFit="1" customWidth="1"/>
    <col min="25" max="25" width="10.44140625" bestFit="1" customWidth="1"/>
    <col min="26" max="26" width="38.44140625" bestFit="1" customWidth="1"/>
    <col min="27" max="27" width="25.6640625" customWidth="1"/>
    <col min="30" max="30" width="37.109375" bestFit="1" customWidth="1"/>
    <col min="31" max="31" width="26.6640625" bestFit="1" customWidth="1"/>
    <col min="32" max="32" width="22.33203125" bestFit="1" customWidth="1"/>
  </cols>
  <sheetData>
    <row r="1" spans="1:33" x14ac:dyDescent="0.3">
      <c r="A1" s="6" t="s">
        <v>1</v>
      </c>
      <c r="B1" t="s">
        <v>1125</v>
      </c>
      <c r="C1" t="s">
        <v>1126</v>
      </c>
      <c r="D1" t="s">
        <v>1148</v>
      </c>
      <c r="E1" t="s">
        <v>1149</v>
      </c>
      <c r="F1" t="s">
        <v>1150</v>
      </c>
      <c r="G1" t="s">
        <v>1151</v>
      </c>
      <c r="H1" t="s">
        <v>1152</v>
      </c>
      <c r="I1" t="s">
        <v>1153</v>
      </c>
      <c r="J1" t="s">
        <v>1127</v>
      </c>
      <c r="K1" t="s">
        <v>1128</v>
      </c>
      <c r="L1" t="s">
        <v>1129</v>
      </c>
      <c r="M1" t="s">
        <v>1130</v>
      </c>
      <c r="N1" t="s">
        <v>1131</v>
      </c>
      <c r="O1" t="s">
        <v>1132</v>
      </c>
      <c r="P1" t="s">
        <v>1138</v>
      </c>
      <c r="Q1" t="s">
        <v>1139</v>
      </c>
      <c r="R1" t="s">
        <v>1141</v>
      </c>
      <c r="S1" t="s">
        <v>1154</v>
      </c>
      <c r="T1" t="s">
        <v>1155</v>
      </c>
      <c r="U1" t="s">
        <v>1156</v>
      </c>
      <c r="V1" t="s">
        <v>1157</v>
      </c>
      <c r="W1" t="s">
        <v>1158</v>
      </c>
      <c r="X1" t="s">
        <v>1159</v>
      </c>
      <c r="Y1" t="s">
        <v>1160</v>
      </c>
      <c r="Z1" t="s">
        <v>1162</v>
      </c>
      <c r="AA1" t="s">
        <v>1163</v>
      </c>
      <c r="AB1" t="s">
        <v>1164</v>
      </c>
      <c r="AC1" t="s">
        <v>1165</v>
      </c>
      <c r="AD1" t="s">
        <v>1166</v>
      </c>
      <c r="AE1" t="s">
        <v>1173</v>
      </c>
      <c r="AF1" t="s">
        <v>1161</v>
      </c>
      <c r="AG1" t="s">
        <v>17956</v>
      </c>
    </row>
    <row r="2" spans="1:33" x14ac:dyDescent="0.3">
      <c r="A2" t="str">
        <f>General2022[[#This Row],[organisation_name]]</f>
        <v>Break-even</v>
      </c>
      <c r="B2" t="str">
        <f>IF(General2022[[#This Row],[sector]]= "",VLOOKUP(Data2022[[#This Row],[organisation_name]],'Response Rate sheet'!A:D,3,FALSE),General2022[[#This Row],[sector]])</f>
        <v>Culture</v>
      </c>
      <c r="C2" t="str">
        <f>General2022[[#This Row],[organisation_type]]</f>
        <v>association</v>
      </c>
      <c r="D2">
        <f>IF(ISBLANK(General2022[[#This Row],[number_of_members]]),"N/A",VLOOKUP(A2,General2022[[organisation_name]:[number_of_international_committee_board_members_not_eea]],6,FALSE))</f>
        <v>85</v>
      </c>
      <c r="E2">
        <f>IF(ISBLANK(General2022[[#This Row],[number_of_committee_board_members]]),"N/A",VLOOKUP(A2,General2022!B:M,10,FALSE))</f>
        <v>10</v>
      </c>
      <c r="F2">
        <f>IFERROR(Data2022[[#This Row],[Number of members]]-Data2022[[#This Row],[Number of active members]], "N/A")</f>
        <v>75</v>
      </c>
      <c r="G2">
        <f>IFERROR(Data2022[[#This Row],[Number of active members]]/Data2022[[#This Row],[Number of members]], "N/A")</f>
        <v>0.11764705882352941</v>
      </c>
      <c r="H2">
        <f>IFERROR(1-Data2022[[#This Row],[Percentage active members]],"N/A")</f>
        <v>0.88235294117647056</v>
      </c>
      <c r="I2" t="str">
        <f>IF(Data2022[[#This Row],[Number of members]]=0,"N/A",IF(Data2022[[#This Row],[Number of members]]&lt;50," A. 1 - 50 ",IF(Data2022[[#This Row],[Number of members]]&lt;100, "B. 50 - 100", IF(Data2022[[#This Row],[Number of members]]&lt;400, "C. 100 - 400", IF(Data2022[[#This Row],[Number of members]]&lt;1000,"D. 400 - 1000", "E. 1000 +")))))</f>
        <v>B. 50 - 100</v>
      </c>
      <c r="J2">
        <f>IF(ISBLANK(General2022[[#This Row],[number_of_international_members_not_eea]]),"N/A",VLOOKUP(A2,General2022[[organisation_name]:[number_of_international_committee_board_members_not_eea]],9,FALSE))</f>
        <v>20</v>
      </c>
      <c r="K2">
        <f>IF(ISBLANK(General2022[[#This Row],[number_of_international_members_eea]]),"N/A",VLOOKUP(A2,General2022[[organisation_name]:[number_of_international_committee_board_members_not_eea]],8,FALSE))</f>
        <v>10</v>
      </c>
      <c r="L2">
        <f>IFERROR(IF(Data2022[[#This Row],[Number of members]]-Data2022[[#This Row],[Non-EEA Total]]-Data2022[[#This Row],[EEA total]]&lt;1,"N/A", Data2022[[#This Row],[Number of members]]-Data2022[[#This Row],[Non-EEA Total]]-Data2022[[#This Row],[EEA total]]),"N/A")</f>
        <v>55</v>
      </c>
      <c r="M2">
        <f>VLOOKUP(A2,General2022[[organisation_name]:[number_of_international_committee_board_members_not_eea]],12,FALSE)</f>
        <v>8</v>
      </c>
      <c r="N2">
        <f>VLOOKUP(A2,General2022[[organisation_name]:[number_of_international_committee_board_members_not_eea]],11,FALSE)</f>
        <v>12</v>
      </c>
      <c r="O2" t="str">
        <f>IFERROR(IF(Data2022[[#This Row],[Number of active members]]-Data2022[[#This Row],[Non-EEA Active ]]-Data2022[[#This Row],[EEA Active]]&lt;1,"N/A", Data2022[[#This Row],[Number of active members]]-Data2022[[#This Row],[Non-EEA Active ]]-Data2022[[#This Row],[EEA Active]]),"N/A")</f>
        <v>N/A</v>
      </c>
      <c r="P2">
        <f>IFERROR(Data2022[[#This Row],[Non-EEA Active ]]/Data2022[[#This Row],[Number of active members]],"N/A")</f>
        <v>0.8</v>
      </c>
      <c r="Q2">
        <f>IFERROR(Data2022[[#This Row],[EEA Active]]/Data2022[[#This Row],[EEA total]], "N/A")</f>
        <v>1.2</v>
      </c>
      <c r="R2" t="str">
        <f>IFERROR(Data2022[[#This Row],[Dutch Active]]/Data2022[[#This Row],[Dutch total]],"N/A")</f>
        <v>N/A</v>
      </c>
      <c r="S2" t="str">
        <f>IFERROR(IF(Data2022[[#This Row],[Number of members]]=Data2022[[#This Row],[Non-EEA Total]]+Data2022[[#This Row],[EEA total]]+Data2022[[#This Row],[Dutch total]],"T","F"),"F")</f>
        <v>T</v>
      </c>
      <c r="T2" t="str">
        <f>IFERROR(IF(Data2022[[#This Row],[Number of active members]]=Data2022[[#This Row],[Non-EEA Active ]]+Data2022[[#This Row],[EEA Active]]+Data2022[[#This Row],[Dutch Active]],"T","F"),"F")</f>
        <v>F</v>
      </c>
      <c r="U2" t="str">
        <f>IFERROR(IF(Data2022[[#This Row],[Number of members]]-Data2022[[#This Row],[Non-EEA Active ]]-Data2022[[#This Row],[EEA Active]]-Data2022[[#This Row],[Dutch Active]]=Data2022[[#This Row],[Number of  inactive members]],"T","F"),"F")</f>
        <v>F</v>
      </c>
      <c r="V2" t="str">
        <f>IF(Data2022[[#This Row],[EEA Active]]&lt;=Data2022[[#This Row],[EEA total]],"T","F")</f>
        <v>F</v>
      </c>
      <c r="W2" t="str">
        <f>IF(Data2022[[#This Row],[Dutch Active]]&lt;=Data2022[[#This Row],[Dutch total]],"T","F")</f>
        <v>F</v>
      </c>
      <c r="X2" t="str">
        <f>IF(Data2022[[#This Row],[Non-EEA Active ]]&lt;=Data2022[[#This Row],[Non-EEA Total]],"T","F")</f>
        <v>T</v>
      </c>
      <c r="Y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
        <f>IFERROR(VLOOKUP(Data2022[[#This Row],[organisation_name]],'Division Study Year Committees'!$A$1:$L$108,2,FALSE),"N/A")</f>
        <v>0</v>
      </c>
      <c r="AA2">
        <f>IFERROR(VLOOKUP(Data2022[[#This Row],[organisation_name]],'Division Study Year Committees'!$A$1:$L$108,3,FALSE),"N/A")</f>
        <v>0</v>
      </c>
      <c r="AB2">
        <f>IFERROR(VLOOKUP(Data2022[[#This Row],[organisation_name]],'Division Study Year Committees'!$A$1:$L$108,4,FALSE),"N/A")</f>
        <v>0</v>
      </c>
      <c r="AC2">
        <f>IFERROR(VLOOKUP(Data2022[[#This Row],[organisation_name]],'Division Study Year Committees'!$A$1:$L$108,5,FALSE), "N/A")</f>
        <v>0</v>
      </c>
      <c r="AD2">
        <f>IFERROR(VLOOKUP(Data2022[[#This Row],[organisation_name]],'Division Study Year Committees'!$A$1:$L$108,6,FALSE), "N/A")</f>
        <v>0</v>
      </c>
      <c r="AE2">
        <f>SUM(Data2022[[#This Row],[Number of first year comittee members]:[Number of 4+ year comittee members]])</f>
        <v>0</v>
      </c>
      <c r="AF2">
        <f>COUNTIF('Committee2022'!D:D,Data2022[[#This Row],[organisation_name]])</f>
        <v>7</v>
      </c>
      <c r="AG2">
        <v>2022</v>
      </c>
    </row>
    <row r="3" spans="1:33" x14ac:dyDescent="0.3">
      <c r="A3" t="str">
        <f>General2022[[#This Row],[organisation_name]]</f>
        <v>DAV Kronos</v>
      </c>
      <c r="B3" t="str">
        <f>IF(General2022[[#This Row],[sector]]= "",VLOOKUP(Data2022[[#This Row],[organisation_name]],'Response Rate sheet'!A:D,3,FALSE),General2022[[#This Row],[sector]])</f>
        <v>Sports</v>
      </c>
      <c r="C3" t="str">
        <f>General2022[[#This Row],[organisation_type]]</f>
        <v>association</v>
      </c>
      <c r="D3">
        <f>IF(ISBLANK(General2022[[#This Row],[number_of_members]]),"N/A",VLOOKUP(A3,General2022[[organisation_name]:[number_of_international_committee_board_members_not_eea]],6,FALSE))</f>
        <v>99</v>
      </c>
      <c r="E3">
        <f>IF(ISBLANK(General2022[[#This Row],[number_of_committee_board_members]]),"N/A",VLOOKUP(A3,General2022!B:M,10,FALSE))</f>
        <v>10</v>
      </c>
      <c r="F3">
        <f>IFERROR(Data2022[[#This Row],[Number of members]]-Data2022[[#This Row],[Number of active members]], "N/A")</f>
        <v>89</v>
      </c>
      <c r="G3">
        <f>IFERROR(Data2022[[#This Row],[Number of active members]]/Data2022[[#This Row],[Number of members]], "N/A")</f>
        <v>0.10101010101010101</v>
      </c>
      <c r="H3">
        <f>IFERROR(1-Data2022[[#This Row],[Percentage active members]],"N/A")</f>
        <v>0.89898989898989901</v>
      </c>
      <c r="I3" t="str">
        <f>IF(Data2022[[#This Row],[Number of members]]=0,"N/A",IF(Data2022[[#This Row],[Number of members]]&lt;50," A. 1 - 50 ",IF(Data2022[[#This Row],[Number of members]]&lt;100, "B. 50 - 100", IF(Data2022[[#This Row],[Number of members]]&lt;400, "C. 100 - 400", IF(Data2022[[#This Row],[Number of members]]&lt;1000,"D. 400 - 1000", "E. 1000 +")))))</f>
        <v>B. 50 - 100</v>
      </c>
      <c r="J3">
        <f>IF(ISBLANK(General2022[[#This Row],[number_of_international_members_not_eea]]),"N/A",VLOOKUP(A3,General2022[[organisation_name]:[number_of_international_committee_board_members_not_eea]],9,FALSE))</f>
        <v>40</v>
      </c>
      <c r="K3">
        <f>IF(ISBLANK(General2022[[#This Row],[number_of_international_members_eea]]),"N/A",VLOOKUP(A3,General2022[[organisation_name]:[number_of_international_committee_board_members_not_eea]],8,FALSE))</f>
        <v>1</v>
      </c>
      <c r="L3">
        <f>IFERROR(IF(Data2022[[#This Row],[Number of members]]-Data2022[[#This Row],[Non-EEA Total]]-Data2022[[#This Row],[EEA total]]&lt;1,"N/A", Data2022[[#This Row],[Number of members]]-Data2022[[#This Row],[Non-EEA Total]]-Data2022[[#This Row],[EEA total]]),"N/A")</f>
        <v>58</v>
      </c>
      <c r="M3">
        <f>VLOOKUP(A3,General2022[[organisation_name]:[number_of_international_committee_board_members_not_eea]],12,FALSE)</f>
        <v>1</v>
      </c>
      <c r="N3">
        <f>VLOOKUP(A3,General2022[[organisation_name]:[number_of_international_committee_board_members_not_eea]],11,FALSE)</f>
        <v>0</v>
      </c>
      <c r="O3">
        <f>IFERROR(IF(Data2022[[#This Row],[Number of active members]]-Data2022[[#This Row],[Non-EEA Active ]]-Data2022[[#This Row],[EEA Active]]&lt;1,"N/A", Data2022[[#This Row],[Number of active members]]-Data2022[[#This Row],[Non-EEA Active ]]-Data2022[[#This Row],[EEA Active]]),"N/A")</f>
        <v>9</v>
      </c>
      <c r="P3">
        <f>IFERROR(Data2022[[#This Row],[Non-EEA Active ]]/Data2022[[#This Row],[Number of active members]],"N/A")</f>
        <v>0.1</v>
      </c>
      <c r="Q3">
        <f>IFERROR(Data2022[[#This Row],[EEA Active]]/Data2022[[#This Row],[EEA total]], "N/A")</f>
        <v>0</v>
      </c>
      <c r="R3">
        <f>IFERROR(Data2022[[#This Row],[Dutch Active]]/Data2022[[#This Row],[Dutch total]],"N/A")</f>
        <v>0.15517241379310345</v>
      </c>
      <c r="S3" t="str">
        <f>IFERROR(IF(Data2022[[#This Row],[Number of members]]=Data2022[[#This Row],[Non-EEA Total]]+Data2022[[#This Row],[EEA total]]+Data2022[[#This Row],[Dutch total]],"T","F"),"F")</f>
        <v>T</v>
      </c>
      <c r="T3" t="str">
        <f>IFERROR(IF(Data2022[[#This Row],[Number of active members]]=Data2022[[#This Row],[Non-EEA Active ]]+Data2022[[#This Row],[EEA Active]]+Data2022[[#This Row],[Dutch Active]],"T","F"),"F")</f>
        <v>T</v>
      </c>
      <c r="U3" t="str">
        <f>IFERROR(IF(Data2022[[#This Row],[Number of members]]-Data2022[[#This Row],[Non-EEA Active ]]-Data2022[[#This Row],[EEA Active]]-Data2022[[#This Row],[Dutch Active]]=Data2022[[#This Row],[Number of  inactive members]],"T","F"),"F")</f>
        <v>T</v>
      </c>
      <c r="V3" t="str">
        <f>IF(Data2022[[#This Row],[EEA Active]]&lt;=Data2022[[#This Row],[EEA total]],"T","F")</f>
        <v>T</v>
      </c>
      <c r="W3" t="str">
        <f>IF(Data2022[[#This Row],[Dutch Active]]&lt;=Data2022[[#This Row],[Dutch total]],"T","F")</f>
        <v>T</v>
      </c>
      <c r="X3" t="str">
        <f>IF(Data2022[[#This Row],[Non-EEA Active ]]&lt;=Data2022[[#This Row],[Non-EEA Total]],"T","F")</f>
        <v>T</v>
      </c>
      <c r="Y3"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3">
        <f>IFERROR(VLOOKUP(Data2022[[#This Row],[organisation_name]],'Division Study Year Committees'!$A$1:$L$108,2,FALSE),"N/A")</f>
        <v>14</v>
      </c>
      <c r="AA3">
        <f>IFERROR(VLOOKUP(Data2022[[#This Row],[organisation_name]],'Division Study Year Committees'!$A$1:$L$108,3,FALSE),"N/A")</f>
        <v>16</v>
      </c>
      <c r="AB3">
        <f>IFERROR(VLOOKUP(Data2022[[#This Row],[organisation_name]],'Division Study Year Committees'!$A$1:$L$108,4,FALSE),"N/A")</f>
        <v>18</v>
      </c>
      <c r="AC3">
        <f>IFERROR(VLOOKUP(Data2022[[#This Row],[organisation_name]],'Division Study Year Committees'!$A$1:$L$108,5,FALSE), "N/A")</f>
        <v>7</v>
      </c>
      <c r="AD3">
        <f>IFERROR(VLOOKUP(Data2022[[#This Row],[organisation_name]],'Division Study Year Committees'!$A$1:$L$108,6,FALSE), "N/A")</f>
        <v>13</v>
      </c>
      <c r="AE3">
        <f>SUM(Data2022[[#This Row],[Number of first year comittee members]:[Number of 4+ year comittee members]])</f>
        <v>68</v>
      </c>
      <c r="AF3">
        <f>COUNTIF('Committee2022'!D:D,Data2022[[#This Row],[organisation_name]])</f>
        <v>0</v>
      </c>
      <c r="AG3">
        <v>2022</v>
      </c>
    </row>
    <row r="4" spans="1:33" x14ac:dyDescent="0.3">
      <c r="A4" t="str">
        <f>General2022[[#This Row],[organisation_name]]</f>
        <v>DBV Arriba</v>
      </c>
      <c r="B4" t="str">
        <f>IF(General2022[[#This Row],[sector]]= "",VLOOKUP(Data2022[[#This Row],[organisation_name]],'Response Rate sheet'!A:D,3,FALSE),General2022[[#This Row],[sector]])</f>
        <v>Sports</v>
      </c>
      <c r="C4" t="str">
        <f>General2022[[#This Row],[organisation_type]]</f>
        <v>association</v>
      </c>
      <c r="D4">
        <f>IF(ISBLANK(General2022[[#This Row],[number_of_members]]),"N/A",VLOOKUP(A4,General2022[[organisation_name]:[number_of_international_committee_board_members_not_eea]],6,FALSE))</f>
        <v>5</v>
      </c>
      <c r="E4">
        <f>IF(ISBLANK(General2022[[#This Row],[number_of_committee_board_members]]),"N/A",VLOOKUP(A4,General2022!B:M,10,FALSE))</f>
        <v>5</v>
      </c>
      <c r="F4">
        <f>IFERROR(Data2022[[#This Row],[Number of members]]-Data2022[[#This Row],[Number of active members]], "N/A")</f>
        <v>0</v>
      </c>
      <c r="G4">
        <f>IFERROR(Data2022[[#This Row],[Number of active members]]/Data2022[[#This Row],[Number of members]], "N/A")</f>
        <v>1</v>
      </c>
      <c r="H4">
        <f>IFERROR(1-Data2022[[#This Row],[Percentage active members]],"N/A")</f>
        <v>0</v>
      </c>
      <c r="I4"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4">
        <f>IF(ISBLANK(General2022[[#This Row],[number_of_international_members_not_eea]]),"N/A",VLOOKUP(A4,General2022[[organisation_name]:[number_of_international_committee_board_members_not_eea]],9,FALSE))</f>
        <v>5</v>
      </c>
      <c r="K4">
        <f>IF(ISBLANK(General2022[[#This Row],[number_of_international_members_eea]]),"N/A",VLOOKUP(A4,General2022[[organisation_name]:[number_of_international_committee_board_members_not_eea]],8,FALSE))</f>
        <v>5</v>
      </c>
      <c r="L4" t="str">
        <f>IFERROR(IF(Data2022[[#This Row],[Number of members]]-Data2022[[#This Row],[Non-EEA Total]]-Data2022[[#This Row],[EEA total]]&lt;1,"N/A", Data2022[[#This Row],[Number of members]]-Data2022[[#This Row],[Non-EEA Total]]-Data2022[[#This Row],[EEA total]]),"N/A")</f>
        <v>N/A</v>
      </c>
      <c r="M4">
        <f>VLOOKUP(A4,General2022[[organisation_name]:[number_of_international_committee_board_members_not_eea]],12,FALSE)</f>
        <v>5</v>
      </c>
      <c r="N4">
        <f>VLOOKUP(A4,General2022[[organisation_name]:[number_of_international_committee_board_members_not_eea]],11,FALSE)</f>
        <v>5</v>
      </c>
      <c r="O4" t="str">
        <f>IFERROR(IF(Data2022[[#This Row],[Number of active members]]-Data2022[[#This Row],[Non-EEA Active ]]-Data2022[[#This Row],[EEA Active]]&lt;1,"N/A", Data2022[[#This Row],[Number of active members]]-Data2022[[#This Row],[Non-EEA Active ]]-Data2022[[#This Row],[EEA Active]]),"N/A")</f>
        <v>N/A</v>
      </c>
      <c r="P4">
        <f>IFERROR(Data2022[[#This Row],[Non-EEA Active ]]/Data2022[[#This Row],[Number of active members]],"N/A")</f>
        <v>1</v>
      </c>
      <c r="Q4">
        <f>IFERROR(Data2022[[#This Row],[EEA Active]]/Data2022[[#This Row],[EEA total]], "N/A")</f>
        <v>1</v>
      </c>
      <c r="R4" t="str">
        <f>IFERROR(Data2022[[#This Row],[Dutch Active]]/Data2022[[#This Row],[Dutch total]],"N/A")</f>
        <v>N/A</v>
      </c>
      <c r="S4" t="str">
        <f>IFERROR(IF(Data2022[[#This Row],[Number of members]]=Data2022[[#This Row],[Non-EEA Total]]+Data2022[[#This Row],[EEA total]]+Data2022[[#This Row],[Dutch total]],"T","F"),"F")</f>
        <v>F</v>
      </c>
      <c r="T4" t="str">
        <f>IFERROR(IF(Data2022[[#This Row],[Number of active members]]=Data2022[[#This Row],[Non-EEA Active ]]+Data2022[[#This Row],[EEA Active]]+Data2022[[#This Row],[Dutch Active]],"T","F"),"F")</f>
        <v>F</v>
      </c>
      <c r="U4" t="str">
        <f>IFERROR(IF(Data2022[[#This Row],[Number of members]]-Data2022[[#This Row],[Non-EEA Active ]]-Data2022[[#This Row],[EEA Active]]-Data2022[[#This Row],[Dutch Active]]=Data2022[[#This Row],[Number of  inactive members]],"T","F"),"F")</f>
        <v>F</v>
      </c>
      <c r="V4" t="str">
        <f>IF(Data2022[[#This Row],[EEA Active]]&lt;=Data2022[[#This Row],[EEA total]],"T","F")</f>
        <v>T</v>
      </c>
      <c r="W4" t="str">
        <f>IF(Data2022[[#This Row],[Dutch Active]]&lt;=Data2022[[#This Row],[Dutch total]],"T","F")</f>
        <v>T</v>
      </c>
      <c r="X4" t="str">
        <f>IF(Data2022[[#This Row],[Non-EEA Active ]]&lt;=Data2022[[#This Row],[Non-EEA Total]],"T","F")</f>
        <v>T</v>
      </c>
      <c r="Y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 t="str">
        <f>IFERROR(VLOOKUP(Data2022[[#This Row],[organisation_name]],'Division Study Year Committees'!$A$1:$L$108,2,FALSE),"N/A")</f>
        <v>N/A</v>
      </c>
      <c r="AA4" t="str">
        <f>IFERROR(VLOOKUP(Data2022[[#This Row],[organisation_name]],'Division Study Year Committees'!$A$1:$L$108,3,FALSE),"N/A")</f>
        <v>N/A</v>
      </c>
      <c r="AB4" t="str">
        <f>IFERROR(VLOOKUP(Data2022[[#This Row],[organisation_name]],'Division Study Year Committees'!$A$1:$L$108,4,FALSE),"N/A")</f>
        <v>N/A</v>
      </c>
      <c r="AC4" t="str">
        <f>IFERROR(VLOOKUP(Data2022[[#This Row],[organisation_name]],'Division Study Year Committees'!$A$1:$L$108,5,FALSE), "N/A")</f>
        <v>N/A</v>
      </c>
      <c r="AD4" t="str">
        <f>IFERROR(VLOOKUP(Data2022[[#This Row],[organisation_name]],'Division Study Year Committees'!$A$1:$L$108,6,FALSE), "N/A")</f>
        <v>N/A</v>
      </c>
      <c r="AE4">
        <f>SUM(Data2022[[#This Row],[Number of first year comittee members]:[Number of 4+ year comittee members]])</f>
        <v>0</v>
      </c>
      <c r="AF4">
        <f>COUNTIF('Committee2022'!D:D,Data2022[[#This Row],[organisation_name]])</f>
        <v>0</v>
      </c>
      <c r="AG4">
        <v>2022</v>
      </c>
    </row>
    <row r="5" spans="1:33" x14ac:dyDescent="0.3">
      <c r="A5" t="str">
        <f>General2022[[#This Row],[organisation_name]]</f>
        <v>DSTV Aloha</v>
      </c>
      <c r="B5" t="str">
        <f>IF(General2022[[#This Row],[sector]]= "",VLOOKUP(Data2022[[#This Row],[organisation_name]],'Response Rate sheet'!A:D,3,FALSE),General2022[[#This Row],[sector]])</f>
        <v>Sports</v>
      </c>
      <c r="C5" t="str">
        <f>General2022[[#This Row],[organisation_type]]</f>
        <v>association</v>
      </c>
      <c r="D5">
        <f>IF(ISBLANK(General2022[[#This Row],[number_of_members]]),"N/A",VLOOKUP(A5,General2022[[organisation_name]:[number_of_international_committee_board_members_not_eea]],6,FALSE))</f>
        <v>72</v>
      </c>
      <c r="E5">
        <f>IF(ISBLANK(General2022[[#This Row],[number_of_committee_board_members]]),"N/A",VLOOKUP(A5,General2022!B:M,10,FALSE))</f>
        <v>10</v>
      </c>
      <c r="F5">
        <f>IFERROR(Data2022[[#This Row],[Number of members]]-Data2022[[#This Row],[Number of active members]], "N/A")</f>
        <v>62</v>
      </c>
      <c r="G5">
        <f>IFERROR(Data2022[[#This Row],[Number of active members]]/Data2022[[#This Row],[Number of members]], "N/A")</f>
        <v>0.1388888888888889</v>
      </c>
      <c r="H5">
        <f>IFERROR(1-Data2022[[#This Row],[Percentage active members]],"N/A")</f>
        <v>0.86111111111111116</v>
      </c>
      <c r="I5" t="str">
        <f>IF(Data2022[[#This Row],[Number of members]]=0,"N/A",IF(Data2022[[#This Row],[Number of members]]&lt;50," A. 1 - 50 ",IF(Data2022[[#This Row],[Number of members]]&lt;100, "B. 50 - 100", IF(Data2022[[#This Row],[Number of members]]&lt;400, "C. 100 - 400", IF(Data2022[[#This Row],[Number of members]]&lt;1000,"D. 400 - 1000", "E. 1000 +")))))</f>
        <v>B. 50 - 100</v>
      </c>
      <c r="J5">
        <f>IF(ISBLANK(General2022[[#This Row],[number_of_international_members_not_eea]]),"N/A",VLOOKUP(A5,General2022[[organisation_name]:[number_of_international_committee_board_members_not_eea]],9,FALSE))</f>
        <v>29</v>
      </c>
      <c r="K5">
        <f>IF(ISBLANK(General2022[[#This Row],[number_of_international_members_eea]]),"N/A",VLOOKUP(A5,General2022[[organisation_name]:[number_of_international_committee_board_members_not_eea]],8,FALSE))</f>
        <v>2</v>
      </c>
      <c r="L5">
        <f>IFERROR(IF(Data2022[[#This Row],[Number of members]]-Data2022[[#This Row],[Non-EEA Total]]-Data2022[[#This Row],[EEA total]]&lt;1,"N/A", Data2022[[#This Row],[Number of members]]-Data2022[[#This Row],[Non-EEA Total]]-Data2022[[#This Row],[EEA total]]),"N/A")</f>
        <v>41</v>
      </c>
      <c r="M5">
        <f>VLOOKUP(A5,General2022[[organisation_name]:[number_of_international_committee_board_members_not_eea]],12,FALSE)</f>
        <v>0</v>
      </c>
      <c r="N5">
        <f>VLOOKUP(A5,General2022[[organisation_name]:[number_of_international_committee_board_members_not_eea]],11,FALSE)</f>
        <v>2</v>
      </c>
      <c r="O5">
        <f>IFERROR(IF(Data2022[[#This Row],[Number of active members]]-Data2022[[#This Row],[Non-EEA Active ]]-Data2022[[#This Row],[EEA Active]]&lt;1,"N/A", Data2022[[#This Row],[Number of active members]]-Data2022[[#This Row],[Non-EEA Active ]]-Data2022[[#This Row],[EEA Active]]),"N/A")</f>
        <v>8</v>
      </c>
      <c r="P5">
        <f>IFERROR(Data2022[[#This Row],[Non-EEA Active ]]/Data2022[[#This Row],[Number of active members]],"N/A")</f>
        <v>0</v>
      </c>
      <c r="Q5">
        <f>IFERROR(Data2022[[#This Row],[EEA Active]]/Data2022[[#This Row],[EEA total]], "N/A")</f>
        <v>1</v>
      </c>
      <c r="R5">
        <f>IFERROR(Data2022[[#This Row],[Dutch Active]]/Data2022[[#This Row],[Dutch total]],"N/A")</f>
        <v>0.1951219512195122</v>
      </c>
      <c r="S5" t="str">
        <f>IFERROR(IF(Data2022[[#This Row],[Number of members]]=Data2022[[#This Row],[Non-EEA Total]]+Data2022[[#This Row],[EEA total]]+Data2022[[#This Row],[Dutch total]],"T","F"),"F")</f>
        <v>T</v>
      </c>
      <c r="T5" t="str">
        <f>IFERROR(IF(Data2022[[#This Row],[Number of active members]]=Data2022[[#This Row],[Non-EEA Active ]]+Data2022[[#This Row],[EEA Active]]+Data2022[[#This Row],[Dutch Active]],"T","F"),"F")</f>
        <v>T</v>
      </c>
      <c r="U5" t="str">
        <f>IFERROR(IF(Data2022[[#This Row],[Number of members]]-Data2022[[#This Row],[Non-EEA Active ]]-Data2022[[#This Row],[EEA Active]]-Data2022[[#This Row],[Dutch Active]]=Data2022[[#This Row],[Number of  inactive members]],"T","F"),"F")</f>
        <v>T</v>
      </c>
      <c r="V5" t="str">
        <f>IF(Data2022[[#This Row],[EEA Active]]&lt;=Data2022[[#This Row],[EEA total]],"T","F")</f>
        <v>T</v>
      </c>
      <c r="W5" t="str">
        <f>IF(Data2022[[#This Row],[Dutch Active]]&lt;=Data2022[[#This Row],[Dutch total]],"T","F")</f>
        <v>T</v>
      </c>
      <c r="X5" t="str">
        <f>IF(Data2022[[#This Row],[Non-EEA Active ]]&lt;=Data2022[[#This Row],[Non-EEA Total]],"T","F")</f>
        <v>T</v>
      </c>
      <c r="Y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
        <f>IFERROR(VLOOKUP(Data2022[[#This Row],[organisation_name]],'Division Study Year Committees'!$A$1:$L$108,2,FALSE),"N/A")</f>
        <v>1</v>
      </c>
      <c r="AA5">
        <f>IFERROR(VLOOKUP(Data2022[[#This Row],[organisation_name]],'Division Study Year Committees'!$A$1:$L$108,3,FALSE),"N/A")</f>
        <v>1</v>
      </c>
      <c r="AB5">
        <f>IFERROR(VLOOKUP(Data2022[[#This Row],[organisation_name]],'Division Study Year Committees'!$A$1:$L$108,4,FALSE),"N/A")</f>
        <v>0</v>
      </c>
      <c r="AC5">
        <f>IFERROR(VLOOKUP(Data2022[[#This Row],[organisation_name]],'Division Study Year Committees'!$A$1:$L$108,5,FALSE), "N/A")</f>
        <v>9</v>
      </c>
      <c r="AD5">
        <f>IFERROR(VLOOKUP(Data2022[[#This Row],[organisation_name]],'Division Study Year Committees'!$A$1:$L$108,6,FALSE), "N/A")</f>
        <v>24</v>
      </c>
      <c r="AE5">
        <f>SUM(Data2022[[#This Row],[Number of first year comittee members]:[Number of 4+ year comittee members]])</f>
        <v>35</v>
      </c>
      <c r="AF5">
        <f>COUNTIF('Committee2022'!D:D,Data2022[[#This Row],[organisation_name]])</f>
        <v>14</v>
      </c>
      <c r="AG5">
        <v>2022</v>
      </c>
    </row>
    <row r="6" spans="1:33" x14ac:dyDescent="0.3">
      <c r="A6" t="str">
        <f>General2022[[#This Row],[organisation_name]]</f>
        <v>DSV de Skeuvel</v>
      </c>
      <c r="B6" t="str">
        <f>IF(General2022[[#This Row],[sector]]= "",VLOOKUP(Data2022[[#This Row],[organisation_name]],'Response Rate sheet'!A:D,3,FALSE),General2022[[#This Row],[sector]])</f>
        <v>Sports</v>
      </c>
      <c r="C6" t="str">
        <f>General2022[[#This Row],[organisation_type]]</f>
        <v>association</v>
      </c>
      <c r="D6">
        <f>IF(ISBLANK(General2022[[#This Row],[number_of_members]]),"N/A",VLOOKUP(A6,General2022[[organisation_name]:[number_of_international_committee_board_members_not_eea]],6,FALSE))</f>
        <v>240</v>
      </c>
      <c r="E6">
        <f>IF(ISBLANK(General2022[[#This Row],[number_of_committee_board_members]]),"N/A",VLOOKUP(A6,General2022!B:M,10,FALSE))</f>
        <v>75</v>
      </c>
      <c r="F6">
        <f>IFERROR(Data2022[[#This Row],[Number of members]]-Data2022[[#This Row],[Number of active members]], "N/A")</f>
        <v>165</v>
      </c>
      <c r="G6">
        <f>IFERROR(Data2022[[#This Row],[Number of active members]]/Data2022[[#This Row],[Number of members]], "N/A")</f>
        <v>0.3125</v>
      </c>
      <c r="H6">
        <f>IFERROR(1-Data2022[[#This Row],[Percentage active members]],"N/A")</f>
        <v>0.6875</v>
      </c>
      <c r="I6" t="str">
        <f>IF(Data2022[[#This Row],[Number of members]]=0,"N/A",IF(Data2022[[#This Row],[Number of members]]&lt;50," A. 1 - 50 ",IF(Data2022[[#This Row],[Number of members]]&lt;100, "B. 50 - 100", IF(Data2022[[#This Row],[Number of members]]&lt;400, "C. 100 - 400", IF(Data2022[[#This Row],[Number of members]]&lt;1000,"D. 400 - 1000", "E. 1000 +")))))</f>
        <v>C. 100 - 400</v>
      </c>
      <c r="J6">
        <f>IF(ISBLANK(General2022[[#This Row],[number_of_international_members_not_eea]]),"N/A",VLOOKUP(A6,General2022[[organisation_name]:[number_of_international_committee_board_members_not_eea]],9,FALSE))</f>
        <v>75</v>
      </c>
      <c r="K6">
        <f>IF(ISBLANK(General2022[[#This Row],[number_of_international_members_eea]]),"N/A",VLOOKUP(A6,General2022[[organisation_name]:[number_of_international_committee_board_members_not_eea]],8,FALSE))</f>
        <v>5</v>
      </c>
      <c r="L6">
        <f>IFERROR(IF(Data2022[[#This Row],[Number of members]]-Data2022[[#This Row],[Non-EEA Total]]-Data2022[[#This Row],[EEA total]]&lt;1,"N/A", Data2022[[#This Row],[Number of members]]-Data2022[[#This Row],[Non-EEA Total]]-Data2022[[#This Row],[EEA total]]),"N/A")</f>
        <v>160</v>
      </c>
      <c r="M6">
        <f>VLOOKUP(A6,General2022[[organisation_name]:[number_of_international_committee_board_members_not_eea]],12,FALSE)</f>
        <v>0</v>
      </c>
      <c r="N6">
        <f>VLOOKUP(A6,General2022[[organisation_name]:[number_of_international_committee_board_members_not_eea]],11,FALSE)</f>
        <v>1</v>
      </c>
      <c r="O6">
        <f>IFERROR(IF(Data2022[[#This Row],[Number of active members]]-Data2022[[#This Row],[Non-EEA Active ]]-Data2022[[#This Row],[EEA Active]]&lt;1,"N/A", Data2022[[#This Row],[Number of active members]]-Data2022[[#This Row],[Non-EEA Active ]]-Data2022[[#This Row],[EEA Active]]),"N/A")</f>
        <v>74</v>
      </c>
      <c r="P6">
        <f>IFERROR(Data2022[[#This Row],[Non-EEA Active ]]/Data2022[[#This Row],[Number of active members]],"N/A")</f>
        <v>0</v>
      </c>
      <c r="Q6">
        <f>IFERROR(Data2022[[#This Row],[EEA Active]]/Data2022[[#This Row],[EEA total]], "N/A")</f>
        <v>0.2</v>
      </c>
      <c r="R6">
        <f>IFERROR(Data2022[[#This Row],[Dutch Active]]/Data2022[[#This Row],[Dutch total]],"N/A")</f>
        <v>0.46250000000000002</v>
      </c>
      <c r="S6" t="str">
        <f>IFERROR(IF(Data2022[[#This Row],[Number of members]]=Data2022[[#This Row],[Non-EEA Total]]+Data2022[[#This Row],[EEA total]]+Data2022[[#This Row],[Dutch total]],"T","F"),"F")</f>
        <v>T</v>
      </c>
      <c r="T6" t="str">
        <f>IFERROR(IF(Data2022[[#This Row],[Number of active members]]=Data2022[[#This Row],[Non-EEA Active ]]+Data2022[[#This Row],[EEA Active]]+Data2022[[#This Row],[Dutch Active]],"T","F"),"F")</f>
        <v>T</v>
      </c>
      <c r="U6" t="str">
        <f>IFERROR(IF(Data2022[[#This Row],[Number of members]]-Data2022[[#This Row],[Non-EEA Active ]]-Data2022[[#This Row],[EEA Active]]-Data2022[[#This Row],[Dutch Active]]=Data2022[[#This Row],[Number of  inactive members]],"T","F"),"F")</f>
        <v>T</v>
      </c>
      <c r="V6" t="str">
        <f>IF(Data2022[[#This Row],[EEA Active]]&lt;=Data2022[[#This Row],[EEA total]],"T","F")</f>
        <v>T</v>
      </c>
      <c r="W6" t="str">
        <f>IF(Data2022[[#This Row],[Dutch Active]]&lt;=Data2022[[#This Row],[Dutch total]],"T","F")</f>
        <v>T</v>
      </c>
      <c r="X6" t="str">
        <f>IF(Data2022[[#This Row],[Non-EEA Active ]]&lt;=Data2022[[#This Row],[Non-EEA Total]],"T","F")</f>
        <v>T</v>
      </c>
      <c r="Y6"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
        <f>IFERROR(VLOOKUP(Data2022[[#This Row],[organisation_name]],'Division Study Year Committees'!$A$1:$L$108,2,FALSE),"N/A")</f>
        <v>0</v>
      </c>
      <c r="AA6">
        <f>IFERROR(VLOOKUP(Data2022[[#This Row],[organisation_name]],'Division Study Year Committees'!$A$1:$L$108,3,FALSE),"N/A")</f>
        <v>0</v>
      </c>
      <c r="AB6">
        <f>IFERROR(VLOOKUP(Data2022[[#This Row],[organisation_name]],'Division Study Year Committees'!$A$1:$L$108,4,FALSE),"N/A")</f>
        <v>0</v>
      </c>
      <c r="AC6">
        <f>IFERROR(VLOOKUP(Data2022[[#This Row],[organisation_name]],'Division Study Year Committees'!$A$1:$L$108,5,FALSE), "N/A")</f>
        <v>0</v>
      </c>
      <c r="AD6">
        <f>IFERROR(VLOOKUP(Data2022[[#This Row],[organisation_name]],'Division Study Year Committees'!$A$1:$L$108,6,FALSE), "N/A")</f>
        <v>0</v>
      </c>
      <c r="AE6">
        <f>SUM(Data2022[[#This Row],[Number of first year comittee members]:[Number of 4+ year comittee members]])</f>
        <v>0</v>
      </c>
      <c r="AF6">
        <f>COUNTIF('Committee2022'!D:D,Data2022[[#This Row],[organisation_name]])</f>
        <v>28</v>
      </c>
      <c r="AG6">
        <v>2022</v>
      </c>
    </row>
    <row r="7" spans="1:33" x14ac:dyDescent="0.3">
      <c r="A7" t="str">
        <f>General2022[[#This Row],[organisation_name]]</f>
        <v>DTTV Thibats</v>
      </c>
      <c r="B7" t="str">
        <f>IF(General2022[[#This Row],[sector]]= "",VLOOKUP(Data2022[[#This Row],[organisation_name]],'Response Rate sheet'!A:D,3,FALSE),General2022[[#This Row],[sector]])</f>
        <v>Sports</v>
      </c>
      <c r="C7" t="str">
        <f>General2022[[#This Row],[organisation_type]]</f>
        <v>association</v>
      </c>
      <c r="D7">
        <f>IF(ISBLANK(General2022[[#This Row],[number_of_members]]),"N/A",VLOOKUP(A7,General2022[[organisation_name]:[number_of_international_committee_board_members_not_eea]],6,FALSE))</f>
        <v>29</v>
      </c>
      <c r="E7">
        <f>IF(ISBLANK(General2022[[#This Row],[number_of_committee_board_members]]),"N/A",VLOOKUP(A7,General2022!B:M,10,FALSE))</f>
        <v>5</v>
      </c>
      <c r="F7">
        <f>IFERROR(Data2022[[#This Row],[Number of members]]-Data2022[[#This Row],[Number of active members]], "N/A")</f>
        <v>24</v>
      </c>
      <c r="G7">
        <f>IFERROR(Data2022[[#This Row],[Number of active members]]/Data2022[[#This Row],[Number of members]], "N/A")</f>
        <v>0.17241379310344829</v>
      </c>
      <c r="H7">
        <f>IFERROR(1-Data2022[[#This Row],[Percentage active members]],"N/A")</f>
        <v>0.82758620689655171</v>
      </c>
      <c r="I7"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7">
        <f>IF(ISBLANK(General2022[[#This Row],[number_of_international_members_not_eea]]),"N/A",VLOOKUP(A7,General2022[[organisation_name]:[number_of_international_committee_board_members_not_eea]],9,FALSE))</f>
        <v>10</v>
      </c>
      <c r="K7">
        <f>IF(ISBLANK(General2022[[#This Row],[number_of_international_members_eea]]),"N/A",VLOOKUP(A7,General2022[[organisation_name]:[number_of_international_committee_board_members_not_eea]],8,FALSE))</f>
        <v>6</v>
      </c>
      <c r="L7">
        <f>IFERROR(IF(Data2022[[#This Row],[Number of members]]-Data2022[[#This Row],[Non-EEA Total]]-Data2022[[#This Row],[EEA total]]&lt;1,"N/A", Data2022[[#This Row],[Number of members]]-Data2022[[#This Row],[Non-EEA Total]]-Data2022[[#This Row],[EEA total]]),"N/A")</f>
        <v>13</v>
      </c>
      <c r="M7">
        <f>VLOOKUP(A7,General2022[[organisation_name]:[number_of_international_committee_board_members_not_eea]],12,FALSE)</f>
        <v>0</v>
      </c>
      <c r="N7">
        <f>VLOOKUP(A7,General2022[[organisation_name]:[number_of_international_committee_board_members_not_eea]],11,FALSE)</f>
        <v>12</v>
      </c>
      <c r="O7" t="str">
        <f>IFERROR(IF(Data2022[[#This Row],[Number of active members]]-Data2022[[#This Row],[Non-EEA Active ]]-Data2022[[#This Row],[EEA Active]]&lt;1,"N/A", Data2022[[#This Row],[Number of active members]]-Data2022[[#This Row],[Non-EEA Active ]]-Data2022[[#This Row],[EEA Active]]),"N/A")</f>
        <v>N/A</v>
      </c>
      <c r="P7">
        <f>IFERROR(Data2022[[#This Row],[Non-EEA Active ]]/Data2022[[#This Row],[Number of active members]],"N/A")</f>
        <v>0</v>
      </c>
      <c r="Q7">
        <f>IFERROR(Data2022[[#This Row],[EEA Active]]/Data2022[[#This Row],[EEA total]], "N/A")</f>
        <v>2</v>
      </c>
      <c r="R7" t="str">
        <f>IFERROR(Data2022[[#This Row],[Dutch Active]]/Data2022[[#This Row],[Dutch total]],"N/A")</f>
        <v>N/A</v>
      </c>
      <c r="S7" t="str">
        <f>IFERROR(IF(Data2022[[#This Row],[Number of members]]=Data2022[[#This Row],[Non-EEA Total]]+Data2022[[#This Row],[EEA total]]+Data2022[[#This Row],[Dutch total]],"T","F"),"F")</f>
        <v>T</v>
      </c>
      <c r="T7" t="str">
        <f>IFERROR(IF(Data2022[[#This Row],[Number of active members]]=Data2022[[#This Row],[Non-EEA Active ]]+Data2022[[#This Row],[EEA Active]]+Data2022[[#This Row],[Dutch Active]],"T","F"),"F")</f>
        <v>F</v>
      </c>
      <c r="U7" t="str">
        <f>IFERROR(IF(Data2022[[#This Row],[Number of members]]-Data2022[[#This Row],[Non-EEA Active ]]-Data2022[[#This Row],[EEA Active]]-Data2022[[#This Row],[Dutch Active]]=Data2022[[#This Row],[Number of  inactive members]],"T","F"),"F")</f>
        <v>F</v>
      </c>
      <c r="V7" t="str">
        <f>IF(Data2022[[#This Row],[EEA Active]]&lt;=Data2022[[#This Row],[EEA total]],"T","F")</f>
        <v>F</v>
      </c>
      <c r="W7" t="str">
        <f>IF(Data2022[[#This Row],[Dutch Active]]&lt;=Data2022[[#This Row],[Dutch total]],"T","F")</f>
        <v>F</v>
      </c>
      <c r="X7" t="str">
        <f>IF(Data2022[[#This Row],[Non-EEA Active ]]&lt;=Data2022[[#This Row],[Non-EEA Total]],"T","F")</f>
        <v>T</v>
      </c>
      <c r="Y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
        <f>IFERROR(VLOOKUP(Data2022[[#This Row],[organisation_name]],'Division Study Year Committees'!$A$1:$L$108,2,FALSE),"N/A")</f>
        <v>1</v>
      </c>
      <c r="AA7">
        <f>IFERROR(VLOOKUP(Data2022[[#This Row],[organisation_name]],'Division Study Year Committees'!$A$1:$L$108,3,FALSE),"N/A")</f>
        <v>0</v>
      </c>
      <c r="AB7">
        <f>IFERROR(VLOOKUP(Data2022[[#This Row],[organisation_name]],'Division Study Year Committees'!$A$1:$L$108,4,FALSE),"N/A")</f>
        <v>1</v>
      </c>
      <c r="AC7">
        <f>IFERROR(VLOOKUP(Data2022[[#This Row],[organisation_name]],'Division Study Year Committees'!$A$1:$L$108,5,FALSE), "N/A")</f>
        <v>3</v>
      </c>
      <c r="AD7">
        <f>IFERROR(VLOOKUP(Data2022[[#This Row],[organisation_name]],'Division Study Year Committees'!$A$1:$L$108,6,FALSE), "N/A")</f>
        <v>15</v>
      </c>
      <c r="AE7">
        <f>SUM(Data2022[[#This Row],[Number of first year comittee members]:[Number of 4+ year comittee members]])</f>
        <v>20</v>
      </c>
      <c r="AF7">
        <f>COUNTIF('Committee2022'!D:D,Data2022[[#This Row],[organisation_name]])</f>
        <v>6</v>
      </c>
      <c r="AG7">
        <v>2022</v>
      </c>
    </row>
    <row r="8" spans="1:33" x14ac:dyDescent="0.3">
      <c r="A8" t="str">
        <f>General2022[[#This Row],[organisation_name]]</f>
        <v>DWV Hardboard</v>
      </c>
      <c r="B8" t="str">
        <f>IF(General2022[[#This Row],[sector]]= "",VLOOKUP(Data2022[[#This Row],[organisation_name]],'Response Rate sheet'!A:D,3,FALSE),General2022[[#This Row],[sector]])</f>
        <v>Sports</v>
      </c>
      <c r="C8" t="str">
        <f>General2022[[#This Row],[organisation_type]]</f>
        <v>association</v>
      </c>
      <c r="D8">
        <f>IF(ISBLANK(General2022[[#This Row],[number_of_members]]),"N/A",VLOOKUP(A8,General2022[[organisation_name]:[number_of_international_committee_board_members_not_eea]],6,FALSE))</f>
        <v>170</v>
      </c>
      <c r="E8">
        <f>IF(ISBLANK(General2022[[#This Row],[number_of_committee_board_members]]),"N/A",VLOOKUP(A8,General2022!B:M,10,FALSE))</f>
        <v>50</v>
      </c>
      <c r="F8">
        <f>IFERROR(Data2022[[#This Row],[Number of members]]-Data2022[[#This Row],[Number of active members]], "N/A")</f>
        <v>120</v>
      </c>
      <c r="G8">
        <f>IFERROR(Data2022[[#This Row],[Number of active members]]/Data2022[[#This Row],[Number of members]], "N/A")</f>
        <v>0.29411764705882354</v>
      </c>
      <c r="H8">
        <f>IFERROR(1-Data2022[[#This Row],[Percentage active members]],"N/A")</f>
        <v>0.70588235294117641</v>
      </c>
      <c r="I8" t="str">
        <f>IF(Data2022[[#This Row],[Number of members]]=0,"N/A",IF(Data2022[[#This Row],[Number of members]]&lt;50," A. 1 - 50 ",IF(Data2022[[#This Row],[Number of members]]&lt;100, "B. 50 - 100", IF(Data2022[[#This Row],[Number of members]]&lt;400, "C. 100 - 400", IF(Data2022[[#This Row],[Number of members]]&lt;1000,"D. 400 - 1000", "E. 1000 +")))))</f>
        <v>C. 100 - 400</v>
      </c>
      <c r="J8">
        <f>IF(ISBLANK(General2022[[#This Row],[number_of_international_members_not_eea]]),"N/A",VLOOKUP(A8,General2022[[organisation_name]:[number_of_international_committee_board_members_not_eea]],9,FALSE))</f>
        <v>35</v>
      </c>
      <c r="K8">
        <f>IF(ISBLANK(General2022[[#This Row],[number_of_international_members_eea]]),"N/A",VLOOKUP(A8,General2022[[organisation_name]:[number_of_international_committee_board_members_not_eea]],8,FALSE))</f>
        <v>4</v>
      </c>
      <c r="L8">
        <f>IFERROR(IF(Data2022[[#This Row],[Number of members]]-Data2022[[#This Row],[Non-EEA Total]]-Data2022[[#This Row],[EEA total]]&lt;1,"N/A", Data2022[[#This Row],[Number of members]]-Data2022[[#This Row],[Non-EEA Total]]-Data2022[[#This Row],[EEA total]]),"N/A")</f>
        <v>131</v>
      </c>
      <c r="M8">
        <f>VLOOKUP(A8,General2022[[organisation_name]:[number_of_international_committee_board_members_not_eea]],12,FALSE)</f>
        <v>3</v>
      </c>
      <c r="N8">
        <f>VLOOKUP(A8,General2022[[organisation_name]:[number_of_international_committee_board_members_not_eea]],11,FALSE)</f>
        <v>7</v>
      </c>
      <c r="O8">
        <f>IFERROR(IF(Data2022[[#This Row],[Number of active members]]-Data2022[[#This Row],[Non-EEA Active ]]-Data2022[[#This Row],[EEA Active]]&lt;1,"N/A", Data2022[[#This Row],[Number of active members]]-Data2022[[#This Row],[Non-EEA Active ]]-Data2022[[#This Row],[EEA Active]]),"N/A")</f>
        <v>40</v>
      </c>
      <c r="P8">
        <f>IFERROR(Data2022[[#This Row],[Non-EEA Active ]]/Data2022[[#This Row],[Number of active members]],"N/A")</f>
        <v>0.06</v>
      </c>
      <c r="Q8">
        <f>IFERROR(Data2022[[#This Row],[EEA Active]]/Data2022[[#This Row],[EEA total]], "N/A")</f>
        <v>1.75</v>
      </c>
      <c r="R8">
        <f>IFERROR(Data2022[[#This Row],[Dutch Active]]/Data2022[[#This Row],[Dutch total]],"N/A")</f>
        <v>0.30534351145038169</v>
      </c>
      <c r="S8" t="str">
        <f>IFERROR(IF(Data2022[[#This Row],[Number of members]]=Data2022[[#This Row],[Non-EEA Total]]+Data2022[[#This Row],[EEA total]]+Data2022[[#This Row],[Dutch total]],"T","F"),"F")</f>
        <v>T</v>
      </c>
      <c r="T8" t="str">
        <f>IFERROR(IF(Data2022[[#This Row],[Number of active members]]=Data2022[[#This Row],[Non-EEA Active ]]+Data2022[[#This Row],[EEA Active]]+Data2022[[#This Row],[Dutch Active]],"T","F"),"F")</f>
        <v>T</v>
      </c>
      <c r="U8" t="str">
        <f>IFERROR(IF(Data2022[[#This Row],[Number of members]]-Data2022[[#This Row],[Non-EEA Active ]]-Data2022[[#This Row],[EEA Active]]-Data2022[[#This Row],[Dutch Active]]=Data2022[[#This Row],[Number of  inactive members]],"T","F"),"F")</f>
        <v>T</v>
      </c>
      <c r="V8" t="str">
        <f>IF(Data2022[[#This Row],[EEA Active]]&lt;=Data2022[[#This Row],[EEA total]],"T","F")</f>
        <v>F</v>
      </c>
      <c r="W8" t="str">
        <f>IF(Data2022[[#This Row],[Dutch Active]]&lt;=Data2022[[#This Row],[Dutch total]],"T","F")</f>
        <v>T</v>
      </c>
      <c r="X8" t="str">
        <f>IF(Data2022[[#This Row],[Non-EEA Active ]]&lt;=Data2022[[#This Row],[Non-EEA Total]],"T","F")</f>
        <v>T</v>
      </c>
      <c r="Y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
        <f>IFERROR(VLOOKUP(Data2022[[#This Row],[organisation_name]],'Division Study Year Committees'!$A$1:$L$108,2,FALSE),"N/A")</f>
        <v>0</v>
      </c>
      <c r="AA8">
        <f>IFERROR(VLOOKUP(Data2022[[#This Row],[organisation_name]],'Division Study Year Committees'!$A$1:$L$108,3,FALSE),"N/A")</f>
        <v>0</v>
      </c>
      <c r="AB8">
        <f>IFERROR(VLOOKUP(Data2022[[#This Row],[organisation_name]],'Division Study Year Committees'!$A$1:$L$108,4,FALSE),"N/A")</f>
        <v>0</v>
      </c>
      <c r="AC8">
        <f>IFERROR(VLOOKUP(Data2022[[#This Row],[organisation_name]],'Division Study Year Committees'!$A$1:$L$108,5,FALSE), "N/A")</f>
        <v>0</v>
      </c>
      <c r="AD8">
        <f>IFERROR(VLOOKUP(Data2022[[#This Row],[organisation_name]],'Division Study Year Committees'!$A$1:$L$108,6,FALSE), "N/A")</f>
        <v>0</v>
      </c>
      <c r="AE8">
        <f>SUM(Data2022[[#This Row],[Number of first year comittee members]:[Number of 4+ year comittee members]])</f>
        <v>0</v>
      </c>
      <c r="AF8">
        <f>COUNTIF('Committee2022'!D:D,Data2022[[#This Row],[organisation_name]])</f>
        <v>18</v>
      </c>
      <c r="AG8">
        <v>2022</v>
      </c>
    </row>
    <row r="9" spans="1:33" x14ac:dyDescent="0.3">
      <c r="A9" t="str">
        <f>General2022[[#This Row],[organisation_name]]</f>
        <v>DWV Klein Verzet</v>
      </c>
      <c r="B9" t="str">
        <f>IF(General2022[[#This Row],[sector]]= "",VLOOKUP(Data2022[[#This Row],[organisation_name]],'Response Rate sheet'!A:D,3,FALSE),General2022[[#This Row],[sector]])</f>
        <v>Sports</v>
      </c>
      <c r="C9" t="str">
        <f>General2022[[#This Row],[organisation_type]]</f>
        <v>association</v>
      </c>
      <c r="D9">
        <f>IF(ISBLANK(General2022[[#This Row],[number_of_members]]),"N/A",VLOOKUP(A9,General2022[[organisation_name]:[number_of_international_committee_board_members_not_eea]],6,FALSE))</f>
        <v>85</v>
      </c>
      <c r="E9">
        <f>IF(ISBLANK(General2022[[#This Row],[number_of_committee_board_members]]),"N/A",VLOOKUP(A9,General2022!B:M,10,FALSE))</f>
        <v>10</v>
      </c>
      <c r="F9">
        <f>IFERROR(Data2022[[#This Row],[Number of members]]-Data2022[[#This Row],[Number of active members]], "N/A")</f>
        <v>75</v>
      </c>
      <c r="G9">
        <f>IFERROR(Data2022[[#This Row],[Number of active members]]/Data2022[[#This Row],[Number of members]], "N/A")</f>
        <v>0.11764705882352941</v>
      </c>
      <c r="H9">
        <f>IFERROR(1-Data2022[[#This Row],[Percentage active members]],"N/A")</f>
        <v>0.88235294117647056</v>
      </c>
      <c r="I9" t="str">
        <f>IF(Data2022[[#This Row],[Number of members]]=0,"N/A",IF(Data2022[[#This Row],[Number of members]]&lt;50," A. 1 - 50 ",IF(Data2022[[#This Row],[Number of members]]&lt;100, "B. 50 - 100", IF(Data2022[[#This Row],[Number of members]]&lt;400, "C. 100 - 400", IF(Data2022[[#This Row],[Number of members]]&lt;1000,"D. 400 - 1000", "E. 1000 +")))))</f>
        <v>B. 50 - 100</v>
      </c>
      <c r="J9">
        <f>IF(ISBLANK(General2022[[#This Row],[number_of_international_members_not_eea]]),"N/A",VLOOKUP(A9,General2022[[organisation_name]:[number_of_international_committee_board_members_not_eea]],9,FALSE))</f>
        <v>32</v>
      </c>
      <c r="K9">
        <f>IF(ISBLANK(General2022[[#This Row],[number_of_international_members_eea]]),"N/A",VLOOKUP(A9,General2022[[organisation_name]:[number_of_international_committee_board_members_not_eea]],8,FALSE))</f>
        <v>0</v>
      </c>
      <c r="L9">
        <f>IFERROR(IF(Data2022[[#This Row],[Number of members]]-Data2022[[#This Row],[Non-EEA Total]]-Data2022[[#This Row],[EEA total]]&lt;1,"N/A", Data2022[[#This Row],[Number of members]]-Data2022[[#This Row],[Non-EEA Total]]-Data2022[[#This Row],[EEA total]]),"N/A")</f>
        <v>53</v>
      </c>
      <c r="M9">
        <f>VLOOKUP(A9,General2022[[organisation_name]:[number_of_international_committee_board_members_not_eea]],12,FALSE)</f>
        <v>0</v>
      </c>
      <c r="N9">
        <f>VLOOKUP(A9,General2022[[organisation_name]:[number_of_international_committee_board_members_not_eea]],11,FALSE)</f>
        <v>1</v>
      </c>
      <c r="O9">
        <f>IFERROR(IF(Data2022[[#This Row],[Number of active members]]-Data2022[[#This Row],[Non-EEA Active ]]-Data2022[[#This Row],[EEA Active]]&lt;1,"N/A", Data2022[[#This Row],[Number of active members]]-Data2022[[#This Row],[Non-EEA Active ]]-Data2022[[#This Row],[EEA Active]]),"N/A")</f>
        <v>9</v>
      </c>
      <c r="P9">
        <f>IFERROR(Data2022[[#This Row],[Non-EEA Active ]]/Data2022[[#This Row],[Number of active members]],"N/A")</f>
        <v>0</v>
      </c>
      <c r="Q9" t="str">
        <f>IFERROR(Data2022[[#This Row],[EEA Active]]/Data2022[[#This Row],[EEA total]], "N/A")</f>
        <v>N/A</v>
      </c>
      <c r="R9">
        <f>IFERROR(Data2022[[#This Row],[Dutch Active]]/Data2022[[#This Row],[Dutch total]],"N/A")</f>
        <v>0.16981132075471697</v>
      </c>
      <c r="S9" t="str">
        <f>IFERROR(IF(Data2022[[#This Row],[Number of members]]=Data2022[[#This Row],[Non-EEA Total]]+Data2022[[#This Row],[EEA total]]+Data2022[[#This Row],[Dutch total]],"T","F"),"F")</f>
        <v>T</v>
      </c>
      <c r="T9" t="str">
        <f>IFERROR(IF(Data2022[[#This Row],[Number of active members]]=Data2022[[#This Row],[Non-EEA Active ]]+Data2022[[#This Row],[EEA Active]]+Data2022[[#This Row],[Dutch Active]],"T","F"),"F")</f>
        <v>T</v>
      </c>
      <c r="U9" t="str">
        <f>IFERROR(IF(Data2022[[#This Row],[Number of members]]-Data2022[[#This Row],[Non-EEA Active ]]-Data2022[[#This Row],[EEA Active]]-Data2022[[#This Row],[Dutch Active]]=Data2022[[#This Row],[Number of  inactive members]],"T","F"),"F")</f>
        <v>T</v>
      </c>
      <c r="V9" t="str">
        <f>IF(Data2022[[#This Row],[EEA Active]]&lt;=Data2022[[#This Row],[EEA total]],"T","F")</f>
        <v>F</v>
      </c>
      <c r="W9" t="str">
        <f>IF(Data2022[[#This Row],[Dutch Active]]&lt;=Data2022[[#This Row],[Dutch total]],"T","F")</f>
        <v>T</v>
      </c>
      <c r="X9" t="str">
        <f>IF(Data2022[[#This Row],[Non-EEA Active ]]&lt;=Data2022[[#This Row],[Non-EEA Total]],"T","F")</f>
        <v>T</v>
      </c>
      <c r="Y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 t="str">
        <f>IFERROR(VLOOKUP(Data2022[[#This Row],[organisation_name]],'Division Study Year Committees'!$A$1:$L$108,2,FALSE),"N/A")</f>
        <v>N/A</v>
      </c>
      <c r="AA9" t="str">
        <f>IFERROR(VLOOKUP(Data2022[[#This Row],[organisation_name]],'Division Study Year Committees'!$A$1:$L$108,3,FALSE),"N/A")</f>
        <v>N/A</v>
      </c>
      <c r="AB9" t="str">
        <f>IFERROR(VLOOKUP(Data2022[[#This Row],[organisation_name]],'Division Study Year Committees'!$A$1:$L$108,4,FALSE),"N/A")</f>
        <v>N/A</v>
      </c>
      <c r="AC9" t="str">
        <f>IFERROR(VLOOKUP(Data2022[[#This Row],[organisation_name]],'Division Study Year Committees'!$A$1:$L$108,5,FALSE), "N/A")</f>
        <v>N/A</v>
      </c>
      <c r="AD9" t="str">
        <f>IFERROR(VLOOKUP(Data2022[[#This Row],[organisation_name]],'Division Study Year Committees'!$A$1:$L$108,6,FALSE), "N/A")</f>
        <v>N/A</v>
      </c>
      <c r="AE9">
        <f>SUM(Data2022[[#This Row],[Number of first year comittee members]:[Number of 4+ year comittee members]])</f>
        <v>0</v>
      </c>
      <c r="AF9">
        <f>COUNTIF('Committee2022'!D:D,Data2022[[#This Row],[organisation_name]])</f>
        <v>14</v>
      </c>
      <c r="AG9">
        <v>2022</v>
      </c>
    </row>
    <row r="10" spans="1:33" x14ac:dyDescent="0.3">
      <c r="A10" t="str">
        <f>General2022[[#This Row],[organisation_name]]</f>
        <v>DBV DIOK</v>
      </c>
      <c r="B10" t="str">
        <f>IF(General2022[[#This Row],[sector]]= "",VLOOKUP(Data2022[[#This Row],[organisation_name]],'Response Rate sheet'!A:D,3,FALSE),General2022[[#This Row],[sector]])</f>
        <v>Sports</v>
      </c>
      <c r="C10" t="str">
        <f>General2022[[#This Row],[organisation_type]]</f>
        <v>association</v>
      </c>
      <c r="D10" t="str">
        <f>IF(ISBLANK(General2022[[#This Row],[number_of_members]]),"N/A",VLOOKUP(A10,General2022[[organisation_name]:[number_of_international_committee_board_members_not_eea]],6,FALSE))</f>
        <v>N/A</v>
      </c>
      <c r="E10" t="str">
        <f>IF(ISBLANK(General2022[[#This Row],[number_of_committee_board_members]]),"N/A",VLOOKUP(A10,General2022!B:M,10,FALSE))</f>
        <v>N/A</v>
      </c>
      <c r="F10" t="str">
        <f>IFERROR(Data2022[[#This Row],[Number of members]]-Data2022[[#This Row],[Number of active members]], "N/A")</f>
        <v>N/A</v>
      </c>
      <c r="G10" t="str">
        <f>IFERROR(Data2022[[#This Row],[Number of active members]]/Data2022[[#This Row],[Number of members]], "N/A")</f>
        <v>N/A</v>
      </c>
      <c r="H10" t="str">
        <f>IFERROR(1-Data2022[[#This Row],[Percentage active members]],"N/A")</f>
        <v>N/A</v>
      </c>
      <c r="I10" t="str">
        <f>IF(Data2022[[#This Row],[Number of members]]=0,"N/A",IF(Data2022[[#This Row],[Number of members]]&lt;50," A. 1 - 50 ",IF(Data2022[[#This Row],[Number of members]]&lt;100, "B. 50 - 100", IF(Data2022[[#This Row],[Number of members]]&lt;400, "C. 100 - 400", IF(Data2022[[#This Row],[Number of members]]&lt;1000,"D. 400 - 1000", "E. 1000 +")))))</f>
        <v>E. 1000 +</v>
      </c>
      <c r="J10" t="str">
        <f>IF(ISBLANK(General2022[[#This Row],[number_of_international_members_not_eea]]),"N/A",VLOOKUP(A10,General2022[[organisation_name]:[number_of_international_committee_board_members_not_eea]],9,FALSE))</f>
        <v>N/A</v>
      </c>
      <c r="K10" t="str">
        <f>IF(ISBLANK(General2022[[#This Row],[number_of_international_members_eea]]),"N/A",VLOOKUP(A10,General2022[[organisation_name]:[number_of_international_committee_board_members_not_eea]],8,FALSE))</f>
        <v>N/A</v>
      </c>
      <c r="L10" t="str">
        <f>IFERROR(IF(Data2022[[#This Row],[Number of members]]-Data2022[[#This Row],[Non-EEA Total]]-Data2022[[#This Row],[EEA total]]&lt;1,"N/A", Data2022[[#This Row],[Number of members]]-Data2022[[#This Row],[Non-EEA Total]]-Data2022[[#This Row],[EEA total]]),"N/A")</f>
        <v>N/A</v>
      </c>
      <c r="M10">
        <f>VLOOKUP(A10,General2022[[organisation_name]:[number_of_international_committee_board_members_not_eea]],12,FALSE)</f>
        <v>0</v>
      </c>
      <c r="N10">
        <f>VLOOKUP(A10,General2022[[organisation_name]:[number_of_international_committee_board_members_not_eea]],11,FALSE)</f>
        <v>0</v>
      </c>
      <c r="O10" t="str">
        <f>IFERROR(IF(Data2022[[#This Row],[Number of active members]]-Data2022[[#This Row],[Non-EEA Active ]]-Data2022[[#This Row],[EEA Active]]&lt;1,"N/A", Data2022[[#This Row],[Number of active members]]-Data2022[[#This Row],[Non-EEA Active ]]-Data2022[[#This Row],[EEA Active]]),"N/A")</f>
        <v>N/A</v>
      </c>
      <c r="P10" t="str">
        <f>IFERROR(Data2022[[#This Row],[Non-EEA Active ]]/Data2022[[#This Row],[Number of active members]],"N/A")</f>
        <v>N/A</v>
      </c>
      <c r="Q10" t="str">
        <f>IFERROR(Data2022[[#This Row],[EEA Active]]/Data2022[[#This Row],[EEA total]], "N/A")</f>
        <v>N/A</v>
      </c>
      <c r="R10" t="str">
        <f>IFERROR(Data2022[[#This Row],[Dutch Active]]/Data2022[[#This Row],[Dutch total]],"N/A")</f>
        <v>N/A</v>
      </c>
      <c r="S10" t="str">
        <f>IFERROR(IF(Data2022[[#This Row],[Number of members]]=Data2022[[#This Row],[Non-EEA Total]]+Data2022[[#This Row],[EEA total]]+Data2022[[#This Row],[Dutch total]],"T","F"),"F")</f>
        <v>F</v>
      </c>
      <c r="T10" t="str">
        <f>IFERROR(IF(Data2022[[#This Row],[Number of active members]]=Data2022[[#This Row],[Non-EEA Active ]]+Data2022[[#This Row],[EEA Active]]+Data2022[[#This Row],[Dutch Active]],"T","F"),"F")</f>
        <v>F</v>
      </c>
      <c r="U10" t="str">
        <f>IFERROR(IF(Data2022[[#This Row],[Number of members]]-Data2022[[#This Row],[Non-EEA Active ]]-Data2022[[#This Row],[EEA Active]]-Data2022[[#This Row],[Dutch Active]]=Data2022[[#This Row],[Number of  inactive members]],"T","F"),"F")</f>
        <v>F</v>
      </c>
      <c r="V10" t="str">
        <f>IF(Data2022[[#This Row],[EEA Active]]&lt;=Data2022[[#This Row],[EEA total]],"T","F")</f>
        <v>T</v>
      </c>
      <c r="W10" t="str">
        <f>IF(Data2022[[#This Row],[Dutch Active]]&lt;=Data2022[[#This Row],[Dutch total]],"T","F")</f>
        <v>T</v>
      </c>
      <c r="X10" t="str">
        <f>IF(Data2022[[#This Row],[Non-EEA Active ]]&lt;=Data2022[[#This Row],[Non-EEA Total]],"T","F")</f>
        <v>T</v>
      </c>
      <c r="Y1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 t="str">
        <f>IFERROR(VLOOKUP(Data2022[[#This Row],[organisation_name]],'Division Study Year Committees'!$A$1:$L$108,2,FALSE),"N/A")</f>
        <v>N/A</v>
      </c>
      <c r="AA10" t="str">
        <f>IFERROR(VLOOKUP(Data2022[[#This Row],[organisation_name]],'Division Study Year Committees'!$A$1:$L$108,3,FALSE),"N/A")</f>
        <v>N/A</v>
      </c>
      <c r="AB10" t="str">
        <f>IFERROR(VLOOKUP(Data2022[[#This Row],[organisation_name]],'Division Study Year Committees'!$A$1:$L$108,4,FALSE),"N/A")</f>
        <v>N/A</v>
      </c>
      <c r="AC10" t="str">
        <f>IFERROR(VLOOKUP(Data2022[[#This Row],[organisation_name]],'Division Study Year Committees'!$A$1:$L$108,5,FALSE), "N/A")</f>
        <v>N/A</v>
      </c>
      <c r="AD10" t="str">
        <f>IFERROR(VLOOKUP(Data2022[[#This Row],[organisation_name]],'Division Study Year Committees'!$A$1:$L$108,6,FALSE), "N/A")</f>
        <v>N/A</v>
      </c>
      <c r="AE10">
        <f>SUM(Data2022[[#This Row],[Number of first year comittee members]:[Number of 4+ year comittee members]])</f>
        <v>0</v>
      </c>
      <c r="AF10">
        <f>COUNTIF('Committee2022'!D:D,Data2022[[#This Row],[organisation_name]])</f>
        <v>0</v>
      </c>
      <c r="AG10">
        <v>2022</v>
      </c>
    </row>
    <row r="11" spans="1:33" x14ac:dyDescent="0.3">
      <c r="A11" t="str">
        <f>General2022[[#This Row],[organisation_name]]</f>
        <v>DBV de Stretchers</v>
      </c>
      <c r="B11" t="str">
        <f>IF(General2022[[#This Row],[sector]]= "",VLOOKUP(Data2022[[#This Row],[organisation_name]],'Response Rate sheet'!A:D,3,FALSE),General2022[[#This Row],[sector]])</f>
        <v>Sports</v>
      </c>
      <c r="C11" t="str">
        <f>General2022[[#This Row],[organisation_type]]</f>
        <v>association</v>
      </c>
      <c r="D11">
        <f>IF(ISBLANK(General2022[[#This Row],[number_of_members]]),"N/A",VLOOKUP(A11,General2022[[organisation_name]:[number_of_international_committee_board_members_not_eea]],6,FALSE))</f>
        <v>42</v>
      </c>
      <c r="E11">
        <f>IF(ISBLANK(General2022[[#This Row],[number_of_committee_board_members]]),"N/A",VLOOKUP(A11,General2022!B:M,10,FALSE))</f>
        <v>8</v>
      </c>
      <c r="F11">
        <f>IFERROR(Data2022[[#This Row],[Number of members]]-Data2022[[#This Row],[Number of active members]], "N/A")</f>
        <v>34</v>
      </c>
      <c r="G11">
        <f>IFERROR(Data2022[[#This Row],[Number of active members]]/Data2022[[#This Row],[Number of members]], "N/A")</f>
        <v>0.19047619047619047</v>
      </c>
      <c r="H11">
        <f>IFERROR(1-Data2022[[#This Row],[Percentage active members]],"N/A")</f>
        <v>0.80952380952380953</v>
      </c>
      <c r="I11"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1">
        <f>IF(ISBLANK(General2022[[#This Row],[number_of_international_members_not_eea]]),"N/A",VLOOKUP(A11,General2022[[organisation_name]:[number_of_international_committee_board_members_not_eea]],9,FALSE))</f>
        <v>14</v>
      </c>
      <c r="K11">
        <f>IF(ISBLANK(General2022[[#This Row],[number_of_international_members_eea]]),"N/A",VLOOKUP(A11,General2022[[organisation_name]:[number_of_international_committee_board_members_not_eea]],8,FALSE))</f>
        <v>0</v>
      </c>
      <c r="L11">
        <f>IFERROR(IF(Data2022[[#This Row],[Number of members]]-Data2022[[#This Row],[Non-EEA Total]]-Data2022[[#This Row],[EEA total]]&lt;1,"N/A", Data2022[[#This Row],[Number of members]]-Data2022[[#This Row],[Non-EEA Total]]-Data2022[[#This Row],[EEA total]]),"N/A")</f>
        <v>28</v>
      </c>
      <c r="M11">
        <f>VLOOKUP(A11,General2022[[organisation_name]:[number_of_international_committee_board_members_not_eea]],12,FALSE)</f>
        <v>0</v>
      </c>
      <c r="N11">
        <f>VLOOKUP(A11,General2022[[organisation_name]:[number_of_international_committee_board_members_not_eea]],11,FALSE)</f>
        <v>1</v>
      </c>
      <c r="O11">
        <f>IFERROR(IF(Data2022[[#This Row],[Number of active members]]-Data2022[[#This Row],[Non-EEA Active ]]-Data2022[[#This Row],[EEA Active]]&lt;1,"N/A", Data2022[[#This Row],[Number of active members]]-Data2022[[#This Row],[Non-EEA Active ]]-Data2022[[#This Row],[EEA Active]]),"N/A")</f>
        <v>7</v>
      </c>
      <c r="P11">
        <f>IFERROR(Data2022[[#This Row],[Non-EEA Active ]]/Data2022[[#This Row],[Number of active members]],"N/A")</f>
        <v>0</v>
      </c>
      <c r="Q11" t="str">
        <f>IFERROR(Data2022[[#This Row],[EEA Active]]/Data2022[[#This Row],[EEA total]], "N/A")</f>
        <v>N/A</v>
      </c>
      <c r="R11">
        <f>IFERROR(Data2022[[#This Row],[Dutch Active]]/Data2022[[#This Row],[Dutch total]],"N/A")</f>
        <v>0.25</v>
      </c>
      <c r="S11" t="str">
        <f>IFERROR(IF(Data2022[[#This Row],[Number of members]]=Data2022[[#This Row],[Non-EEA Total]]+Data2022[[#This Row],[EEA total]]+Data2022[[#This Row],[Dutch total]],"T","F"),"F")</f>
        <v>T</v>
      </c>
      <c r="T11" t="str">
        <f>IFERROR(IF(Data2022[[#This Row],[Number of active members]]=Data2022[[#This Row],[Non-EEA Active ]]+Data2022[[#This Row],[EEA Active]]+Data2022[[#This Row],[Dutch Active]],"T","F"),"F")</f>
        <v>T</v>
      </c>
      <c r="U11" t="str">
        <f>IFERROR(IF(Data2022[[#This Row],[Number of members]]-Data2022[[#This Row],[Non-EEA Active ]]-Data2022[[#This Row],[EEA Active]]-Data2022[[#This Row],[Dutch Active]]=Data2022[[#This Row],[Number of  inactive members]],"T","F"),"F")</f>
        <v>T</v>
      </c>
      <c r="V11" t="str">
        <f>IF(Data2022[[#This Row],[EEA Active]]&lt;=Data2022[[#This Row],[EEA total]],"T","F")</f>
        <v>F</v>
      </c>
      <c r="W11" t="str">
        <f>IF(Data2022[[#This Row],[Dutch Active]]&lt;=Data2022[[#This Row],[Dutch total]],"T","F")</f>
        <v>T</v>
      </c>
      <c r="X11" t="str">
        <f>IF(Data2022[[#This Row],[Non-EEA Active ]]&lt;=Data2022[[#This Row],[Non-EEA Total]],"T","F")</f>
        <v>T</v>
      </c>
      <c r="Y1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
        <f>IFERROR(VLOOKUP(Data2022[[#This Row],[organisation_name]],'Division Study Year Committees'!$A$1:$L$108,2,FALSE),"N/A")</f>
        <v>2</v>
      </c>
      <c r="AA11">
        <f>IFERROR(VLOOKUP(Data2022[[#This Row],[organisation_name]],'Division Study Year Committees'!$A$1:$L$108,3,FALSE),"N/A")</f>
        <v>2</v>
      </c>
      <c r="AB11">
        <f>IFERROR(VLOOKUP(Data2022[[#This Row],[organisation_name]],'Division Study Year Committees'!$A$1:$L$108,4,FALSE),"N/A")</f>
        <v>2</v>
      </c>
      <c r="AC11">
        <f>IFERROR(VLOOKUP(Data2022[[#This Row],[organisation_name]],'Division Study Year Committees'!$A$1:$L$108,5,FALSE), "N/A")</f>
        <v>3</v>
      </c>
      <c r="AD11">
        <f>IFERROR(VLOOKUP(Data2022[[#This Row],[organisation_name]],'Division Study Year Committees'!$A$1:$L$108,6,FALSE), "N/A")</f>
        <v>16</v>
      </c>
      <c r="AE11">
        <f>SUM(Data2022[[#This Row],[Number of first year comittee members]:[Number of 4+ year comittee members]])</f>
        <v>25</v>
      </c>
      <c r="AF11">
        <f>COUNTIF('Committee2022'!D:D,Data2022[[#This Row],[organisation_name]])</f>
        <v>6</v>
      </c>
      <c r="AG11">
        <v>2022</v>
      </c>
    </row>
    <row r="12" spans="1:33" x14ac:dyDescent="0.3">
      <c r="A12" t="str">
        <f>General2022[[#This Row],[organisation_name]]</f>
        <v>DHC Drienerlo</v>
      </c>
      <c r="B12" t="str">
        <f>IF(General2022[[#This Row],[sector]]= "",VLOOKUP(Data2022[[#This Row],[organisation_name]],'Response Rate sheet'!A:D,3,FALSE),General2022[[#This Row],[sector]])</f>
        <v>Sports</v>
      </c>
      <c r="C12" t="str">
        <f>General2022[[#This Row],[organisation_type]]</f>
        <v>association</v>
      </c>
      <c r="D12">
        <f>IF(ISBLANK(General2022[[#This Row],[number_of_members]]),"N/A",VLOOKUP(A12,General2022[[organisation_name]:[number_of_international_committee_board_members_not_eea]],6,FALSE))</f>
        <v>290</v>
      </c>
      <c r="E12">
        <f>IF(ISBLANK(General2022[[#This Row],[number_of_committee_board_members]]),"N/A",VLOOKUP(A12,General2022!B:M,10,FALSE))</f>
        <v>175</v>
      </c>
      <c r="F12">
        <f>IFERROR(Data2022[[#This Row],[Number of members]]-Data2022[[#This Row],[Number of active members]], "N/A")</f>
        <v>115</v>
      </c>
      <c r="G12">
        <f>IFERROR(Data2022[[#This Row],[Number of active members]]/Data2022[[#This Row],[Number of members]], "N/A")</f>
        <v>0.60344827586206895</v>
      </c>
      <c r="H12">
        <f>IFERROR(1-Data2022[[#This Row],[Percentage active members]],"N/A")</f>
        <v>0.39655172413793105</v>
      </c>
      <c r="I12" t="str">
        <f>IF(Data2022[[#This Row],[Number of members]]=0,"N/A",IF(Data2022[[#This Row],[Number of members]]&lt;50," A. 1 - 50 ",IF(Data2022[[#This Row],[Number of members]]&lt;100, "B. 50 - 100", IF(Data2022[[#This Row],[Number of members]]&lt;400, "C. 100 - 400", IF(Data2022[[#This Row],[Number of members]]&lt;1000,"D. 400 - 1000", "E. 1000 +")))))</f>
        <v>C. 100 - 400</v>
      </c>
      <c r="J12">
        <f>IF(ISBLANK(General2022[[#This Row],[number_of_international_members_not_eea]]),"N/A",VLOOKUP(A12,General2022[[organisation_name]:[number_of_international_committee_board_members_not_eea]],9,FALSE))</f>
        <v>0</v>
      </c>
      <c r="K12">
        <f>IF(ISBLANK(General2022[[#This Row],[number_of_international_members_eea]]),"N/A",VLOOKUP(A12,General2022[[organisation_name]:[number_of_international_committee_board_members_not_eea]],8,FALSE))</f>
        <v>1</v>
      </c>
      <c r="L12">
        <f>IFERROR(IF(Data2022[[#This Row],[Number of members]]-Data2022[[#This Row],[Non-EEA Total]]-Data2022[[#This Row],[EEA total]]&lt;1,"N/A", Data2022[[#This Row],[Number of members]]-Data2022[[#This Row],[Non-EEA Total]]-Data2022[[#This Row],[EEA total]]),"N/A")</f>
        <v>289</v>
      </c>
      <c r="M12">
        <f>VLOOKUP(A12,General2022[[organisation_name]:[number_of_international_committee_board_members_not_eea]],12,FALSE)</f>
        <v>0</v>
      </c>
      <c r="N12">
        <f>VLOOKUP(A12,General2022[[organisation_name]:[number_of_international_committee_board_members_not_eea]],11,FALSE)</f>
        <v>0</v>
      </c>
      <c r="O12">
        <f>IFERROR(IF(Data2022[[#This Row],[Number of active members]]-Data2022[[#This Row],[Non-EEA Active ]]-Data2022[[#This Row],[EEA Active]]&lt;1,"N/A", Data2022[[#This Row],[Number of active members]]-Data2022[[#This Row],[Non-EEA Active ]]-Data2022[[#This Row],[EEA Active]]),"N/A")</f>
        <v>175</v>
      </c>
      <c r="P12">
        <f>IFERROR(Data2022[[#This Row],[Non-EEA Active ]]/Data2022[[#This Row],[Number of active members]],"N/A")</f>
        <v>0</v>
      </c>
      <c r="Q12">
        <f>IFERROR(Data2022[[#This Row],[EEA Active]]/Data2022[[#This Row],[EEA total]], "N/A")</f>
        <v>0</v>
      </c>
      <c r="R12">
        <f>IFERROR(Data2022[[#This Row],[Dutch Active]]/Data2022[[#This Row],[Dutch total]],"N/A")</f>
        <v>0.60553633217993075</v>
      </c>
      <c r="S12" t="str">
        <f>IFERROR(IF(Data2022[[#This Row],[Number of members]]=Data2022[[#This Row],[Non-EEA Total]]+Data2022[[#This Row],[EEA total]]+Data2022[[#This Row],[Dutch total]],"T","F"),"F")</f>
        <v>T</v>
      </c>
      <c r="T12" t="str">
        <f>IFERROR(IF(Data2022[[#This Row],[Number of active members]]=Data2022[[#This Row],[Non-EEA Active ]]+Data2022[[#This Row],[EEA Active]]+Data2022[[#This Row],[Dutch Active]],"T","F"),"F")</f>
        <v>T</v>
      </c>
      <c r="U12" t="str">
        <f>IFERROR(IF(Data2022[[#This Row],[Number of members]]-Data2022[[#This Row],[Non-EEA Active ]]-Data2022[[#This Row],[EEA Active]]-Data2022[[#This Row],[Dutch Active]]=Data2022[[#This Row],[Number of  inactive members]],"T","F"),"F")</f>
        <v>T</v>
      </c>
      <c r="V12" t="str">
        <f>IF(Data2022[[#This Row],[EEA Active]]&lt;=Data2022[[#This Row],[EEA total]],"T","F")</f>
        <v>T</v>
      </c>
      <c r="W12" t="str">
        <f>IF(Data2022[[#This Row],[Dutch Active]]&lt;=Data2022[[#This Row],[Dutch total]],"T","F")</f>
        <v>T</v>
      </c>
      <c r="X12" t="str">
        <f>IF(Data2022[[#This Row],[Non-EEA Active ]]&lt;=Data2022[[#This Row],[Non-EEA Total]],"T","F")</f>
        <v>T</v>
      </c>
      <c r="Y12"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12">
        <f>IFERROR(VLOOKUP(Data2022[[#This Row],[organisation_name]],'Division Study Year Committees'!$A$1:$L$108,2,FALSE),"N/A")</f>
        <v>22</v>
      </c>
      <c r="AA12">
        <f>IFERROR(VLOOKUP(Data2022[[#This Row],[organisation_name]],'Division Study Year Committees'!$A$1:$L$108,3,FALSE),"N/A")</f>
        <v>25</v>
      </c>
      <c r="AB12">
        <f>IFERROR(VLOOKUP(Data2022[[#This Row],[organisation_name]],'Division Study Year Committees'!$A$1:$L$108,4,FALSE),"N/A")</f>
        <v>38</v>
      </c>
      <c r="AC12">
        <f>IFERROR(VLOOKUP(Data2022[[#This Row],[organisation_name]],'Division Study Year Committees'!$A$1:$L$108,5,FALSE), "N/A")</f>
        <v>19</v>
      </c>
      <c r="AD12">
        <f>IFERROR(VLOOKUP(Data2022[[#This Row],[organisation_name]],'Division Study Year Committees'!$A$1:$L$108,6,FALSE), "N/A")</f>
        <v>42</v>
      </c>
      <c r="AE12">
        <f>SUM(Data2022[[#This Row],[Number of first year comittee members]:[Number of 4+ year comittee members]])</f>
        <v>146</v>
      </c>
      <c r="AF12">
        <f>COUNTIF('Committee2022'!D:D,Data2022[[#This Row],[organisation_name]])</f>
        <v>18</v>
      </c>
      <c r="AG12">
        <v>2022</v>
      </c>
    </row>
    <row r="13" spans="1:33" x14ac:dyDescent="0.3">
      <c r="A13" t="str">
        <f>General2022[[#This Row],[organisation_name]]</f>
        <v>DKV Euros</v>
      </c>
      <c r="B13" t="str">
        <f>IF(General2022[[#This Row],[sector]]= "",VLOOKUP(Data2022[[#This Row],[organisation_name]],'Response Rate sheet'!A:D,3,FALSE),General2022[[#This Row],[sector]])</f>
        <v>Sports</v>
      </c>
      <c r="C13" t="str">
        <f>General2022[[#This Row],[organisation_type]]</f>
        <v>association</v>
      </c>
      <c r="D13" t="str">
        <f>IF(ISBLANK(General2022[[#This Row],[number_of_members]]),"N/A",VLOOKUP(A13,General2022[[organisation_name]:[number_of_international_committee_board_members_not_eea]],6,FALSE))</f>
        <v>N/A</v>
      </c>
      <c r="E13" t="str">
        <f>IF(ISBLANK(General2022[[#This Row],[number_of_committee_board_members]]),"N/A",VLOOKUP(A13,General2022!B:M,10,FALSE))</f>
        <v>N/A</v>
      </c>
      <c r="F13" t="str">
        <f>IFERROR(Data2022[[#This Row],[Number of members]]-Data2022[[#This Row],[Number of active members]], "N/A")</f>
        <v>N/A</v>
      </c>
      <c r="G13" t="str">
        <f>IFERROR(Data2022[[#This Row],[Number of active members]]/Data2022[[#This Row],[Number of members]], "N/A")</f>
        <v>N/A</v>
      </c>
      <c r="H13" t="str">
        <f>IFERROR(1-Data2022[[#This Row],[Percentage active members]],"N/A")</f>
        <v>N/A</v>
      </c>
      <c r="I13" t="str">
        <f>IF(Data2022[[#This Row],[Number of members]]=0,"N/A",IF(Data2022[[#This Row],[Number of members]]&lt;50," A. 1 - 50 ",IF(Data2022[[#This Row],[Number of members]]&lt;100, "B. 50 - 100", IF(Data2022[[#This Row],[Number of members]]&lt;400, "C. 100 - 400", IF(Data2022[[#This Row],[Number of members]]&lt;1000,"D. 400 - 1000", "E. 1000 +")))))</f>
        <v>E. 1000 +</v>
      </c>
      <c r="J13" t="str">
        <f>IF(ISBLANK(General2022[[#This Row],[number_of_international_members_not_eea]]),"N/A",VLOOKUP(A13,General2022[[organisation_name]:[number_of_international_committee_board_members_not_eea]],9,FALSE))</f>
        <v>N/A</v>
      </c>
      <c r="K13" t="str">
        <f>IF(ISBLANK(General2022[[#This Row],[number_of_international_members_eea]]),"N/A",VLOOKUP(A13,General2022[[organisation_name]:[number_of_international_committee_board_members_not_eea]],8,FALSE))</f>
        <v>N/A</v>
      </c>
      <c r="L13" t="str">
        <f>IFERROR(IF(Data2022[[#This Row],[Number of members]]-Data2022[[#This Row],[Non-EEA Total]]-Data2022[[#This Row],[EEA total]]&lt;1,"N/A", Data2022[[#This Row],[Number of members]]-Data2022[[#This Row],[Non-EEA Total]]-Data2022[[#This Row],[EEA total]]),"N/A")</f>
        <v>N/A</v>
      </c>
      <c r="M13">
        <f>VLOOKUP(A13,General2022[[organisation_name]:[number_of_international_committee_board_members_not_eea]],12,FALSE)</f>
        <v>0</v>
      </c>
      <c r="N13">
        <f>VLOOKUP(A13,General2022[[organisation_name]:[number_of_international_committee_board_members_not_eea]],11,FALSE)</f>
        <v>0</v>
      </c>
      <c r="O13" t="str">
        <f>IFERROR(IF(Data2022[[#This Row],[Number of active members]]-Data2022[[#This Row],[Non-EEA Active ]]-Data2022[[#This Row],[EEA Active]]&lt;1,"N/A", Data2022[[#This Row],[Number of active members]]-Data2022[[#This Row],[Non-EEA Active ]]-Data2022[[#This Row],[EEA Active]]),"N/A")</f>
        <v>N/A</v>
      </c>
      <c r="P13" t="str">
        <f>IFERROR(Data2022[[#This Row],[Non-EEA Active ]]/Data2022[[#This Row],[Number of active members]],"N/A")</f>
        <v>N/A</v>
      </c>
      <c r="Q13" t="str">
        <f>IFERROR(Data2022[[#This Row],[EEA Active]]/Data2022[[#This Row],[EEA total]], "N/A")</f>
        <v>N/A</v>
      </c>
      <c r="R13" t="str">
        <f>IFERROR(Data2022[[#This Row],[Dutch Active]]/Data2022[[#This Row],[Dutch total]],"N/A")</f>
        <v>N/A</v>
      </c>
      <c r="S13" t="str">
        <f>IFERROR(IF(Data2022[[#This Row],[Number of members]]=Data2022[[#This Row],[Non-EEA Total]]+Data2022[[#This Row],[EEA total]]+Data2022[[#This Row],[Dutch total]],"T","F"),"F")</f>
        <v>F</v>
      </c>
      <c r="T13" t="str">
        <f>IFERROR(IF(Data2022[[#This Row],[Number of active members]]=Data2022[[#This Row],[Non-EEA Active ]]+Data2022[[#This Row],[EEA Active]]+Data2022[[#This Row],[Dutch Active]],"T","F"),"F")</f>
        <v>F</v>
      </c>
      <c r="U13" t="str">
        <f>IFERROR(IF(Data2022[[#This Row],[Number of members]]-Data2022[[#This Row],[Non-EEA Active ]]-Data2022[[#This Row],[EEA Active]]-Data2022[[#This Row],[Dutch Active]]=Data2022[[#This Row],[Number of  inactive members]],"T","F"),"F")</f>
        <v>F</v>
      </c>
      <c r="V13" t="str">
        <f>IF(Data2022[[#This Row],[EEA Active]]&lt;=Data2022[[#This Row],[EEA total]],"T","F")</f>
        <v>T</v>
      </c>
      <c r="W13" t="str">
        <f>IF(Data2022[[#This Row],[Dutch Active]]&lt;=Data2022[[#This Row],[Dutch total]],"T","F")</f>
        <v>T</v>
      </c>
      <c r="X13" t="str">
        <f>IF(Data2022[[#This Row],[Non-EEA Active ]]&lt;=Data2022[[#This Row],[Non-EEA Total]],"T","F")</f>
        <v>T</v>
      </c>
      <c r="Y1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 t="str">
        <f>IFERROR(VLOOKUP(Data2022[[#This Row],[organisation_name]],'Division Study Year Committees'!$A$1:$L$108,2,FALSE),"N/A")</f>
        <v>N/A</v>
      </c>
      <c r="AA13" t="str">
        <f>IFERROR(VLOOKUP(Data2022[[#This Row],[organisation_name]],'Division Study Year Committees'!$A$1:$L$108,3,FALSE),"N/A")</f>
        <v>N/A</v>
      </c>
      <c r="AB13" t="str">
        <f>IFERROR(VLOOKUP(Data2022[[#This Row],[organisation_name]],'Division Study Year Committees'!$A$1:$L$108,4,FALSE),"N/A")</f>
        <v>N/A</v>
      </c>
      <c r="AC13" t="str">
        <f>IFERROR(VLOOKUP(Data2022[[#This Row],[organisation_name]],'Division Study Year Committees'!$A$1:$L$108,5,FALSE), "N/A")</f>
        <v>N/A</v>
      </c>
      <c r="AD13" t="str">
        <f>IFERROR(VLOOKUP(Data2022[[#This Row],[organisation_name]],'Division Study Year Committees'!$A$1:$L$108,6,FALSE), "N/A")</f>
        <v>N/A</v>
      </c>
      <c r="AE13">
        <f>SUM(Data2022[[#This Row],[Number of first year comittee members]:[Number of 4+ year comittee members]])</f>
        <v>0</v>
      </c>
      <c r="AF13">
        <f>COUNTIF('Committee2022'!D:D,Data2022[[#This Row],[organisation_name]])</f>
        <v>0</v>
      </c>
      <c r="AG13">
        <v>2022</v>
      </c>
    </row>
    <row r="14" spans="1:33" x14ac:dyDescent="0.3">
      <c r="A14" t="str">
        <f>General2022[[#This Row],[organisation_name]]</f>
        <v>DRV Euros</v>
      </c>
      <c r="B14" t="str">
        <f>IF(General2022[[#This Row],[sector]]= "",VLOOKUP(Data2022[[#This Row],[organisation_name]],'Response Rate sheet'!A:D,3,FALSE),General2022[[#This Row],[sector]])</f>
        <v>Sports</v>
      </c>
      <c r="C14" t="str">
        <f>General2022[[#This Row],[organisation_type]]</f>
        <v>association</v>
      </c>
      <c r="D14">
        <f>IF(ISBLANK(General2022[[#This Row],[number_of_members]]),"N/A",VLOOKUP(A14,General2022[[organisation_name]:[number_of_international_committee_board_members_not_eea]],6,FALSE))</f>
        <v>390</v>
      </c>
      <c r="E14">
        <f>IF(ISBLANK(General2022[[#This Row],[number_of_committee_board_members]]),"N/A",VLOOKUP(A14,General2022!B:M,10,FALSE))</f>
        <v>10</v>
      </c>
      <c r="F14">
        <f>IFERROR(Data2022[[#This Row],[Number of members]]-Data2022[[#This Row],[Number of active members]], "N/A")</f>
        <v>380</v>
      </c>
      <c r="G14">
        <f>IFERROR(Data2022[[#This Row],[Number of active members]]/Data2022[[#This Row],[Number of members]], "N/A")</f>
        <v>2.564102564102564E-2</v>
      </c>
      <c r="H14">
        <f>IFERROR(1-Data2022[[#This Row],[Percentage active members]],"N/A")</f>
        <v>0.97435897435897434</v>
      </c>
      <c r="I14" t="str">
        <f>IF(Data2022[[#This Row],[Number of members]]=0,"N/A",IF(Data2022[[#This Row],[Number of members]]&lt;50," A. 1 - 50 ",IF(Data2022[[#This Row],[Number of members]]&lt;100, "B. 50 - 100", IF(Data2022[[#This Row],[Number of members]]&lt;400, "C. 100 - 400", IF(Data2022[[#This Row],[Number of members]]&lt;1000,"D. 400 - 1000", "E. 1000 +")))))</f>
        <v>C. 100 - 400</v>
      </c>
      <c r="J14">
        <f>IF(ISBLANK(General2022[[#This Row],[number_of_international_members_not_eea]]),"N/A",VLOOKUP(A14,General2022[[organisation_name]:[number_of_international_committee_board_members_not_eea]],9,FALSE))</f>
        <v>170</v>
      </c>
      <c r="K14">
        <f>IF(ISBLANK(General2022[[#This Row],[number_of_international_members_eea]]),"N/A",VLOOKUP(A14,General2022[[organisation_name]:[number_of_international_committee_board_members_not_eea]],8,FALSE))</f>
        <v>0</v>
      </c>
      <c r="L14">
        <f>IFERROR(IF(Data2022[[#This Row],[Number of members]]-Data2022[[#This Row],[Non-EEA Total]]-Data2022[[#This Row],[EEA total]]&lt;1,"N/A", Data2022[[#This Row],[Number of members]]-Data2022[[#This Row],[Non-EEA Total]]-Data2022[[#This Row],[EEA total]]),"N/A")</f>
        <v>220</v>
      </c>
      <c r="M14">
        <f>VLOOKUP(A14,General2022[[organisation_name]:[number_of_international_committee_board_members_not_eea]],12,FALSE)</f>
        <v>0</v>
      </c>
      <c r="N14">
        <f>VLOOKUP(A14,General2022[[organisation_name]:[number_of_international_committee_board_members_not_eea]],11,FALSE)</f>
        <v>3</v>
      </c>
      <c r="O14">
        <f>IFERROR(IF(Data2022[[#This Row],[Number of active members]]-Data2022[[#This Row],[Non-EEA Active ]]-Data2022[[#This Row],[EEA Active]]&lt;1,"N/A", Data2022[[#This Row],[Number of active members]]-Data2022[[#This Row],[Non-EEA Active ]]-Data2022[[#This Row],[EEA Active]]),"N/A")</f>
        <v>7</v>
      </c>
      <c r="P14">
        <f>IFERROR(Data2022[[#This Row],[Non-EEA Active ]]/Data2022[[#This Row],[Number of active members]],"N/A")</f>
        <v>0</v>
      </c>
      <c r="Q14" t="str">
        <f>IFERROR(Data2022[[#This Row],[EEA Active]]/Data2022[[#This Row],[EEA total]], "N/A")</f>
        <v>N/A</v>
      </c>
      <c r="R14">
        <f>IFERROR(Data2022[[#This Row],[Dutch Active]]/Data2022[[#This Row],[Dutch total]],"N/A")</f>
        <v>3.1818181818181815E-2</v>
      </c>
      <c r="S14" t="str">
        <f>IFERROR(IF(Data2022[[#This Row],[Number of members]]=Data2022[[#This Row],[Non-EEA Total]]+Data2022[[#This Row],[EEA total]]+Data2022[[#This Row],[Dutch total]],"T","F"),"F")</f>
        <v>T</v>
      </c>
      <c r="T14" t="str">
        <f>IFERROR(IF(Data2022[[#This Row],[Number of active members]]=Data2022[[#This Row],[Non-EEA Active ]]+Data2022[[#This Row],[EEA Active]]+Data2022[[#This Row],[Dutch Active]],"T","F"),"F")</f>
        <v>T</v>
      </c>
      <c r="U14" t="str">
        <f>IFERROR(IF(Data2022[[#This Row],[Number of members]]-Data2022[[#This Row],[Non-EEA Active ]]-Data2022[[#This Row],[EEA Active]]-Data2022[[#This Row],[Dutch Active]]=Data2022[[#This Row],[Number of  inactive members]],"T","F"),"F")</f>
        <v>T</v>
      </c>
      <c r="V14" t="str">
        <f>IF(Data2022[[#This Row],[EEA Active]]&lt;=Data2022[[#This Row],[EEA total]],"T","F")</f>
        <v>F</v>
      </c>
      <c r="W14" t="str">
        <f>IF(Data2022[[#This Row],[Dutch Active]]&lt;=Data2022[[#This Row],[Dutch total]],"T","F")</f>
        <v>T</v>
      </c>
      <c r="X14" t="str">
        <f>IF(Data2022[[#This Row],[Non-EEA Active ]]&lt;=Data2022[[#This Row],[Non-EEA Total]],"T","F")</f>
        <v>T</v>
      </c>
      <c r="Y1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4">
        <f>IFERROR(VLOOKUP(Data2022[[#This Row],[organisation_name]],'Division Study Year Committees'!$A$1:$L$108,2,FALSE),"N/A")</f>
        <v>0</v>
      </c>
      <c r="AA14">
        <f>IFERROR(VLOOKUP(Data2022[[#This Row],[organisation_name]],'Division Study Year Committees'!$A$1:$L$108,3,FALSE),"N/A")</f>
        <v>0</v>
      </c>
      <c r="AB14">
        <f>IFERROR(VLOOKUP(Data2022[[#This Row],[organisation_name]],'Division Study Year Committees'!$A$1:$L$108,4,FALSE),"N/A")</f>
        <v>0</v>
      </c>
      <c r="AC14">
        <f>IFERROR(VLOOKUP(Data2022[[#This Row],[organisation_name]],'Division Study Year Committees'!$A$1:$L$108,5,FALSE), "N/A")</f>
        <v>0</v>
      </c>
      <c r="AD14">
        <f>IFERROR(VLOOKUP(Data2022[[#This Row],[organisation_name]],'Division Study Year Committees'!$A$1:$L$108,6,FALSE), "N/A")</f>
        <v>0</v>
      </c>
      <c r="AE14">
        <f>SUM(Data2022[[#This Row],[Number of first year comittee members]:[Number of 4+ year comittee members]])</f>
        <v>0</v>
      </c>
      <c r="AF14">
        <f>COUNTIF('Committee2022'!D:D,Data2022[[#This Row],[organisation_name]])</f>
        <v>39</v>
      </c>
      <c r="AG14">
        <v>2022</v>
      </c>
    </row>
    <row r="15" spans="1:33" x14ac:dyDescent="0.3">
      <c r="A15" t="str">
        <f>General2022[[#This Row],[organisation_name]]</f>
        <v>DRV Hippocampus</v>
      </c>
      <c r="B15" t="str">
        <f>IF(General2022[[#This Row],[sector]]= "",VLOOKUP(Data2022[[#This Row],[organisation_name]],'Response Rate sheet'!A:D,3,FALSE),General2022[[#This Row],[sector]])</f>
        <v>Sports</v>
      </c>
      <c r="C15" t="str">
        <f>General2022[[#This Row],[organisation_type]]</f>
        <v>association</v>
      </c>
      <c r="D15">
        <f>IF(ISBLANK(General2022[[#This Row],[number_of_members]]),"N/A",VLOOKUP(A15,General2022[[organisation_name]:[number_of_international_committee_board_members_not_eea]],6,FALSE))</f>
        <v>65</v>
      </c>
      <c r="E15">
        <f>IF(ISBLANK(General2022[[#This Row],[number_of_committee_board_members]]),"N/A",VLOOKUP(A15,General2022!B:M,10,FALSE))</f>
        <v>13</v>
      </c>
      <c r="F15">
        <f>IFERROR(Data2022[[#This Row],[Number of members]]-Data2022[[#This Row],[Number of active members]], "N/A")</f>
        <v>52</v>
      </c>
      <c r="G15">
        <f>IFERROR(Data2022[[#This Row],[Number of active members]]/Data2022[[#This Row],[Number of members]], "N/A")</f>
        <v>0.2</v>
      </c>
      <c r="H15">
        <f>IFERROR(1-Data2022[[#This Row],[Percentage active members]],"N/A")</f>
        <v>0.8</v>
      </c>
      <c r="I15" t="str">
        <f>IF(Data2022[[#This Row],[Number of members]]=0,"N/A",IF(Data2022[[#This Row],[Number of members]]&lt;50," A. 1 - 50 ",IF(Data2022[[#This Row],[Number of members]]&lt;100, "B. 50 - 100", IF(Data2022[[#This Row],[Number of members]]&lt;400, "C. 100 - 400", IF(Data2022[[#This Row],[Number of members]]&lt;1000,"D. 400 - 1000", "E. 1000 +")))))</f>
        <v>B. 50 - 100</v>
      </c>
      <c r="J15">
        <f>IF(ISBLANK(General2022[[#This Row],[number_of_international_members_not_eea]]),"N/A",VLOOKUP(A15,General2022[[organisation_name]:[number_of_international_committee_board_members_not_eea]],9,FALSE))</f>
        <v>25</v>
      </c>
      <c r="K15">
        <f>IF(ISBLANK(General2022[[#This Row],[number_of_international_members_eea]]),"N/A",VLOOKUP(A15,General2022[[organisation_name]:[number_of_international_committee_board_members_not_eea]],8,FALSE))</f>
        <v>7</v>
      </c>
      <c r="L15">
        <f>IFERROR(IF(Data2022[[#This Row],[Number of members]]-Data2022[[#This Row],[Non-EEA Total]]-Data2022[[#This Row],[EEA total]]&lt;1,"N/A", Data2022[[#This Row],[Number of members]]-Data2022[[#This Row],[Non-EEA Total]]-Data2022[[#This Row],[EEA total]]),"N/A")</f>
        <v>33</v>
      </c>
      <c r="M15">
        <f>VLOOKUP(A15,General2022[[organisation_name]:[number_of_international_committee_board_members_not_eea]],12,FALSE)</f>
        <v>5</v>
      </c>
      <c r="N15">
        <f>VLOOKUP(A15,General2022[[organisation_name]:[number_of_international_committee_board_members_not_eea]],11,FALSE)</f>
        <v>20</v>
      </c>
      <c r="O15" t="str">
        <f>IFERROR(IF(Data2022[[#This Row],[Number of active members]]-Data2022[[#This Row],[Non-EEA Active ]]-Data2022[[#This Row],[EEA Active]]&lt;1,"N/A", Data2022[[#This Row],[Number of active members]]-Data2022[[#This Row],[Non-EEA Active ]]-Data2022[[#This Row],[EEA Active]]),"N/A")</f>
        <v>N/A</v>
      </c>
      <c r="P15">
        <f>IFERROR(Data2022[[#This Row],[Non-EEA Active ]]/Data2022[[#This Row],[Number of active members]],"N/A")</f>
        <v>0.38461538461538464</v>
      </c>
      <c r="Q15">
        <f>IFERROR(Data2022[[#This Row],[EEA Active]]/Data2022[[#This Row],[EEA total]], "N/A")</f>
        <v>2.8571428571428572</v>
      </c>
      <c r="R15" t="str">
        <f>IFERROR(Data2022[[#This Row],[Dutch Active]]/Data2022[[#This Row],[Dutch total]],"N/A")</f>
        <v>N/A</v>
      </c>
      <c r="S15" t="str">
        <f>IFERROR(IF(Data2022[[#This Row],[Number of members]]=Data2022[[#This Row],[Non-EEA Total]]+Data2022[[#This Row],[EEA total]]+Data2022[[#This Row],[Dutch total]],"T","F"),"F")</f>
        <v>T</v>
      </c>
      <c r="T15" t="str">
        <f>IFERROR(IF(Data2022[[#This Row],[Number of active members]]=Data2022[[#This Row],[Non-EEA Active ]]+Data2022[[#This Row],[EEA Active]]+Data2022[[#This Row],[Dutch Active]],"T","F"),"F")</f>
        <v>F</v>
      </c>
      <c r="U15" t="str">
        <f>IFERROR(IF(Data2022[[#This Row],[Number of members]]-Data2022[[#This Row],[Non-EEA Active ]]-Data2022[[#This Row],[EEA Active]]-Data2022[[#This Row],[Dutch Active]]=Data2022[[#This Row],[Number of  inactive members]],"T","F"),"F")</f>
        <v>F</v>
      </c>
      <c r="V15" t="str">
        <f>IF(Data2022[[#This Row],[EEA Active]]&lt;=Data2022[[#This Row],[EEA total]],"T","F")</f>
        <v>F</v>
      </c>
      <c r="W15" t="str">
        <f>IF(Data2022[[#This Row],[Dutch Active]]&lt;=Data2022[[#This Row],[Dutch total]],"T","F")</f>
        <v>F</v>
      </c>
      <c r="X15" t="str">
        <f>IF(Data2022[[#This Row],[Non-EEA Active ]]&lt;=Data2022[[#This Row],[Non-EEA Total]],"T","F")</f>
        <v>T</v>
      </c>
      <c r="Y1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5" t="str">
        <f>IFERROR(VLOOKUP(Data2022[[#This Row],[organisation_name]],'Division Study Year Committees'!$A$1:$L$108,2,FALSE),"N/A")</f>
        <v>N/A</v>
      </c>
      <c r="AA15" t="str">
        <f>IFERROR(VLOOKUP(Data2022[[#This Row],[organisation_name]],'Division Study Year Committees'!$A$1:$L$108,3,FALSE),"N/A")</f>
        <v>N/A</v>
      </c>
      <c r="AB15" t="str">
        <f>IFERROR(VLOOKUP(Data2022[[#This Row],[organisation_name]],'Division Study Year Committees'!$A$1:$L$108,4,FALSE),"N/A")</f>
        <v>N/A</v>
      </c>
      <c r="AC15" t="str">
        <f>IFERROR(VLOOKUP(Data2022[[#This Row],[organisation_name]],'Division Study Year Committees'!$A$1:$L$108,5,FALSE), "N/A")</f>
        <v>N/A</v>
      </c>
      <c r="AD15" t="str">
        <f>IFERROR(VLOOKUP(Data2022[[#This Row],[organisation_name]],'Division Study Year Committees'!$A$1:$L$108,6,FALSE), "N/A")</f>
        <v>N/A</v>
      </c>
      <c r="AE15">
        <f>SUM(Data2022[[#This Row],[Number of first year comittee members]:[Number of 4+ year comittee members]])</f>
        <v>0</v>
      </c>
      <c r="AF15">
        <f>COUNTIF('Committee2022'!D:D,Data2022[[#This Row],[organisation_name]])</f>
        <v>8</v>
      </c>
      <c r="AG15">
        <v>2022</v>
      </c>
    </row>
    <row r="16" spans="1:33" x14ac:dyDescent="0.3">
      <c r="A16" t="str">
        <f>General2022[[#This Row],[organisation_name]]</f>
        <v>DSSV Tartaros</v>
      </c>
      <c r="B16" t="str">
        <f>IF(General2022[[#This Row],[sector]]= "",VLOOKUP(Data2022[[#This Row],[organisation_name]],'Response Rate sheet'!A:D,3,FALSE),General2022[[#This Row],[sector]])</f>
        <v>Sports</v>
      </c>
      <c r="C16" t="str">
        <f>General2022[[#This Row],[organisation_type]]</f>
        <v>association</v>
      </c>
      <c r="D16">
        <f>IF(ISBLANK(General2022[[#This Row],[number_of_members]]),"N/A",VLOOKUP(A16,General2022[[organisation_name]:[number_of_international_committee_board_members_not_eea]],6,FALSE))</f>
        <v>77</v>
      </c>
      <c r="E16">
        <f>IF(ISBLANK(General2022[[#This Row],[number_of_committee_board_members]]),"N/A",VLOOKUP(A16,General2022!B:M,10,FALSE))</f>
        <v>20</v>
      </c>
      <c r="F16">
        <f>IFERROR(Data2022[[#This Row],[Number of members]]-Data2022[[#This Row],[Number of active members]], "N/A")</f>
        <v>57</v>
      </c>
      <c r="G16">
        <f>IFERROR(Data2022[[#This Row],[Number of active members]]/Data2022[[#This Row],[Number of members]], "N/A")</f>
        <v>0.25974025974025972</v>
      </c>
      <c r="H16">
        <f>IFERROR(1-Data2022[[#This Row],[Percentage active members]],"N/A")</f>
        <v>0.74025974025974028</v>
      </c>
      <c r="I16" t="str">
        <f>IF(Data2022[[#This Row],[Number of members]]=0,"N/A",IF(Data2022[[#This Row],[Number of members]]&lt;50," A. 1 - 50 ",IF(Data2022[[#This Row],[Number of members]]&lt;100, "B. 50 - 100", IF(Data2022[[#This Row],[Number of members]]&lt;400, "C. 100 - 400", IF(Data2022[[#This Row],[Number of members]]&lt;1000,"D. 400 - 1000", "E. 1000 +")))))</f>
        <v>B. 50 - 100</v>
      </c>
      <c r="J16">
        <f>IF(ISBLANK(General2022[[#This Row],[number_of_international_members_not_eea]]),"N/A",VLOOKUP(A16,General2022[[organisation_name]:[number_of_international_committee_board_members_not_eea]],9,FALSE))</f>
        <v>40</v>
      </c>
      <c r="K16">
        <f>IF(ISBLANK(General2022[[#This Row],[number_of_international_members_eea]]),"N/A",VLOOKUP(A16,General2022[[organisation_name]:[number_of_international_committee_board_members_not_eea]],8,FALSE))</f>
        <v>0</v>
      </c>
      <c r="L16">
        <f>IFERROR(IF(Data2022[[#This Row],[Number of members]]-Data2022[[#This Row],[Non-EEA Total]]-Data2022[[#This Row],[EEA total]]&lt;1,"N/A", Data2022[[#This Row],[Number of members]]-Data2022[[#This Row],[Non-EEA Total]]-Data2022[[#This Row],[EEA total]]),"N/A")</f>
        <v>37</v>
      </c>
      <c r="M16">
        <f>VLOOKUP(A16,General2022[[organisation_name]:[number_of_international_committee_board_members_not_eea]],12,FALSE)</f>
        <v>0</v>
      </c>
      <c r="N16">
        <f>VLOOKUP(A16,General2022[[organisation_name]:[number_of_international_committee_board_members_not_eea]],11,FALSE)</f>
        <v>0</v>
      </c>
      <c r="O16">
        <f>IFERROR(IF(Data2022[[#This Row],[Number of active members]]-Data2022[[#This Row],[Non-EEA Active ]]-Data2022[[#This Row],[EEA Active]]&lt;1,"N/A", Data2022[[#This Row],[Number of active members]]-Data2022[[#This Row],[Non-EEA Active ]]-Data2022[[#This Row],[EEA Active]]),"N/A")</f>
        <v>20</v>
      </c>
      <c r="P16">
        <f>IFERROR(Data2022[[#This Row],[Non-EEA Active ]]/Data2022[[#This Row],[Number of active members]],"N/A")</f>
        <v>0</v>
      </c>
      <c r="Q16" t="str">
        <f>IFERROR(Data2022[[#This Row],[EEA Active]]/Data2022[[#This Row],[EEA total]], "N/A")</f>
        <v>N/A</v>
      </c>
      <c r="R16">
        <f>IFERROR(Data2022[[#This Row],[Dutch Active]]/Data2022[[#This Row],[Dutch total]],"N/A")</f>
        <v>0.54054054054054057</v>
      </c>
      <c r="S16" t="str">
        <f>IFERROR(IF(Data2022[[#This Row],[Number of members]]=Data2022[[#This Row],[Non-EEA Total]]+Data2022[[#This Row],[EEA total]]+Data2022[[#This Row],[Dutch total]],"T","F"),"F")</f>
        <v>T</v>
      </c>
      <c r="T16" t="str">
        <f>IFERROR(IF(Data2022[[#This Row],[Number of active members]]=Data2022[[#This Row],[Non-EEA Active ]]+Data2022[[#This Row],[EEA Active]]+Data2022[[#This Row],[Dutch Active]],"T","F"),"F")</f>
        <v>T</v>
      </c>
      <c r="U16" t="str">
        <f>IFERROR(IF(Data2022[[#This Row],[Number of members]]-Data2022[[#This Row],[Non-EEA Active ]]-Data2022[[#This Row],[EEA Active]]-Data2022[[#This Row],[Dutch Active]]=Data2022[[#This Row],[Number of  inactive members]],"T","F"),"F")</f>
        <v>T</v>
      </c>
      <c r="V16" t="str">
        <f>IF(Data2022[[#This Row],[EEA Active]]&lt;=Data2022[[#This Row],[EEA total]],"T","F")</f>
        <v>T</v>
      </c>
      <c r="W16" t="str">
        <f>IF(Data2022[[#This Row],[Dutch Active]]&lt;=Data2022[[#This Row],[Dutch total]],"T","F")</f>
        <v>T</v>
      </c>
      <c r="X16" t="str">
        <f>IF(Data2022[[#This Row],[Non-EEA Active ]]&lt;=Data2022[[#This Row],[Non-EEA Total]],"T","F")</f>
        <v>T</v>
      </c>
      <c r="Y16"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16" t="str">
        <f>IFERROR(VLOOKUP(Data2022[[#This Row],[organisation_name]],'Division Study Year Committees'!$A$1:$L$108,2,FALSE),"N/A")</f>
        <v>N/A</v>
      </c>
      <c r="AA16" t="str">
        <f>IFERROR(VLOOKUP(Data2022[[#This Row],[organisation_name]],'Division Study Year Committees'!$A$1:$L$108,3,FALSE),"N/A")</f>
        <v>N/A</v>
      </c>
      <c r="AB16" t="str">
        <f>IFERROR(VLOOKUP(Data2022[[#This Row],[organisation_name]],'Division Study Year Committees'!$A$1:$L$108,4,FALSE),"N/A")</f>
        <v>N/A</v>
      </c>
      <c r="AC16" t="str">
        <f>IFERROR(VLOOKUP(Data2022[[#This Row],[organisation_name]],'Division Study Year Committees'!$A$1:$L$108,5,FALSE), "N/A")</f>
        <v>N/A</v>
      </c>
      <c r="AD16" t="str">
        <f>IFERROR(VLOOKUP(Data2022[[#This Row],[organisation_name]],'Division Study Year Committees'!$A$1:$L$108,6,FALSE), "N/A")</f>
        <v>N/A</v>
      </c>
      <c r="AE16">
        <f>SUM(Data2022[[#This Row],[Number of first year comittee members]:[Number of 4+ year comittee members]])</f>
        <v>0</v>
      </c>
      <c r="AF16">
        <f>COUNTIF('Committee2022'!D:D,Data2022[[#This Row],[organisation_name]])</f>
        <v>16</v>
      </c>
      <c r="AG16">
        <v>2022</v>
      </c>
    </row>
    <row r="17" spans="1:33" x14ac:dyDescent="0.3">
      <c r="A17" t="str">
        <f>General2022[[#This Row],[organisation_name]]</f>
        <v>DZV Euros</v>
      </c>
      <c r="B17" t="str">
        <f>IF(General2022[[#This Row],[sector]]= "",VLOOKUP(Data2022[[#This Row],[organisation_name]],'Response Rate sheet'!A:D,3,FALSE),General2022[[#This Row],[sector]])</f>
        <v>Sports</v>
      </c>
      <c r="C17" t="str">
        <f>General2022[[#This Row],[organisation_type]]</f>
        <v>association</v>
      </c>
      <c r="D17">
        <f>IF(ISBLANK(General2022[[#This Row],[number_of_members]]),"N/A",VLOOKUP(A17,General2022[[organisation_name]:[number_of_international_committee_board_members_not_eea]],6,FALSE))</f>
        <v>70</v>
      </c>
      <c r="E17">
        <f>IF(ISBLANK(General2022[[#This Row],[number_of_committee_board_members]]),"N/A",VLOOKUP(A17,General2022!B:M,10,FALSE))</f>
        <v>0</v>
      </c>
      <c r="F17">
        <f>IFERROR(Data2022[[#This Row],[Number of members]]-Data2022[[#This Row],[Number of active members]], "N/A")</f>
        <v>70</v>
      </c>
      <c r="G17">
        <f>IFERROR(Data2022[[#This Row],[Number of active members]]/Data2022[[#This Row],[Number of members]], "N/A")</f>
        <v>0</v>
      </c>
      <c r="H17">
        <f>IFERROR(1-Data2022[[#This Row],[Percentage active members]],"N/A")</f>
        <v>1</v>
      </c>
      <c r="I17" t="str">
        <f>IF(Data2022[[#This Row],[Number of members]]=0,"N/A",IF(Data2022[[#This Row],[Number of members]]&lt;50," A. 1 - 50 ",IF(Data2022[[#This Row],[Number of members]]&lt;100, "B. 50 - 100", IF(Data2022[[#This Row],[Number of members]]&lt;400, "C. 100 - 400", IF(Data2022[[#This Row],[Number of members]]&lt;1000,"D. 400 - 1000", "E. 1000 +")))))</f>
        <v>B. 50 - 100</v>
      </c>
      <c r="J17">
        <f>IF(ISBLANK(General2022[[#This Row],[number_of_international_members_not_eea]]),"N/A",VLOOKUP(A17,General2022[[organisation_name]:[number_of_international_committee_board_members_not_eea]],9,FALSE))</f>
        <v>25</v>
      </c>
      <c r="K17">
        <f>IF(ISBLANK(General2022[[#This Row],[number_of_international_members_eea]]),"N/A",VLOOKUP(A17,General2022[[organisation_name]:[number_of_international_committee_board_members_not_eea]],8,FALSE))</f>
        <v>3</v>
      </c>
      <c r="L17">
        <f>IFERROR(IF(Data2022[[#This Row],[Number of members]]-Data2022[[#This Row],[Non-EEA Total]]-Data2022[[#This Row],[EEA total]]&lt;1,"N/A", Data2022[[#This Row],[Number of members]]-Data2022[[#This Row],[Non-EEA Total]]-Data2022[[#This Row],[EEA total]]),"N/A")</f>
        <v>42</v>
      </c>
      <c r="M17">
        <f>VLOOKUP(A17,General2022[[organisation_name]:[number_of_international_committee_board_members_not_eea]],12,FALSE)</f>
        <v>0</v>
      </c>
      <c r="N17">
        <f>VLOOKUP(A17,General2022[[organisation_name]:[number_of_international_committee_board_members_not_eea]],11,FALSE)</f>
        <v>4</v>
      </c>
      <c r="O17" t="str">
        <f>IFERROR(IF(Data2022[[#This Row],[Number of active members]]-Data2022[[#This Row],[Non-EEA Active ]]-Data2022[[#This Row],[EEA Active]]&lt;1,"N/A", Data2022[[#This Row],[Number of active members]]-Data2022[[#This Row],[Non-EEA Active ]]-Data2022[[#This Row],[EEA Active]]),"N/A")</f>
        <v>N/A</v>
      </c>
      <c r="P17" t="str">
        <f>IFERROR(Data2022[[#This Row],[Non-EEA Active ]]/Data2022[[#This Row],[Number of active members]],"N/A")</f>
        <v>N/A</v>
      </c>
      <c r="Q17">
        <f>IFERROR(Data2022[[#This Row],[EEA Active]]/Data2022[[#This Row],[EEA total]], "N/A")</f>
        <v>1.3333333333333333</v>
      </c>
      <c r="R17" t="str">
        <f>IFERROR(Data2022[[#This Row],[Dutch Active]]/Data2022[[#This Row],[Dutch total]],"N/A")</f>
        <v>N/A</v>
      </c>
      <c r="S17" t="str">
        <f>IFERROR(IF(Data2022[[#This Row],[Number of members]]=Data2022[[#This Row],[Non-EEA Total]]+Data2022[[#This Row],[EEA total]]+Data2022[[#This Row],[Dutch total]],"T","F"),"F")</f>
        <v>T</v>
      </c>
      <c r="T17" t="str">
        <f>IFERROR(IF(Data2022[[#This Row],[Number of active members]]=Data2022[[#This Row],[Non-EEA Active ]]+Data2022[[#This Row],[EEA Active]]+Data2022[[#This Row],[Dutch Active]],"T","F"),"F")</f>
        <v>F</v>
      </c>
      <c r="U17" t="str">
        <f>IFERROR(IF(Data2022[[#This Row],[Number of members]]-Data2022[[#This Row],[Non-EEA Active ]]-Data2022[[#This Row],[EEA Active]]-Data2022[[#This Row],[Dutch Active]]=Data2022[[#This Row],[Number of  inactive members]],"T","F"),"F")</f>
        <v>F</v>
      </c>
      <c r="V17" t="str">
        <f>IF(Data2022[[#This Row],[EEA Active]]&lt;=Data2022[[#This Row],[EEA total]],"T","F")</f>
        <v>F</v>
      </c>
      <c r="W17" t="str">
        <f>IF(Data2022[[#This Row],[Dutch Active]]&lt;=Data2022[[#This Row],[Dutch total]],"T","F")</f>
        <v>F</v>
      </c>
      <c r="X17" t="str">
        <f>IF(Data2022[[#This Row],[Non-EEA Active ]]&lt;=Data2022[[#This Row],[Non-EEA Total]],"T","F")</f>
        <v>T</v>
      </c>
      <c r="Y1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7">
        <f>IFERROR(VLOOKUP(Data2022[[#This Row],[organisation_name]],'Division Study Year Committees'!$A$1:$L$108,2,FALSE),"N/A")</f>
        <v>7</v>
      </c>
      <c r="AA17">
        <f>IFERROR(VLOOKUP(Data2022[[#This Row],[organisation_name]],'Division Study Year Committees'!$A$1:$L$108,3,FALSE),"N/A")</f>
        <v>11</v>
      </c>
      <c r="AB17">
        <f>IFERROR(VLOOKUP(Data2022[[#This Row],[organisation_name]],'Division Study Year Committees'!$A$1:$L$108,4,FALSE),"N/A")</f>
        <v>22</v>
      </c>
      <c r="AC17">
        <f>IFERROR(VLOOKUP(Data2022[[#This Row],[organisation_name]],'Division Study Year Committees'!$A$1:$L$108,5,FALSE), "N/A")</f>
        <v>9</v>
      </c>
      <c r="AD17">
        <f>IFERROR(VLOOKUP(Data2022[[#This Row],[organisation_name]],'Division Study Year Committees'!$A$1:$L$108,6,FALSE), "N/A")</f>
        <v>0</v>
      </c>
      <c r="AE17">
        <f>SUM(Data2022[[#This Row],[Number of first year comittee members]:[Number of 4+ year comittee members]])</f>
        <v>49</v>
      </c>
      <c r="AF17">
        <f>COUNTIF('Committee2022'!D:D,Data2022[[#This Row],[organisation_name]])</f>
        <v>15</v>
      </c>
      <c r="AG17">
        <v>2022</v>
      </c>
    </row>
    <row r="18" spans="1:33" x14ac:dyDescent="0.3">
      <c r="A18" t="str">
        <f>General2022[[#This Row],[organisation_name]]</f>
        <v>EEEHV Cabezota</v>
      </c>
      <c r="B18" t="str">
        <f>IF(General2022[[#This Row],[sector]]= "",VLOOKUP(Data2022[[#This Row],[organisation_name]],'Response Rate sheet'!A:D,3,FALSE),General2022[[#This Row],[sector]])</f>
        <v>Sports</v>
      </c>
      <c r="C18" t="str">
        <f>General2022[[#This Row],[organisation_type]]</f>
        <v>association</v>
      </c>
      <c r="D18">
        <f>IF(ISBLANK(General2022[[#This Row],[number_of_members]]),"N/A",VLOOKUP(A18,General2022[[organisation_name]:[number_of_international_committee_board_members_not_eea]],6,FALSE))</f>
        <v>50</v>
      </c>
      <c r="E18">
        <f>IF(ISBLANK(General2022[[#This Row],[number_of_committee_board_members]]),"N/A",VLOOKUP(A18,General2022!B:M,10,FALSE))</f>
        <v>10</v>
      </c>
      <c r="F18">
        <f>IFERROR(Data2022[[#This Row],[Number of members]]-Data2022[[#This Row],[Number of active members]], "N/A")</f>
        <v>40</v>
      </c>
      <c r="G18">
        <f>IFERROR(Data2022[[#This Row],[Number of active members]]/Data2022[[#This Row],[Number of members]], "N/A")</f>
        <v>0.2</v>
      </c>
      <c r="H18">
        <f>IFERROR(1-Data2022[[#This Row],[Percentage active members]],"N/A")</f>
        <v>0.8</v>
      </c>
      <c r="I18" t="str">
        <f>IF(Data2022[[#This Row],[Number of members]]=0,"N/A",IF(Data2022[[#This Row],[Number of members]]&lt;50," A. 1 - 50 ",IF(Data2022[[#This Row],[Number of members]]&lt;100, "B. 50 - 100", IF(Data2022[[#This Row],[Number of members]]&lt;400, "C. 100 - 400", IF(Data2022[[#This Row],[Number of members]]&lt;1000,"D. 400 - 1000", "E. 1000 +")))))</f>
        <v>B. 50 - 100</v>
      </c>
      <c r="J18">
        <f>IF(ISBLANK(General2022[[#This Row],[number_of_international_members_not_eea]]),"N/A",VLOOKUP(A18,General2022[[organisation_name]:[number_of_international_committee_board_members_not_eea]],9,FALSE))</f>
        <v>25</v>
      </c>
      <c r="K18">
        <f>IF(ISBLANK(General2022[[#This Row],[number_of_international_members_eea]]),"N/A",VLOOKUP(A18,General2022[[organisation_name]:[number_of_international_committee_board_members_not_eea]],8,FALSE))</f>
        <v>0</v>
      </c>
      <c r="L18">
        <f>IFERROR(IF(Data2022[[#This Row],[Number of members]]-Data2022[[#This Row],[Non-EEA Total]]-Data2022[[#This Row],[EEA total]]&lt;1,"N/A", Data2022[[#This Row],[Number of members]]-Data2022[[#This Row],[Non-EEA Total]]-Data2022[[#This Row],[EEA total]]),"N/A")</f>
        <v>25</v>
      </c>
      <c r="M18">
        <f>VLOOKUP(A18,General2022[[organisation_name]:[number_of_international_committee_board_members_not_eea]],12,FALSE)</f>
        <v>0</v>
      </c>
      <c r="N18">
        <f>VLOOKUP(A18,General2022[[organisation_name]:[number_of_international_committee_board_members_not_eea]],11,FALSE)</f>
        <v>4</v>
      </c>
      <c r="O18">
        <f>IFERROR(IF(Data2022[[#This Row],[Number of active members]]-Data2022[[#This Row],[Non-EEA Active ]]-Data2022[[#This Row],[EEA Active]]&lt;1,"N/A", Data2022[[#This Row],[Number of active members]]-Data2022[[#This Row],[Non-EEA Active ]]-Data2022[[#This Row],[EEA Active]]),"N/A")</f>
        <v>6</v>
      </c>
      <c r="P18">
        <f>IFERROR(Data2022[[#This Row],[Non-EEA Active ]]/Data2022[[#This Row],[Number of active members]],"N/A")</f>
        <v>0</v>
      </c>
      <c r="Q18" t="str">
        <f>IFERROR(Data2022[[#This Row],[EEA Active]]/Data2022[[#This Row],[EEA total]], "N/A")</f>
        <v>N/A</v>
      </c>
      <c r="R18">
        <f>IFERROR(Data2022[[#This Row],[Dutch Active]]/Data2022[[#This Row],[Dutch total]],"N/A")</f>
        <v>0.24</v>
      </c>
      <c r="S18" t="str">
        <f>IFERROR(IF(Data2022[[#This Row],[Number of members]]=Data2022[[#This Row],[Non-EEA Total]]+Data2022[[#This Row],[EEA total]]+Data2022[[#This Row],[Dutch total]],"T","F"),"F")</f>
        <v>T</v>
      </c>
      <c r="T18" t="str">
        <f>IFERROR(IF(Data2022[[#This Row],[Number of active members]]=Data2022[[#This Row],[Non-EEA Active ]]+Data2022[[#This Row],[EEA Active]]+Data2022[[#This Row],[Dutch Active]],"T","F"),"F")</f>
        <v>T</v>
      </c>
      <c r="U18" t="str">
        <f>IFERROR(IF(Data2022[[#This Row],[Number of members]]-Data2022[[#This Row],[Non-EEA Active ]]-Data2022[[#This Row],[EEA Active]]-Data2022[[#This Row],[Dutch Active]]=Data2022[[#This Row],[Number of  inactive members]],"T","F"),"F")</f>
        <v>T</v>
      </c>
      <c r="V18" t="str">
        <f>IF(Data2022[[#This Row],[EEA Active]]&lt;=Data2022[[#This Row],[EEA total]],"T","F")</f>
        <v>F</v>
      </c>
      <c r="W18" t="str">
        <f>IF(Data2022[[#This Row],[Dutch Active]]&lt;=Data2022[[#This Row],[Dutch total]],"T","F")</f>
        <v>T</v>
      </c>
      <c r="X18" t="str">
        <f>IF(Data2022[[#This Row],[Non-EEA Active ]]&lt;=Data2022[[#This Row],[Non-EEA Total]],"T","F")</f>
        <v>T</v>
      </c>
      <c r="Y1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8">
        <f>IFERROR(VLOOKUP(Data2022[[#This Row],[organisation_name]],'Division Study Year Committees'!$A$1:$L$108,2,FALSE),"N/A")</f>
        <v>3</v>
      </c>
      <c r="AA18">
        <f>IFERROR(VLOOKUP(Data2022[[#This Row],[organisation_name]],'Division Study Year Committees'!$A$1:$L$108,3,FALSE),"N/A")</f>
        <v>7</v>
      </c>
      <c r="AB18">
        <f>IFERROR(VLOOKUP(Data2022[[#This Row],[organisation_name]],'Division Study Year Committees'!$A$1:$L$108,4,FALSE),"N/A")</f>
        <v>7</v>
      </c>
      <c r="AC18">
        <f>IFERROR(VLOOKUP(Data2022[[#This Row],[organisation_name]],'Division Study Year Committees'!$A$1:$L$108,5,FALSE), "N/A")</f>
        <v>6</v>
      </c>
      <c r="AD18">
        <f>IFERROR(VLOOKUP(Data2022[[#This Row],[organisation_name]],'Division Study Year Committees'!$A$1:$L$108,6,FALSE), "N/A")</f>
        <v>5</v>
      </c>
      <c r="AE18">
        <f>SUM(Data2022[[#This Row],[Number of first year comittee members]:[Number of 4+ year comittee members]])</f>
        <v>28</v>
      </c>
      <c r="AF18">
        <f>COUNTIF('Committee2022'!D:D,Data2022[[#This Row],[organisation_name]])</f>
        <v>13</v>
      </c>
      <c r="AG18">
        <v>2022</v>
      </c>
    </row>
    <row r="19" spans="1:33" x14ac:dyDescent="0.3">
      <c r="A19" t="str">
        <f>General2022[[#This Row],[organisation_name]]</f>
        <v>ESBV Buitenwesten</v>
      </c>
      <c r="B19" t="str">
        <f>IF(General2022[[#This Row],[sector]]= "",VLOOKUP(Data2022[[#This Row],[organisation_name]],'Response Rate sheet'!A:D,3,FALSE),General2022[[#This Row],[sector]])</f>
        <v>Sports</v>
      </c>
      <c r="C19" t="str">
        <f>General2022[[#This Row],[organisation_type]]</f>
        <v>association</v>
      </c>
      <c r="D19">
        <f>IF(ISBLANK(General2022[[#This Row],[number_of_members]]),"N/A",VLOOKUP(A19,General2022[[organisation_name]:[number_of_international_committee_board_members_not_eea]],6,FALSE))</f>
        <v>100</v>
      </c>
      <c r="E19">
        <f>IF(ISBLANK(General2022[[#This Row],[number_of_committee_board_members]]),"N/A",VLOOKUP(A19,General2022!B:M,10,FALSE))</f>
        <v>30</v>
      </c>
      <c r="F19">
        <f>IFERROR(Data2022[[#This Row],[Number of members]]-Data2022[[#This Row],[Number of active members]], "N/A")</f>
        <v>70</v>
      </c>
      <c r="G19">
        <f>IFERROR(Data2022[[#This Row],[Number of active members]]/Data2022[[#This Row],[Number of members]], "N/A")</f>
        <v>0.3</v>
      </c>
      <c r="H19">
        <f>IFERROR(1-Data2022[[#This Row],[Percentage active members]],"N/A")</f>
        <v>0.7</v>
      </c>
      <c r="I19" t="str">
        <f>IF(Data2022[[#This Row],[Number of members]]=0,"N/A",IF(Data2022[[#This Row],[Number of members]]&lt;50," A. 1 - 50 ",IF(Data2022[[#This Row],[Number of members]]&lt;100, "B. 50 - 100", IF(Data2022[[#This Row],[Number of members]]&lt;400, "C. 100 - 400", IF(Data2022[[#This Row],[Number of members]]&lt;1000,"D. 400 - 1000", "E. 1000 +")))))</f>
        <v>C. 100 - 400</v>
      </c>
      <c r="J19">
        <f>IF(ISBLANK(General2022[[#This Row],[number_of_international_members_not_eea]]),"N/A",VLOOKUP(A19,General2022[[organisation_name]:[number_of_international_committee_board_members_not_eea]],9,FALSE))</f>
        <v>15</v>
      </c>
      <c r="K19">
        <f>IF(ISBLANK(General2022[[#This Row],[number_of_international_members_eea]]),"N/A",VLOOKUP(A19,General2022[[organisation_name]:[number_of_international_committee_board_members_not_eea]],8,FALSE))</f>
        <v>10</v>
      </c>
      <c r="L19">
        <f>IFERROR(IF(Data2022[[#This Row],[Number of members]]-Data2022[[#This Row],[Non-EEA Total]]-Data2022[[#This Row],[EEA total]]&lt;1,"N/A", Data2022[[#This Row],[Number of members]]-Data2022[[#This Row],[Non-EEA Total]]-Data2022[[#This Row],[EEA total]]),"N/A")</f>
        <v>75</v>
      </c>
      <c r="M19">
        <f>VLOOKUP(A19,General2022[[organisation_name]:[number_of_international_committee_board_members_not_eea]],12,FALSE)</f>
        <v>2</v>
      </c>
      <c r="N19">
        <f>VLOOKUP(A19,General2022[[organisation_name]:[number_of_international_committee_board_members_not_eea]],11,FALSE)</f>
        <v>8</v>
      </c>
      <c r="O19">
        <f>IFERROR(IF(Data2022[[#This Row],[Number of active members]]-Data2022[[#This Row],[Non-EEA Active ]]-Data2022[[#This Row],[EEA Active]]&lt;1,"N/A", Data2022[[#This Row],[Number of active members]]-Data2022[[#This Row],[Non-EEA Active ]]-Data2022[[#This Row],[EEA Active]]),"N/A")</f>
        <v>20</v>
      </c>
      <c r="P19">
        <f>IFERROR(Data2022[[#This Row],[Non-EEA Active ]]/Data2022[[#This Row],[Number of active members]],"N/A")</f>
        <v>6.6666666666666666E-2</v>
      </c>
      <c r="Q19">
        <f>IFERROR(Data2022[[#This Row],[EEA Active]]/Data2022[[#This Row],[EEA total]], "N/A")</f>
        <v>0.8</v>
      </c>
      <c r="R19">
        <f>IFERROR(Data2022[[#This Row],[Dutch Active]]/Data2022[[#This Row],[Dutch total]],"N/A")</f>
        <v>0.26666666666666666</v>
      </c>
      <c r="S19" t="str">
        <f>IFERROR(IF(Data2022[[#This Row],[Number of members]]=Data2022[[#This Row],[Non-EEA Total]]+Data2022[[#This Row],[EEA total]]+Data2022[[#This Row],[Dutch total]],"T","F"),"F")</f>
        <v>T</v>
      </c>
      <c r="T19" t="str">
        <f>IFERROR(IF(Data2022[[#This Row],[Number of active members]]=Data2022[[#This Row],[Non-EEA Active ]]+Data2022[[#This Row],[EEA Active]]+Data2022[[#This Row],[Dutch Active]],"T","F"),"F")</f>
        <v>T</v>
      </c>
      <c r="U19" t="str">
        <f>IFERROR(IF(Data2022[[#This Row],[Number of members]]-Data2022[[#This Row],[Non-EEA Active ]]-Data2022[[#This Row],[EEA Active]]-Data2022[[#This Row],[Dutch Active]]=Data2022[[#This Row],[Number of  inactive members]],"T","F"),"F")</f>
        <v>T</v>
      </c>
      <c r="V19" t="str">
        <f>IF(Data2022[[#This Row],[EEA Active]]&lt;=Data2022[[#This Row],[EEA total]],"T","F")</f>
        <v>T</v>
      </c>
      <c r="W19" t="str">
        <f>IF(Data2022[[#This Row],[Dutch Active]]&lt;=Data2022[[#This Row],[Dutch total]],"T","F")</f>
        <v>T</v>
      </c>
      <c r="X19" t="str">
        <f>IF(Data2022[[#This Row],[Non-EEA Active ]]&lt;=Data2022[[#This Row],[Non-EEA Total]],"T","F")</f>
        <v>T</v>
      </c>
      <c r="Y19"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19">
        <f>IFERROR(VLOOKUP(Data2022[[#This Row],[organisation_name]],'Division Study Year Committees'!$A$1:$L$108,2,FALSE),"N/A")</f>
        <v>2</v>
      </c>
      <c r="AA19">
        <f>IFERROR(VLOOKUP(Data2022[[#This Row],[organisation_name]],'Division Study Year Committees'!$A$1:$L$108,3,FALSE),"N/A")</f>
        <v>2</v>
      </c>
      <c r="AB19">
        <f>IFERROR(VLOOKUP(Data2022[[#This Row],[organisation_name]],'Division Study Year Committees'!$A$1:$L$108,4,FALSE),"N/A")</f>
        <v>4</v>
      </c>
      <c r="AC19">
        <f>IFERROR(VLOOKUP(Data2022[[#This Row],[organisation_name]],'Division Study Year Committees'!$A$1:$L$108,5,FALSE), "N/A")</f>
        <v>2</v>
      </c>
      <c r="AD19">
        <f>IFERROR(VLOOKUP(Data2022[[#This Row],[organisation_name]],'Division Study Year Committees'!$A$1:$L$108,6,FALSE), "N/A")</f>
        <v>5</v>
      </c>
      <c r="AE19">
        <f>SUM(Data2022[[#This Row],[Number of first year comittee members]:[Number of 4+ year comittee members]])</f>
        <v>15</v>
      </c>
      <c r="AF19">
        <f>COUNTIF('Committee2022'!D:D,Data2022[[#This Row],[organisation_name]])</f>
        <v>8</v>
      </c>
      <c r="AG19">
        <v>2022</v>
      </c>
    </row>
    <row r="20" spans="1:33" x14ac:dyDescent="0.3">
      <c r="A20" t="str">
        <f>General2022[[#This Row],[organisation_name]]</f>
        <v>HSV High-Tech-Hitters</v>
      </c>
      <c r="B20" t="str">
        <f>IF(General2022[[#This Row],[sector]]= "",VLOOKUP(Data2022[[#This Row],[organisation_name]],'Response Rate sheet'!A:D,3,FALSE),General2022[[#This Row],[sector]])</f>
        <v>Sports</v>
      </c>
      <c r="C20" t="str">
        <f>General2022[[#This Row],[organisation_type]]</f>
        <v>association</v>
      </c>
      <c r="D20">
        <f>IF(ISBLANK(General2022[[#This Row],[number_of_members]]),"N/A",VLOOKUP(A20,General2022[[organisation_name]:[number_of_international_committee_board_members_not_eea]],6,FALSE))</f>
        <v>43</v>
      </c>
      <c r="E20">
        <f>IF(ISBLANK(General2022[[#This Row],[number_of_committee_board_members]]),"N/A",VLOOKUP(A20,General2022!B:M,10,FALSE))</f>
        <v>3</v>
      </c>
      <c r="F20">
        <f>IFERROR(Data2022[[#This Row],[Number of members]]-Data2022[[#This Row],[Number of active members]], "N/A")</f>
        <v>40</v>
      </c>
      <c r="G20">
        <f>IFERROR(Data2022[[#This Row],[Number of active members]]/Data2022[[#This Row],[Number of members]], "N/A")</f>
        <v>6.9767441860465115E-2</v>
      </c>
      <c r="H20">
        <f>IFERROR(1-Data2022[[#This Row],[Percentage active members]],"N/A")</f>
        <v>0.93023255813953487</v>
      </c>
      <c r="I20"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20">
        <f>IF(ISBLANK(General2022[[#This Row],[number_of_international_members_not_eea]]),"N/A",VLOOKUP(A20,General2022[[organisation_name]:[number_of_international_committee_board_members_not_eea]],9,FALSE))</f>
        <v>10</v>
      </c>
      <c r="K20">
        <f>IF(ISBLANK(General2022[[#This Row],[number_of_international_members_eea]]),"N/A",VLOOKUP(A20,General2022[[organisation_name]:[number_of_international_committee_board_members_not_eea]],8,FALSE))</f>
        <v>2</v>
      </c>
      <c r="L20">
        <f>IFERROR(IF(Data2022[[#This Row],[Number of members]]-Data2022[[#This Row],[Non-EEA Total]]-Data2022[[#This Row],[EEA total]]&lt;1,"N/A", Data2022[[#This Row],[Number of members]]-Data2022[[#This Row],[Non-EEA Total]]-Data2022[[#This Row],[EEA total]]),"N/A")</f>
        <v>31</v>
      </c>
      <c r="M20">
        <f>VLOOKUP(A20,General2022[[organisation_name]:[number_of_international_committee_board_members_not_eea]],12,FALSE)</f>
        <v>0</v>
      </c>
      <c r="N20">
        <f>VLOOKUP(A20,General2022[[organisation_name]:[number_of_international_committee_board_members_not_eea]],11,FALSE)</f>
        <v>1</v>
      </c>
      <c r="O20">
        <f>IFERROR(IF(Data2022[[#This Row],[Number of active members]]-Data2022[[#This Row],[Non-EEA Active ]]-Data2022[[#This Row],[EEA Active]]&lt;1,"N/A", Data2022[[#This Row],[Number of active members]]-Data2022[[#This Row],[Non-EEA Active ]]-Data2022[[#This Row],[EEA Active]]),"N/A")</f>
        <v>2</v>
      </c>
      <c r="P20">
        <f>IFERROR(Data2022[[#This Row],[Non-EEA Active ]]/Data2022[[#This Row],[Number of active members]],"N/A")</f>
        <v>0</v>
      </c>
      <c r="Q20">
        <f>IFERROR(Data2022[[#This Row],[EEA Active]]/Data2022[[#This Row],[EEA total]], "N/A")</f>
        <v>0.5</v>
      </c>
      <c r="R20">
        <f>IFERROR(Data2022[[#This Row],[Dutch Active]]/Data2022[[#This Row],[Dutch total]],"N/A")</f>
        <v>6.4516129032258063E-2</v>
      </c>
      <c r="S20" t="str">
        <f>IFERROR(IF(Data2022[[#This Row],[Number of members]]=Data2022[[#This Row],[Non-EEA Total]]+Data2022[[#This Row],[EEA total]]+Data2022[[#This Row],[Dutch total]],"T","F"),"F")</f>
        <v>T</v>
      </c>
      <c r="T20" t="str">
        <f>IFERROR(IF(Data2022[[#This Row],[Number of active members]]=Data2022[[#This Row],[Non-EEA Active ]]+Data2022[[#This Row],[EEA Active]]+Data2022[[#This Row],[Dutch Active]],"T","F"),"F")</f>
        <v>T</v>
      </c>
      <c r="U20" t="str">
        <f>IFERROR(IF(Data2022[[#This Row],[Number of members]]-Data2022[[#This Row],[Non-EEA Active ]]-Data2022[[#This Row],[EEA Active]]-Data2022[[#This Row],[Dutch Active]]=Data2022[[#This Row],[Number of  inactive members]],"T","F"),"F")</f>
        <v>T</v>
      </c>
      <c r="V20" t="str">
        <f>IF(Data2022[[#This Row],[EEA Active]]&lt;=Data2022[[#This Row],[EEA total]],"T","F")</f>
        <v>T</v>
      </c>
      <c r="W20" t="str">
        <f>IF(Data2022[[#This Row],[Dutch Active]]&lt;=Data2022[[#This Row],[Dutch total]],"T","F")</f>
        <v>T</v>
      </c>
      <c r="X20" t="str">
        <f>IF(Data2022[[#This Row],[Non-EEA Active ]]&lt;=Data2022[[#This Row],[Non-EEA Total]],"T","F")</f>
        <v>T</v>
      </c>
      <c r="Y20"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20">
        <f>IFERROR(VLOOKUP(Data2022[[#This Row],[organisation_name]],'Division Study Year Committees'!$A$1:$L$108,2,FALSE),"N/A")</f>
        <v>0</v>
      </c>
      <c r="AA20">
        <f>IFERROR(VLOOKUP(Data2022[[#This Row],[organisation_name]],'Division Study Year Committees'!$A$1:$L$108,3,FALSE),"N/A")</f>
        <v>0</v>
      </c>
      <c r="AB20">
        <f>IFERROR(VLOOKUP(Data2022[[#This Row],[organisation_name]],'Division Study Year Committees'!$A$1:$L$108,4,FALSE),"N/A")</f>
        <v>8</v>
      </c>
      <c r="AC20">
        <f>IFERROR(VLOOKUP(Data2022[[#This Row],[organisation_name]],'Division Study Year Committees'!$A$1:$L$108,5,FALSE), "N/A")</f>
        <v>1</v>
      </c>
      <c r="AD20">
        <f>IFERROR(VLOOKUP(Data2022[[#This Row],[organisation_name]],'Division Study Year Committees'!$A$1:$L$108,6,FALSE), "N/A")</f>
        <v>2</v>
      </c>
      <c r="AE20">
        <f>SUM(Data2022[[#This Row],[Number of first year comittee members]:[Number of 4+ year comittee members]])</f>
        <v>11</v>
      </c>
      <c r="AF20">
        <f>COUNTIF('Committee2022'!D:D,Data2022[[#This Row],[organisation_name]])</f>
        <v>12</v>
      </c>
      <c r="AG20">
        <v>2022</v>
      </c>
    </row>
    <row r="21" spans="1:33" x14ac:dyDescent="0.3">
      <c r="A21" t="str">
        <f>General2022[[#This Row],[organisation_name]]</f>
        <v>Linea Recta</v>
      </c>
      <c r="B21" t="str">
        <f>IF(General2022[[#This Row],[sector]]= "",VLOOKUP(Data2022[[#This Row],[organisation_name]],'Response Rate sheet'!A:D,3,FALSE),General2022[[#This Row],[sector]])</f>
        <v>Sports</v>
      </c>
      <c r="C21" t="str">
        <f>General2022[[#This Row],[organisation_type]]</f>
        <v>association</v>
      </c>
      <c r="D21">
        <f>IF(ISBLANK(General2022[[#This Row],[number_of_members]]),"N/A",VLOOKUP(A21,General2022[[organisation_name]:[number_of_international_committee_board_members_not_eea]],6,FALSE))</f>
        <v>68</v>
      </c>
      <c r="E21">
        <f>IF(ISBLANK(General2022[[#This Row],[number_of_committee_board_members]]),"N/A",VLOOKUP(A21,General2022!B:M,10,FALSE))</f>
        <v>5</v>
      </c>
      <c r="F21">
        <f>IFERROR(Data2022[[#This Row],[Number of members]]-Data2022[[#This Row],[Number of active members]], "N/A")</f>
        <v>63</v>
      </c>
      <c r="G21">
        <f>IFERROR(Data2022[[#This Row],[Number of active members]]/Data2022[[#This Row],[Number of members]], "N/A")</f>
        <v>7.3529411764705885E-2</v>
      </c>
      <c r="H21">
        <f>IFERROR(1-Data2022[[#This Row],[Percentage active members]],"N/A")</f>
        <v>0.92647058823529416</v>
      </c>
      <c r="I21" t="str">
        <f>IF(Data2022[[#This Row],[Number of members]]=0,"N/A",IF(Data2022[[#This Row],[Number of members]]&lt;50," A. 1 - 50 ",IF(Data2022[[#This Row],[Number of members]]&lt;100, "B. 50 - 100", IF(Data2022[[#This Row],[Number of members]]&lt;400, "C. 100 - 400", IF(Data2022[[#This Row],[Number of members]]&lt;1000,"D. 400 - 1000", "E. 1000 +")))))</f>
        <v>B. 50 - 100</v>
      </c>
      <c r="J21">
        <f>IF(ISBLANK(General2022[[#This Row],[number_of_international_members_not_eea]]),"N/A",VLOOKUP(A21,General2022[[organisation_name]:[number_of_international_committee_board_members_not_eea]],9,FALSE))</f>
        <v>40</v>
      </c>
      <c r="K21">
        <f>IF(ISBLANK(General2022[[#This Row],[number_of_international_members_eea]]),"N/A",VLOOKUP(A21,General2022[[organisation_name]:[number_of_international_committee_board_members_not_eea]],8,FALSE))</f>
        <v>1</v>
      </c>
      <c r="L21">
        <f>IFERROR(IF(Data2022[[#This Row],[Number of members]]-Data2022[[#This Row],[Non-EEA Total]]-Data2022[[#This Row],[EEA total]]&lt;1,"N/A", Data2022[[#This Row],[Number of members]]-Data2022[[#This Row],[Non-EEA Total]]-Data2022[[#This Row],[EEA total]]),"N/A")</f>
        <v>27</v>
      </c>
      <c r="M21">
        <f>VLOOKUP(A21,General2022[[organisation_name]:[number_of_international_committee_board_members_not_eea]],12,FALSE)</f>
        <v>1</v>
      </c>
      <c r="N21">
        <f>VLOOKUP(A21,General2022[[organisation_name]:[number_of_international_committee_board_members_not_eea]],11,FALSE)</f>
        <v>7</v>
      </c>
      <c r="O21" t="str">
        <f>IFERROR(IF(Data2022[[#This Row],[Number of active members]]-Data2022[[#This Row],[Non-EEA Active ]]-Data2022[[#This Row],[EEA Active]]&lt;1,"N/A", Data2022[[#This Row],[Number of active members]]-Data2022[[#This Row],[Non-EEA Active ]]-Data2022[[#This Row],[EEA Active]]),"N/A")</f>
        <v>N/A</v>
      </c>
      <c r="P21">
        <f>IFERROR(Data2022[[#This Row],[Non-EEA Active ]]/Data2022[[#This Row],[Number of active members]],"N/A")</f>
        <v>0.2</v>
      </c>
      <c r="Q21">
        <f>IFERROR(Data2022[[#This Row],[EEA Active]]/Data2022[[#This Row],[EEA total]], "N/A")</f>
        <v>7</v>
      </c>
      <c r="R21" t="str">
        <f>IFERROR(Data2022[[#This Row],[Dutch Active]]/Data2022[[#This Row],[Dutch total]],"N/A")</f>
        <v>N/A</v>
      </c>
      <c r="S21" t="str">
        <f>IFERROR(IF(Data2022[[#This Row],[Number of members]]=Data2022[[#This Row],[Non-EEA Total]]+Data2022[[#This Row],[EEA total]]+Data2022[[#This Row],[Dutch total]],"T","F"),"F")</f>
        <v>T</v>
      </c>
      <c r="T21" t="str">
        <f>IFERROR(IF(Data2022[[#This Row],[Number of active members]]=Data2022[[#This Row],[Non-EEA Active ]]+Data2022[[#This Row],[EEA Active]]+Data2022[[#This Row],[Dutch Active]],"T","F"),"F")</f>
        <v>F</v>
      </c>
      <c r="U21" t="str">
        <f>IFERROR(IF(Data2022[[#This Row],[Number of members]]-Data2022[[#This Row],[Non-EEA Active ]]-Data2022[[#This Row],[EEA Active]]-Data2022[[#This Row],[Dutch Active]]=Data2022[[#This Row],[Number of  inactive members]],"T","F"),"F")</f>
        <v>F</v>
      </c>
      <c r="V21" t="str">
        <f>IF(Data2022[[#This Row],[EEA Active]]&lt;=Data2022[[#This Row],[EEA total]],"T","F")</f>
        <v>F</v>
      </c>
      <c r="W21" t="str">
        <f>IF(Data2022[[#This Row],[Dutch Active]]&lt;=Data2022[[#This Row],[Dutch total]],"T","F")</f>
        <v>F</v>
      </c>
      <c r="X21" t="str">
        <f>IF(Data2022[[#This Row],[Non-EEA Active ]]&lt;=Data2022[[#This Row],[Non-EEA Total]],"T","F")</f>
        <v>T</v>
      </c>
      <c r="Y2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1">
        <f>IFERROR(VLOOKUP(Data2022[[#This Row],[organisation_name]],'Division Study Year Committees'!$A$1:$L$108,2,FALSE),"N/A")</f>
        <v>0</v>
      </c>
      <c r="AA21">
        <f>IFERROR(VLOOKUP(Data2022[[#This Row],[organisation_name]],'Division Study Year Committees'!$A$1:$L$108,3,FALSE),"N/A")</f>
        <v>6</v>
      </c>
      <c r="AB21">
        <f>IFERROR(VLOOKUP(Data2022[[#This Row],[organisation_name]],'Division Study Year Committees'!$A$1:$L$108,4,FALSE),"N/A")</f>
        <v>12</v>
      </c>
      <c r="AC21">
        <f>IFERROR(VLOOKUP(Data2022[[#This Row],[organisation_name]],'Division Study Year Committees'!$A$1:$L$108,5,FALSE), "N/A")</f>
        <v>4</v>
      </c>
      <c r="AD21">
        <f>IFERROR(VLOOKUP(Data2022[[#This Row],[organisation_name]],'Division Study Year Committees'!$A$1:$L$108,6,FALSE), "N/A")</f>
        <v>9</v>
      </c>
      <c r="AE21">
        <f>SUM(Data2022[[#This Row],[Number of first year comittee members]:[Number of 4+ year comittee members]])</f>
        <v>31</v>
      </c>
      <c r="AF21">
        <f>COUNTIF('Committee2022'!D:D,Data2022[[#This Row],[organisation_name]])</f>
        <v>15</v>
      </c>
      <c r="AG21">
        <v>2022</v>
      </c>
    </row>
    <row r="22" spans="1:33" x14ac:dyDescent="0.3">
      <c r="A22" t="str">
        <f>General2022[[#This Row],[organisation_name]]</f>
        <v>Messed Up</v>
      </c>
      <c r="B22" t="str">
        <f>IF(General2022[[#This Row],[sector]]= "",VLOOKUP(Data2022[[#This Row],[organisation_name]],'Response Rate sheet'!A:D,3,FALSE),General2022[[#This Row],[sector]])</f>
        <v>Sports</v>
      </c>
      <c r="C22" t="str">
        <f>General2022[[#This Row],[organisation_type]]</f>
        <v>association</v>
      </c>
      <c r="D22">
        <f>IF(ISBLANK(General2022[[#This Row],[number_of_members]]),"N/A",VLOOKUP(A22,General2022[[organisation_name]:[number_of_international_committee_board_members_not_eea]],6,FALSE))</f>
        <v>35</v>
      </c>
      <c r="E22">
        <f>IF(ISBLANK(General2022[[#This Row],[number_of_committee_board_members]]),"N/A",VLOOKUP(A22,General2022!B:M,10,FALSE))</f>
        <v>5</v>
      </c>
      <c r="F22">
        <f>IFERROR(Data2022[[#This Row],[Number of members]]-Data2022[[#This Row],[Number of active members]], "N/A")</f>
        <v>30</v>
      </c>
      <c r="G22">
        <f>IFERROR(Data2022[[#This Row],[Number of active members]]/Data2022[[#This Row],[Number of members]], "N/A")</f>
        <v>0.14285714285714285</v>
      </c>
      <c r="H22">
        <f>IFERROR(1-Data2022[[#This Row],[Percentage active members]],"N/A")</f>
        <v>0.85714285714285721</v>
      </c>
      <c r="I22"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22">
        <f>IF(ISBLANK(General2022[[#This Row],[number_of_international_members_not_eea]]),"N/A",VLOOKUP(A22,General2022[[organisation_name]:[number_of_international_committee_board_members_not_eea]],9,FALSE))</f>
        <v>17</v>
      </c>
      <c r="K22">
        <f>IF(ISBLANK(General2022[[#This Row],[number_of_international_members_eea]]),"N/A",VLOOKUP(A22,General2022[[organisation_name]:[number_of_international_committee_board_members_not_eea]],8,FALSE))</f>
        <v>3</v>
      </c>
      <c r="L22">
        <f>IFERROR(IF(Data2022[[#This Row],[Number of members]]-Data2022[[#This Row],[Non-EEA Total]]-Data2022[[#This Row],[EEA total]]&lt;1,"N/A", Data2022[[#This Row],[Number of members]]-Data2022[[#This Row],[Non-EEA Total]]-Data2022[[#This Row],[EEA total]]),"N/A")</f>
        <v>15</v>
      </c>
      <c r="M22">
        <f>VLOOKUP(A22,General2022[[organisation_name]:[number_of_international_committee_board_members_not_eea]],12,FALSE)</f>
        <v>1</v>
      </c>
      <c r="N22">
        <f>VLOOKUP(A22,General2022[[organisation_name]:[number_of_international_committee_board_members_not_eea]],11,FALSE)</f>
        <v>4</v>
      </c>
      <c r="O22" t="str">
        <f>IFERROR(IF(Data2022[[#This Row],[Number of active members]]-Data2022[[#This Row],[Non-EEA Active ]]-Data2022[[#This Row],[EEA Active]]&lt;1,"N/A", Data2022[[#This Row],[Number of active members]]-Data2022[[#This Row],[Non-EEA Active ]]-Data2022[[#This Row],[EEA Active]]),"N/A")</f>
        <v>N/A</v>
      </c>
      <c r="P22">
        <f>IFERROR(Data2022[[#This Row],[Non-EEA Active ]]/Data2022[[#This Row],[Number of active members]],"N/A")</f>
        <v>0.2</v>
      </c>
      <c r="Q22">
        <f>IFERROR(Data2022[[#This Row],[EEA Active]]/Data2022[[#This Row],[EEA total]], "N/A")</f>
        <v>1.3333333333333333</v>
      </c>
      <c r="R22" t="str">
        <f>IFERROR(Data2022[[#This Row],[Dutch Active]]/Data2022[[#This Row],[Dutch total]],"N/A")</f>
        <v>N/A</v>
      </c>
      <c r="S22" t="str">
        <f>IFERROR(IF(Data2022[[#This Row],[Number of members]]=Data2022[[#This Row],[Non-EEA Total]]+Data2022[[#This Row],[EEA total]]+Data2022[[#This Row],[Dutch total]],"T","F"),"F")</f>
        <v>T</v>
      </c>
      <c r="T22" t="str">
        <f>IFERROR(IF(Data2022[[#This Row],[Number of active members]]=Data2022[[#This Row],[Non-EEA Active ]]+Data2022[[#This Row],[EEA Active]]+Data2022[[#This Row],[Dutch Active]],"T","F"),"F")</f>
        <v>F</v>
      </c>
      <c r="U22" t="str">
        <f>IFERROR(IF(Data2022[[#This Row],[Number of members]]-Data2022[[#This Row],[Non-EEA Active ]]-Data2022[[#This Row],[EEA Active]]-Data2022[[#This Row],[Dutch Active]]=Data2022[[#This Row],[Number of  inactive members]],"T","F"),"F")</f>
        <v>F</v>
      </c>
      <c r="V22" t="str">
        <f>IF(Data2022[[#This Row],[EEA Active]]&lt;=Data2022[[#This Row],[EEA total]],"T","F")</f>
        <v>F</v>
      </c>
      <c r="W22" t="str">
        <f>IF(Data2022[[#This Row],[Dutch Active]]&lt;=Data2022[[#This Row],[Dutch total]],"T","F")</f>
        <v>F</v>
      </c>
      <c r="X22" t="str">
        <f>IF(Data2022[[#This Row],[Non-EEA Active ]]&lt;=Data2022[[#This Row],[Non-EEA Total]],"T","F")</f>
        <v>T</v>
      </c>
      <c r="Y2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2" t="str">
        <f>IFERROR(VLOOKUP(Data2022[[#This Row],[organisation_name]],'Division Study Year Committees'!$A$1:$L$108,2,FALSE),"N/A")</f>
        <v>N/A</v>
      </c>
      <c r="AA22" t="str">
        <f>IFERROR(VLOOKUP(Data2022[[#This Row],[organisation_name]],'Division Study Year Committees'!$A$1:$L$108,3,FALSE),"N/A")</f>
        <v>N/A</v>
      </c>
      <c r="AB22" t="str">
        <f>IFERROR(VLOOKUP(Data2022[[#This Row],[organisation_name]],'Division Study Year Committees'!$A$1:$L$108,4,FALSE),"N/A")</f>
        <v>N/A</v>
      </c>
      <c r="AC22" t="str">
        <f>IFERROR(VLOOKUP(Data2022[[#This Row],[organisation_name]],'Division Study Year Committees'!$A$1:$L$108,5,FALSE), "N/A")</f>
        <v>N/A</v>
      </c>
      <c r="AD22" t="str">
        <f>IFERROR(VLOOKUP(Data2022[[#This Row],[organisation_name]],'Division Study Year Committees'!$A$1:$L$108,6,FALSE), "N/A")</f>
        <v>N/A</v>
      </c>
      <c r="AE22">
        <f>SUM(Data2022[[#This Row],[Number of first year comittee members]:[Number of 4+ year comittee members]])</f>
        <v>0</v>
      </c>
      <c r="AF22">
        <f>COUNTIF('Committee2022'!D:D,Data2022[[#This Row],[organisation_name]])</f>
        <v>6</v>
      </c>
      <c r="AG22">
        <v>2022</v>
      </c>
    </row>
    <row r="23" spans="1:33" x14ac:dyDescent="0.3">
      <c r="A23" t="str">
        <f>General2022[[#This Row],[organisation_name]]</f>
        <v>Motor Sport Groep</v>
      </c>
      <c r="B23" t="str">
        <f>IF(General2022[[#This Row],[sector]]= "",VLOOKUP(Data2022[[#This Row],[organisation_name]],'Response Rate sheet'!A:D,3,FALSE),General2022[[#This Row],[sector]])</f>
        <v>Sports</v>
      </c>
      <c r="C23" t="str">
        <f>General2022[[#This Row],[organisation_type]]</f>
        <v>association</v>
      </c>
      <c r="D23">
        <f>IF(ISBLANK(General2022[[#This Row],[number_of_members]]),"N/A",VLOOKUP(A23,General2022[[organisation_name]:[number_of_international_committee_board_members_not_eea]],6,FALSE))</f>
        <v>74</v>
      </c>
      <c r="E23">
        <f>IF(ISBLANK(General2022[[#This Row],[number_of_committee_board_members]]),"N/A",VLOOKUP(A23,General2022!B:M,10,FALSE))</f>
        <v>20</v>
      </c>
      <c r="F23">
        <f>IFERROR(Data2022[[#This Row],[Number of members]]-Data2022[[#This Row],[Number of active members]], "N/A")</f>
        <v>54</v>
      </c>
      <c r="G23">
        <f>IFERROR(Data2022[[#This Row],[Number of active members]]/Data2022[[#This Row],[Number of members]], "N/A")</f>
        <v>0.27027027027027029</v>
      </c>
      <c r="H23">
        <f>IFERROR(1-Data2022[[#This Row],[Percentage active members]],"N/A")</f>
        <v>0.72972972972972971</v>
      </c>
      <c r="I23" t="str">
        <f>IF(Data2022[[#This Row],[Number of members]]=0,"N/A",IF(Data2022[[#This Row],[Number of members]]&lt;50," A. 1 - 50 ",IF(Data2022[[#This Row],[Number of members]]&lt;100, "B. 50 - 100", IF(Data2022[[#This Row],[Number of members]]&lt;400, "C. 100 - 400", IF(Data2022[[#This Row],[Number of members]]&lt;1000,"D. 400 - 1000", "E. 1000 +")))))</f>
        <v>B. 50 - 100</v>
      </c>
      <c r="J23">
        <f>IF(ISBLANK(General2022[[#This Row],[number_of_international_members_not_eea]]),"N/A",VLOOKUP(A23,General2022[[organisation_name]:[number_of_international_committee_board_members_not_eea]],9,FALSE))</f>
        <v>15</v>
      </c>
      <c r="K23">
        <f>IF(ISBLANK(General2022[[#This Row],[number_of_international_members_eea]]),"N/A",VLOOKUP(A23,General2022[[organisation_name]:[number_of_international_committee_board_members_not_eea]],8,FALSE))</f>
        <v>1</v>
      </c>
      <c r="L23">
        <f>IFERROR(IF(Data2022[[#This Row],[Number of members]]-Data2022[[#This Row],[Non-EEA Total]]-Data2022[[#This Row],[EEA total]]&lt;1,"N/A", Data2022[[#This Row],[Number of members]]-Data2022[[#This Row],[Non-EEA Total]]-Data2022[[#This Row],[EEA total]]),"N/A")</f>
        <v>58</v>
      </c>
      <c r="M23">
        <f>VLOOKUP(A23,General2022[[organisation_name]:[number_of_international_committee_board_members_not_eea]],12,FALSE)</f>
        <v>0</v>
      </c>
      <c r="N23">
        <f>VLOOKUP(A23,General2022[[organisation_name]:[number_of_international_committee_board_members_not_eea]],11,FALSE)</f>
        <v>2</v>
      </c>
      <c r="O23">
        <f>IFERROR(IF(Data2022[[#This Row],[Number of active members]]-Data2022[[#This Row],[Non-EEA Active ]]-Data2022[[#This Row],[EEA Active]]&lt;1,"N/A", Data2022[[#This Row],[Number of active members]]-Data2022[[#This Row],[Non-EEA Active ]]-Data2022[[#This Row],[EEA Active]]),"N/A")</f>
        <v>18</v>
      </c>
      <c r="P23">
        <f>IFERROR(Data2022[[#This Row],[Non-EEA Active ]]/Data2022[[#This Row],[Number of active members]],"N/A")</f>
        <v>0</v>
      </c>
      <c r="Q23">
        <f>IFERROR(Data2022[[#This Row],[EEA Active]]/Data2022[[#This Row],[EEA total]], "N/A")</f>
        <v>2</v>
      </c>
      <c r="R23">
        <f>IFERROR(Data2022[[#This Row],[Dutch Active]]/Data2022[[#This Row],[Dutch total]],"N/A")</f>
        <v>0.31034482758620691</v>
      </c>
      <c r="S23" t="str">
        <f>IFERROR(IF(Data2022[[#This Row],[Number of members]]=Data2022[[#This Row],[Non-EEA Total]]+Data2022[[#This Row],[EEA total]]+Data2022[[#This Row],[Dutch total]],"T","F"),"F")</f>
        <v>T</v>
      </c>
      <c r="T23" t="str">
        <f>IFERROR(IF(Data2022[[#This Row],[Number of active members]]=Data2022[[#This Row],[Non-EEA Active ]]+Data2022[[#This Row],[EEA Active]]+Data2022[[#This Row],[Dutch Active]],"T","F"),"F")</f>
        <v>T</v>
      </c>
      <c r="U23" t="str">
        <f>IFERROR(IF(Data2022[[#This Row],[Number of members]]-Data2022[[#This Row],[Non-EEA Active ]]-Data2022[[#This Row],[EEA Active]]-Data2022[[#This Row],[Dutch Active]]=Data2022[[#This Row],[Number of  inactive members]],"T","F"),"F")</f>
        <v>T</v>
      </c>
      <c r="V23" t="str">
        <f>IF(Data2022[[#This Row],[EEA Active]]&lt;=Data2022[[#This Row],[EEA total]],"T","F")</f>
        <v>F</v>
      </c>
      <c r="W23" t="str">
        <f>IF(Data2022[[#This Row],[Dutch Active]]&lt;=Data2022[[#This Row],[Dutch total]],"T","F")</f>
        <v>T</v>
      </c>
      <c r="X23" t="str">
        <f>IF(Data2022[[#This Row],[Non-EEA Active ]]&lt;=Data2022[[#This Row],[Non-EEA Total]],"T","F")</f>
        <v>T</v>
      </c>
      <c r="Y2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3" t="str">
        <f>IFERROR(VLOOKUP(Data2022[[#This Row],[organisation_name]],'Division Study Year Committees'!$A$1:$L$108,2,FALSE),"N/A")</f>
        <v>N/A</v>
      </c>
      <c r="AA23" t="str">
        <f>IFERROR(VLOOKUP(Data2022[[#This Row],[organisation_name]],'Division Study Year Committees'!$A$1:$L$108,3,FALSE),"N/A")</f>
        <v>N/A</v>
      </c>
      <c r="AB23" t="str">
        <f>IFERROR(VLOOKUP(Data2022[[#This Row],[organisation_name]],'Division Study Year Committees'!$A$1:$L$108,4,FALSE),"N/A")</f>
        <v>N/A</v>
      </c>
      <c r="AC23" t="str">
        <f>IFERROR(VLOOKUP(Data2022[[#This Row],[organisation_name]],'Division Study Year Committees'!$A$1:$L$108,5,FALSE), "N/A")</f>
        <v>N/A</v>
      </c>
      <c r="AD23" t="str">
        <f>IFERROR(VLOOKUP(Data2022[[#This Row],[organisation_name]],'Division Study Year Committees'!$A$1:$L$108,6,FALSE), "N/A")</f>
        <v>N/A</v>
      </c>
      <c r="AE23">
        <f>SUM(Data2022[[#This Row],[Number of first year comittee members]:[Number of 4+ year comittee members]])</f>
        <v>0</v>
      </c>
      <c r="AF23">
        <f>COUNTIF('Committee2022'!D:D,Data2022[[#This Row],[organisation_name]])</f>
        <v>6</v>
      </c>
      <c r="AG23">
        <v>2022</v>
      </c>
    </row>
    <row r="24" spans="1:33" x14ac:dyDescent="0.3">
      <c r="A24" t="str">
        <f>General2022[[#This Row],[organisation_name]]</f>
        <v>SKV Vakgericht</v>
      </c>
      <c r="B24" t="str">
        <f>IF(General2022[[#This Row],[sector]]= "",VLOOKUP(Data2022[[#This Row],[organisation_name]],'Response Rate sheet'!A:D,3,FALSE),General2022[[#This Row],[sector]])</f>
        <v>Sports</v>
      </c>
      <c r="C24" t="str">
        <f>General2022[[#This Row],[organisation_type]]</f>
        <v>association</v>
      </c>
      <c r="D24">
        <f>IF(ISBLANK(General2022[[#This Row],[number_of_members]]),"N/A",VLOOKUP(A24,General2022[[organisation_name]:[number_of_international_committee_board_members_not_eea]],6,FALSE))</f>
        <v>57</v>
      </c>
      <c r="E24">
        <f>IF(ISBLANK(General2022[[#This Row],[number_of_committee_board_members]]),"N/A",VLOOKUP(A24,General2022!B:M,10,FALSE))</f>
        <v>5</v>
      </c>
      <c r="F24">
        <f>IFERROR(Data2022[[#This Row],[Number of members]]-Data2022[[#This Row],[Number of active members]], "N/A")</f>
        <v>52</v>
      </c>
      <c r="G24">
        <f>IFERROR(Data2022[[#This Row],[Number of active members]]/Data2022[[#This Row],[Number of members]], "N/A")</f>
        <v>8.771929824561403E-2</v>
      </c>
      <c r="H24">
        <f>IFERROR(1-Data2022[[#This Row],[Percentage active members]],"N/A")</f>
        <v>0.91228070175438591</v>
      </c>
      <c r="I24" t="str">
        <f>IF(Data2022[[#This Row],[Number of members]]=0,"N/A",IF(Data2022[[#This Row],[Number of members]]&lt;50," A. 1 - 50 ",IF(Data2022[[#This Row],[Number of members]]&lt;100, "B. 50 - 100", IF(Data2022[[#This Row],[Number of members]]&lt;400, "C. 100 - 400", IF(Data2022[[#This Row],[Number of members]]&lt;1000,"D. 400 - 1000", "E. 1000 +")))))</f>
        <v>B. 50 - 100</v>
      </c>
      <c r="J24">
        <f>IF(ISBLANK(General2022[[#This Row],[number_of_international_members_not_eea]]),"N/A",VLOOKUP(A24,General2022[[organisation_name]:[number_of_international_committee_board_members_not_eea]],9,FALSE))</f>
        <v>40</v>
      </c>
      <c r="K24">
        <f>IF(ISBLANK(General2022[[#This Row],[number_of_international_members_eea]]),"N/A",VLOOKUP(A24,General2022[[organisation_name]:[number_of_international_committee_board_members_not_eea]],8,FALSE))</f>
        <v>0</v>
      </c>
      <c r="L24">
        <f>IFERROR(IF(Data2022[[#This Row],[Number of members]]-Data2022[[#This Row],[Non-EEA Total]]-Data2022[[#This Row],[EEA total]]&lt;1,"N/A", Data2022[[#This Row],[Number of members]]-Data2022[[#This Row],[Non-EEA Total]]-Data2022[[#This Row],[EEA total]]),"N/A")</f>
        <v>17</v>
      </c>
      <c r="M24">
        <f>VLOOKUP(A24,General2022[[organisation_name]:[number_of_international_committee_board_members_not_eea]],12,FALSE)</f>
        <v>0</v>
      </c>
      <c r="N24">
        <f>VLOOKUP(A24,General2022[[organisation_name]:[number_of_international_committee_board_members_not_eea]],11,FALSE)</f>
        <v>0</v>
      </c>
      <c r="O24">
        <f>IFERROR(IF(Data2022[[#This Row],[Number of active members]]-Data2022[[#This Row],[Non-EEA Active ]]-Data2022[[#This Row],[EEA Active]]&lt;1,"N/A", Data2022[[#This Row],[Number of active members]]-Data2022[[#This Row],[Non-EEA Active ]]-Data2022[[#This Row],[EEA Active]]),"N/A")</f>
        <v>5</v>
      </c>
      <c r="P24">
        <f>IFERROR(Data2022[[#This Row],[Non-EEA Active ]]/Data2022[[#This Row],[Number of active members]],"N/A")</f>
        <v>0</v>
      </c>
      <c r="Q24" t="str">
        <f>IFERROR(Data2022[[#This Row],[EEA Active]]/Data2022[[#This Row],[EEA total]], "N/A")</f>
        <v>N/A</v>
      </c>
      <c r="R24">
        <f>IFERROR(Data2022[[#This Row],[Dutch Active]]/Data2022[[#This Row],[Dutch total]],"N/A")</f>
        <v>0.29411764705882354</v>
      </c>
      <c r="S24" t="str">
        <f>IFERROR(IF(Data2022[[#This Row],[Number of members]]=Data2022[[#This Row],[Non-EEA Total]]+Data2022[[#This Row],[EEA total]]+Data2022[[#This Row],[Dutch total]],"T","F"),"F")</f>
        <v>T</v>
      </c>
      <c r="T24" t="str">
        <f>IFERROR(IF(Data2022[[#This Row],[Number of active members]]=Data2022[[#This Row],[Non-EEA Active ]]+Data2022[[#This Row],[EEA Active]]+Data2022[[#This Row],[Dutch Active]],"T","F"),"F")</f>
        <v>T</v>
      </c>
      <c r="U24" t="str">
        <f>IFERROR(IF(Data2022[[#This Row],[Number of members]]-Data2022[[#This Row],[Non-EEA Active ]]-Data2022[[#This Row],[EEA Active]]-Data2022[[#This Row],[Dutch Active]]=Data2022[[#This Row],[Number of  inactive members]],"T","F"),"F")</f>
        <v>T</v>
      </c>
      <c r="V24" t="str">
        <f>IF(Data2022[[#This Row],[EEA Active]]&lt;=Data2022[[#This Row],[EEA total]],"T","F")</f>
        <v>T</v>
      </c>
      <c r="W24" t="str">
        <f>IF(Data2022[[#This Row],[Dutch Active]]&lt;=Data2022[[#This Row],[Dutch total]],"T","F")</f>
        <v>T</v>
      </c>
      <c r="X24" t="str">
        <f>IF(Data2022[[#This Row],[Non-EEA Active ]]&lt;=Data2022[[#This Row],[Non-EEA Total]],"T","F")</f>
        <v>T</v>
      </c>
      <c r="Y24"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24">
        <f>IFERROR(VLOOKUP(Data2022[[#This Row],[organisation_name]],'Division Study Year Committees'!$A$1:$L$108,2,FALSE),"N/A")</f>
        <v>4</v>
      </c>
      <c r="AA24">
        <f>IFERROR(VLOOKUP(Data2022[[#This Row],[organisation_name]],'Division Study Year Committees'!$A$1:$L$108,3,FALSE),"N/A")</f>
        <v>4</v>
      </c>
      <c r="AB24">
        <f>IFERROR(VLOOKUP(Data2022[[#This Row],[organisation_name]],'Division Study Year Committees'!$A$1:$L$108,4,FALSE),"N/A")</f>
        <v>6</v>
      </c>
      <c r="AC24">
        <f>IFERROR(VLOOKUP(Data2022[[#This Row],[organisation_name]],'Division Study Year Committees'!$A$1:$L$108,5,FALSE), "N/A")</f>
        <v>5</v>
      </c>
      <c r="AD24">
        <f>IFERROR(VLOOKUP(Data2022[[#This Row],[organisation_name]],'Division Study Year Committees'!$A$1:$L$108,6,FALSE), "N/A")</f>
        <v>12</v>
      </c>
      <c r="AE24">
        <f>SUM(Data2022[[#This Row],[Number of first year comittee members]:[Number of 4+ year comittee members]])</f>
        <v>31</v>
      </c>
      <c r="AF24">
        <f>COUNTIF('Committee2022'!D:D,Data2022[[#This Row],[organisation_name]])</f>
        <v>16</v>
      </c>
      <c r="AG24">
        <v>2022</v>
      </c>
    </row>
    <row r="25" spans="1:33" x14ac:dyDescent="0.3">
      <c r="A25" t="str">
        <f>General2022[[#This Row],[organisation_name]]</f>
        <v>SHBV Sagittarius</v>
      </c>
      <c r="B25" t="str">
        <f>IF(General2022[[#This Row],[sector]]= "",VLOOKUP(Data2022[[#This Row],[organisation_name]],'Response Rate sheet'!A:D,3,FALSE),General2022[[#This Row],[sector]])</f>
        <v>Sports</v>
      </c>
      <c r="C25" t="str">
        <f>General2022[[#This Row],[organisation_type]]</f>
        <v>association</v>
      </c>
      <c r="D25">
        <f>IF(ISBLANK(General2022[[#This Row],[number_of_members]]),"N/A",VLOOKUP(A25,General2022[[organisation_name]:[number_of_international_committee_board_members_not_eea]],6,FALSE))</f>
        <v>51</v>
      </c>
      <c r="E25">
        <f>IF(ISBLANK(General2022[[#This Row],[number_of_committee_board_members]]),"N/A",VLOOKUP(A25,General2022!B:M,10,FALSE))</f>
        <v>25</v>
      </c>
      <c r="F25">
        <f>IFERROR(Data2022[[#This Row],[Number of members]]-Data2022[[#This Row],[Number of active members]], "N/A")</f>
        <v>26</v>
      </c>
      <c r="G25">
        <f>IFERROR(Data2022[[#This Row],[Number of active members]]/Data2022[[#This Row],[Number of members]], "N/A")</f>
        <v>0.49019607843137253</v>
      </c>
      <c r="H25">
        <f>IFERROR(1-Data2022[[#This Row],[Percentage active members]],"N/A")</f>
        <v>0.50980392156862742</v>
      </c>
      <c r="I25" t="str">
        <f>IF(Data2022[[#This Row],[Number of members]]=0,"N/A",IF(Data2022[[#This Row],[Number of members]]&lt;50," A. 1 - 50 ",IF(Data2022[[#This Row],[Number of members]]&lt;100, "B. 50 - 100", IF(Data2022[[#This Row],[Number of members]]&lt;400, "C. 100 - 400", IF(Data2022[[#This Row],[Number of members]]&lt;1000,"D. 400 - 1000", "E. 1000 +")))))</f>
        <v>B. 50 - 100</v>
      </c>
      <c r="J25">
        <f>IF(ISBLANK(General2022[[#This Row],[number_of_international_members_not_eea]]),"N/A",VLOOKUP(A25,General2022[[organisation_name]:[number_of_international_committee_board_members_not_eea]],9,FALSE))</f>
        <v>16</v>
      </c>
      <c r="K25">
        <f>IF(ISBLANK(General2022[[#This Row],[number_of_international_members_eea]]),"N/A",VLOOKUP(A25,General2022[[organisation_name]:[number_of_international_committee_board_members_not_eea]],8,FALSE))</f>
        <v>16</v>
      </c>
      <c r="L25">
        <f>IFERROR(IF(Data2022[[#This Row],[Number of members]]-Data2022[[#This Row],[Non-EEA Total]]-Data2022[[#This Row],[EEA total]]&lt;1,"N/A", Data2022[[#This Row],[Number of members]]-Data2022[[#This Row],[Non-EEA Total]]-Data2022[[#This Row],[EEA total]]),"N/A")</f>
        <v>19</v>
      </c>
      <c r="M25">
        <f>VLOOKUP(A25,General2022[[organisation_name]:[number_of_international_committee_board_members_not_eea]],12,FALSE)</f>
        <v>1</v>
      </c>
      <c r="N25">
        <f>VLOOKUP(A25,General2022[[organisation_name]:[number_of_international_committee_board_members_not_eea]],11,FALSE)</f>
        <v>0</v>
      </c>
      <c r="O25">
        <f>IFERROR(IF(Data2022[[#This Row],[Number of active members]]-Data2022[[#This Row],[Non-EEA Active ]]-Data2022[[#This Row],[EEA Active]]&lt;1,"N/A", Data2022[[#This Row],[Number of active members]]-Data2022[[#This Row],[Non-EEA Active ]]-Data2022[[#This Row],[EEA Active]]),"N/A")</f>
        <v>24</v>
      </c>
      <c r="P25">
        <f>IFERROR(Data2022[[#This Row],[Non-EEA Active ]]/Data2022[[#This Row],[Number of active members]],"N/A")</f>
        <v>0.04</v>
      </c>
      <c r="Q25">
        <f>IFERROR(Data2022[[#This Row],[EEA Active]]/Data2022[[#This Row],[EEA total]], "N/A")</f>
        <v>0</v>
      </c>
      <c r="R25">
        <f>IFERROR(Data2022[[#This Row],[Dutch Active]]/Data2022[[#This Row],[Dutch total]],"N/A")</f>
        <v>1.263157894736842</v>
      </c>
      <c r="S25" t="str">
        <f>IFERROR(IF(Data2022[[#This Row],[Number of members]]=Data2022[[#This Row],[Non-EEA Total]]+Data2022[[#This Row],[EEA total]]+Data2022[[#This Row],[Dutch total]],"T","F"),"F")</f>
        <v>T</v>
      </c>
      <c r="T25" t="str">
        <f>IFERROR(IF(Data2022[[#This Row],[Number of active members]]=Data2022[[#This Row],[Non-EEA Active ]]+Data2022[[#This Row],[EEA Active]]+Data2022[[#This Row],[Dutch Active]],"T","F"),"F")</f>
        <v>T</v>
      </c>
      <c r="U25" t="str">
        <f>IFERROR(IF(Data2022[[#This Row],[Number of members]]-Data2022[[#This Row],[Non-EEA Active ]]-Data2022[[#This Row],[EEA Active]]-Data2022[[#This Row],[Dutch Active]]=Data2022[[#This Row],[Number of  inactive members]],"T","F"),"F")</f>
        <v>T</v>
      </c>
      <c r="V25" t="str">
        <f>IF(Data2022[[#This Row],[EEA Active]]&lt;=Data2022[[#This Row],[EEA total]],"T","F")</f>
        <v>T</v>
      </c>
      <c r="W25" t="str">
        <f>IF(Data2022[[#This Row],[Dutch Active]]&lt;=Data2022[[#This Row],[Dutch total]],"T","F")</f>
        <v>F</v>
      </c>
      <c r="X25" t="str">
        <f>IF(Data2022[[#This Row],[Non-EEA Active ]]&lt;=Data2022[[#This Row],[Non-EEA Total]],"T","F")</f>
        <v>T</v>
      </c>
      <c r="Y2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5">
        <f>IFERROR(VLOOKUP(Data2022[[#This Row],[organisation_name]],'Division Study Year Committees'!$A$1:$L$108,2,FALSE),"N/A")</f>
        <v>0</v>
      </c>
      <c r="AA25">
        <f>IFERROR(VLOOKUP(Data2022[[#This Row],[organisation_name]],'Division Study Year Committees'!$A$1:$L$108,3,FALSE),"N/A")</f>
        <v>0</v>
      </c>
      <c r="AB25">
        <f>IFERROR(VLOOKUP(Data2022[[#This Row],[organisation_name]],'Division Study Year Committees'!$A$1:$L$108,4,FALSE),"N/A")</f>
        <v>0</v>
      </c>
      <c r="AC25">
        <f>IFERROR(VLOOKUP(Data2022[[#This Row],[organisation_name]],'Division Study Year Committees'!$A$1:$L$108,5,FALSE), "N/A")</f>
        <v>0</v>
      </c>
      <c r="AD25">
        <f>IFERROR(VLOOKUP(Data2022[[#This Row],[organisation_name]],'Division Study Year Committees'!$A$1:$L$108,6,FALSE), "N/A")</f>
        <v>0</v>
      </c>
      <c r="AE25">
        <f>SUM(Data2022[[#This Row],[Number of first year comittee members]:[Number of 4+ year comittee members]])</f>
        <v>0</v>
      </c>
      <c r="AF25">
        <f>COUNTIF('Committee2022'!D:D,Data2022[[#This Row],[organisation_name]])</f>
        <v>8</v>
      </c>
      <c r="AG25">
        <v>2022</v>
      </c>
    </row>
    <row r="26" spans="1:33" x14ac:dyDescent="0.3">
      <c r="A26" t="str">
        <f>General2022[[#This Row],[organisation_name]]</f>
        <v>ADSKV Slagvaardig</v>
      </c>
      <c r="B26" t="str">
        <f>IF(General2022[[#This Row],[sector]]= "",VLOOKUP(Data2022[[#This Row],[organisation_name]],'Response Rate sheet'!A:D,3,FALSE),General2022[[#This Row],[sector]])</f>
        <v>Sports</v>
      </c>
      <c r="C26" t="str">
        <f>General2022[[#This Row],[organisation_type]]</f>
        <v>association</v>
      </c>
      <c r="D26" t="str">
        <f>IF(ISBLANK(General2022[[#This Row],[number_of_members]]),"N/A",VLOOKUP(A26,General2022[[organisation_name]:[number_of_international_committee_board_members_not_eea]],6,FALSE))</f>
        <v>N/A</v>
      </c>
      <c r="E26" t="str">
        <f>IF(ISBLANK(General2022[[#This Row],[number_of_committee_board_members]]),"N/A",VLOOKUP(A26,General2022!B:M,10,FALSE))</f>
        <v>N/A</v>
      </c>
      <c r="F26" t="str">
        <f>IFERROR(Data2022[[#This Row],[Number of members]]-Data2022[[#This Row],[Number of active members]], "N/A")</f>
        <v>N/A</v>
      </c>
      <c r="G26" t="str">
        <f>IFERROR(Data2022[[#This Row],[Number of active members]]/Data2022[[#This Row],[Number of members]], "N/A")</f>
        <v>N/A</v>
      </c>
      <c r="H26" t="str">
        <f>IFERROR(1-Data2022[[#This Row],[Percentage active members]],"N/A")</f>
        <v>N/A</v>
      </c>
      <c r="I26" t="str">
        <f>IF(Data2022[[#This Row],[Number of members]]=0,"N/A",IF(Data2022[[#This Row],[Number of members]]&lt;50," A. 1 - 50 ",IF(Data2022[[#This Row],[Number of members]]&lt;100, "B. 50 - 100", IF(Data2022[[#This Row],[Number of members]]&lt;400, "C. 100 - 400", IF(Data2022[[#This Row],[Number of members]]&lt;1000,"D. 400 - 1000", "E. 1000 +")))))</f>
        <v>E. 1000 +</v>
      </c>
      <c r="J26" t="str">
        <f>IF(ISBLANK(General2022[[#This Row],[number_of_international_members_not_eea]]),"N/A",VLOOKUP(A26,General2022[[organisation_name]:[number_of_international_committee_board_members_not_eea]],9,FALSE))</f>
        <v>N/A</v>
      </c>
      <c r="K26" t="str">
        <f>IF(ISBLANK(General2022[[#This Row],[number_of_international_members_eea]]),"N/A",VLOOKUP(A26,General2022[[organisation_name]:[number_of_international_committee_board_members_not_eea]],8,FALSE))</f>
        <v>N/A</v>
      </c>
      <c r="L26" t="str">
        <f>IFERROR(IF(Data2022[[#This Row],[Number of members]]-Data2022[[#This Row],[Non-EEA Total]]-Data2022[[#This Row],[EEA total]]&lt;1,"N/A", Data2022[[#This Row],[Number of members]]-Data2022[[#This Row],[Non-EEA Total]]-Data2022[[#This Row],[EEA total]]),"N/A")</f>
        <v>N/A</v>
      </c>
      <c r="M26">
        <f>VLOOKUP(A26,General2022[[organisation_name]:[number_of_international_committee_board_members_not_eea]],12,FALSE)</f>
        <v>0</v>
      </c>
      <c r="N26">
        <f>VLOOKUP(A26,General2022[[organisation_name]:[number_of_international_committee_board_members_not_eea]],11,FALSE)</f>
        <v>0</v>
      </c>
      <c r="O26" t="str">
        <f>IFERROR(IF(Data2022[[#This Row],[Number of active members]]-Data2022[[#This Row],[Non-EEA Active ]]-Data2022[[#This Row],[EEA Active]]&lt;1,"N/A", Data2022[[#This Row],[Number of active members]]-Data2022[[#This Row],[Non-EEA Active ]]-Data2022[[#This Row],[EEA Active]]),"N/A")</f>
        <v>N/A</v>
      </c>
      <c r="P26" t="str">
        <f>IFERROR(Data2022[[#This Row],[Non-EEA Active ]]/Data2022[[#This Row],[Number of active members]],"N/A")</f>
        <v>N/A</v>
      </c>
      <c r="Q26" t="str">
        <f>IFERROR(Data2022[[#This Row],[EEA Active]]/Data2022[[#This Row],[EEA total]], "N/A")</f>
        <v>N/A</v>
      </c>
      <c r="R26" t="str">
        <f>IFERROR(Data2022[[#This Row],[Dutch Active]]/Data2022[[#This Row],[Dutch total]],"N/A")</f>
        <v>N/A</v>
      </c>
      <c r="S26" t="str">
        <f>IFERROR(IF(Data2022[[#This Row],[Number of members]]=Data2022[[#This Row],[Non-EEA Total]]+Data2022[[#This Row],[EEA total]]+Data2022[[#This Row],[Dutch total]],"T","F"),"F")</f>
        <v>F</v>
      </c>
      <c r="T26" t="str">
        <f>IFERROR(IF(Data2022[[#This Row],[Number of active members]]=Data2022[[#This Row],[Non-EEA Active ]]+Data2022[[#This Row],[EEA Active]]+Data2022[[#This Row],[Dutch Active]],"T","F"),"F")</f>
        <v>F</v>
      </c>
      <c r="U26" t="str">
        <f>IFERROR(IF(Data2022[[#This Row],[Number of members]]-Data2022[[#This Row],[Non-EEA Active ]]-Data2022[[#This Row],[EEA Active]]-Data2022[[#This Row],[Dutch Active]]=Data2022[[#This Row],[Number of  inactive members]],"T","F"),"F")</f>
        <v>F</v>
      </c>
      <c r="V26" t="str">
        <f>IF(Data2022[[#This Row],[EEA Active]]&lt;=Data2022[[#This Row],[EEA total]],"T","F")</f>
        <v>T</v>
      </c>
      <c r="W26" t="str">
        <f>IF(Data2022[[#This Row],[Dutch Active]]&lt;=Data2022[[#This Row],[Dutch total]],"T","F")</f>
        <v>T</v>
      </c>
      <c r="X26" t="str">
        <f>IF(Data2022[[#This Row],[Non-EEA Active ]]&lt;=Data2022[[#This Row],[Non-EEA Total]],"T","F")</f>
        <v>T</v>
      </c>
      <c r="Y2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26" t="str">
        <f>IFERROR(VLOOKUP(Data2022[[#This Row],[organisation_name]],'Division Study Year Committees'!$A$1:$L$108,2,FALSE),"N/A")</f>
        <v>N/A</v>
      </c>
      <c r="AA26" t="str">
        <f>IFERROR(VLOOKUP(Data2022[[#This Row],[organisation_name]],'Division Study Year Committees'!$A$1:$L$108,3,FALSE),"N/A")</f>
        <v>N/A</v>
      </c>
      <c r="AB26" t="str">
        <f>IFERROR(VLOOKUP(Data2022[[#This Row],[organisation_name]],'Division Study Year Committees'!$A$1:$L$108,4,FALSE),"N/A")</f>
        <v>N/A</v>
      </c>
      <c r="AC26" t="str">
        <f>IFERROR(VLOOKUP(Data2022[[#This Row],[organisation_name]],'Division Study Year Committees'!$A$1:$L$108,5,FALSE), "N/A")</f>
        <v>N/A</v>
      </c>
      <c r="AD26" t="str">
        <f>IFERROR(VLOOKUP(Data2022[[#This Row],[organisation_name]],'Division Study Year Committees'!$A$1:$L$108,6,FALSE), "N/A")</f>
        <v>N/A</v>
      </c>
      <c r="AE26">
        <f>SUM(Data2022[[#This Row],[Number of first year comittee members]:[Number of 4+ year comittee members]])</f>
        <v>0</v>
      </c>
      <c r="AF26">
        <f>COUNTIF('Committee2022'!D:D,Data2022[[#This Row],[organisation_name]])</f>
        <v>0</v>
      </c>
      <c r="AG26">
        <v>2022</v>
      </c>
    </row>
    <row r="27" spans="1:33" x14ac:dyDescent="0.3">
      <c r="A27" t="str">
        <f>General2022[[#This Row],[organisation_name]]</f>
        <v>SYHV The Slapping Studs</v>
      </c>
      <c r="B27" t="str">
        <f>IF(General2022[[#This Row],[sector]]= "",VLOOKUP(Data2022[[#This Row],[organisation_name]],'Response Rate sheet'!A:D,3,FALSE),General2022[[#This Row],[sector]])</f>
        <v>Sports</v>
      </c>
      <c r="C27" t="str">
        <f>General2022[[#This Row],[organisation_type]]</f>
        <v>association</v>
      </c>
      <c r="D27">
        <f>IF(ISBLANK(General2022[[#This Row],[number_of_members]]),"N/A",VLOOKUP(A27,General2022[[organisation_name]:[number_of_international_committee_board_members_not_eea]],6,FALSE))</f>
        <v>55</v>
      </c>
      <c r="E27">
        <f>IF(ISBLANK(General2022[[#This Row],[number_of_committee_board_members]]),"N/A",VLOOKUP(A27,General2022!B:M,10,FALSE))</f>
        <v>5</v>
      </c>
      <c r="F27">
        <f>IFERROR(Data2022[[#This Row],[Number of members]]-Data2022[[#This Row],[Number of active members]], "N/A")</f>
        <v>50</v>
      </c>
      <c r="G27">
        <f>IFERROR(Data2022[[#This Row],[Number of active members]]/Data2022[[#This Row],[Number of members]], "N/A")</f>
        <v>9.0909090909090912E-2</v>
      </c>
      <c r="H27">
        <f>IFERROR(1-Data2022[[#This Row],[Percentage active members]],"N/A")</f>
        <v>0.90909090909090906</v>
      </c>
      <c r="I27" t="str">
        <f>IF(Data2022[[#This Row],[Number of members]]=0,"N/A",IF(Data2022[[#This Row],[Number of members]]&lt;50," A. 1 - 50 ",IF(Data2022[[#This Row],[Number of members]]&lt;100, "B. 50 - 100", IF(Data2022[[#This Row],[Number of members]]&lt;400, "C. 100 - 400", IF(Data2022[[#This Row],[Number of members]]&lt;1000,"D. 400 - 1000", "E. 1000 +")))))</f>
        <v>B. 50 - 100</v>
      </c>
      <c r="J27">
        <f>IF(ISBLANK(General2022[[#This Row],[number_of_international_members_not_eea]]),"N/A",VLOOKUP(A27,General2022[[organisation_name]:[number_of_international_committee_board_members_not_eea]],9,FALSE))</f>
        <v>10</v>
      </c>
      <c r="K27">
        <f>IF(ISBLANK(General2022[[#This Row],[number_of_international_members_eea]]),"N/A",VLOOKUP(A27,General2022[[organisation_name]:[number_of_international_committee_board_members_not_eea]],8,FALSE))</f>
        <v>5</v>
      </c>
      <c r="L27">
        <f>IFERROR(IF(Data2022[[#This Row],[Number of members]]-Data2022[[#This Row],[Non-EEA Total]]-Data2022[[#This Row],[EEA total]]&lt;1,"N/A", Data2022[[#This Row],[Number of members]]-Data2022[[#This Row],[Non-EEA Total]]-Data2022[[#This Row],[EEA total]]),"N/A")</f>
        <v>40</v>
      </c>
      <c r="M27">
        <f>VLOOKUP(A27,General2022[[organisation_name]:[number_of_international_committee_board_members_not_eea]],12,FALSE)</f>
        <v>2</v>
      </c>
      <c r="N27">
        <f>VLOOKUP(A27,General2022[[organisation_name]:[number_of_international_committee_board_members_not_eea]],11,FALSE)</f>
        <v>2</v>
      </c>
      <c r="O27">
        <f>IFERROR(IF(Data2022[[#This Row],[Number of active members]]-Data2022[[#This Row],[Non-EEA Active ]]-Data2022[[#This Row],[EEA Active]]&lt;1,"N/A", Data2022[[#This Row],[Number of active members]]-Data2022[[#This Row],[Non-EEA Active ]]-Data2022[[#This Row],[EEA Active]]),"N/A")</f>
        <v>1</v>
      </c>
      <c r="P27">
        <f>IFERROR(Data2022[[#This Row],[Non-EEA Active ]]/Data2022[[#This Row],[Number of active members]],"N/A")</f>
        <v>0.4</v>
      </c>
      <c r="Q27">
        <f>IFERROR(Data2022[[#This Row],[EEA Active]]/Data2022[[#This Row],[EEA total]], "N/A")</f>
        <v>0.4</v>
      </c>
      <c r="R27">
        <f>IFERROR(Data2022[[#This Row],[Dutch Active]]/Data2022[[#This Row],[Dutch total]],"N/A")</f>
        <v>2.5000000000000001E-2</v>
      </c>
      <c r="S27" t="str">
        <f>IFERROR(IF(Data2022[[#This Row],[Number of members]]=Data2022[[#This Row],[Non-EEA Total]]+Data2022[[#This Row],[EEA total]]+Data2022[[#This Row],[Dutch total]],"T","F"),"F")</f>
        <v>T</v>
      </c>
      <c r="T27" t="str">
        <f>IFERROR(IF(Data2022[[#This Row],[Number of active members]]=Data2022[[#This Row],[Non-EEA Active ]]+Data2022[[#This Row],[EEA Active]]+Data2022[[#This Row],[Dutch Active]],"T","F"),"F")</f>
        <v>T</v>
      </c>
      <c r="U27" t="str">
        <f>IFERROR(IF(Data2022[[#This Row],[Number of members]]-Data2022[[#This Row],[Non-EEA Active ]]-Data2022[[#This Row],[EEA Active]]-Data2022[[#This Row],[Dutch Active]]=Data2022[[#This Row],[Number of  inactive members]],"T","F"),"F")</f>
        <v>T</v>
      </c>
      <c r="V27" t="str">
        <f>IF(Data2022[[#This Row],[EEA Active]]&lt;=Data2022[[#This Row],[EEA total]],"T","F")</f>
        <v>T</v>
      </c>
      <c r="W27" t="str">
        <f>IF(Data2022[[#This Row],[Dutch Active]]&lt;=Data2022[[#This Row],[Dutch total]],"T","F")</f>
        <v>T</v>
      </c>
      <c r="X27" t="str">
        <f>IF(Data2022[[#This Row],[Non-EEA Active ]]&lt;=Data2022[[#This Row],[Non-EEA Total]],"T","F")</f>
        <v>T</v>
      </c>
      <c r="Y27"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27" t="str">
        <f>IFERROR(VLOOKUP(Data2022[[#This Row],[organisation_name]],'Division Study Year Committees'!$A$1:$L$108,2,FALSE),"N/A")</f>
        <v>N/A</v>
      </c>
      <c r="AA27" t="str">
        <f>IFERROR(VLOOKUP(Data2022[[#This Row],[organisation_name]],'Division Study Year Committees'!$A$1:$L$108,3,FALSE),"N/A")</f>
        <v>N/A</v>
      </c>
      <c r="AB27" t="str">
        <f>IFERROR(VLOOKUP(Data2022[[#This Row],[organisation_name]],'Division Study Year Committees'!$A$1:$L$108,4,FALSE),"N/A")</f>
        <v>N/A</v>
      </c>
      <c r="AC27" t="str">
        <f>IFERROR(VLOOKUP(Data2022[[#This Row],[organisation_name]],'Division Study Year Committees'!$A$1:$L$108,5,FALSE), "N/A")</f>
        <v>N/A</v>
      </c>
      <c r="AD27" t="str">
        <f>IFERROR(VLOOKUP(Data2022[[#This Row],[organisation_name]],'Division Study Year Committees'!$A$1:$L$108,6,FALSE), "N/A")</f>
        <v>N/A</v>
      </c>
      <c r="AE27">
        <f>SUM(Data2022[[#This Row],[Number of first year comittee members]:[Number of 4+ year comittee members]])</f>
        <v>0</v>
      </c>
      <c r="AF27">
        <f>COUNTIF('Committee2022'!D:D,Data2022[[#This Row],[organisation_name]])</f>
        <v>6</v>
      </c>
      <c r="AG27">
        <v>2022</v>
      </c>
    </row>
    <row r="28" spans="1:33" x14ac:dyDescent="0.3">
      <c r="A28" t="str">
        <f>General2022[[#This Row],[organisation_name]]</f>
        <v>TC Ludica</v>
      </c>
      <c r="B28" t="str">
        <f>IF(General2022[[#This Row],[sector]]= "",VLOOKUP(Data2022[[#This Row],[organisation_name]],'Response Rate sheet'!A:D,3,FALSE),General2022[[#This Row],[sector]])</f>
        <v>Sports</v>
      </c>
      <c r="C28" t="str">
        <f>General2022[[#This Row],[organisation_type]]</f>
        <v>association</v>
      </c>
      <c r="D28">
        <f>IF(ISBLANK(General2022[[#This Row],[number_of_members]]),"N/A",VLOOKUP(A28,General2022[[organisation_name]:[number_of_international_committee_board_members_not_eea]],6,FALSE))</f>
        <v>610</v>
      </c>
      <c r="E28">
        <f>IF(ISBLANK(General2022[[#This Row],[number_of_committee_board_members]]),"N/A",VLOOKUP(A28,General2022!B:M,10,FALSE))</f>
        <v>250</v>
      </c>
      <c r="F28">
        <f>IFERROR(Data2022[[#This Row],[Number of members]]-Data2022[[#This Row],[Number of active members]], "N/A")</f>
        <v>360</v>
      </c>
      <c r="G28">
        <f>IFERROR(Data2022[[#This Row],[Number of active members]]/Data2022[[#This Row],[Number of members]], "N/A")</f>
        <v>0.4098360655737705</v>
      </c>
      <c r="H28">
        <f>IFERROR(1-Data2022[[#This Row],[Percentage active members]],"N/A")</f>
        <v>0.5901639344262295</v>
      </c>
      <c r="I28" t="str">
        <f>IF(Data2022[[#This Row],[Number of members]]=0,"N/A",IF(Data2022[[#This Row],[Number of members]]&lt;50," A. 1 - 50 ",IF(Data2022[[#This Row],[Number of members]]&lt;100, "B. 50 - 100", IF(Data2022[[#This Row],[Number of members]]&lt;400, "C. 100 - 400", IF(Data2022[[#This Row],[Number of members]]&lt;1000,"D. 400 - 1000", "E. 1000 +")))))</f>
        <v>D. 400 - 1000</v>
      </c>
      <c r="J28">
        <f>IF(ISBLANK(General2022[[#This Row],[number_of_international_members_not_eea]]),"N/A",VLOOKUP(A28,General2022[[organisation_name]:[number_of_international_committee_board_members_not_eea]],9,FALSE))</f>
        <v>120</v>
      </c>
      <c r="K28">
        <f>IF(ISBLANK(General2022[[#This Row],[number_of_international_members_eea]]),"N/A",VLOOKUP(A28,General2022[[organisation_name]:[number_of_international_committee_board_members_not_eea]],8,FALSE))</f>
        <v>30</v>
      </c>
      <c r="L28">
        <f>IFERROR(IF(Data2022[[#This Row],[Number of members]]-Data2022[[#This Row],[Non-EEA Total]]-Data2022[[#This Row],[EEA total]]&lt;1,"N/A", Data2022[[#This Row],[Number of members]]-Data2022[[#This Row],[Non-EEA Total]]-Data2022[[#This Row],[EEA total]]),"N/A")</f>
        <v>460</v>
      </c>
      <c r="M28">
        <f>VLOOKUP(A28,General2022[[organisation_name]:[number_of_international_committee_board_members_not_eea]],12,FALSE)</f>
        <v>3</v>
      </c>
      <c r="N28">
        <f>VLOOKUP(A28,General2022[[organisation_name]:[number_of_international_committee_board_members_not_eea]],11,FALSE)</f>
        <v>10</v>
      </c>
      <c r="O28">
        <f>IFERROR(IF(Data2022[[#This Row],[Number of active members]]-Data2022[[#This Row],[Non-EEA Active ]]-Data2022[[#This Row],[EEA Active]]&lt;1,"N/A", Data2022[[#This Row],[Number of active members]]-Data2022[[#This Row],[Non-EEA Active ]]-Data2022[[#This Row],[EEA Active]]),"N/A")</f>
        <v>237</v>
      </c>
      <c r="P28">
        <f>IFERROR(Data2022[[#This Row],[Non-EEA Active ]]/Data2022[[#This Row],[Number of active members]],"N/A")</f>
        <v>1.2E-2</v>
      </c>
      <c r="Q28">
        <f>IFERROR(Data2022[[#This Row],[EEA Active]]/Data2022[[#This Row],[EEA total]], "N/A")</f>
        <v>0.33333333333333331</v>
      </c>
      <c r="R28">
        <f>IFERROR(Data2022[[#This Row],[Dutch Active]]/Data2022[[#This Row],[Dutch total]],"N/A")</f>
        <v>0.51521739130434785</v>
      </c>
      <c r="S28" t="str">
        <f>IFERROR(IF(Data2022[[#This Row],[Number of members]]=Data2022[[#This Row],[Non-EEA Total]]+Data2022[[#This Row],[EEA total]]+Data2022[[#This Row],[Dutch total]],"T","F"),"F")</f>
        <v>T</v>
      </c>
      <c r="T28" t="str">
        <f>IFERROR(IF(Data2022[[#This Row],[Number of active members]]=Data2022[[#This Row],[Non-EEA Active ]]+Data2022[[#This Row],[EEA Active]]+Data2022[[#This Row],[Dutch Active]],"T","F"),"F")</f>
        <v>T</v>
      </c>
      <c r="U28" t="str">
        <f>IFERROR(IF(Data2022[[#This Row],[Number of members]]-Data2022[[#This Row],[Non-EEA Active ]]-Data2022[[#This Row],[EEA Active]]-Data2022[[#This Row],[Dutch Active]]=Data2022[[#This Row],[Number of  inactive members]],"T","F"),"F")</f>
        <v>T</v>
      </c>
      <c r="V28" t="str">
        <f>IF(Data2022[[#This Row],[EEA Active]]&lt;=Data2022[[#This Row],[EEA total]],"T","F")</f>
        <v>T</v>
      </c>
      <c r="W28" t="str">
        <f>IF(Data2022[[#This Row],[Dutch Active]]&lt;=Data2022[[#This Row],[Dutch total]],"T","F")</f>
        <v>T</v>
      </c>
      <c r="X28" t="str">
        <f>IF(Data2022[[#This Row],[Non-EEA Active ]]&lt;=Data2022[[#This Row],[Non-EEA Total]],"T","F")</f>
        <v>T</v>
      </c>
      <c r="Y28"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28" t="str">
        <f>IFERROR(VLOOKUP(Data2022[[#This Row],[organisation_name]],'Division Study Year Committees'!$A$1:$L$108,2,FALSE),"N/A")</f>
        <v>N/A</v>
      </c>
      <c r="AA28" t="str">
        <f>IFERROR(VLOOKUP(Data2022[[#This Row],[organisation_name]],'Division Study Year Committees'!$A$1:$L$108,3,FALSE),"N/A")</f>
        <v>N/A</v>
      </c>
      <c r="AB28" t="str">
        <f>IFERROR(VLOOKUP(Data2022[[#This Row],[organisation_name]],'Division Study Year Committees'!$A$1:$L$108,4,FALSE),"N/A")</f>
        <v>N/A</v>
      </c>
      <c r="AC28" t="str">
        <f>IFERROR(VLOOKUP(Data2022[[#This Row],[organisation_name]],'Division Study Year Committees'!$A$1:$L$108,5,FALSE), "N/A")</f>
        <v>N/A</v>
      </c>
      <c r="AD28" t="str">
        <f>IFERROR(VLOOKUP(Data2022[[#This Row],[organisation_name]],'Division Study Year Committees'!$A$1:$L$108,6,FALSE), "N/A")</f>
        <v>N/A</v>
      </c>
      <c r="AE28">
        <f>SUM(Data2022[[#This Row],[Number of first year comittee members]:[Number of 4+ year comittee members]])</f>
        <v>0</v>
      </c>
      <c r="AF28">
        <f>COUNTIF('Committee2022'!D:D,Data2022[[#This Row],[organisation_name]])</f>
        <v>22</v>
      </c>
      <c r="AG28">
        <v>2022</v>
      </c>
    </row>
    <row r="29" spans="1:33" x14ac:dyDescent="0.3">
      <c r="A29" t="str">
        <f>General2022[[#This Row],[organisation_name]]</f>
        <v>TSAC</v>
      </c>
      <c r="B29" t="str">
        <f>IF(General2022[[#This Row],[sector]]= "",VLOOKUP(Data2022[[#This Row],[organisation_name]],'Response Rate sheet'!A:D,3,FALSE),General2022[[#This Row],[sector]])</f>
        <v>Sports</v>
      </c>
      <c r="C29" t="str">
        <f>General2022[[#This Row],[organisation_type]]</f>
        <v>association</v>
      </c>
      <c r="D29">
        <f>IF(ISBLANK(General2022[[#This Row],[number_of_members]]),"N/A",VLOOKUP(A29,General2022[[organisation_name]:[number_of_international_committee_board_members_not_eea]],6,FALSE))</f>
        <v>175</v>
      </c>
      <c r="E29">
        <f>IF(ISBLANK(General2022[[#This Row],[number_of_committee_board_members]]),"N/A",VLOOKUP(A29,General2022!B:M,10,FALSE))</f>
        <v>11</v>
      </c>
      <c r="F29">
        <f>IFERROR(Data2022[[#This Row],[Number of members]]-Data2022[[#This Row],[Number of active members]], "N/A")</f>
        <v>164</v>
      </c>
      <c r="G29">
        <f>IFERROR(Data2022[[#This Row],[Number of active members]]/Data2022[[#This Row],[Number of members]], "N/A")</f>
        <v>6.2857142857142861E-2</v>
      </c>
      <c r="H29">
        <f>IFERROR(1-Data2022[[#This Row],[Percentage active members]],"N/A")</f>
        <v>0.93714285714285717</v>
      </c>
      <c r="I29" t="str">
        <f>IF(Data2022[[#This Row],[Number of members]]=0,"N/A",IF(Data2022[[#This Row],[Number of members]]&lt;50," A. 1 - 50 ",IF(Data2022[[#This Row],[Number of members]]&lt;100, "B. 50 - 100", IF(Data2022[[#This Row],[Number of members]]&lt;400, "C. 100 - 400", IF(Data2022[[#This Row],[Number of members]]&lt;1000,"D. 400 - 1000", "E. 1000 +")))))</f>
        <v>C. 100 - 400</v>
      </c>
      <c r="J29">
        <f>IF(ISBLANK(General2022[[#This Row],[number_of_international_members_not_eea]]),"N/A",VLOOKUP(A29,General2022[[organisation_name]:[number_of_international_committee_board_members_not_eea]],9,FALSE))</f>
        <v>40</v>
      </c>
      <c r="K29">
        <f>IF(ISBLANK(General2022[[#This Row],[number_of_international_members_eea]]),"N/A",VLOOKUP(A29,General2022[[organisation_name]:[number_of_international_committee_board_members_not_eea]],8,FALSE))</f>
        <v>0</v>
      </c>
      <c r="L29">
        <f>IFERROR(IF(Data2022[[#This Row],[Number of members]]-Data2022[[#This Row],[Non-EEA Total]]-Data2022[[#This Row],[EEA total]]&lt;1,"N/A", Data2022[[#This Row],[Number of members]]-Data2022[[#This Row],[Non-EEA Total]]-Data2022[[#This Row],[EEA total]]),"N/A")</f>
        <v>135</v>
      </c>
      <c r="M29">
        <f>VLOOKUP(A29,General2022[[organisation_name]:[number_of_international_committee_board_members_not_eea]],12,FALSE)</f>
        <v>0</v>
      </c>
      <c r="N29">
        <f>VLOOKUP(A29,General2022[[organisation_name]:[number_of_international_committee_board_members_not_eea]],11,FALSE)</f>
        <v>0</v>
      </c>
      <c r="O29">
        <f>IFERROR(IF(Data2022[[#This Row],[Number of active members]]-Data2022[[#This Row],[Non-EEA Active ]]-Data2022[[#This Row],[EEA Active]]&lt;1,"N/A", Data2022[[#This Row],[Number of active members]]-Data2022[[#This Row],[Non-EEA Active ]]-Data2022[[#This Row],[EEA Active]]),"N/A")</f>
        <v>11</v>
      </c>
      <c r="P29">
        <f>IFERROR(Data2022[[#This Row],[Non-EEA Active ]]/Data2022[[#This Row],[Number of active members]],"N/A")</f>
        <v>0</v>
      </c>
      <c r="Q29" t="str">
        <f>IFERROR(Data2022[[#This Row],[EEA Active]]/Data2022[[#This Row],[EEA total]], "N/A")</f>
        <v>N/A</v>
      </c>
      <c r="R29">
        <f>IFERROR(Data2022[[#This Row],[Dutch Active]]/Data2022[[#This Row],[Dutch total]],"N/A")</f>
        <v>8.1481481481481488E-2</v>
      </c>
      <c r="S29" t="str">
        <f>IFERROR(IF(Data2022[[#This Row],[Number of members]]=Data2022[[#This Row],[Non-EEA Total]]+Data2022[[#This Row],[EEA total]]+Data2022[[#This Row],[Dutch total]],"T","F"),"F")</f>
        <v>T</v>
      </c>
      <c r="T29" t="str">
        <f>IFERROR(IF(Data2022[[#This Row],[Number of active members]]=Data2022[[#This Row],[Non-EEA Active ]]+Data2022[[#This Row],[EEA Active]]+Data2022[[#This Row],[Dutch Active]],"T","F"),"F")</f>
        <v>T</v>
      </c>
      <c r="U29" t="str">
        <f>IFERROR(IF(Data2022[[#This Row],[Number of members]]-Data2022[[#This Row],[Non-EEA Active ]]-Data2022[[#This Row],[EEA Active]]-Data2022[[#This Row],[Dutch Active]]=Data2022[[#This Row],[Number of  inactive members]],"T","F"),"F")</f>
        <v>T</v>
      </c>
      <c r="V29" t="str">
        <f>IF(Data2022[[#This Row],[EEA Active]]&lt;=Data2022[[#This Row],[EEA total]],"T","F")</f>
        <v>T</v>
      </c>
      <c r="W29" t="str">
        <f>IF(Data2022[[#This Row],[Dutch Active]]&lt;=Data2022[[#This Row],[Dutch total]],"T","F")</f>
        <v>T</v>
      </c>
      <c r="X29" t="str">
        <f>IF(Data2022[[#This Row],[Non-EEA Active ]]&lt;=Data2022[[#This Row],[Non-EEA Total]],"T","F")</f>
        <v>T</v>
      </c>
      <c r="Y29"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29">
        <f>IFERROR(VLOOKUP(Data2022[[#This Row],[organisation_name]],'Division Study Year Committees'!$A$1:$L$108,2,FALSE),"N/A")</f>
        <v>7</v>
      </c>
      <c r="AA29">
        <f>IFERROR(VLOOKUP(Data2022[[#This Row],[organisation_name]],'Division Study Year Committees'!$A$1:$L$108,3,FALSE),"N/A")</f>
        <v>7</v>
      </c>
      <c r="AB29">
        <f>IFERROR(VLOOKUP(Data2022[[#This Row],[organisation_name]],'Division Study Year Committees'!$A$1:$L$108,4,FALSE),"N/A")</f>
        <v>19</v>
      </c>
      <c r="AC29">
        <f>IFERROR(VLOOKUP(Data2022[[#This Row],[organisation_name]],'Division Study Year Committees'!$A$1:$L$108,5,FALSE), "N/A")</f>
        <v>7</v>
      </c>
      <c r="AD29">
        <f>IFERROR(VLOOKUP(Data2022[[#This Row],[organisation_name]],'Division Study Year Committees'!$A$1:$L$108,6,FALSE), "N/A")</f>
        <v>24</v>
      </c>
      <c r="AE29">
        <f>SUM(Data2022[[#This Row],[Number of first year comittee members]:[Number of 4+ year comittee members]])</f>
        <v>64</v>
      </c>
      <c r="AF29">
        <f>COUNTIF('Committee2022'!D:D,Data2022[[#This Row],[organisation_name]])</f>
        <v>11</v>
      </c>
      <c r="AG29">
        <v>2022</v>
      </c>
    </row>
    <row r="30" spans="1:33" x14ac:dyDescent="0.3">
      <c r="A30" t="str">
        <f>General2022[[#This Row],[organisation_name]]</f>
        <v>VAS Arashi</v>
      </c>
      <c r="B30" t="str">
        <f>IF(General2022[[#This Row],[sector]]= "",VLOOKUP(Data2022[[#This Row],[organisation_name]],'Response Rate sheet'!A:D,3,FALSE),General2022[[#This Row],[sector]])</f>
        <v>Sports</v>
      </c>
      <c r="C30" t="str">
        <f>General2022[[#This Row],[organisation_type]]</f>
        <v>association</v>
      </c>
      <c r="D30">
        <f>IF(ISBLANK(General2022[[#This Row],[number_of_members]]),"N/A",VLOOKUP(A30,General2022[[organisation_name]:[number_of_international_committee_board_members_not_eea]],6,FALSE))</f>
        <v>122</v>
      </c>
      <c r="E30">
        <f>IF(ISBLANK(General2022[[#This Row],[number_of_committee_board_members]]),"N/A",VLOOKUP(A30,General2022!B:M,10,FALSE))</f>
        <v>20</v>
      </c>
      <c r="F30">
        <f>IFERROR(Data2022[[#This Row],[Number of members]]-Data2022[[#This Row],[Number of active members]], "N/A")</f>
        <v>102</v>
      </c>
      <c r="G30">
        <f>IFERROR(Data2022[[#This Row],[Number of active members]]/Data2022[[#This Row],[Number of members]], "N/A")</f>
        <v>0.16393442622950818</v>
      </c>
      <c r="H30">
        <f>IFERROR(1-Data2022[[#This Row],[Percentage active members]],"N/A")</f>
        <v>0.83606557377049184</v>
      </c>
      <c r="I30" t="str">
        <f>IF(Data2022[[#This Row],[Number of members]]=0,"N/A",IF(Data2022[[#This Row],[Number of members]]&lt;50," A. 1 - 50 ",IF(Data2022[[#This Row],[Number of members]]&lt;100, "B. 50 - 100", IF(Data2022[[#This Row],[Number of members]]&lt;400, "C. 100 - 400", IF(Data2022[[#This Row],[Number of members]]&lt;1000,"D. 400 - 1000", "E. 1000 +")))))</f>
        <v>C. 100 - 400</v>
      </c>
      <c r="J30">
        <f>IF(ISBLANK(General2022[[#This Row],[number_of_international_members_not_eea]]),"N/A",VLOOKUP(A30,General2022[[organisation_name]:[number_of_international_committee_board_members_not_eea]],9,FALSE))</f>
        <v>30</v>
      </c>
      <c r="K30">
        <f>IF(ISBLANK(General2022[[#This Row],[number_of_international_members_eea]]),"N/A",VLOOKUP(A30,General2022[[organisation_name]:[number_of_international_committee_board_members_not_eea]],8,FALSE))</f>
        <v>2</v>
      </c>
      <c r="L30">
        <f>IFERROR(IF(Data2022[[#This Row],[Number of members]]-Data2022[[#This Row],[Non-EEA Total]]-Data2022[[#This Row],[EEA total]]&lt;1,"N/A", Data2022[[#This Row],[Number of members]]-Data2022[[#This Row],[Non-EEA Total]]-Data2022[[#This Row],[EEA total]]),"N/A")</f>
        <v>90</v>
      </c>
      <c r="M30">
        <f>VLOOKUP(A30,General2022[[organisation_name]:[number_of_international_committee_board_members_not_eea]],12,FALSE)</f>
        <v>0</v>
      </c>
      <c r="N30">
        <f>VLOOKUP(A30,General2022[[organisation_name]:[number_of_international_committee_board_members_not_eea]],11,FALSE)</f>
        <v>10</v>
      </c>
      <c r="O30">
        <f>IFERROR(IF(Data2022[[#This Row],[Number of active members]]-Data2022[[#This Row],[Non-EEA Active ]]-Data2022[[#This Row],[EEA Active]]&lt;1,"N/A", Data2022[[#This Row],[Number of active members]]-Data2022[[#This Row],[Non-EEA Active ]]-Data2022[[#This Row],[EEA Active]]),"N/A")</f>
        <v>10</v>
      </c>
      <c r="P30">
        <f>IFERROR(Data2022[[#This Row],[Non-EEA Active ]]/Data2022[[#This Row],[Number of active members]],"N/A")</f>
        <v>0</v>
      </c>
      <c r="Q30">
        <f>IFERROR(Data2022[[#This Row],[EEA Active]]/Data2022[[#This Row],[EEA total]], "N/A")</f>
        <v>5</v>
      </c>
      <c r="R30">
        <f>IFERROR(Data2022[[#This Row],[Dutch Active]]/Data2022[[#This Row],[Dutch total]],"N/A")</f>
        <v>0.1111111111111111</v>
      </c>
      <c r="S30" t="str">
        <f>IFERROR(IF(Data2022[[#This Row],[Number of members]]=Data2022[[#This Row],[Non-EEA Total]]+Data2022[[#This Row],[EEA total]]+Data2022[[#This Row],[Dutch total]],"T","F"),"F")</f>
        <v>T</v>
      </c>
      <c r="T30" t="str">
        <f>IFERROR(IF(Data2022[[#This Row],[Number of active members]]=Data2022[[#This Row],[Non-EEA Active ]]+Data2022[[#This Row],[EEA Active]]+Data2022[[#This Row],[Dutch Active]],"T","F"),"F")</f>
        <v>T</v>
      </c>
      <c r="U30" t="str">
        <f>IFERROR(IF(Data2022[[#This Row],[Number of members]]-Data2022[[#This Row],[Non-EEA Active ]]-Data2022[[#This Row],[EEA Active]]-Data2022[[#This Row],[Dutch Active]]=Data2022[[#This Row],[Number of  inactive members]],"T","F"),"F")</f>
        <v>T</v>
      </c>
      <c r="V30" t="str">
        <f>IF(Data2022[[#This Row],[EEA Active]]&lt;=Data2022[[#This Row],[EEA total]],"T","F")</f>
        <v>F</v>
      </c>
      <c r="W30" t="str">
        <f>IF(Data2022[[#This Row],[Dutch Active]]&lt;=Data2022[[#This Row],[Dutch total]],"T","F")</f>
        <v>T</v>
      </c>
      <c r="X30" t="str">
        <f>IF(Data2022[[#This Row],[Non-EEA Active ]]&lt;=Data2022[[#This Row],[Non-EEA Total]],"T","F")</f>
        <v>T</v>
      </c>
      <c r="Y3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0">
        <f>IFERROR(VLOOKUP(Data2022[[#This Row],[organisation_name]],'Division Study Year Committees'!$A$1:$L$108,2,FALSE),"N/A")</f>
        <v>3</v>
      </c>
      <c r="AA30">
        <f>IFERROR(VLOOKUP(Data2022[[#This Row],[organisation_name]],'Division Study Year Committees'!$A$1:$L$108,3,FALSE),"N/A")</f>
        <v>2</v>
      </c>
      <c r="AB30">
        <f>IFERROR(VLOOKUP(Data2022[[#This Row],[organisation_name]],'Division Study Year Committees'!$A$1:$L$108,4,FALSE),"N/A")</f>
        <v>1</v>
      </c>
      <c r="AC30">
        <f>IFERROR(VLOOKUP(Data2022[[#This Row],[organisation_name]],'Division Study Year Committees'!$A$1:$L$108,5,FALSE), "N/A")</f>
        <v>3</v>
      </c>
      <c r="AD30">
        <f>IFERROR(VLOOKUP(Data2022[[#This Row],[organisation_name]],'Division Study Year Committees'!$A$1:$L$108,6,FALSE), "N/A")</f>
        <v>10</v>
      </c>
      <c r="AE30">
        <f>SUM(Data2022[[#This Row],[Number of first year comittee members]:[Number of 4+ year comittee members]])</f>
        <v>19</v>
      </c>
      <c r="AF30">
        <f>COUNTIF('Committee2022'!D:D,Data2022[[#This Row],[organisation_name]])</f>
        <v>10</v>
      </c>
      <c r="AG30">
        <v>2022</v>
      </c>
    </row>
    <row r="31" spans="1:33" x14ac:dyDescent="0.3">
      <c r="A31" t="str">
        <f>General2022[[#This Row],[organisation_name]]</f>
        <v>VV Drienerlo</v>
      </c>
      <c r="B31" t="str">
        <f>IF(General2022[[#This Row],[sector]]= "",VLOOKUP(Data2022[[#This Row],[organisation_name]],'Response Rate sheet'!A:D,3,FALSE),General2022[[#This Row],[sector]])</f>
        <v>Sports</v>
      </c>
      <c r="C31" t="str">
        <f>General2022[[#This Row],[organisation_type]]</f>
        <v>association</v>
      </c>
      <c r="D31">
        <f>IF(ISBLANK(General2022[[#This Row],[number_of_members]]),"N/A",VLOOKUP(A31,General2022[[organisation_name]:[number_of_international_committee_board_members_not_eea]],6,FALSE))</f>
        <v>380</v>
      </c>
      <c r="E31">
        <f>IF(ISBLANK(General2022[[#This Row],[number_of_committee_board_members]]),"N/A",VLOOKUP(A31,General2022!B:M,10,FALSE))</f>
        <v>100</v>
      </c>
      <c r="F31">
        <f>IFERROR(Data2022[[#This Row],[Number of members]]-Data2022[[#This Row],[Number of active members]], "N/A")</f>
        <v>280</v>
      </c>
      <c r="G31">
        <f>IFERROR(Data2022[[#This Row],[Number of active members]]/Data2022[[#This Row],[Number of members]], "N/A")</f>
        <v>0.26315789473684209</v>
      </c>
      <c r="H31">
        <f>IFERROR(1-Data2022[[#This Row],[Percentage active members]],"N/A")</f>
        <v>0.73684210526315796</v>
      </c>
      <c r="I31" t="str">
        <f>IF(Data2022[[#This Row],[Number of members]]=0,"N/A",IF(Data2022[[#This Row],[Number of members]]&lt;50," A. 1 - 50 ",IF(Data2022[[#This Row],[Number of members]]&lt;100, "B. 50 - 100", IF(Data2022[[#This Row],[Number of members]]&lt;400, "C. 100 - 400", IF(Data2022[[#This Row],[Number of members]]&lt;1000,"D. 400 - 1000", "E. 1000 +")))))</f>
        <v>C. 100 - 400</v>
      </c>
      <c r="J31">
        <f>IF(ISBLANK(General2022[[#This Row],[number_of_international_members_not_eea]]),"N/A",VLOOKUP(A31,General2022[[organisation_name]:[number_of_international_committee_board_members_not_eea]],9,FALSE))</f>
        <v>50</v>
      </c>
      <c r="K31">
        <f>IF(ISBLANK(General2022[[#This Row],[number_of_international_members_eea]]),"N/A",VLOOKUP(A31,General2022[[organisation_name]:[number_of_international_committee_board_members_not_eea]],8,FALSE))</f>
        <v>30</v>
      </c>
      <c r="L31">
        <f>IFERROR(IF(Data2022[[#This Row],[Number of members]]-Data2022[[#This Row],[Non-EEA Total]]-Data2022[[#This Row],[EEA total]]&lt;1,"N/A", Data2022[[#This Row],[Number of members]]-Data2022[[#This Row],[Non-EEA Total]]-Data2022[[#This Row],[EEA total]]),"N/A")</f>
        <v>300</v>
      </c>
      <c r="M31">
        <f>VLOOKUP(A31,General2022[[organisation_name]:[number_of_international_committee_board_members_not_eea]],12,FALSE)</f>
        <v>0</v>
      </c>
      <c r="N31">
        <f>VLOOKUP(A31,General2022[[organisation_name]:[number_of_international_committee_board_members_not_eea]],11,FALSE)</f>
        <v>10</v>
      </c>
      <c r="O31">
        <f>IFERROR(IF(Data2022[[#This Row],[Number of active members]]-Data2022[[#This Row],[Non-EEA Active ]]-Data2022[[#This Row],[EEA Active]]&lt;1,"N/A", Data2022[[#This Row],[Number of active members]]-Data2022[[#This Row],[Non-EEA Active ]]-Data2022[[#This Row],[EEA Active]]),"N/A")</f>
        <v>90</v>
      </c>
      <c r="P31">
        <f>IFERROR(Data2022[[#This Row],[Non-EEA Active ]]/Data2022[[#This Row],[Number of active members]],"N/A")</f>
        <v>0</v>
      </c>
      <c r="Q31">
        <f>IFERROR(Data2022[[#This Row],[EEA Active]]/Data2022[[#This Row],[EEA total]], "N/A")</f>
        <v>0.33333333333333331</v>
      </c>
      <c r="R31">
        <f>IFERROR(Data2022[[#This Row],[Dutch Active]]/Data2022[[#This Row],[Dutch total]],"N/A")</f>
        <v>0.3</v>
      </c>
      <c r="S31" t="str">
        <f>IFERROR(IF(Data2022[[#This Row],[Number of members]]=Data2022[[#This Row],[Non-EEA Total]]+Data2022[[#This Row],[EEA total]]+Data2022[[#This Row],[Dutch total]],"T","F"),"F")</f>
        <v>T</v>
      </c>
      <c r="T31" t="str">
        <f>IFERROR(IF(Data2022[[#This Row],[Number of active members]]=Data2022[[#This Row],[Non-EEA Active ]]+Data2022[[#This Row],[EEA Active]]+Data2022[[#This Row],[Dutch Active]],"T","F"),"F")</f>
        <v>T</v>
      </c>
      <c r="U31" t="str">
        <f>IFERROR(IF(Data2022[[#This Row],[Number of members]]-Data2022[[#This Row],[Non-EEA Active ]]-Data2022[[#This Row],[EEA Active]]-Data2022[[#This Row],[Dutch Active]]=Data2022[[#This Row],[Number of  inactive members]],"T","F"),"F")</f>
        <v>T</v>
      </c>
      <c r="V31" t="str">
        <f>IF(Data2022[[#This Row],[EEA Active]]&lt;=Data2022[[#This Row],[EEA total]],"T","F")</f>
        <v>T</v>
      </c>
      <c r="W31" t="str">
        <f>IF(Data2022[[#This Row],[Dutch Active]]&lt;=Data2022[[#This Row],[Dutch total]],"T","F")</f>
        <v>T</v>
      </c>
      <c r="X31" t="str">
        <f>IF(Data2022[[#This Row],[Non-EEA Active ]]&lt;=Data2022[[#This Row],[Non-EEA Total]],"T","F")</f>
        <v>T</v>
      </c>
      <c r="Y31"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31">
        <f>IFERROR(VLOOKUP(Data2022[[#This Row],[organisation_name]],'Division Study Year Committees'!$A$1:$L$108,2,FALSE),"N/A")</f>
        <v>4</v>
      </c>
      <c r="AA31">
        <f>IFERROR(VLOOKUP(Data2022[[#This Row],[organisation_name]],'Division Study Year Committees'!$A$1:$L$108,3,FALSE),"N/A")</f>
        <v>6</v>
      </c>
      <c r="AB31">
        <f>IFERROR(VLOOKUP(Data2022[[#This Row],[organisation_name]],'Division Study Year Committees'!$A$1:$L$108,4,FALSE),"N/A")</f>
        <v>12</v>
      </c>
      <c r="AC31">
        <f>IFERROR(VLOOKUP(Data2022[[#This Row],[organisation_name]],'Division Study Year Committees'!$A$1:$L$108,5,FALSE), "N/A")</f>
        <v>6</v>
      </c>
      <c r="AD31">
        <f>IFERROR(VLOOKUP(Data2022[[#This Row],[organisation_name]],'Division Study Year Committees'!$A$1:$L$108,6,FALSE), "N/A")</f>
        <v>1</v>
      </c>
      <c r="AE31">
        <f>SUM(Data2022[[#This Row],[Number of first year comittee members]:[Number of 4+ year comittee members]])</f>
        <v>29</v>
      </c>
      <c r="AF31">
        <f>COUNTIF('Committee2022'!D:D,Data2022[[#This Row],[organisation_name]])</f>
        <v>14</v>
      </c>
      <c r="AG31">
        <v>2022</v>
      </c>
    </row>
    <row r="32" spans="1:33" x14ac:dyDescent="0.3">
      <c r="A32" t="str">
        <f>General2022[[#This Row],[organisation_name]]</f>
        <v>VV Harambee</v>
      </c>
      <c r="B32" t="str">
        <f>IF(General2022[[#This Row],[sector]]= "",VLOOKUP(Data2022[[#This Row],[organisation_name]],'Response Rate sheet'!A:D,3,FALSE),General2022[[#This Row],[sector]])</f>
        <v>Sports</v>
      </c>
      <c r="C32" t="str">
        <f>General2022[[#This Row],[organisation_type]]</f>
        <v>association</v>
      </c>
      <c r="D32">
        <f>IF(ISBLANK(General2022[[#This Row],[number_of_members]]),"N/A",VLOOKUP(A32,General2022[[organisation_name]:[number_of_international_committee_board_members_not_eea]],6,FALSE))</f>
        <v>420</v>
      </c>
      <c r="E32">
        <f>IF(ISBLANK(General2022[[#This Row],[number_of_committee_board_members]]),"N/A",VLOOKUP(A32,General2022!B:M,10,FALSE))</f>
        <v>100</v>
      </c>
      <c r="F32">
        <f>IFERROR(Data2022[[#This Row],[Number of members]]-Data2022[[#This Row],[Number of active members]], "N/A")</f>
        <v>320</v>
      </c>
      <c r="G32">
        <f>IFERROR(Data2022[[#This Row],[Number of active members]]/Data2022[[#This Row],[Number of members]], "N/A")</f>
        <v>0.23809523809523808</v>
      </c>
      <c r="H32">
        <f>IFERROR(1-Data2022[[#This Row],[Percentage active members]],"N/A")</f>
        <v>0.76190476190476186</v>
      </c>
      <c r="I32" t="str">
        <f>IF(Data2022[[#This Row],[Number of members]]=0,"N/A",IF(Data2022[[#This Row],[Number of members]]&lt;50," A. 1 - 50 ",IF(Data2022[[#This Row],[Number of members]]&lt;100, "B. 50 - 100", IF(Data2022[[#This Row],[Number of members]]&lt;400, "C. 100 - 400", IF(Data2022[[#This Row],[Number of members]]&lt;1000,"D. 400 - 1000", "E. 1000 +")))))</f>
        <v>D. 400 - 1000</v>
      </c>
      <c r="J32">
        <f>IF(ISBLANK(General2022[[#This Row],[number_of_international_members_not_eea]]),"N/A",VLOOKUP(A32,General2022[[organisation_name]:[number_of_international_committee_board_members_not_eea]],9,FALSE))</f>
        <v>100</v>
      </c>
      <c r="K32" t="str">
        <f>IF(ISBLANK(General2022[[#This Row],[number_of_international_members_eea]]),"N/A",VLOOKUP(A32,General2022[[organisation_name]:[number_of_international_committee_board_members_not_eea]],8,FALSE))</f>
        <v>N/A</v>
      </c>
      <c r="L32" t="str">
        <f>IFERROR(IF(Data2022[[#This Row],[Number of members]]-Data2022[[#This Row],[Non-EEA Total]]-Data2022[[#This Row],[EEA total]]&lt;1,"N/A", Data2022[[#This Row],[Number of members]]-Data2022[[#This Row],[Non-EEA Total]]-Data2022[[#This Row],[EEA total]]),"N/A")</f>
        <v>N/A</v>
      </c>
      <c r="M32">
        <f>VLOOKUP(A32,General2022[[organisation_name]:[number_of_international_committee_board_members_not_eea]],12,FALSE)</f>
        <v>0</v>
      </c>
      <c r="N32">
        <f>VLOOKUP(A32,General2022[[organisation_name]:[number_of_international_committee_board_members_not_eea]],11,FALSE)</f>
        <v>0</v>
      </c>
      <c r="O32">
        <f>IFERROR(IF(Data2022[[#This Row],[Number of active members]]-Data2022[[#This Row],[Non-EEA Active ]]-Data2022[[#This Row],[EEA Active]]&lt;1,"N/A", Data2022[[#This Row],[Number of active members]]-Data2022[[#This Row],[Non-EEA Active ]]-Data2022[[#This Row],[EEA Active]]),"N/A")</f>
        <v>100</v>
      </c>
      <c r="P32">
        <f>IFERROR(Data2022[[#This Row],[Non-EEA Active ]]/Data2022[[#This Row],[Number of active members]],"N/A")</f>
        <v>0</v>
      </c>
      <c r="Q32" t="str">
        <f>IFERROR(Data2022[[#This Row],[EEA Active]]/Data2022[[#This Row],[EEA total]], "N/A")</f>
        <v>N/A</v>
      </c>
      <c r="R32" t="str">
        <f>IFERROR(Data2022[[#This Row],[Dutch Active]]/Data2022[[#This Row],[Dutch total]],"N/A")</f>
        <v>N/A</v>
      </c>
      <c r="S32" t="str">
        <f>IFERROR(IF(Data2022[[#This Row],[Number of members]]=Data2022[[#This Row],[Non-EEA Total]]+Data2022[[#This Row],[EEA total]]+Data2022[[#This Row],[Dutch total]],"T","F"),"F")</f>
        <v>F</v>
      </c>
      <c r="T32" t="str">
        <f>IFERROR(IF(Data2022[[#This Row],[Number of active members]]=Data2022[[#This Row],[Non-EEA Active ]]+Data2022[[#This Row],[EEA Active]]+Data2022[[#This Row],[Dutch Active]],"T","F"),"F")</f>
        <v>T</v>
      </c>
      <c r="U32" t="str">
        <f>IFERROR(IF(Data2022[[#This Row],[Number of members]]-Data2022[[#This Row],[Non-EEA Active ]]-Data2022[[#This Row],[EEA Active]]-Data2022[[#This Row],[Dutch Active]]=Data2022[[#This Row],[Number of  inactive members]],"T","F"),"F")</f>
        <v>T</v>
      </c>
      <c r="V32" t="str">
        <f>IF(Data2022[[#This Row],[EEA Active]]&lt;=Data2022[[#This Row],[EEA total]],"T","F")</f>
        <v>T</v>
      </c>
      <c r="W32" t="str">
        <f>IF(Data2022[[#This Row],[Dutch Active]]&lt;=Data2022[[#This Row],[Dutch total]],"T","F")</f>
        <v>T</v>
      </c>
      <c r="X32" t="str">
        <f>IF(Data2022[[#This Row],[Non-EEA Active ]]&lt;=Data2022[[#This Row],[Non-EEA Total]],"T","F")</f>
        <v>T</v>
      </c>
      <c r="Y3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2">
        <f>IFERROR(VLOOKUP(Data2022[[#This Row],[organisation_name]],'Division Study Year Committees'!$A$1:$L$108,2,FALSE),"N/A")</f>
        <v>12</v>
      </c>
      <c r="AA32">
        <f>IFERROR(VLOOKUP(Data2022[[#This Row],[organisation_name]],'Division Study Year Committees'!$A$1:$L$108,3,FALSE),"N/A")</f>
        <v>11</v>
      </c>
      <c r="AB32">
        <f>IFERROR(VLOOKUP(Data2022[[#This Row],[organisation_name]],'Division Study Year Committees'!$A$1:$L$108,4,FALSE),"N/A")</f>
        <v>12</v>
      </c>
      <c r="AC32">
        <f>IFERROR(VLOOKUP(Data2022[[#This Row],[organisation_name]],'Division Study Year Committees'!$A$1:$L$108,5,FALSE), "N/A")</f>
        <v>13</v>
      </c>
      <c r="AD32">
        <f>IFERROR(VLOOKUP(Data2022[[#This Row],[organisation_name]],'Division Study Year Committees'!$A$1:$L$108,6,FALSE), "N/A")</f>
        <v>8</v>
      </c>
      <c r="AE32">
        <f>SUM(Data2022[[#This Row],[Number of first year comittee members]:[Number of 4+ year comittee members]])</f>
        <v>56</v>
      </c>
      <c r="AF32">
        <f>COUNTIF('Committee2022'!D:D,Data2022[[#This Row],[organisation_name]])</f>
        <v>0</v>
      </c>
      <c r="AG32">
        <v>2022</v>
      </c>
    </row>
    <row r="33" spans="1:33" x14ac:dyDescent="0.3">
      <c r="A33" t="str">
        <f>General2022[[#This Row],[organisation_name]]</f>
        <v>ZPV Piranha</v>
      </c>
      <c r="B33" t="str">
        <f>IF(General2022[[#This Row],[sector]]= "",VLOOKUP(Data2022[[#This Row],[organisation_name]],'Response Rate sheet'!A:D,3,FALSE),General2022[[#This Row],[sector]])</f>
        <v>Sports</v>
      </c>
      <c r="C33" t="str">
        <f>General2022[[#This Row],[organisation_type]]</f>
        <v>association</v>
      </c>
      <c r="D33">
        <f>IF(ISBLANK(General2022[[#This Row],[number_of_members]]),"N/A",VLOOKUP(A33,General2022[[organisation_name]:[number_of_international_committee_board_members_not_eea]],6,FALSE))</f>
        <v>250</v>
      </c>
      <c r="E33">
        <f>IF(ISBLANK(General2022[[#This Row],[number_of_committee_board_members]]),"N/A",VLOOKUP(A33,General2022!B:M,10,FALSE))</f>
        <v>40</v>
      </c>
      <c r="F33">
        <f>IFERROR(Data2022[[#This Row],[Number of members]]-Data2022[[#This Row],[Number of active members]], "N/A")</f>
        <v>210</v>
      </c>
      <c r="G33">
        <f>IFERROR(Data2022[[#This Row],[Number of active members]]/Data2022[[#This Row],[Number of members]], "N/A")</f>
        <v>0.16</v>
      </c>
      <c r="H33">
        <f>IFERROR(1-Data2022[[#This Row],[Percentage active members]],"N/A")</f>
        <v>0.84</v>
      </c>
      <c r="I33" t="str">
        <f>IF(Data2022[[#This Row],[Number of members]]=0,"N/A",IF(Data2022[[#This Row],[Number of members]]&lt;50," A. 1 - 50 ",IF(Data2022[[#This Row],[Number of members]]&lt;100, "B. 50 - 100", IF(Data2022[[#This Row],[Number of members]]&lt;400, "C. 100 - 400", IF(Data2022[[#This Row],[Number of members]]&lt;1000,"D. 400 - 1000", "E. 1000 +")))))</f>
        <v>C. 100 - 400</v>
      </c>
      <c r="J33">
        <f>IF(ISBLANK(General2022[[#This Row],[number_of_international_members_not_eea]]),"N/A",VLOOKUP(A33,General2022[[organisation_name]:[number_of_international_committee_board_members_not_eea]],9,FALSE))</f>
        <v>80</v>
      </c>
      <c r="K33">
        <f>IF(ISBLANK(General2022[[#This Row],[number_of_international_members_eea]]),"N/A",VLOOKUP(A33,General2022[[organisation_name]:[number_of_international_committee_board_members_not_eea]],8,FALSE))</f>
        <v>0</v>
      </c>
      <c r="L33">
        <f>IFERROR(IF(Data2022[[#This Row],[Number of members]]-Data2022[[#This Row],[Non-EEA Total]]-Data2022[[#This Row],[EEA total]]&lt;1,"N/A", Data2022[[#This Row],[Number of members]]-Data2022[[#This Row],[Non-EEA Total]]-Data2022[[#This Row],[EEA total]]),"N/A")</f>
        <v>170</v>
      </c>
      <c r="M33">
        <f>VLOOKUP(A33,General2022[[organisation_name]:[number_of_international_committee_board_members_not_eea]],12,FALSE)</f>
        <v>0</v>
      </c>
      <c r="N33">
        <f>VLOOKUP(A33,General2022[[organisation_name]:[number_of_international_committee_board_members_not_eea]],11,FALSE)</f>
        <v>5</v>
      </c>
      <c r="O33">
        <f>IFERROR(IF(Data2022[[#This Row],[Number of active members]]-Data2022[[#This Row],[Non-EEA Active ]]-Data2022[[#This Row],[EEA Active]]&lt;1,"N/A", Data2022[[#This Row],[Number of active members]]-Data2022[[#This Row],[Non-EEA Active ]]-Data2022[[#This Row],[EEA Active]]),"N/A")</f>
        <v>35</v>
      </c>
      <c r="P33">
        <f>IFERROR(Data2022[[#This Row],[Non-EEA Active ]]/Data2022[[#This Row],[Number of active members]],"N/A")</f>
        <v>0</v>
      </c>
      <c r="Q33" t="str">
        <f>IFERROR(Data2022[[#This Row],[EEA Active]]/Data2022[[#This Row],[EEA total]], "N/A")</f>
        <v>N/A</v>
      </c>
      <c r="R33">
        <f>IFERROR(Data2022[[#This Row],[Dutch Active]]/Data2022[[#This Row],[Dutch total]],"N/A")</f>
        <v>0.20588235294117646</v>
      </c>
      <c r="S33" t="str">
        <f>IFERROR(IF(Data2022[[#This Row],[Number of members]]=Data2022[[#This Row],[Non-EEA Total]]+Data2022[[#This Row],[EEA total]]+Data2022[[#This Row],[Dutch total]],"T","F"),"F")</f>
        <v>T</v>
      </c>
      <c r="T33" t="str">
        <f>IFERROR(IF(Data2022[[#This Row],[Number of active members]]=Data2022[[#This Row],[Non-EEA Active ]]+Data2022[[#This Row],[EEA Active]]+Data2022[[#This Row],[Dutch Active]],"T","F"),"F")</f>
        <v>T</v>
      </c>
      <c r="U33" t="str">
        <f>IFERROR(IF(Data2022[[#This Row],[Number of members]]-Data2022[[#This Row],[Non-EEA Active ]]-Data2022[[#This Row],[EEA Active]]-Data2022[[#This Row],[Dutch Active]]=Data2022[[#This Row],[Number of  inactive members]],"T","F"),"F")</f>
        <v>T</v>
      </c>
      <c r="V33" t="str">
        <f>IF(Data2022[[#This Row],[EEA Active]]&lt;=Data2022[[#This Row],[EEA total]],"T","F")</f>
        <v>F</v>
      </c>
      <c r="W33" t="str">
        <f>IF(Data2022[[#This Row],[Dutch Active]]&lt;=Data2022[[#This Row],[Dutch total]],"T","F")</f>
        <v>T</v>
      </c>
      <c r="X33" t="str">
        <f>IF(Data2022[[#This Row],[Non-EEA Active ]]&lt;=Data2022[[#This Row],[Non-EEA Total]],"T","F")</f>
        <v>T</v>
      </c>
      <c r="Y3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3">
        <f>IFERROR(VLOOKUP(Data2022[[#This Row],[organisation_name]],'Division Study Year Committees'!$A$1:$L$108,2,FALSE),"N/A")</f>
        <v>1</v>
      </c>
      <c r="AA33">
        <f>IFERROR(VLOOKUP(Data2022[[#This Row],[organisation_name]],'Division Study Year Committees'!$A$1:$L$108,3,FALSE),"N/A")</f>
        <v>2</v>
      </c>
      <c r="AB33">
        <f>IFERROR(VLOOKUP(Data2022[[#This Row],[organisation_name]],'Division Study Year Committees'!$A$1:$L$108,4,FALSE),"N/A")</f>
        <v>1</v>
      </c>
      <c r="AC33">
        <f>IFERROR(VLOOKUP(Data2022[[#This Row],[organisation_name]],'Division Study Year Committees'!$A$1:$L$108,5,FALSE), "N/A")</f>
        <v>1</v>
      </c>
      <c r="AD33">
        <f>IFERROR(VLOOKUP(Data2022[[#This Row],[organisation_name]],'Division Study Year Committees'!$A$1:$L$108,6,FALSE), "N/A")</f>
        <v>0</v>
      </c>
      <c r="AE33">
        <f>SUM(Data2022[[#This Row],[Number of first year comittee members]:[Number of 4+ year comittee members]])</f>
        <v>5</v>
      </c>
      <c r="AF33">
        <f>COUNTIF('Committee2022'!D:D,Data2022[[#This Row],[organisation_name]])</f>
        <v>22</v>
      </c>
      <c r="AG33">
        <v>2022</v>
      </c>
    </row>
    <row r="34" spans="1:33" x14ac:dyDescent="0.3">
      <c r="A34" t="str">
        <f>General2022[[#This Row],[organisation_name]]</f>
        <v>Twentse Thestrals</v>
      </c>
      <c r="B34" t="str">
        <f>IF(General2022[[#This Row],[sector]]= "",VLOOKUP(Data2022[[#This Row],[organisation_name]],'Response Rate sheet'!A:D,3,FALSE),General2022[[#This Row],[sector]])</f>
        <v>Sports</v>
      </c>
      <c r="C34" t="str">
        <f>General2022[[#This Row],[organisation_type]]</f>
        <v>association</v>
      </c>
      <c r="D34" t="str">
        <f>IF(ISBLANK(General2022[[#This Row],[number_of_members]]),"N/A",VLOOKUP(A34,General2022[[organisation_name]:[number_of_international_committee_board_members_not_eea]],6,FALSE))</f>
        <v>N/A</v>
      </c>
      <c r="E34" t="str">
        <f>IF(ISBLANK(General2022[[#This Row],[number_of_committee_board_members]]),"N/A",VLOOKUP(A34,General2022!B:M,10,FALSE))</f>
        <v>N/A</v>
      </c>
      <c r="F34" t="str">
        <f>IFERROR(Data2022[[#This Row],[Number of members]]-Data2022[[#This Row],[Number of active members]], "N/A")</f>
        <v>N/A</v>
      </c>
      <c r="G34" t="str">
        <f>IFERROR(Data2022[[#This Row],[Number of active members]]/Data2022[[#This Row],[Number of members]], "N/A")</f>
        <v>N/A</v>
      </c>
      <c r="H34" t="str">
        <f>IFERROR(1-Data2022[[#This Row],[Percentage active members]],"N/A")</f>
        <v>N/A</v>
      </c>
      <c r="I34" t="str">
        <f>IF(Data2022[[#This Row],[Number of members]]=0,"N/A",IF(Data2022[[#This Row],[Number of members]]&lt;50," A. 1 - 50 ",IF(Data2022[[#This Row],[Number of members]]&lt;100, "B. 50 - 100", IF(Data2022[[#This Row],[Number of members]]&lt;400, "C. 100 - 400", IF(Data2022[[#This Row],[Number of members]]&lt;1000,"D. 400 - 1000", "E. 1000 +")))))</f>
        <v>E. 1000 +</v>
      </c>
      <c r="J34" t="str">
        <f>IF(ISBLANK(General2022[[#This Row],[number_of_international_members_not_eea]]),"N/A",VLOOKUP(A34,General2022[[organisation_name]:[number_of_international_committee_board_members_not_eea]],9,FALSE))</f>
        <v>N/A</v>
      </c>
      <c r="K34" t="str">
        <f>IF(ISBLANK(General2022[[#This Row],[number_of_international_members_eea]]),"N/A",VLOOKUP(A34,General2022[[organisation_name]:[number_of_international_committee_board_members_not_eea]],8,FALSE))</f>
        <v>N/A</v>
      </c>
      <c r="L34" t="str">
        <f>IFERROR(IF(Data2022[[#This Row],[Number of members]]-Data2022[[#This Row],[Non-EEA Total]]-Data2022[[#This Row],[EEA total]]&lt;1,"N/A", Data2022[[#This Row],[Number of members]]-Data2022[[#This Row],[Non-EEA Total]]-Data2022[[#This Row],[EEA total]]),"N/A")</f>
        <v>N/A</v>
      </c>
      <c r="M34">
        <f>VLOOKUP(A34,General2022[[organisation_name]:[number_of_international_committee_board_members_not_eea]],12,FALSE)</f>
        <v>0</v>
      </c>
      <c r="N34">
        <f>VLOOKUP(A34,General2022[[organisation_name]:[number_of_international_committee_board_members_not_eea]],11,FALSE)</f>
        <v>0</v>
      </c>
      <c r="O34" t="str">
        <f>IFERROR(IF(Data2022[[#This Row],[Number of active members]]-Data2022[[#This Row],[Non-EEA Active ]]-Data2022[[#This Row],[EEA Active]]&lt;1,"N/A", Data2022[[#This Row],[Number of active members]]-Data2022[[#This Row],[Non-EEA Active ]]-Data2022[[#This Row],[EEA Active]]),"N/A")</f>
        <v>N/A</v>
      </c>
      <c r="P34" t="str">
        <f>IFERROR(Data2022[[#This Row],[Non-EEA Active ]]/Data2022[[#This Row],[Number of active members]],"N/A")</f>
        <v>N/A</v>
      </c>
      <c r="Q34" t="str">
        <f>IFERROR(Data2022[[#This Row],[EEA Active]]/Data2022[[#This Row],[EEA total]], "N/A")</f>
        <v>N/A</v>
      </c>
      <c r="R34" t="str">
        <f>IFERROR(Data2022[[#This Row],[Dutch Active]]/Data2022[[#This Row],[Dutch total]],"N/A")</f>
        <v>N/A</v>
      </c>
      <c r="S34" t="str">
        <f>IFERROR(IF(Data2022[[#This Row],[Number of members]]=Data2022[[#This Row],[Non-EEA Total]]+Data2022[[#This Row],[EEA total]]+Data2022[[#This Row],[Dutch total]],"T","F"),"F")</f>
        <v>F</v>
      </c>
      <c r="T34" t="str">
        <f>IFERROR(IF(Data2022[[#This Row],[Number of active members]]=Data2022[[#This Row],[Non-EEA Active ]]+Data2022[[#This Row],[EEA Active]]+Data2022[[#This Row],[Dutch Active]],"T","F"),"F")</f>
        <v>F</v>
      </c>
      <c r="U34" t="str">
        <f>IFERROR(IF(Data2022[[#This Row],[Number of members]]-Data2022[[#This Row],[Non-EEA Active ]]-Data2022[[#This Row],[EEA Active]]-Data2022[[#This Row],[Dutch Active]]=Data2022[[#This Row],[Number of  inactive members]],"T","F"),"F")</f>
        <v>F</v>
      </c>
      <c r="V34" t="str">
        <f>IF(Data2022[[#This Row],[EEA Active]]&lt;=Data2022[[#This Row],[EEA total]],"T","F")</f>
        <v>T</v>
      </c>
      <c r="W34" t="str">
        <f>IF(Data2022[[#This Row],[Dutch Active]]&lt;=Data2022[[#This Row],[Dutch total]],"T","F")</f>
        <v>T</v>
      </c>
      <c r="X34" t="str">
        <f>IF(Data2022[[#This Row],[Non-EEA Active ]]&lt;=Data2022[[#This Row],[Non-EEA Total]],"T","F")</f>
        <v>T</v>
      </c>
      <c r="Y3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4" t="str">
        <f>IFERROR(VLOOKUP(Data2022[[#This Row],[organisation_name]],'Division Study Year Committees'!$A$1:$L$108,2,FALSE),"N/A")</f>
        <v>N/A</v>
      </c>
      <c r="AA34" t="str">
        <f>IFERROR(VLOOKUP(Data2022[[#This Row],[organisation_name]],'Division Study Year Committees'!$A$1:$L$108,3,FALSE),"N/A")</f>
        <v>N/A</v>
      </c>
      <c r="AB34" t="str">
        <f>IFERROR(VLOOKUP(Data2022[[#This Row],[organisation_name]],'Division Study Year Committees'!$A$1:$L$108,4,FALSE),"N/A")</f>
        <v>N/A</v>
      </c>
      <c r="AC34" t="str">
        <f>IFERROR(VLOOKUP(Data2022[[#This Row],[organisation_name]],'Division Study Year Committees'!$A$1:$L$108,5,FALSE), "N/A")</f>
        <v>N/A</v>
      </c>
      <c r="AD34" t="str">
        <f>IFERROR(VLOOKUP(Data2022[[#This Row],[organisation_name]],'Division Study Year Committees'!$A$1:$L$108,6,FALSE), "N/A")</f>
        <v>N/A</v>
      </c>
      <c r="AE34">
        <f>SUM(Data2022[[#This Row],[Number of first year comittee members]:[Number of 4+ year comittee members]])</f>
        <v>0</v>
      </c>
      <c r="AF34">
        <f>COUNTIF('Committee2022'!D:D,Data2022[[#This Row],[organisation_name]])</f>
        <v>0</v>
      </c>
      <c r="AG34">
        <v>2022</v>
      </c>
    </row>
    <row r="35" spans="1:33" x14ac:dyDescent="0.3">
      <c r="A35" t="str">
        <f>General2022[[#This Row],[organisation_name]]</f>
        <v>Primo Ballerino</v>
      </c>
      <c r="B35" t="str">
        <f>IF(General2022[[#This Row],[sector]]= "",VLOOKUP(Data2022[[#This Row],[organisation_name]],'Response Rate sheet'!A:D,3,FALSE),General2022[[#This Row],[sector]])</f>
        <v>Culture</v>
      </c>
      <c r="C35" t="str">
        <f>General2022[[#This Row],[organisation_type]]</f>
        <v>association</v>
      </c>
      <c r="D35">
        <f>IF(ISBLANK(General2022[[#This Row],[number_of_members]]),"N/A",VLOOKUP(A35,General2022[[organisation_name]:[number_of_international_committee_board_members_not_eea]],6,FALSE))</f>
        <v>44</v>
      </c>
      <c r="E35">
        <f>IF(ISBLANK(General2022[[#This Row],[number_of_committee_board_members]]),"N/A",VLOOKUP(A35,General2022!B:M,10,FALSE))</f>
        <v>20</v>
      </c>
      <c r="F35">
        <f>IFERROR(Data2022[[#This Row],[Number of members]]-Data2022[[#This Row],[Number of active members]], "N/A")</f>
        <v>24</v>
      </c>
      <c r="G35">
        <f>IFERROR(Data2022[[#This Row],[Number of active members]]/Data2022[[#This Row],[Number of members]], "N/A")</f>
        <v>0.45454545454545453</v>
      </c>
      <c r="H35">
        <f>IFERROR(1-Data2022[[#This Row],[Percentage active members]],"N/A")</f>
        <v>0.54545454545454541</v>
      </c>
      <c r="I35"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35">
        <f>IF(ISBLANK(General2022[[#This Row],[number_of_international_members_not_eea]]),"N/A",VLOOKUP(A35,General2022[[organisation_name]:[number_of_international_committee_board_members_not_eea]],9,FALSE))</f>
        <v>15</v>
      </c>
      <c r="K35">
        <f>IF(ISBLANK(General2022[[#This Row],[number_of_international_members_eea]]),"N/A",VLOOKUP(A35,General2022[[organisation_name]:[number_of_international_committee_board_members_not_eea]],8,FALSE))</f>
        <v>5</v>
      </c>
      <c r="L35">
        <f>IFERROR(IF(Data2022[[#This Row],[Number of members]]-Data2022[[#This Row],[Non-EEA Total]]-Data2022[[#This Row],[EEA total]]&lt;1,"N/A", Data2022[[#This Row],[Number of members]]-Data2022[[#This Row],[Non-EEA Total]]-Data2022[[#This Row],[EEA total]]),"N/A")</f>
        <v>24</v>
      </c>
      <c r="M35">
        <f>VLOOKUP(A35,General2022[[organisation_name]:[number_of_international_committee_board_members_not_eea]],12,FALSE)</f>
        <v>2</v>
      </c>
      <c r="N35">
        <f>VLOOKUP(A35,General2022[[organisation_name]:[number_of_international_committee_board_members_not_eea]],11,FALSE)</f>
        <v>13</v>
      </c>
      <c r="O35">
        <f>IFERROR(IF(Data2022[[#This Row],[Number of active members]]-Data2022[[#This Row],[Non-EEA Active ]]-Data2022[[#This Row],[EEA Active]]&lt;1,"N/A", Data2022[[#This Row],[Number of active members]]-Data2022[[#This Row],[Non-EEA Active ]]-Data2022[[#This Row],[EEA Active]]),"N/A")</f>
        <v>5</v>
      </c>
      <c r="P35">
        <f>IFERROR(Data2022[[#This Row],[Non-EEA Active ]]/Data2022[[#This Row],[Number of active members]],"N/A")</f>
        <v>0.1</v>
      </c>
      <c r="Q35">
        <f>IFERROR(Data2022[[#This Row],[EEA Active]]/Data2022[[#This Row],[EEA total]], "N/A")</f>
        <v>2.6</v>
      </c>
      <c r="R35">
        <f>IFERROR(Data2022[[#This Row],[Dutch Active]]/Data2022[[#This Row],[Dutch total]],"N/A")</f>
        <v>0.20833333333333334</v>
      </c>
      <c r="S35" t="str">
        <f>IFERROR(IF(Data2022[[#This Row],[Number of members]]=Data2022[[#This Row],[Non-EEA Total]]+Data2022[[#This Row],[EEA total]]+Data2022[[#This Row],[Dutch total]],"T","F"),"F")</f>
        <v>T</v>
      </c>
      <c r="T35" t="str">
        <f>IFERROR(IF(Data2022[[#This Row],[Number of active members]]=Data2022[[#This Row],[Non-EEA Active ]]+Data2022[[#This Row],[EEA Active]]+Data2022[[#This Row],[Dutch Active]],"T","F"),"F")</f>
        <v>T</v>
      </c>
      <c r="U35" t="str">
        <f>IFERROR(IF(Data2022[[#This Row],[Number of members]]-Data2022[[#This Row],[Non-EEA Active ]]-Data2022[[#This Row],[EEA Active]]-Data2022[[#This Row],[Dutch Active]]=Data2022[[#This Row],[Number of  inactive members]],"T","F"),"F")</f>
        <v>T</v>
      </c>
      <c r="V35" t="str">
        <f>IF(Data2022[[#This Row],[EEA Active]]&lt;=Data2022[[#This Row],[EEA total]],"T","F")</f>
        <v>F</v>
      </c>
      <c r="W35" t="str">
        <f>IF(Data2022[[#This Row],[Dutch Active]]&lt;=Data2022[[#This Row],[Dutch total]],"T","F")</f>
        <v>T</v>
      </c>
      <c r="X35" t="str">
        <f>IF(Data2022[[#This Row],[Non-EEA Active ]]&lt;=Data2022[[#This Row],[Non-EEA Total]],"T","F")</f>
        <v>T</v>
      </c>
      <c r="Y3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5">
        <f>IFERROR(VLOOKUP(Data2022[[#This Row],[organisation_name]],'Division Study Year Committees'!$A$1:$L$108,2,FALSE),"N/A")</f>
        <v>0</v>
      </c>
      <c r="AA35">
        <f>IFERROR(VLOOKUP(Data2022[[#This Row],[organisation_name]],'Division Study Year Committees'!$A$1:$L$108,3,FALSE),"N/A")</f>
        <v>0</v>
      </c>
      <c r="AB35">
        <f>IFERROR(VLOOKUP(Data2022[[#This Row],[organisation_name]],'Division Study Year Committees'!$A$1:$L$108,4,FALSE),"N/A")</f>
        <v>1</v>
      </c>
      <c r="AC35">
        <f>IFERROR(VLOOKUP(Data2022[[#This Row],[organisation_name]],'Division Study Year Committees'!$A$1:$L$108,5,FALSE), "N/A")</f>
        <v>1</v>
      </c>
      <c r="AD35">
        <f>IFERROR(VLOOKUP(Data2022[[#This Row],[organisation_name]],'Division Study Year Committees'!$A$1:$L$108,6,FALSE), "N/A")</f>
        <v>1</v>
      </c>
      <c r="AE35">
        <f>SUM(Data2022[[#This Row],[Number of first year comittee members]:[Number of 4+ year comittee members]])</f>
        <v>3</v>
      </c>
      <c r="AF35">
        <f>COUNTIF('Committee2022'!D:D,Data2022[[#This Row],[organisation_name]])</f>
        <v>8</v>
      </c>
      <c r="AG35">
        <v>2022</v>
      </c>
    </row>
    <row r="36" spans="1:33" x14ac:dyDescent="0.3">
      <c r="A36" t="str">
        <f>General2022[[#This Row],[organisation_name]]</f>
        <v>Phoenix Lacrosse</v>
      </c>
      <c r="B36" t="str">
        <f>IF(General2022[[#This Row],[sector]]= "",VLOOKUP(Data2022[[#This Row],[organisation_name]],'Response Rate sheet'!A:D,3,FALSE),General2022[[#This Row],[sector]])</f>
        <v>Sports</v>
      </c>
      <c r="C36" t="str">
        <f>General2022[[#This Row],[organisation_type]]</f>
        <v>association</v>
      </c>
      <c r="D36" t="str">
        <f>IF(ISBLANK(General2022[[#This Row],[number_of_members]]),"N/A",VLOOKUP(A36,General2022[[organisation_name]:[number_of_international_committee_board_members_not_eea]],6,FALSE))</f>
        <v>N/A</v>
      </c>
      <c r="E36" t="str">
        <f>IF(ISBLANK(General2022[[#This Row],[number_of_committee_board_members]]),"N/A",VLOOKUP(A36,General2022!B:M,10,FALSE))</f>
        <v>N/A</v>
      </c>
      <c r="F36" t="str">
        <f>IFERROR(Data2022[[#This Row],[Number of members]]-Data2022[[#This Row],[Number of active members]], "N/A")</f>
        <v>N/A</v>
      </c>
      <c r="G36" t="str">
        <f>IFERROR(Data2022[[#This Row],[Number of active members]]/Data2022[[#This Row],[Number of members]], "N/A")</f>
        <v>N/A</v>
      </c>
      <c r="H36" t="str">
        <f>IFERROR(1-Data2022[[#This Row],[Percentage active members]],"N/A")</f>
        <v>N/A</v>
      </c>
      <c r="I36" t="str">
        <f>IF(Data2022[[#This Row],[Number of members]]=0,"N/A",IF(Data2022[[#This Row],[Number of members]]&lt;50," A. 1 - 50 ",IF(Data2022[[#This Row],[Number of members]]&lt;100, "B. 50 - 100", IF(Data2022[[#This Row],[Number of members]]&lt;400, "C. 100 - 400", IF(Data2022[[#This Row],[Number of members]]&lt;1000,"D. 400 - 1000", "E. 1000 +")))))</f>
        <v>E. 1000 +</v>
      </c>
      <c r="J36" t="str">
        <f>IF(ISBLANK(General2022[[#This Row],[number_of_international_members_not_eea]]),"N/A",VLOOKUP(A36,General2022[[organisation_name]:[number_of_international_committee_board_members_not_eea]],9,FALSE))</f>
        <v>N/A</v>
      </c>
      <c r="K36" t="str">
        <f>IF(ISBLANK(General2022[[#This Row],[number_of_international_members_eea]]),"N/A",VLOOKUP(A36,General2022[[organisation_name]:[number_of_international_committee_board_members_not_eea]],8,FALSE))</f>
        <v>N/A</v>
      </c>
      <c r="L36" t="str">
        <f>IFERROR(IF(Data2022[[#This Row],[Number of members]]-Data2022[[#This Row],[Non-EEA Total]]-Data2022[[#This Row],[EEA total]]&lt;1,"N/A", Data2022[[#This Row],[Number of members]]-Data2022[[#This Row],[Non-EEA Total]]-Data2022[[#This Row],[EEA total]]),"N/A")</f>
        <v>N/A</v>
      </c>
      <c r="M36">
        <f>VLOOKUP(A36,General2022[[organisation_name]:[number_of_international_committee_board_members_not_eea]],12,FALSE)</f>
        <v>0</v>
      </c>
      <c r="N36">
        <f>VLOOKUP(A36,General2022[[organisation_name]:[number_of_international_committee_board_members_not_eea]],11,FALSE)</f>
        <v>0</v>
      </c>
      <c r="O36" t="str">
        <f>IFERROR(IF(Data2022[[#This Row],[Number of active members]]-Data2022[[#This Row],[Non-EEA Active ]]-Data2022[[#This Row],[EEA Active]]&lt;1,"N/A", Data2022[[#This Row],[Number of active members]]-Data2022[[#This Row],[Non-EEA Active ]]-Data2022[[#This Row],[EEA Active]]),"N/A")</f>
        <v>N/A</v>
      </c>
      <c r="P36" t="str">
        <f>IFERROR(Data2022[[#This Row],[Non-EEA Active ]]/Data2022[[#This Row],[Number of active members]],"N/A")</f>
        <v>N/A</v>
      </c>
      <c r="Q36" t="str">
        <f>IFERROR(Data2022[[#This Row],[EEA Active]]/Data2022[[#This Row],[EEA total]], "N/A")</f>
        <v>N/A</v>
      </c>
      <c r="R36" t="str">
        <f>IFERROR(Data2022[[#This Row],[Dutch Active]]/Data2022[[#This Row],[Dutch total]],"N/A")</f>
        <v>N/A</v>
      </c>
      <c r="S36" t="str">
        <f>IFERROR(IF(Data2022[[#This Row],[Number of members]]=Data2022[[#This Row],[Non-EEA Total]]+Data2022[[#This Row],[EEA total]]+Data2022[[#This Row],[Dutch total]],"T","F"),"F")</f>
        <v>F</v>
      </c>
      <c r="T36" t="str">
        <f>IFERROR(IF(Data2022[[#This Row],[Number of active members]]=Data2022[[#This Row],[Non-EEA Active ]]+Data2022[[#This Row],[EEA Active]]+Data2022[[#This Row],[Dutch Active]],"T","F"),"F")</f>
        <v>F</v>
      </c>
      <c r="U36" t="str">
        <f>IFERROR(IF(Data2022[[#This Row],[Number of members]]-Data2022[[#This Row],[Non-EEA Active ]]-Data2022[[#This Row],[EEA Active]]-Data2022[[#This Row],[Dutch Active]]=Data2022[[#This Row],[Number of  inactive members]],"T","F"),"F")</f>
        <v>F</v>
      </c>
      <c r="V36" t="str">
        <f>IF(Data2022[[#This Row],[EEA Active]]&lt;=Data2022[[#This Row],[EEA total]],"T","F")</f>
        <v>T</v>
      </c>
      <c r="W36" t="str">
        <f>IF(Data2022[[#This Row],[Dutch Active]]&lt;=Data2022[[#This Row],[Dutch total]],"T","F")</f>
        <v>T</v>
      </c>
      <c r="X36" t="str">
        <f>IF(Data2022[[#This Row],[Non-EEA Active ]]&lt;=Data2022[[#This Row],[Non-EEA Total]],"T","F")</f>
        <v>T</v>
      </c>
      <c r="Y3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6" t="str">
        <f>IFERROR(VLOOKUP(Data2022[[#This Row],[organisation_name]],'Division Study Year Committees'!$A$1:$L$108,2,FALSE),"N/A")</f>
        <v>N/A</v>
      </c>
      <c r="AA36" t="str">
        <f>IFERROR(VLOOKUP(Data2022[[#This Row],[organisation_name]],'Division Study Year Committees'!$A$1:$L$108,3,FALSE),"N/A")</f>
        <v>N/A</v>
      </c>
      <c r="AB36" t="str">
        <f>IFERROR(VLOOKUP(Data2022[[#This Row],[organisation_name]],'Division Study Year Committees'!$A$1:$L$108,4,FALSE),"N/A")</f>
        <v>N/A</v>
      </c>
      <c r="AC36" t="str">
        <f>IFERROR(VLOOKUP(Data2022[[#This Row],[organisation_name]],'Division Study Year Committees'!$A$1:$L$108,5,FALSE), "N/A")</f>
        <v>N/A</v>
      </c>
      <c r="AD36" t="str">
        <f>IFERROR(VLOOKUP(Data2022[[#This Row],[organisation_name]],'Division Study Year Committees'!$A$1:$L$108,6,FALSE), "N/A")</f>
        <v>N/A</v>
      </c>
      <c r="AE36">
        <f>SUM(Data2022[[#This Row],[Number of first year comittee members]:[Number of 4+ year comittee members]])</f>
        <v>0</v>
      </c>
      <c r="AF36">
        <f>COUNTIF('Committee2022'!D:D,Data2022[[#This Row],[organisation_name]])</f>
        <v>0</v>
      </c>
      <c r="AG36">
        <v>2022</v>
      </c>
    </row>
    <row r="37" spans="1:33" x14ac:dyDescent="0.3">
      <c r="A37" t="str">
        <f>General2022[[#This Row],[organisation_name]]</f>
        <v>SKV Hercules</v>
      </c>
      <c r="B37" t="str">
        <f>IF(General2022[[#This Row],[sector]]= "",VLOOKUP(Data2022[[#This Row],[organisation_name]],'Response Rate sheet'!A:D,3,FALSE),General2022[[#This Row],[sector]])</f>
        <v>Sports</v>
      </c>
      <c r="C37" t="str">
        <f>General2022[[#This Row],[organisation_type]]</f>
        <v>association</v>
      </c>
      <c r="D37">
        <f>IF(ISBLANK(General2022[[#This Row],[number_of_members]]),"N/A",VLOOKUP(A37,General2022[[organisation_name]:[number_of_international_committee_board_members_not_eea]],6,FALSE))</f>
        <v>65</v>
      </c>
      <c r="E37">
        <f>IF(ISBLANK(General2022[[#This Row],[number_of_committee_board_members]]),"N/A",VLOOKUP(A37,General2022!B:M,10,FALSE))</f>
        <v>0</v>
      </c>
      <c r="F37">
        <f>IFERROR(Data2022[[#This Row],[Number of members]]-Data2022[[#This Row],[Number of active members]], "N/A")</f>
        <v>65</v>
      </c>
      <c r="G37">
        <f>IFERROR(Data2022[[#This Row],[Number of active members]]/Data2022[[#This Row],[Number of members]], "N/A")</f>
        <v>0</v>
      </c>
      <c r="H37">
        <f>IFERROR(1-Data2022[[#This Row],[Percentage active members]],"N/A")</f>
        <v>1</v>
      </c>
      <c r="I37" t="str">
        <f>IF(Data2022[[#This Row],[Number of members]]=0,"N/A",IF(Data2022[[#This Row],[Number of members]]&lt;50," A. 1 - 50 ",IF(Data2022[[#This Row],[Number of members]]&lt;100, "B. 50 - 100", IF(Data2022[[#This Row],[Number of members]]&lt;400, "C. 100 - 400", IF(Data2022[[#This Row],[Number of members]]&lt;1000,"D. 400 - 1000", "E. 1000 +")))))</f>
        <v>B. 50 - 100</v>
      </c>
      <c r="J37">
        <f>IF(ISBLANK(General2022[[#This Row],[number_of_international_members_not_eea]]),"N/A",VLOOKUP(A37,General2022[[organisation_name]:[number_of_international_committee_board_members_not_eea]],9,FALSE))</f>
        <v>10</v>
      </c>
      <c r="K37">
        <f>IF(ISBLANK(General2022[[#This Row],[number_of_international_members_eea]]),"N/A",VLOOKUP(A37,General2022[[organisation_name]:[number_of_international_committee_board_members_not_eea]],8,FALSE))</f>
        <v>3</v>
      </c>
      <c r="L37">
        <f>IFERROR(IF(Data2022[[#This Row],[Number of members]]-Data2022[[#This Row],[Non-EEA Total]]-Data2022[[#This Row],[EEA total]]&lt;1,"N/A", Data2022[[#This Row],[Number of members]]-Data2022[[#This Row],[Non-EEA Total]]-Data2022[[#This Row],[EEA total]]),"N/A")</f>
        <v>52</v>
      </c>
      <c r="M37">
        <f>VLOOKUP(A37,General2022[[organisation_name]:[number_of_international_committee_board_members_not_eea]],12,FALSE)</f>
        <v>1</v>
      </c>
      <c r="N37">
        <f>VLOOKUP(A37,General2022[[organisation_name]:[number_of_international_committee_board_members_not_eea]],11,FALSE)</f>
        <v>9</v>
      </c>
      <c r="O37" t="str">
        <f>IFERROR(IF(Data2022[[#This Row],[Number of active members]]-Data2022[[#This Row],[Non-EEA Active ]]-Data2022[[#This Row],[EEA Active]]&lt;1,"N/A", Data2022[[#This Row],[Number of active members]]-Data2022[[#This Row],[Non-EEA Active ]]-Data2022[[#This Row],[EEA Active]]),"N/A")</f>
        <v>N/A</v>
      </c>
      <c r="P37" t="str">
        <f>IFERROR(Data2022[[#This Row],[Non-EEA Active ]]/Data2022[[#This Row],[Number of active members]],"N/A")</f>
        <v>N/A</v>
      </c>
      <c r="Q37">
        <f>IFERROR(Data2022[[#This Row],[EEA Active]]/Data2022[[#This Row],[EEA total]], "N/A")</f>
        <v>3</v>
      </c>
      <c r="R37" t="str">
        <f>IFERROR(Data2022[[#This Row],[Dutch Active]]/Data2022[[#This Row],[Dutch total]],"N/A")</f>
        <v>N/A</v>
      </c>
      <c r="S37" t="str">
        <f>IFERROR(IF(Data2022[[#This Row],[Number of members]]=Data2022[[#This Row],[Non-EEA Total]]+Data2022[[#This Row],[EEA total]]+Data2022[[#This Row],[Dutch total]],"T","F"),"F")</f>
        <v>T</v>
      </c>
      <c r="T37" t="str">
        <f>IFERROR(IF(Data2022[[#This Row],[Number of active members]]=Data2022[[#This Row],[Non-EEA Active ]]+Data2022[[#This Row],[EEA Active]]+Data2022[[#This Row],[Dutch Active]],"T","F"),"F")</f>
        <v>F</v>
      </c>
      <c r="U37" t="str">
        <f>IFERROR(IF(Data2022[[#This Row],[Number of members]]-Data2022[[#This Row],[Non-EEA Active ]]-Data2022[[#This Row],[EEA Active]]-Data2022[[#This Row],[Dutch Active]]=Data2022[[#This Row],[Number of  inactive members]],"T","F"),"F")</f>
        <v>F</v>
      </c>
      <c r="V37" t="str">
        <f>IF(Data2022[[#This Row],[EEA Active]]&lt;=Data2022[[#This Row],[EEA total]],"T","F")</f>
        <v>F</v>
      </c>
      <c r="W37" t="str">
        <f>IF(Data2022[[#This Row],[Dutch Active]]&lt;=Data2022[[#This Row],[Dutch total]],"T","F")</f>
        <v>F</v>
      </c>
      <c r="X37" t="str">
        <f>IF(Data2022[[#This Row],[Non-EEA Active ]]&lt;=Data2022[[#This Row],[Non-EEA Total]],"T","F")</f>
        <v>T</v>
      </c>
      <c r="Y3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7" t="str">
        <f>IFERROR(VLOOKUP(Data2022[[#This Row],[organisation_name]],'Division Study Year Committees'!$A$1:$L$108,2,FALSE),"N/A")</f>
        <v>N/A</v>
      </c>
      <c r="AA37" t="str">
        <f>IFERROR(VLOOKUP(Data2022[[#This Row],[organisation_name]],'Division Study Year Committees'!$A$1:$L$108,3,FALSE),"N/A")</f>
        <v>N/A</v>
      </c>
      <c r="AB37" t="str">
        <f>IFERROR(VLOOKUP(Data2022[[#This Row],[organisation_name]],'Division Study Year Committees'!$A$1:$L$108,4,FALSE),"N/A")</f>
        <v>N/A</v>
      </c>
      <c r="AC37" t="str">
        <f>IFERROR(VLOOKUP(Data2022[[#This Row],[organisation_name]],'Division Study Year Committees'!$A$1:$L$108,5,FALSE), "N/A")</f>
        <v>N/A</v>
      </c>
      <c r="AD37" t="str">
        <f>IFERROR(VLOOKUP(Data2022[[#This Row],[organisation_name]],'Division Study Year Committees'!$A$1:$L$108,6,FALSE), "N/A")</f>
        <v>N/A</v>
      </c>
      <c r="AE37">
        <f>SUM(Data2022[[#This Row],[Number of first year comittee members]:[Number of 4+ year comittee members]])</f>
        <v>0</v>
      </c>
      <c r="AF37">
        <f>COUNTIF('Committee2022'!D:D,Data2022[[#This Row],[organisation_name]])</f>
        <v>3</v>
      </c>
      <c r="AG37">
        <v>2022</v>
      </c>
    </row>
    <row r="38" spans="1:33" x14ac:dyDescent="0.3">
      <c r="A38" t="str">
        <f>General2022[[#This Row],[organisation_name]]</f>
        <v>A la Kart</v>
      </c>
      <c r="B38" t="str">
        <f>IF(General2022[[#This Row],[sector]]= "",VLOOKUP(Data2022[[#This Row],[organisation_name]],'Response Rate sheet'!A:D,3,FALSE),General2022[[#This Row],[sector]])</f>
        <v>Sports</v>
      </c>
      <c r="C38" t="str">
        <f>General2022[[#This Row],[organisation_type]]</f>
        <v>association</v>
      </c>
      <c r="D38" t="str">
        <f>IF(ISBLANK(General2022[[#This Row],[number_of_members]]),"N/A",VLOOKUP(A38,General2022[[organisation_name]:[number_of_international_committee_board_members_not_eea]],6,FALSE))</f>
        <v>N/A</v>
      </c>
      <c r="E38" t="str">
        <f>IF(ISBLANK(General2022[[#This Row],[number_of_committee_board_members]]),"N/A",VLOOKUP(A38,General2022!B:M,10,FALSE))</f>
        <v>N/A</v>
      </c>
      <c r="F38" t="str">
        <f>IFERROR(Data2022[[#This Row],[Number of members]]-Data2022[[#This Row],[Number of active members]], "N/A")</f>
        <v>N/A</v>
      </c>
      <c r="G38" t="str">
        <f>IFERROR(Data2022[[#This Row],[Number of active members]]/Data2022[[#This Row],[Number of members]], "N/A")</f>
        <v>N/A</v>
      </c>
      <c r="H38" t="str">
        <f>IFERROR(1-Data2022[[#This Row],[Percentage active members]],"N/A")</f>
        <v>N/A</v>
      </c>
      <c r="I38" t="str">
        <f>IF(Data2022[[#This Row],[Number of members]]=0,"N/A",IF(Data2022[[#This Row],[Number of members]]&lt;50," A. 1 - 50 ",IF(Data2022[[#This Row],[Number of members]]&lt;100, "B. 50 - 100", IF(Data2022[[#This Row],[Number of members]]&lt;400, "C. 100 - 400", IF(Data2022[[#This Row],[Number of members]]&lt;1000,"D. 400 - 1000", "E. 1000 +")))))</f>
        <v>E. 1000 +</v>
      </c>
      <c r="J38" t="str">
        <f>IF(ISBLANK(General2022[[#This Row],[number_of_international_members_not_eea]]),"N/A",VLOOKUP(A38,General2022[[organisation_name]:[number_of_international_committee_board_members_not_eea]],9,FALSE))</f>
        <v>N/A</v>
      </c>
      <c r="K38" t="str">
        <f>IF(ISBLANK(General2022[[#This Row],[number_of_international_members_eea]]),"N/A",VLOOKUP(A38,General2022[[organisation_name]:[number_of_international_committee_board_members_not_eea]],8,FALSE))</f>
        <v>N/A</v>
      </c>
      <c r="L38" t="str">
        <f>IFERROR(IF(Data2022[[#This Row],[Number of members]]-Data2022[[#This Row],[Non-EEA Total]]-Data2022[[#This Row],[EEA total]]&lt;1,"N/A", Data2022[[#This Row],[Number of members]]-Data2022[[#This Row],[Non-EEA Total]]-Data2022[[#This Row],[EEA total]]),"N/A")</f>
        <v>N/A</v>
      </c>
      <c r="M38">
        <f>VLOOKUP(A38,General2022[[organisation_name]:[number_of_international_committee_board_members_not_eea]],12,FALSE)</f>
        <v>0</v>
      </c>
      <c r="N38">
        <f>VLOOKUP(A38,General2022[[organisation_name]:[number_of_international_committee_board_members_not_eea]],11,FALSE)</f>
        <v>0</v>
      </c>
      <c r="O38" t="str">
        <f>IFERROR(IF(Data2022[[#This Row],[Number of active members]]-Data2022[[#This Row],[Non-EEA Active ]]-Data2022[[#This Row],[EEA Active]]&lt;1,"N/A", Data2022[[#This Row],[Number of active members]]-Data2022[[#This Row],[Non-EEA Active ]]-Data2022[[#This Row],[EEA Active]]),"N/A")</f>
        <v>N/A</v>
      </c>
      <c r="P38" t="str">
        <f>IFERROR(Data2022[[#This Row],[Non-EEA Active ]]/Data2022[[#This Row],[Number of active members]],"N/A")</f>
        <v>N/A</v>
      </c>
      <c r="Q38" t="str">
        <f>IFERROR(Data2022[[#This Row],[EEA Active]]/Data2022[[#This Row],[EEA total]], "N/A")</f>
        <v>N/A</v>
      </c>
      <c r="R38" t="str">
        <f>IFERROR(Data2022[[#This Row],[Dutch Active]]/Data2022[[#This Row],[Dutch total]],"N/A")</f>
        <v>N/A</v>
      </c>
      <c r="S38" t="str">
        <f>IFERROR(IF(Data2022[[#This Row],[Number of members]]=Data2022[[#This Row],[Non-EEA Total]]+Data2022[[#This Row],[EEA total]]+Data2022[[#This Row],[Dutch total]],"T","F"),"F")</f>
        <v>F</v>
      </c>
      <c r="T38" t="str">
        <f>IFERROR(IF(Data2022[[#This Row],[Number of active members]]=Data2022[[#This Row],[Non-EEA Active ]]+Data2022[[#This Row],[EEA Active]]+Data2022[[#This Row],[Dutch Active]],"T","F"),"F")</f>
        <v>F</v>
      </c>
      <c r="U38" t="str">
        <f>IFERROR(IF(Data2022[[#This Row],[Number of members]]-Data2022[[#This Row],[Non-EEA Active ]]-Data2022[[#This Row],[EEA Active]]-Data2022[[#This Row],[Dutch Active]]=Data2022[[#This Row],[Number of  inactive members]],"T","F"),"F")</f>
        <v>F</v>
      </c>
      <c r="V38" t="str">
        <f>IF(Data2022[[#This Row],[EEA Active]]&lt;=Data2022[[#This Row],[EEA total]],"T","F")</f>
        <v>T</v>
      </c>
      <c r="W38" t="str">
        <f>IF(Data2022[[#This Row],[Dutch Active]]&lt;=Data2022[[#This Row],[Dutch total]],"T","F")</f>
        <v>T</v>
      </c>
      <c r="X38" t="str">
        <f>IF(Data2022[[#This Row],[Non-EEA Active ]]&lt;=Data2022[[#This Row],[Non-EEA Total]],"T","F")</f>
        <v>T</v>
      </c>
      <c r="Y3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8" t="str">
        <f>IFERROR(VLOOKUP(Data2022[[#This Row],[organisation_name]],'Division Study Year Committees'!$A$1:$L$108,2,FALSE),"N/A")</f>
        <v>N/A</v>
      </c>
      <c r="AA38" t="str">
        <f>IFERROR(VLOOKUP(Data2022[[#This Row],[organisation_name]],'Division Study Year Committees'!$A$1:$L$108,3,FALSE),"N/A")</f>
        <v>N/A</v>
      </c>
      <c r="AB38" t="str">
        <f>IFERROR(VLOOKUP(Data2022[[#This Row],[organisation_name]],'Division Study Year Committees'!$A$1:$L$108,4,FALSE),"N/A")</f>
        <v>N/A</v>
      </c>
      <c r="AC38" t="str">
        <f>IFERROR(VLOOKUP(Data2022[[#This Row],[organisation_name]],'Division Study Year Committees'!$A$1:$L$108,5,FALSE), "N/A")</f>
        <v>N/A</v>
      </c>
      <c r="AD38" t="str">
        <f>IFERROR(VLOOKUP(Data2022[[#This Row],[organisation_name]],'Division Study Year Committees'!$A$1:$L$108,6,FALSE), "N/A")</f>
        <v>N/A</v>
      </c>
      <c r="AE38">
        <f>SUM(Data2022[[#This Row],[Number of first year comittee members]:[Number of 4+ year comittee members]])</f>
        <v>0</v>
      </c>
      <c r="AF38">
        <f>COUNTIF('Committee2022'!D:D,Data2022[[#This Row],[organisation_name]])</f>
        <v>0</v>
      </c>
      <c r="AG38">
        <v>2022</v>
      </c>
    </row>
    <row r="39" spans="1:33" x14ac:dyDescent="0.3">
      <c r="A39" t="str">
        <f>General2022[[#This Row],[organisation_name]]</f>
        <v>BSV de Stoottroepen</v>
      </c>
      <c r="B39" t="str">
        <f>IF(General2022[[#This Row],[sector]]= "",VLOOKUP(Data2022[[#This Row],[organisation_name]],'Response Rate sheet'!A:D,3,FALSE),General2022[[#This Row],[sector]])</f>
        <v>sports</v>
      </c>
      <c r="C39" t="str">
        <f>General2022[[#This Row],[organisation_type]]</f>
        <v>association</v>
      </c>
      <c r="D39" t="str">
        <f>IF(ISBLANK(General2022[[#This Row],[number_of_members]]),"N/A",VLOOKUP(A39,General2022[[organisation_name]:[number_of_international_committee_board_members_not_eea]],6,FALSE))</f>
        <v>N/A</v>
      </c>
      <c r="E39" t="str">
        <f>IF(ISBLANK(General2022[[#This Row],[number_of_committee_board_members]]),"N/A",VLOOKUP(A39,General2022!B:M,10,FALSE))</f>
        <v>N/A</v>
      </c>
      <c r="F39" t="str">
        <f>IFERROR(Data2022[[#This Row],[Number of members]]-Data2022[[#This Row],[Number of active members]], "N/A")</f>
        <v>N/A</v>
      </c>
      <c r="G39" t="str">
        <f>IFERROR(Data2022[[#This Row],[Number of active members]]/Data2022[[#This Row],[Number of members]], "N/A")</f>
        <v>N/A</v>
      </c>
      <c r="H39" t="str">
        <f>IFERROR(1-Data2022[[#This Row],[Percentage active members]],"N/A")</f>
        <v>N/A</v>
      </c>
      <c r="I39" t="str">
        <f>IF(Data2022[[#This Row],[Number of members]]=0,"N/A",IF(Data2022[[#This Row],[Number of members]]&lt;50," A. 1 - 50 ",IF(Data2022[[#This Row],[Number of members]]&lt;100, "B. 50 - 100", IF(Data2022[[#This Row],[Number of members]]&lt;400, "C. 100 - 400", IF(Data2022[[#This Row],[Number of members]]&lt;1000,"D. 400 - 1000", "E. 1000 +")))))</f>
        <v>E. 1000 +</v>
      </c>
      <c r="J39" t="str">
        <f>IF(ISBLANK(General2022[[#This Row],[number_of_international_members_not_eea]]),"N/A",VLOOKUP(A39,General2022[[organisation_name]:[number_of_international_committee_board_members_not_eea]],9,FALSE))</f>
        <v>N/A</v>
      </c>
      <c r="K39" t="str">
        <f>IF(ISBLANK(General2022[[#This Row],[number_of_international_members_eea]]),"N/A",VLOOKUP(A39,General2022[[organisation_name]:[number_of_international_committee_board_members_not_eea]],8,FALSE))</f>
        <v>N/A</v>
      </c>
      <c r="L39" t="str">
        <f>IFERROR(IF(Data2022[[#This Row],[Number of members]]-Data2022[[#This Row],[Non-EEA Total]]-Data2022[[#This Row],[EEA total]]&lt;1,"N/A", Data2022[[#This Row],[Number of members]]-Data2022[[#This Row],[Non-EEA Total]]-Data2022[[#This Row],[EEA total]]),"N/A")</f>
        <v>N/A</v>
      </c>
      <c r="M39">
        <f>VLOOKUP(A39,General2022[[organisation_name]:[number_of_international_committee_board_members_not_eea]],12,FALSE)</f>
        <v>0</v>
      </c>
      <c r="N39">
        <f>VLOOKUP(A39,General2022[[organisation_name]:[number_of_international_committee_board_members_not_eea]],11,FALSE)</f>
        <v>0</v>
      </c>
      <c r="O39" t="str">
        <f>IFERROR(IF(Data2022[[#This Row],[Number of active members]]-Data2022[[#This Row],[Non-EEA Active ]]-Data2022[[#This Row],[EEA Active]]&lt;1,"N/A", Data2022[[#This Row],[Number of active members]]-Data2022[[#This Row],[Non-EEA Active ]]-Data2022[[#This Row],[EEA Active]]),"N/A")</f>
        <v>N/A</v>
      </c>
      <c r="P39" t="str">
        <f>IFERROR(Data2022[[#This Row],[Non-EEA Active ]]/Data2022[[#This Row],[Number of active members]],"N/A")</f>
        <v>N/A</v>
      </c>
      <c r="Q39" t="str">
        <f>IFERROR(Data2022[[#This Row],[EEA Active]]/Data2022[[#This Row],[EEA total]], "N/A")</f>
        <v>N/A</v>
      </c>
      <c r="R39" t="str">
        <f>IFERROR(Data2022[[#This Row],[Dutch Active]]/Data2022[[#This Row],[Dutch total]],"N/A")</f>
        <v>N/A</v>
      </c>
      <c r="S39" t="str">
        <f>IFERROR(IF(Data2022[[#This Row],[Number of members]]=Data2022[[#This Row],[Non-EEA Total]]+Data2022[[#This Row],[EEA total]]+Data2022[[#This Row],[Dutch total]],"T","F"),"F")</f>
        <v>F</v>
      </c>
      <c r="T39" t="str">
        <f>IFERROR(IF(Data2022[[#This Row],[Number of active members]]=Data2022[[#This Row],[Non-EEA Active ]]+Data2022[[#This Row],[EEA Active]]+Data2022[[#This Row],[Dutch Active]],"T","F"),"F")</f>
        <v>F</v>
      </c>
      <c r="U39" t="str">
        <f>IFERROR(IF(Data2022[[#This Row],[Number of members]]-Data2022[[#This Row],[Non-EEA Active ]]-Data2022[[#This Row],[EEA Active]]-Data2022[[#This Row],[Dutch Active]]=Data2022[[#This Row],[Number of  inactive members]],"T","F"),"F")</f>
        <v>F</v>
      </c>
      <c r="V39" t="str">
        <f>IF(Data2022[[#This Row],[EEA Active]]&lt;=Data2022[[#This Row],[EEA total]],"T","F")</f>
        <v>T</v>
      </c>
      <c r="W39" t="str">
        <f>IF(Data2022[[#This Row],[Dutch Active]]&lt;=Data2022[[#This Row],[Dutch total]],"T","F")</f>
        <v>T</v>
      </c>
      <c r="X39" t="str">
        <f>IF(Data2022[[#This Row],[Non-EEA Active ]]&lt;=Data2022[[#This Row],[Non-EEA Total]],"T","F")</f>
        <v>T</v>
      </c>
      <c r="Y3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39" t="str">
        <f>IFERROR(VLOOKUP(Data2022[[#This Row],[organisation_name]],'Division Study Year Committees'!$A$1:$L$108,2,FALSE),"N/A")</f>
        <v>N/A</v>
      </c>
      <c r="AA39" t="str">
        <f>IFERROR(VLOOKUP(Data2022[[#This Row],[organisation_name]],'Division Study Year Committees'!$A$1:$L$108,3,FALSE),"N/A")</f>
        <v>N/A</v>
      </c>
      <c r="AB39" t="str">
        <f>IFERROR(VLOOKUP(Data2022[[#This Row],[organisation_name]],'Division Study Year Committees'!$A$1:$L$108,4,FALSE),"N/A")</f>
        <v>N/A</v>
      </c>
      <c r="AC39" t="str">
        <f>IFERROR(VLOOKUP(Data2022[[#This Row],[organisation_name]],'Division Study Year Committees'!$A$1:$L$108,5,FALSE), "N/A")</f>
        <v>N/A</v>
      </c>
      <c r="AD39" t="str">
        <f>IFERROR(VLOOKUP(Data2022[[#This Row],[organisation_name]],'Division Study Year Committees'!$A$1:$L$108,6,FALSE), "N/A")</f>
        <v>N/A</v>
      </c>
      <c r="AE39">
        <f>SUM(Data2022[[#This Row],[Number of first year comittee members]:[Number of 4+ year comittee members]])</f>
        <v>0</v>
      </c>
      <c r="AF39">
        <f>COUNTIF('Committee2022'!D:D,Data2022[[#This Row],[organisation_name]])</f>
        <v>0</v>
      </c>
      <c r="AG39">
        <v>2022</v>
      </c>
    </row>
    <row r="40" spans="1:33" x14ac:dyDescent="0.3">
      <c r="A40" t="str">
        <f>General2022[[#This Row],[organisation_name]]</f>
        <v>SV Muurvast</v>
      </c>
      <c r="B40" t="str">
        <f>IF(General2022[[#This Row],[sector]]= "",VLOOKUP(Data2022[[#This Row],[organisation_name]],'Response Rate sheet'!A:D,3,FALSE),General2022[[#This Row],[sector]])</f>
        <v>Sports</v>
      </c>
      <c r="C40" t="str">
        <f>General2022[[#This Row],[organisation_type]]</f>
        <v>association</v>
      </c>
      <c r="D40" t="str">
        <f>IF(ISBLANK(General2022[[#This Row],[number_of_members]]),"N/A",VLOOKUP(A40,General2022[[organisation_name]:[number_of_international_committee_board_members_not_eea]],6,FALSE))</f>
        <v>N/A</v>
      </c>
      <c r="E40" t="str">
        <f>IF(ISBLANK(General2022[[#This Row],[number_of_committee_board_members]]),"N/A",VLOOKUP(A40,General2022!B:M,10,FALSE))</f>
        <v>N/A</v>
      </c>
      <c r="F40" t="str">
        <f>IFERROR(Data2022[[#This Row],[Number of members]]-Data2022[[#This Row],[Number of active members]], "N/A")</f>
        <v>N/A</v>
      </c>
      <c r="G40" t="str">
        <f>IFERROR(Data2022[[#This Row],[Number of active members]]/Data2022[[#This Row],[Number of members]], "N/A")</f>
        <v>N/A</v>
      </c>
      <c r="H40" t="str">
        <f>IFERROR(1-Data2022[[#This Row],[Percentage active members]],"N/A")</f>
        <v>N/A</v>
      </c>
      <c r="I40" t="str">
        <f>IF(Data2022[[#This Row],[Number of members]]=0,"N/A",IF(Data2022[[#This Row],[Number of members]]&lt;50," A. 1 - 50 ",IF(Data2022[[#This Row],[Number of members]]&lt;100, "B. 50 - 100", IF(Data2022[[#This Row],[Number of members]]&lt;400, "C. 100 - 400", IF(Data2022[[#This Row],[Number of members]]&lt;1000,"D. 400 - 1000", "E. 1000 +")))))</f>
        <v>E. 1000 +</v>
      </c>
      <c r="J40" t="str">
        <f>IF(ISBLANK(General2022[[#This Row],[number_of_international_members_not_eea]]),"N/A",VLOOKUP(A40,General2022[[organisation_name]:[number_of_international_committee_board_members_not_eea]],9,FALSE))</f>
        <v>N/A</v>
      </c>
      <c r="K40" t="str">
        <f>IF(ISBLANK(General2022[[#This Row],[number_of_international_members_eea]]),"N/A",VLOOKUP(A40,General2022[[organisation_name]:[number_of_international_committee_board_members_not_eea]],8,FALSE))</f>
        <v>N/A</v>
      </c>
      <c r="L40" t="str">
        <f>IFERROR(IF(Data2022[[#This Row],[Number of members]]-Data2022[[#This Row],[Non-EEA Total]]-Data2022[[#This Row],[EEA total]]&lt;1,"N/A", Data2022[[#This Row],[Number of members]]-Data2022[[#This Row],[Non-EEA Total]]-Data2022[[#This Row],[EEA total]]),"N/A")</f>
        <v>N/A</v>
      </c>
      <c r="M40">
        <f>VLOOKUP(A40,General2022[[organisation_name]:[number_of_international_committee_board_members_not_eea]],12,FALSE)</f>
        <v>0</v>
      </c>
      <c r="N40">
        <f>VLOOKUP(A40,General2022[[organisation_name]:[number_of_international_committee_board_members_not_eea]],11,FALSE)</f>
        <v>0</v>
      </c>
      <c r="O40" t="str">
        <f>IFERROR(IF(Data2022[[#This Row],[Number of active members]]-Data2022[[#This Row],[Non-EEA Active ]]-Data2022[[#This Row],[EEA Active]]&lt;1,"N/A", Data2022[[#This Row],[Number of active members]]-Data2022[[#This Row],[Non-EEA Active ]]-Data2022[[#This Row],[EEA Active]]),"N/A")</f>
        <v>N/A</v>
      </c>
      <c r="P40" t="str">
        <f>IFERROR(Data2022[[#This Row],[Non-EEA Active ]]/Data2022[[#This Row],[Number of active members]],"N/A")</f>
        <v>N/A</v>
      </c>
      <c r="Q40" t="str">
        <f>IFERROR(Data2022[[#This Row],[EEA Active]]/Data2022[[#This Row],[EEA total]], "N/A")</f>
        <v>N/A</v>
      </c>
      <c r="R40" t="str">
        <f>IFERROR(Data2022[[#This Row],[Dutch Active]]/Data2022[[#This Row],[Dutch total]],"N/A")</f>
        <v>N/A</v>
      </c>
      <c r="S40" t="str">
        <f>IFERROR(IF(Data2022[[#This Row],[Number of members]]=Data2022[[#This Row],[Non-EEA Total]]+Data2022[[#This Row],[EEA total]]+Data2022[[#This Row],[Dutch total]],"T","F"),"F")</f>
        <v>F</v>
      </c>
      <c r="T40" t="str">
        <f>IFERROR(IF(Data2022[[#This Row],[Number of active members]]=Data2022[[#This Row],[Non-EEA Active ]]+Data2022[[#This Row],[EEA Active]]+Data2022[[#This Row],[Dutch Active]],"T","F"),"F")</f>
        <v>F</v>
      </c>
      <c r="U40" t="str">
        <f>IFERROR(IF(Data2022[[#This Row],[Number of members]]-Data2022[[#This Row],[Non-EEA Active ]]-Data2022[[#This Row],[EEA Active]]-Data2022[[#This Row],[Dutch Active]]=Data2022[[#This Row],[Number of  inactive members]],"T","F"),"F")</f>
        <v>F</v>
      </c>
      <c r="V40" t="str">
        <f>IF(Data2022[[#This Row],[EEA Active]]&lt;=Data2022[[#This Row],[EEA total]],"T","F")</f>
        <v>T</v>
      </c>
      <c r="W40" t="str">
        <f>IF(Data2022[[#This Row],[Dutch Active]]&lt;=Data2022[[#This Row],[Dutch total]],"T","F")</f>
        <v>T</v>
      </c>
      <c r="X40" t="str">
        <f>IF(Data2022[[#This Row],[Non-EEA Active ]]&lt;=Data2022[[#This Row],[Non-EEA Total]],"T","F")</f>
        <v>T</v>
      </c>
      <c r="Y4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0" t="str">
        <f>IFERROR(VLOOKUP(Data2022[[#This Row],[organisation_name]],'Division Study Year Committees'!$A$1:$L$108,2,FALSE),"N/A")</f>
        <v>N/A</v>
      </c>
      <c r="AA40" t="str">
        <f>IFERROR(VLOOKUP(Data2022[[#This Row],[organisation_name]],'Division Study Year Committees'!$A$1:$L$108,3,FALSE),"N/A")</f>
        <v>N/A</v>
      </c>
      <c r="AB40" t="str">
        <f>IFERROR(VLOOKUP(Data2022[[#This Row],[organisation_name]],'Division Study Year Committees'!$A$1:$L$108,4,FALSE),"N/A")</f>
        <v>N/A</v>
      </c>
      <c r="AC40" t="str">
        <f>IFERROR(VLOOKUP(Data2022[[#This Row],[organisation_name]],'Division Study Year Committees'!$A$1:$L$108,5,FALSE), "N/A")</f>
        <v>N/A</v>
      </c>
      <c r="AD40" t="str">
        <f>IFERROR(VLOOKUP(Data2022[[#This Row],[organisation_name]],'Division Study Year Committees'!$A$1:$L$108,6,FALSE), "N/A")</f>
        <v>N/A</v>
      </c>
      <c r="AE40">
        <f>SUM(Data2022[[#This Row],[Number of first year comittee members]:[Number of 4+ year comittee members]])</f>
        <v>0</v>
      </c>
      <c r="AF40">
        <f>COUNTIF('Committee2022'!D:D,Data2022[[#This Row],[organisation_name]])</f>
        <v>0</v>
      </c>
      <c r="AG40">
        <v>2022</v>
      </c>
    </row>
    <row r="41" spans="1:33" x14ac:dyDescent="0.3">
      <c r="A41" t="str">
        <f>General2022[[#This Row],[organisation_name]]</f>
        <v>DKV De Zeeuven Reen</v>
      </c>
      <c r="B41" t="str">
        <f>IF(General2022[[#This Row],[sector]]= "",VLOOKUP(Data2022[[#This Row],[organisation_name]],'Response Rate sheet'!A:D,3,FALSE),General2022[[#This Row],[sector]])</f>
        <v>Sports</v>
      </c>
      <c r="C41" t="str">
        <f>General2022[[#This Row],[organisation_type]]</f>
        <v>association</v>
      </c>
      <c r="D41" t="str">
        <f>IF(ISBLANK(General2022[[#This Row],[number_of_members]]),"N/A",VLOOKUP(A41,General2022[[organisation_name]:[number_of_international_committee_board_members_not_eea]],6,FALSE))</f>
        <v>N/A</v>
      </c>
      <c r="E41" t="str">
        <f>IF(ISBLANK(General2022[[#This Row],[number_of_committee_board_members]]),"N/A",VLOOKUP(A41,General2022!B:M,10,FALSE))</f>
        <v>N/A</v>
      </c>
      <c r="F41" t="str">
        <f>IFERROR(Data2022[[#This Row],[Number of members]]-Data2022[[#This Row],[Number of active members]], "N/A")</f>
        <v>N/A</v>
      </c>
      <c r="G41" t="str">
        <f>IFERROR(Data2022[[#This Row],[Number of active members]]/Data2022[[#This Row],[Number of members]], "N/A")</f>
        <v>N/A</v>
      </c>
      <c r="H41" t="str">
        <f>IFERROR(1-Data2022[[#This Row],[Percentage active members]],"N/A")</f>
        <v>N/A</v>
      </c>
      <c r="I41" t="str">
        <f>IF(Data2022[[#This Row],[Number of members]]=0,"N/A",IF(Data2022[[#This Row],[Number of members]]&lt;50," A. 1 - 50 ",IF(Data2022[[#This Row],[Number of members]]&lt;100, "B. 50 - 100", IF(Data2022[[#This Row],[Number of members]]&lt;400, "C. 100 - 400", IF(Data2022[[#This Row],[Number of members]]&lt;1000,"D. 400 - 1000", "E. 1000 +")))))</f>
        <v>E. 1000 +</v>
      </c>
      <c r="J41" t="str">
        <f>IF(ISBLANK(General2022[[#This Row],[number_of_international_members_not_eea]]),"N/A",VLOOKUP(A41,General2022[[organisation_name]:[number_of_international_committee_board_members_not_eea]],9,FALSE))</f>
        <v>N/A</v>
      </c>
      <c r="K41" t="str">
        <f>IF(ISBLANK(General2022[[#This Row],[number_of_international_members_eea]]),"N/A",VLOOKUP(A41,General2022[[organisation_name]:[number_of_international_committee_board_members_not_eea]],8,FALSE))</f>
        <v>N/A</v>
      </c>
      <c r="L41" t="str">
        <f>IFERROR(IF(Data2022[[#This Row],[Number of members]]-Data2022[[#This Row],[Non-EEA Total]]-Data2022[[#This Row],[EEA total]]&lt;1,"N/A", Data2022[[#This Row],[Number of members]]-Data2022[[#This Row],[Non-EEA Total]]-Data2022[[#This Row],[EEA total]]),"N/A")</f>
        <v>N/A</v>
      </c>
      <c r="M41">
        <f>VLOOKUP(A41,General2022[[organisation_name]:[number_of_international_committee_board_members_not_eea]],12,FALSE)</f>
        <v>0</v>
      </c>
      <c r="N41">
        <f>VLOOKUP(A41,General2022[[organisation_name]:[number_of_international_committee_board_members_not_eea]],11,FALSE)</f>
        <v>0</v>
      </c>
      <c r="O41" t="str">
        <f>IFERROR(IF(Data2022[[#This Row],[Number of active members]]-Data2022[[#This Row],[Non-EEA Active ]]-Data2022[[#This Row],[EEA Active]]&lt;1,"N/A", Data2022[[#This Row],[Number of active members]]-Data2022[[#This Row],[Non-EEA Active ]]-Data2022[[#This Row],[EEA Active]]),"N/A")</f>
        <v>N/A</v>
      </c>
      <c r="P41" t="str">
        <f>IFERROR(Data2022[[#This Row],[Non-EEA Active ]]/Data2022[[#This Row],[Number of active members]],"N/A")</f>
        <v>N/A</v>
      </c>
      <c r="Q41" t="str">
        <f>IFERROR(Data2022[[#This Row],[EEA Active]]/Data2022[[#This Row],[EEA total]], "N/A")</f>
        <v>N/A</v>
      </c>
      <c r="R41" t="str">
        <f>IFERROR(Data2022[[#This Row],[Dutch Active]]/Data2022[[#This Row],[Dutch total]],"N/A")</f>
        <v>N/A</v>
      </c>
      <c r="S41" t="str">
        <f>IFERROR(IF(Data2022[[#This Row],[Number of members]]=Data2022[[#This Row],[Non-EEA Total]]+Data2022[[#This Row],[EEA total]]+Data2022[[#This Row],[Dutch total]],"T","F"),"F")</f>
        <v>F</v>
      </c>
      <c r="T41" t="str">
        <f>IFERROR(IF(Data2022[[#This Row],[Number of active members]]=Data2022[[#This Row],[Non-EEA Active ]]+Data2022[[#This Row],[EEA Active]]+Data2022[[#This Row],[Dutch Active]],"T","F"),"F")</f>
        <v>F</v>
      </c>
      <c r="U41" t="str">
        <f>IFERROR(IF(Data2022[[#This Row],[Number of members]]-Data2022[[#This Row],[Non-EEA Active ]]-Data2022[[#This Row],[EEA Active]]-Data2022[[#This Row],[Dutch Active]]=Data2022[[#This Row],[Number of  inactive members]],"T","F"),"F")</f>
        <v>F</v>
      </c>
      <c r="V41" t="str">
        <f>IF(Data2022[[#This Row],[EEA Active]]&lt;=Data2022[[#This Row],[EEA total]],"T","F")</f>
        <v>T</v>
      </c>
      <c r="W41" t="str">
        <f>IF(Data2022[[#This Row],[Dutch Active]]&lt;=Data2022[[#This Row],[Dutch total]],"T","F")</f>
        <v>T</v>
      </c>
      <c r="X41" t="str">
        <f>IF(Data2022[[#This Row],[Non-EEA Active ]]&lt;=Data2022[[#This Row],[Non-EEA Total]],"T","F")</f>
        <v>T</v>
      </c>
      <c r="Y4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1" t="str">
        <f>IFERROR(VLOOKUP(Data2022[[#This Row],[organisation_name]],'Division Study Year Committees'!$A$1:$L$108,2,FALSE),"N/A")</f>
        <v>N/A</v>
      </c>
      <c r="AA41" t="str">
        <f>IFERROR(VLOOKUP(Data2022[[#This Row],[organisation_name]],'Division Study Year Committees'!$A$1:$L$108,3,FALSE),"N/A")</f>
        <v>N/A</v>
      </c>
      <c r="AB41" t="str">
        <f>IFERROR(VLOOKUP(Data2022[[#This Row],[organisation_name]],'Division Study Year Committees'!$A$1:$L$108,4,FALSE),"N/A")</f>
        <v>N/A</v>
      </c>
      <c r="AC41" t="str">
        <f>IFERROR(VLOOKUP(Data2022[[#This Row],[organisation_name]],'Division Study Year Committees'!$A$1:$L$108,5,FALSE), "N/A")</f>
        <v>N/A</v>
      </c>
      <c r="AD41" t="str">
        <f>IFERROR(VLOOKUP(Data2022[[#This Row],[organisation_name]],'Division Study Year Committees'!$A$1:$L$108,6,FALSE), "N/A")</f>
        <v>N/A</v>
      </c>
      <c r="AE41">
        <f>SUM(Data2022[[#This Row],[Number of first year comittee members]:[Number of 4+ year comittee members]])</f>
        <v>0</v>
      </c>
      <c r="AF41">
        <f>COUNTIF('Committee2022'!D:D,Data2022[[#This Row],[organisation_name]])</f>
        <v>0</v>
      </c>
      <c r="AG41">
        <v>2022</v>
      </c>
    </row>
    <row r="42" spans="1:33" x14ac:dyDescent="0.3">
      <c r="A42" t="str">
        <f>General2022[[#This Row],[organisation_name]]</f>
        <v>BlueShell</v>
      </c>
      <c r="B42" t="str">
        <f>IF(General2022[[#This Row],[sector]]= "",VLOOKUP(Data2022[[#This Row],[organisation_name]],'Response Rate sheet'!A:D,3,FALSE),General2022[[#This Row],[sector]])</f>
        <v>Sports</v>
      </c>
      <c r="C42" t="str">
        <f>General2022[[#This Row],[organisation_type]]</f>
        <v>association</v>
      </c>
      <c r="D42">
        <f>IF(ISBLANK(General2022[[#This Row],[number_of_members]]),"N/A",VLOOKUP(A42,General2022[[organisation_name]:[number_of_international_committee_board_members_not_eea]],6,FALSE))</f>
        <v>180</v>
      </c>
      <c r="E42">
        <f>IF(ISBLANK(General2022[[#This Row],[number_of_committee_board_members]]),"N/A",VLOOKUP(A42,General2022!B:M,10,FALSE))</f>
        <v>30</v>
      </c>
      <c r="F42">
        <f>IFERROR(Data2022[[#This Row],[Number of members]]-Data2022[[#This Row],[Number of active members]], "N/A")</f>
        <v>150</v>
      </c>
      <c r="G42">
        <f>IFERROR(Data2022[[#This Row],[Number of active members]]/Data2022[[#This Row],[Number of members]], "N/A")</f>
        <v>0.16666666666666666</v>
      </c>
      <c r="H42">
        <f>IFERROR(1-Data2022[[#This Row],[Percentage active members]],"N/A")</f>
        <v>0.83333333333333337</v>
      </c>
      <c r="I42" t="str">
        <f>IF(Data2022[[#This Row],[Number of members]]=0,"N/A",IF(Data2022[[#This Row],[Number of members]]&lt;50," A. 1 - 50 ",IF(Data2022[[#This Row],[Number of members]]&lt;100, "B. 50 - 100", IF(Data2022[[#This Row],[Number of members]]&lt;400, "C. 100 - 400", IF(Data2022[[#This Row],[Number of members]]&lt;1000,"D. 400 - 1000", "E. 1000 +")))))</f>
        <v>C. 100 - 400</v>
      </c>
      <c r="J42">
        <f>IF(ISBLANK(General2022[[#This Row],[number_of_international_members_not_eea]]),"N/A",VLOOKUP(A42,General2022[[organisation_name]:[number_of_international_committee_board_members_not_eea]],9,FALSE))</f>
        <v>60</v>
      </c>
      <c r="K42">
        <f>IF(ISBLANK(General2022[[#This Row],[number_of_international_members_eea]]),"N/A",VLOOKUP(A42,General2022[[organisation_name]:[number_of_international_committee_board_members_not_eea]],8,FALSE))</f>
        <v>30</v>
      </c>
      <c r="L42">
        <f>IFERROR(IF(Data2022[[#This Row],[Number of members]]-Data2022[[#This Row],[Non-EEA Total]]-Data2022[[#This Row],[EEA total]]&lt;1,"N/A", Data2022[[#This Row],[Number of members]]-Data2022[[#This Row],[Non-EEA Total]]-Data2022[[#This Row],[EEA total]]),"N/A")</f>
        <v>90</v>
      </c>
      <c r="M42">
        <f>VLOOKUP(A42,General2022[[organisation_name]:[number_of_international_committee_board_members_not_eea]],12,FALSE)</f>
        <v>25</v>
      </c>
      <c r="N42">
        <f>VLOOKUP(A42,General2022[[organisation_name]:[number_of_international_committee_board_members_not_eea]],11,FALSE)</f>
        <v>25</v>
      </c>
      <c r="O42" t="str">
        <f>IFERROR(IF(Data2022[[#This Row],[Number of active members]]-Data2022[[#This Row],[Non-EEA Active ]]-Data2022[[#This Row],[EEA Active]]&lt;1,"N/A", Data2022[[#This Row],[Number of active members]]-Data2022[[#This Row],[Non-EEA Active ]]-Data2022[[#This Row],[EEA Active]]),"N/A")</f>
        <v>N/A</v>
      </c>
      <c r="P42">
        <f>IFERROR(Data2022[[#This Row],[Non-EEA Active ]]/Data2022[[#This Row],[Number of active members]],"N/A")</f>
        <v>0.83333333333333337</v>
      </c>
      <c r="Q42">
        <f>IFERROR(Data2022[[#This Row],[EEA Active]]/Data2022[[#This Row],[EEA total]], "N/A")</f>
        <v>0.83333333333333337</v>
      </c>
      <c r="R42" t="str">
        <f>IFERROR(Data2022[[#This Row],[Dutch Active]]/Data2022[[#This Row],[Dutch total]],"N/A")</f>
        <v>N/A</v>
      </c>
      <c r="S42" t="str">
        <f>IFERROR(IF(Data2022[[#This Row],[Number of members]]=Data2022[[#This Row],[Non-EEA Total]]+Data2022[[#This Row],[EEA total]]+Data2022[[#This Row],[Dutch total]],"T","F"),"F")</f>
        <v>T</v>
      </c>
      <c r="T42" t="str">
        <f>IFERROR(IF(Data2022[[#This Row],[Number of active members]]=Data2022[[#This Row],[Non-EEA Active ]]+Data2022[[#This Row],[EEA Active]]+Data2022[[#This Row],[Dutch Active]],"T","F"),"F")</f>
        <v>F</v>
      </c>
      <c r="U42" t="str">
        <f>IFERROR(IF(Data2022[[#This Row],[Number of members]]-Data2022[[#This Row],[Non-EEA Active ]]-Data2022[[#This Row],[EEA Active]]-Data2022[[#This Row],[Dutch Active]]=Data2022[[#This Row],[Number of  inactive members]],"T","F"),"F")</f>
        <v>F</v>
      </c>
      <c r="V42" t="str">
        <f>IF(Data2022[[#This Row],[EEA Active]]&lt;=Data2022[[#This Row],[EEA total]],"T","F")</f>
        <v>T</v>
      </c>
      <c r="W42" t="str">
        <f>IF(Data2022[[#This Row],[Dutch Active]]&lt;=Data2022[[#This Row],[Dutch total]],"T","F")</f>
        <v>F</v>
      </c>
      <c r="X42" t="str">
        <f>IF(Data2022[[#This Row],[Non-EEA Active ]]&lt;=Data2022[[#This Row],[Non-EEA Total]],"T","F")</f>
        <v>T</v>
      </c>
      <c r="Y4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2" t="str">
        <f>IFERROR(VLOOKUP(Data2022[[#This Row],[organisation_name]],'Division Study Year Committees'!$A$1:$L$108,2,FALSE),"N/A")</f>
        <v>N/A</v>
      </c>
      <c r="AA42" t="str">
        <f>IFERROR(VLOOKUP(Data2022[[#This Row],[organisation_name]],'Division Study Year Committees'!$A$1:$L$108,3,FALSE),"N/A")</f>
        <v>N/A</v>
      </c>
      <c r="AB42" t="str">
        <f>IFERROR(VLOOKUP(Data2022[[#This Row],[organisation_name]],'Division Study Year Committees'!$A$1:$L$108,4,FALSE),"N/A")</f>
        <v>N/A</v>
      </c>
      <c r="AC42" t="str">
        <f>IFERROR(VLOOKUP(Data2022[[#This Row],[organisation_name]],'Division Study Year Committees'!$A$1:$L$108,5,FALSE), "N/A")</f>
        <v>N/A</v>
      </c>
      <c r="AD42" t="str">
        <f>IFERROR(VLOOKUP(Data2022[[#This Row],[organisation_name]],'Division Study Year Committees'!$A$1:$L$108,6,FALSE), "N/A")</f>
        <v>N/A</v>
      </c>
      <c r="AE42">
        <f>SUM(Data2022[[#This Row],[Number of first year comittee members]:[Number of 4+ year comittee members]])</f>
        <v>0</v>
      </c>
      <c r="AF42">
        <f>COUNTIF('Committee2022'!D:D,Data2022[[#This Row],[organisation_name]])</f>
        <v>16</v>
      </c>
      <c r="AG42">
        <v>2022</v>
      </c>
    </row>
    <row r="43" spans="1:33" x14ac:dyDescent="0.3">
      <c r="A43" t="str">
        <f>General2022[[#This Row],[organisation_name]]</f>
        <v>4 happy feet</v>
      </c>
      <c r="B43" t="str">
        <f>IF(General2022[[#This Row],[sector]]= "",VLOOKUP(Data2022[[#This Row],[organisation_name]],'Response Rate sheet'!A:D,3,FALSE),General2022[[#This Row],[sector]])</f>
        <v>Culture</v>
      </c>
      <c r="C43" t="str">
        <f>General2022[[#This Row],[organisation_type]]</f>
        <v>association</v>
      </c>
      <c r="D43">
        <f>IF(ISBLANK(General2022[[#This Row],[number_of_members]]),"N/A",VLOOKUP(A43,General2022[[organisation_name]:[number_of_international_committee_board_members_not_eea]],6,FALSE))</f>
        <v>190</v>
      </c>
      <c r="E43">
        <f>IF(ISBLANK(General2022[[#This Row],[number_of_committee_board_members]]),"N/A",VLOOKUP(A43,General2022!B:M,10,FALSE))</f>
        <v>0</v>
      </c>
      <c r="F43">
        <f>IFERROR(Data2022[[#This Row],[Number of members]]-Data2022[[#This Row],[Number of active members]], "N/A")</f>
        <v>190</v>
      </c>
      <c r="G43">
        <f>IFERROR(Data2022[[#This Row],[Number of active members]]/Data2022[[#This Row],[Number of members]], "N/A")</f>
        <v>0</v>
      </c>
      <c r="H43">
        <f>IFERROR(1-Data2022[[#This Row],[Percentage active members]],"N/A")</f>
        <v>1</v>
      </c>
      <c r="I43" t="str">
        <f>IF(Data2022[[#This Row],[Number of members]]=0,"N/A",IF(Data2022[[#This Row],[Number of members]]&lt;50," A. 1 - 50 ",IF(Data2022[[#This Row],[Number of members]]&lt;100, "B. 50 - 100", IF(Data2022[[#This Row],[Number of members]]&lt;400, "C. 100 - 400", IF(Data2022[[#This Row],[Number of members]]&lt;1000,"D. 400 - 1000", "E. 1000 +")))))</f>
        <v>C. 100 - 400</v>
      </c>
      <c r="J43">
        <f>IF(ISBLANK(General2022[[#This Row],[number_of_international_members_not_eea]]),"N/A",VLOOKUP(A43,General2022[[organisation_name]:[number_of_international_committee_board_members_not_eea]],9,FALSE))</f>
        <v>40</v>
      </c>
      <c r="K43">
        <f>IF(ISBLANK(General2022[[#This Row],[number_of_international_members_eea]]),"N/A",VLOOKUP(A43,General2022[[organisation_name]:[number_of_international_committee_board_members_not_eea]],8,FALSE))</f>
        <v>50</v>
      </c>
      <c r="L43">
        <f>IFERROR(IF(Data2022[[#This Row],[Number of members]]-Data2022[[#This Row],[Non-EEA Total]]-Data2022[[#This Row],[EEA total]]&lt;1,"N/A", Data2022[[#This Row],[Number of members]]-Data2022[[#This Row],[Non-EEA Total]]-Data2022[[#This Row],[EEA total]]),"N/A")</f>
        <v>100</v>
      </c>
      <c r="M43">
        <f>VLOOKUP(A43,General2022[[organisation_name]:[number_of_international_committee_board_members_not_eea]],12,FALSE)</f>
        <v>0</v>
      </c>
      <c r="N43">
        <f>VLOOKUP(A43,General2022[[organisation_name]:[number_of_international_committee_board_members_not_eea]],11,FALSE)</f>
        <v>0</v>
      </c>
      <c r="O43" t="str">
        <f>IFERROR(IF(Data2022[[#This Row],[Number of active members]]-Data2022[[#This Row],[Non-EEA Active ]]-Data2022[[#This Row],[EEA Active]]&lt;1,"N/A", Data2022[[#This Row],[Number of active members]]-Data2022[[#This Row],[Non-EEA Active ]]-Data2022[[#This Row],[EEA Active]]),"N/A")</f>
        <v>N/A</v>
      </c>
      <c r="P43" t="str">
        <f>IFERROR(Data2022[[#This Row],[Non-EEA Active ]]/Data2022[[#This Row],[Number of active members]],"N/A")</f>
        <v>N/A</v>
      </c>
      <c r="Q43">
        <f>IFERROR(Data2022[[#This Row],[EEA Active]]/Data2022[[#This Row],[EEA total]], "N/A")</f>
        <v>0</v>
      </c>
      <c r="R43" t="str">
        <f>IFERROR(Data2022[[#This Row],[Dutch Active]]/Data2022[[#This Row],[Dutch total]],"N/A")</f>
        <v>N/A</v>
      </c>
      <c r="S43" t="str">
        <f>IFERROR(IF(Data2022[[#This Row],[Number of members]]=Data2022[[#This Row],[Non-EEA Total]]+Data2022[[#This Row],[EEA total]]+Data2022[[#This Row],[Dutch total]],"T","F"),"F")</f>
        <v>T</v>
      </c>
      <c r="T43" t="str">
        <f>IFERROR(IF(Data2022[[#This Row],[Number of active members]]=Data2022[[#This Row],[Non-EEA Active ]]+Data2022[[#This Row],[EEA Active]]+Data2022[[#This Row],[Dutch Active]],"T","F"),"F")</f>
        <v>F</v>
      </c>
      <c r="U43" t="str">
        <f>IFERROR(IF(Data2022[[#This Row],[Number of members]]-Data2022[[#This Row],[Non-EEA Active ]]-Data2022[[#This Row],[EEA Active]]-Data2022[[#This Row],[Dutch Active]]=Data2022[[#This Row],[Number of  inactive members]],"T","F"),"F")</f>
        <v>F</v>
      </c>
      <c r="V43" t="str">
        <f>IF(Data2022[[#This Row],[EEA Active]]&lt;=Data2022[[#This Row],[EEA total]],"T","F")</f>
        <v>T</v>
      </c>
      <c r="W43" t="str">
        <f>IF(Data2022[[#This Row],[Dutch Active]]&lt;=Data2022[[#This Row],[Dutch total]],"T","F")</f>
        <v>F</v>
      </c>
      <c r="X43" t="str">
        <f>IF(Data2022[[#This Row],[Non-EEA Active ]]&lt;=Data2022[[#This Row],[Non-EEA Total]],"T","F")</f>
        <v>T</v>
      </c>
      <c r="Y4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3" t="str">
        <f>IFERROR(VLOOKUP(Data2022[[#This Row],[organisation_name]],'Division Study Year Committees'!$A$1:$L$108,2,FALSE),"N/A")</f>
        <v>N/A</v>
      </c>
      <c r="AA43" t="str">
        <f>IFERROR(VLOOKUP(Data2022[[#This Row],[organisation_name]],'Division Study Year Committees'!$A$1:$L$108,3,FALSE),"N/A")</f>
        <v>N/A</v>
      </c>
      <c r="AB43" t="str">
        <f>IFERROR(VLOOKUP(Data2022[[#This Row],[organisation_name]],'Division Study Year Committees'!$A$1:$L$108,4,FALSE),"N/A")</f>
        <v>N/A</v>
      </c>
      <c r="AC43" t="str">
        <f>IFERROR(VLOOKUP(Data2022[[#This Row],[organisation_name]],'Division Study Year Committees'!$A$1:$L$108,5,FALSE), "N/A")</f>
        <v>N/A</v>
      </c>
      <c r="AD43" t="str">
        <f>IFERROR(VLOOKUP(Data2022[[#This Row],[organisation_name]],'Division Study Year Committees'!$A$1:$L$108,6,FALSE), "N/A")</f>
        <v>N/A</v>
      </c>
      <c r="AE43">
        <f>SUM(Data2022[[#This Row],[Number of first year comittee members]:[Number of 4+ year comittee members]])</f>
        <v>0</v>
      </c>
      <c r="AF43">
        <f>COUNTIF('Committee2022'!D:D,Data2022[[#This Row],[organisation_name]])</f>
        <v>17</v>
      </c>
      <c r="AG43">
        <v>2022</v>
      </c>
    </row>
    <row r="44" spans="1:33" x14ac:dyDescent="0.3">
      <c r="A44" t="str">
        <f>General2022[[#This Row],[organisation_name]]</f>
        <v>AFVD Foton</v>
      </c>
      <c r="B44" t="str">
        <f>IF(General2022[[#This Row],[sector]]= "",VLOOKUP(Data2022[[#This Row],[organisation_name]],'Response Rate sheet'!A:D,3,FALSE),General2022[[#This Row],[sector]])</f>
        <v>Culture</v>
      </c>
      <c r="C44" t="str">
        <f>General2022[[#This Row],[organisation_type]]</f>
        <v>association</v>
      </c>
      <c r="D44" t="str">
        <f>IF(ISBLANK(General2022[[#This Row],[number_of_members]]),"N/A",VLOOKUP(A44,General2022[[organisation_name]:[number_of_international_committee_board_members_not_eea]],6,FALSE))</f>
        <v>N/A</v>
      </c>
      <c r="E44" t="str">
        <f>IF(ISBLANK(General2022[[#This Row],[number_of_committee_board_members]]),"N/A",VLOOKUP(A44,General2022!B:M,10,FALSE))</f>
        <v>N/A</v>
      </c>
      <c r="F44" t="str">
        <f>IFERROR(Data2022[[#This Row],[Number of members]]-Data2022[[#This Row],[Number of active members]], "N/A")</f>
        <v>N/A</v>
      </c>
      <c r="G44" t="str">
        <f>IFERROR(Data2022[[#This Row],[Number of active members]]/Data2022[[#This Row],[Number of members]], "N/A")</f>
        <v>N/A</v>
      </c>
      <c r="H44" t="str">
        <f>IFERROR(1-Data2022[[#This Row],[Percentage active members]],"N/A")</f>
        <v>N/A</v>
      </c>
      <c r="I44" t="str">
        <f>IF(Data2022[[#This Row],[Number of members]]=0,"N/A",IF(Data2022[[#This Row],[Number of members]]&lt;50," A. 1 - 50 ",IF(Data2022[[#This Row],[Number of members]]&lt;100, "B. 50 - 100", IF(Data2022[[#This Row],[Number of members]]&lt;400, "C. 100 - 400", IF(Data2022[[#This Row],[Number of members]]&lt;1000,"D. 400 - 1000", "E. 1000 +")))))</f>
        <v>E. 1000 +</v>
      </c>
      <c r="J44" t="str">
        <f>IF(ISBLANK(General2022[[#This Row],[number_of_international_members_not_eea]]),"N/A",VLOOKUP(A44,General2022[[organisation_name]:[number_of_international_committee_board_members_not_eea]],9,FALSE))</f>
        <v>N/A</v>
      </c>
      <c r="K44" t="str">
        <f>IF(ISBLANK(General2022[[#This Row],[number_of_international_members_eea]]),"N/A",VLOOKUP(A44,General2022[[organisation_name]:[number_of_international_committee_board_members_not_eea]],8,FALSE))</f>
        <v>N/A</v>
      </c>
      <c r="L44" t="str">
        <f>IFERROR(IF(Data2022[[#This Row],[Number of members]]-Data2022[[#This Row],[Non-EEA Total]]-Data2022[[#This Row],[EEA total]]&lt;1,"N/A", Data2022[[#This Row],[Number of members]]-Data2022[[#This Row],[Non-EEA Total]]-Data2022[[#This Row],[EEA total]]),"N/A")</f>
        <v>N/A</v>
      </c>
      <c r="M44">
        <f>VLOOKUP(A44,General2022[[organisation_name]:[number_of_international_committee_board_members_not_eea]],12,FALSE)</f>
        <v>0</v>
      </c>
      <c r="N44">
        <f>VLOOKUP(A44,General2022[[organisation_name]:[number_of_international_committee_board_members_not_eea]],11,FALSE)</f>
        <v>0</v>
      </c>
      <c r="O44" t="str">
        <f>IFERROR(IF(Data2022[[#This Row],[Number of active members]]-Data2022[[#This Row],[Non-EEA Active ]]-Data2022[[#This Row],[EEA Active]]&lt;1,"N/A", Data2022[[#This Row],[Number of active members]]-Data2022[[#This Row],[Non-EEA Active ]]-Data2022[[#This Row],[EEA Active]]),"N/A")</f>
        <v>N/A</v>
      </c>
      <c r="P44" t="str">
        <f>IFERROR(Data2022[[#This Row],[Non-EEA Active ]]/Data2022[[#This Row],[Number of active members]],"N/A")</f>
        <v>N/A</v>
      </c>
      <c r="Q44" t="str">
        <f>IFERROR(Data2022[[#This Row],[EEA Active]]/Data2022[[#This Row],[EEA total]], "N/A")</f>
        <v>N/A</v>
      </c>
      <c r="R44" t="str">
        <f>IFERROR(Data2022[[#This Row],[Dutch Active]]/Data2022[[#This Row],[Dutch total]],"N/A")</f>
        <v>N/A</v>
      </c>
      <c r="S44" t="str">
        <f>IFERROR(IF(Data2022[[#This Row],[Number of members]]=Data2022[[#This Row],[Non-EEA Total]]+Data2022[[#This Row],[EEA total]]+Data2022[[#This Row],[Dutch total]],"T","F"),"F")</f>
        <v>F</v>
      </c>
      <c r="T44" t="str">
        <f>IFERROR(IF(Data2022[[#This Row],[Number of active members]]=Data2022[[#This Row],[Non-EEA Active ]]+Data2022[[#This Row],[EEA Active]]+Data2022[[#This Row],[Dutch Active]],"T","F"),"F")</f>
        <v>F</v>
      </c>
      <c r="U44" t="str">
        <f>IFERROR(IF(Data2022[[#This Row],[Number of members]]-Data2022[[#This Row],[Non-EEA Active ]]-Data2022[[#This Row],[EEA Active]]-Data2022[[#This Row],[Dutch Active]]=Data2022[[#This Row],[Number of  inactive members]],"T","F"),"F")</f>
        <v>F</v>
      </c>
      <c r="V44" t="str">
        <f>IF(Data2022[[#This Row],[EEA Active]]&lt;=Data2022[[#This Row],[EEA total]],"T","F")</f>
        <v>T</v>
      </c>
      <c r="W44" t="str">
        <f>IF(Data2022[[#This Row],[Dutch Active]]&lt;=Data2022[[#This Row],[Dutch total]],"T","F")</f>
        <v>T</v>
      </c>
      <c r="X44" t="str">
        <f>IF(Data2022[[#This Row],[Non-EEA Active ]]&lt;=Data2022[[#This Row],[Non-EEA Total]],"T","F")</f>
        <v>T</v>
      </c>
      <c r="Y4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4" t="str">
        <f>IFERROR(VLOOKUP(Data2022[[#This Row],[organisation_name]],'Division Study Year Committees'!$A$1:$L$108,2,FALSE),"N/A")</f>
        <v>N/A</v>
      </c>
      <c r="AA44" t="str">
        <f>IFERROR(VLOOKUP(Data2022[[#This Row],[organisation_name]],'Division Study Year Committees'!$A$1:$L$108,3,FALSE),"N/A")</f>
        <v>N/A</v>
      </c>
      <c r="AB44" t="str">
        <f>IFERROR(VLOOKUP(Data2022[[#This Row],[organisation_name]],'Division Study Year Committees'!$A$1:$L$108,4,FALSE),"N/A")</f>
        <v>N/A</v>
      </c>
      <c r="AC44" t="str">
        <f>IFERROR(VLOOKUP(Data2022[[#This Row],[organisation_name]],'Division Study Year Committees'!$A$1:$L$108,5,FALSE), "N/A")</f>
        <v>N/A</v>
      </c>
      <c r="AD44" t="str">
        <f>IFERROR(VLOOKUP(Data2022[[#This Row],[organisation_name]],'Division Study Year Committees'!$A$1:$L$108,6,FALSE), "N/A")</f>
        <v>N/A</v>
      </c>
      <c r="AE44">
        <f>SUM(Data2022[[#This Row],[Number of first year comittee members]:[Number of 4+ year comittee members]])</f>
        <v>0</v>
      </c>
      <c r="AF44">
        <f>COUNTIF('Committee2022'!D:D,Data2022[[#This Row],[organisation_name]])</f>
        <v>0</v>
      </c>
      <c r="AG44">
        <v>2022</v>
      </c>
    </row>
    <row r="45" spans="1:33" x14ac:dyDescent="0.3">
      <c r="A45" t="str">
        <f>General2022[[#This Row],[organisation_name]]</f>
        <v>Arabesque</v>
      </c>
      <c r="B45" t="str">
        <f>IF(General2022[[#This Row],[sector]]= "",VLOOKUP(Data2022[[#This Row],[organisation_name]],'Response Rate sheet'!A:D,3,FALSE),General2022[[#This Row],[sector]])</f>
        <v>Culture</v>
      </c>
      <c r="C45" t="str">
        <f>General2022[[#This Row],[organisation_type]]</f>
        <v>association</v>
      </c>
      <c r="D45">
        <f>IF(ISBLANK(General2022[[#This Row],[number_of_members]]),"N/A",VLOOKUP(A45,General2022[[organisation_name]:[number_of_international_committee_board_members_not_eea]],6,FALSE))</f>
        <v>28</v>
      </c>
      <c r="E45">
        <f>IF(ISBLANK(General2022[[#This Row],[number_of_committee_board_members]]),"N/A",VLOOKUP(A45,General2022!B:M,10,FALSE))</f>
        <v>6</v>
      </c>
      <c r="F45">
        <f>IFERROR(Data2022[[#This Row],[Number of members]]-Data2022[[#This Row],[Number of active members]], "N/A")</f>
        <v>22</v>
      </c>
      <c r="G45">
        <f>IFERROR(Data2022[[#This Row],[Number of active members]]/Data2022[[#This Row],[Number of members]], "N/A")</f>
        <v>0.21428571428571427</v>
      </c>
      <c r="H45">
        <f>IFERROR(1-Data2022[[#This Row],[Percentage active members]],"N/A")</f>
        <v>0.7857142857142857</v>
      </c>
      <c r="I45"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45">
        <f>IF(ISBLANK(General2022[[#This Row],[number_of_international_members_not_eea]]),"N/A",VLOOKUP(A45,General2022[[organisation_name]:[number_of_international_committee_board_members_not_eea]],9,FALSE))</f>
        <v>6</v>
      </c>
      <c r="K45">
        <f>IF(ISBLANK(General2022[[#This Row],[number_of_international_members_eea]]),"N/A",VLOOKUP(A45,General2022[[organisation_name]:[number_of_international_committee_board_members_not_eea]],8,FALSE))</f>
        <v>4</v>
      </c>
      <c r="L45">
        <f>IFERROR(IF(Data2022[[#This Row],[Number of members]]-Data2022[[#This Row],[Non-EEA Total]]-Data2022[[#This Row],[EEA total]]&lt;1,"N/A", Data2022[[#This Row],[Number of members]]-Data2022[[#This Row],[Non-EEA Total]]-Data2022[[#This Row],[EEA total]]),"N/A")</f>
        <v>18</v>
      </c>
      <c r="M45">
        <f>VLOOKUP(A45,General2022[[organisation_name]:[number_of_international_committee_board_members_not_eea]],12,FALSE)</f>
        <v>1</v>
      </c>
      <c r="N45">
        <f>VLOOKUP(A45,General2022[[organisation_name]:[number_of_international_committee_board_members_not_eea]],11,FALSE)</f>
        <v>3</v>
      </c>
      <c r="O45">
        <f>IFERROR(IF(Data2022[[#This Row],[Number of active members]]-Data2022[[#This Row],[Non-EEA Active ]]-Data2022[[#This Row],[EEA Active]]&lt;1,"N/A", Data2022[[#This Row],[Number of active members]]-Data2022[[#This Row],[Non-EEA Active ]]-Data2022[[#This Row],[EEA Active]]),"N/A")</f>
        <v>2</v>
      </c>
      <c r="P45">
        <f>IFERROR(Data2022[[#This Row],[Non-EEA Active ]]/Data2022[[#This Row],[Number of active members]],"N/A")</f>
        <v>0.16666666666666666</v>
      </c>
      <c r="Q45">
        <f>IFERROR(Data2022[[#This Row],[EEA Active]]/Data2022[[#This Row],[EEA total]], "N/A")</f>
        <v>0.75</v>
      </c>
      <c r="R45">
        <f>IFERROR(Data2022[[#This Row],[Dutch Active]]/Data2022[[#This Row],[Dutch total]],"N/A")</f>
        <v>0.1111111111111111</v>
      </c>
      <c r="S45" t="str">
        <f>IFERROR(IF(Data2022[[#This Row],[Number of members]]=Data2022[[#This Row],[Non-EEA Total]]+Data2022[[#This Row],[EEA total]]+Data2022[[#This Row],[Dutch total]],"T","F"),"F")</f>
        <v>T</v>
      </c>
      <c r="T45" t="str">
        <f>IFERROR(IF(Data2022[[#This Row],[Number of active members]]=Data2022[[#This Row],[Non-EEA Active ]]+Data2022[[#This Row],[EEA Active]]+Data2022[[#This Row],[Dutch Active]],"T","F"),"F")</f>
        <v>T</v>
      </c>
      <c r="U45" t="str">
        <f>IFERROR(IF(Data2022[[#This Row],[Number of members]]-Data2022[[#This Row],[Non-EEA Active ]]-Data2022[[#This Row],[EEA Active]]-Data2022[[#This Row],[Dutch Active]]=Data2022[[#This Row],[Number of  inactive members]],"T","F"),"F")</f>
        <v>T</v>
      </c>
      <c r="V45" t="str">
        <f>IF(Data2022[[#This Row],[EEA Active]]&lt;=Data2022[[#This Row],[EEA total]],"T","F")</f>
        <v>T</v>
      </c>
      <c r="W45" t="str">
        <f>IF(Data2022[[#This Row],[Dutch Active]]&lt;=Data2022[[#This Row],[Dutch total]],"T","F")</f>
        <v>T</v>
      </c>
      <c r="X45" t="str">
        <f>IF(Data2022[[#This Row],[Non-EEA Active ]]&lt;=Data2022[[#This Row],[Non-EEA Total]],"T","F")</f>
        <v>T</v>
      </c>
      <c r="Y4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45">
        <f>IFERROR(VLOOKUP(Data2022[[#This Row],[organisation_name]],'Division Study Year Committees'!$A$1:$L$108,2,FALSE),"N/A")</f>
        <v>0</v>
      </c>
      <c r="AA45">
        <f>IFERROR(VLOOKUP(Data2022[[#This Row],[organisation_name]],'Division Study Year Committees'!$A$1:$L$108,3,FALSE),"N/A")</f>
        <v>0</v>
      </c>
      <c r="AB45">
        <f>IFERROR(VLOOKUP(Data2022[[#This Row],[organisation_name]],'Division Study Year Committees'!$A$1:$L$108,4,FALSE),"N/A")</f>
        <v>5</v>
      </c>
      <c r="AC45">
        <f>IFERROR(VLOOKUP(Data2022[[#This Row],[organisation_name]],'Division Study Year Committees'!$A$1:$L$108,5,FALSE), "N/A")</f>
        <v>4</v>
      </c>
      <c r="AD45">
        <f>IFERROR(VLOOKUP(Data2022[[#This Row],[organisation_name]],'Division Study Year Committees'!$A$1:$L$108,6,FALSE), "N/A")</f>
        <v>2</v>
      </c>
      <c r="AE45">
        <f>SUM(Data2022[[#This Row],[Number of first year comittee members]:[Number of 4+ year comittee members]])</f>
        <v>11</v>
      </c>
      <c r="AF45">
        <f>COUNTIF('Committee2022'!D:D,Data2022[[#This Row],[organisation_name]])</f>
        <v>0</v>
      </c>
      <c r="AG45">
        <v>2022</v>
      </c>
    </row>
    <row r="46" spans="1:33" x14ac:dyDescent="0.3">
      <c r="A46" t="str">
        <f>General2022[[#This Row],[organisation_name]]</f>
        <v>Belletrie Bibliotheek</v>
      </c>
      <c r="B46" t="str">
        <f>IF(General2022[[#This Row],[sector]]= "",VLOOKUP(Data2022[[#This Row],[organisation_name]],'Response Rate sheet'!A:D,3,FALSE),General2022[[#This Row],[sector]])</f>
        <v>Culture</v>
      </c>
      <c r="C46" t="str">
        <f>General2022[[#This Row],[organisation_type]]</f>
        <v>association</v>
      </c>
      <c r="D46">
        <f>IF(ISBLANK(General2022[[#This Row],[number_of_members]]),"N/A",VLOOKUP(A46,General2022[[organisation_name]:[number_of_international_committee_board_members_not_eea]],6,FALSE))</f>
        <v>155</v>
      </c>
      <c r="E46">
        <f>IF(ISBLANK(General2022[[#This Row],[number_of_committee_board_members]]),"N/A",VLOOKUP(A46,General2022!B:M,10,FALSE))</f>
        <v>35</v>
      </c>
      <c r="F46">
        <f>IFERROR(Data2022[[#This Row],[Number of members]]-Data2022[[#This Row],[Number of active members]], "N/A")</f>
        <v>120</v>
      </c>
      <c r="G46">
        <f>IFERROR(Data2022[[#This Row],[Number of active members]]/Data2022[[#This Row],[Number of members]], "N/A")</f>
        <v>0.22580645161290322</v>
      </c>
      <c r="H46">
        <f>IFERROR(1-Data2022[[#This Row],[Percentage active members]],"N/A")</f>
        <v>0.77419354838709675</v>
      </c>
      <c r="I46" t="str">
        <f>IF(Data2022[[#This Row],[Number of members]]=0,"N/A",IF(Data2022[[#This Row],[Number of members]]&lt;50," A. 1 - 50 ",IF(Data2022[[#This Row],[Number of members]]&lt;100, "B. 50 - 100", IF(Data2022[[#This Row],[Number of members]]&lt;400, "C. 100 - 400", IF(Data2022[[#This Row],[Number of members]]&lt;1000,"D. 400 - 1000", "E. 1000 +")))))</f>
        <v>C. 100 - 400</v>
      </c>
      <c r="J46">
        <f>IF(ISBLANK(General2022[[#This Row],[number_of_international_members_not_eea]]),"N/A",VLOOKUP(A46,General2022[[organisation_name]:[number_of_international_committee_board_members_not_eea]],9,FALSE))</f>
        <v>24</v>
      </c>
      <c r="K46">
        <f>IF(ISBLANK(General2022[[#This Row],[number_of_international_members_eea]]),"N/A",VLOOKUP(A46,General2022[[organisation_name]:[number_of_international_committee_board_members_not_eea]],8,FALSE))</f>
        <v>60</v>
      </c>
      <c r="L46">
        <f>IFERROR(IF(Data2022[[#This Row],[Number of members]]-Data2022[[#This Row],[Non-EEA Total]]-Data2022[[#This Row],[EEA total]]&lt;1,"N/A", Data2022[[#This Row],[Number of members]]-Data2022[[#This Row],[Non-EEA Total]]-Data2022[[#This Row],[EEA total]]),"N/A")</f>
        <v>71</v>
      </c>
      <c r="M46">
        <f>VLOOKUP(A46,General2022[[organisation_name]:[number_of_international_committee_board_members_not_eea]],12,FALSE)</f>
        <v>0</v>
      </c>
      <c r="N46">
        <f>VLOOKUP(A46,General2022[[organisation_name]:[number_of_international_committee_board_members_not_eea]],11,FALSE)</f>
        <v>24</v>
      </c>
      <c r="O46">
        <f>IFERROR(IF(Data2022[[#This Row],[Number of active members]]-Data2022[[#This Row],[Non-EEA Active ]]-Data2022[[#This Row],[EEA Active]]&lt;1,"N/A", Data2022[[#This Row],[Number of active members]]-Data2022[[#This Row],[Non-EEA Active ]]-Data2022[[#This Row],[EEA Active]]),"N/A")</f>
        <v>11</v>
      </c>
      <c r="P46">
        <f>IFERROR(Data2022[[#This Row],[Non-EEA Active ]]/Data2022[[#This Row],[Number of active members]],"N/A")</f>
        <v>0</v>
      </c>
      <c r="Q46">
        <f>IFERROR(Data2022[[#This Row],[EEA Active]]/Data2022[[#This Row],[EEA total]], "N/A")</f>
        <v>0.4</v>
      </c>
      <c r="R46">
        <f>IFERROR(Data2022[[#This Row],[Dutch Active]]/Data2022[[#This Row],[Dutch total]],"N/A")</f>
        <v>0.15492957746478872</v>
      </c>
      <c r="S46" t="str">
        <f>IFERROR(IF(Data2022[[#This Row],[Number of members]]=Data2022[[#This Row],[Non-EEA Total]]+Data2022[[#This Row],[EEA total]]+Data2022[[#This Row],[Dutch total]],"T","F"),"F")</f>
        <v>T</v>
      </c>
      <c r="T46" t="str">
        <f>IFERROR(IF(Data2022[[#This Row],[Number of active members]]=Data2022[[#This Row],[Non-EEA Active ]]+Data2022[[#This Row],[EEA Active]]+Data2022[[#This Row],[Dutch Active]],"T","F"),"F")</f>
        <v>T</v>
      </c>
      <c r="U46" t="str">
        <f>IFERROR(IF(Data2022[[#This Row],[Number of members]]-Data2022[[#This Row],[Non-EEA Active ]]-Data2022[[#This Row],[EEA Active]]-Data2022[[#This Row],[Dutch Active]]=Data2022[[#This Row],[Number of  inactive members]],"T","F"),"F")</f>
        <v>T</v>
      </c>
      <c r="V46" t="str">
        <f>IF(Data2022[[#This Row],[EEA Active]]&lt;=Data2022[[#This Row],[EEA total]],"T","F")</f>
        <v>T</v>
      </c>
      <c r="W46" t="str">
        <f>IF(Data2022[[#This Row],[Dutch Active]]&lt;=Data2022[[#This Row],[Dutch total]],"T","F")</f>
        <v>T</v>
      </c>
      <c r="X46" t="str">
        <f>IF(Data2022[[#This Row],[Non-EEA Active ]]&lt;=Data2022[[#This Row],[Non-EEA Total]],"T","F")</f>
        <v>T</v>
      </c>
      <c r="Y46"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46" t="str">
        <f>IFERROR(VLOOKUP(Data2022[[#This Row],[organisation_name]],'Division Study Year Committees'!$A$1:$L$108,2,FALSE),"N/A")</f>
        <v>N/A</v>
      </c>
      <c r="AA46" t="str">
        <f>IFERROR(VLOOKUP(Data2022[[#This Row],[organisation_name]],'Division Study Year Committees'!$A$1:$L$108,3,FALSE),"N/A")</f>
        <v>N/A</v>
      </c>
      <c r="AB46" t="str">
        <f>IFERROR(VLOOKUP(Data2022[[#This Row],[organisation_name]],'Division Study Year Committees'!$A$1:$L$108,4,FALSE),"N/A")</f>
        <v>N/A</v>
      </c>
      <c r="AC46" t="str">
        <f>IFERROR(VLOOKUP(Data2022[[#This Row],[organisation_name]],'Division Study Year Committees'!$A$1:$L$108,5,FALSE), "N/A")</f>
        <v>N/A</v>
      </c>
      <c r="AD46" t="str">
        <f>IFERROR(VLOOKUP(Data2022[[#This Row],[organisation_name]],'Division Study Year Committees'!$A$1:$L$108,6,FALSE), "N/A")</f>
        <v>N/A</v>
      </c>
      <c r="AE46">
        <f>SUM(Data2022[[#This Row],[Number of first year comittee members]:[Number of 4+ year comittee members]])</f>
        <v>0</v>
      </c>
      <c r="AF46">
        <f>COUNTIF('Committee2022'!D:D,Data2022[[#This Row],[organisation_name]])</f>
        <v>12</v>
      </c>
      <c r="AG46">
        <v>2022</v>
      </c>
    </row>
    <row r="47" spans="1:33" x14ac:dyDescent="0.3">
      <c r="A47" t="str">
        <f>General2022[[#This Row],[organisation_name]]</f>
        <v>Contramime</v>
      </c>
      <c r="B47" t="str">
        <f>IF(General2022[[#This Row],[sector]]= "",VLOOKUP(Data2022[[#This Row],[organisation_name]],'Response Rate sheet'!A:D,3,FALSE),General2022[[#This Row],[sector]])</f>
        <v>Culture</v>
      </c>
      <c r="C47" t="str">
        <f>General2022[[#This Row],[organisation_type]]</f>
        <v>association</v>
      </c>
      <c r="D47" t="str">
        <f>IF(ISBLANK(General2022[[#This Row],[number_of_members]]),"N/A",VLOOKUP(A47,General2022[[organisation_name]:[number_of_international_committee_board_members_not_eea]],6,FALSE))</f>
        <v>N/A</v>
      </c>
      <c r="E47" t="str">
        <f>IF(ISBLANK(General2022[[#This Row],[number_of_committee_board_members]]),"N/A",VLOOKUP(A47,General2022!B:M,10,FALSE))</f>
        <v>N/A</v>
      </c>
      <c r="F47" t="str">
        <f>IFERROR(Data2022[[#This Row],[Number of members]]-Data2022[[#This Row],[Number of active members]], "N/A")</f>
        <v>N/A</v>
      </c>
      <c r="G47" t="str">
        <f>IFERROR(Data2022[[#This Row],[Number of active members]]/Data2022[[#This Row],[Number of members]], "N/A")</f>
        <v>N/A</v>
      </c>
      <c r="H47" t="str">
        <f>IFERROR(1-Data2022[[#This Row],[Percentage active members]],"N/A")</f>
        <v>N/A</v>
      </c>
      <c r="I47" t="str">
        <f>IF(Data2022[[#This Row],[Number of members]]=0,"N/A",IF(Data2022[[#This Row],[Number of members]]&lt;50," A. 1 - 50 ",IF(Data2022[[#This Row],[Number of members]]&lt;100, "B. 50 - 100", IF(Data2022[[#This Row],[Number of members]]&lt;400, "C. 100 - 400", IF(Data2022[[#This Row],[Number of members]]&lt;1000,"D. 400 - 1000", "E. 1000 +")))))</f>
        <v>E. 1000 +</v>
      </c>
      <c r="J47" t="str">
        <f>IF(ISBLANK(General2022[[#This Row],[number_of_international_members_not_eea]]),"N/A",VLOOKUP(A47,General2022[[organisation_name]:[number_of_international_committee_board_members_not_eea]],9,FALSE))</f>
        <v>N/A</v>
      </c>
      <c r="K47" t="str">
        <f>IF(ISBLANK(General2022[[#This Row],[number_of_international_members_eea]]),"N/A",VLOOKUP(A47,General2022[[organisation_name]:[number_of_international_committee_board_members_not_eea]],8,FALSE))</f>
        <v>N/A</v>
      </c>
      <c r="L47" t="str">
        <f>IFERROR(IF(Data2022[[#This Row],[Number of members]]-Data2022[[#This Row],[Non-EEA Total]]-Data2022[[#This Row],[EEA total]]&lt;1,"N/A", Data2022[[#This Row],[Number of members]]-Data2022[[#This Row],[Non-EEA Total]]-Data2022[[#This Row],[EEA total]]),"N/A")</f>
        <v>N/A</v>
      </c>
      <c r="M47">
        <f>VLOOKUP(A47,General2022[[organisation_name]:[number_of_international_committee_board_members_not_eea]],12,FALSE)</f>
        <v>0</v>
      </c>
      <c r="N47">
        <f>VLOOKUP(A47,General2022[[organisation_name]:[number_of_international_committee_board_members_not_eea]],11,FALSE)</f>
        <v>0</v>
      </c>
      <c r="O47" t="str">
        <f>IFERROR(IF(Data2022[[#This Row],[Number of active members]]-Data2022[[#This Row],[Non-EEA Active ]]-Data2022[[#This Row],[EEA Active]]&lt;1,"N/A", Data2022[[#This Row],[Number of active members]]-Data2022[[#This Row],[Non-EEA Active ]]-Data2022[[#This Row],[EEA Active]]),"N/A")</f>
        <v>N/A</v>
      </c>
      <c r="P47" t="str">
        <f>IFERROR(Data2022[[#This Row],[Non-EEA Active ]]/Data2022[[#This Row],[Number of active members]],"N/A")</f>
        <v>N/A</v>
      </c>
      <c r="Q47" t="str">
        <f>IFERROR(Data2022[[#This Row],[EEA Active]]/Data2022[[#This Row],[EEA total]], "N/A")</f>
        <v>N/A</v>
      </c>
      <c r="R47" t="str">
        <f>IFERROR(Data2022[[#This Row],[Dutch Active]]/Data2022[[#This Row],[Dutch total]],"N/A")</f>
        <v>N/A</v>
      </c>
      <c r="S47" t="str">
        <f>IFERROR(IF(Data2022[[#This Row],[Number of members]]=Data2022[[#This Row],[Non-EEA Total]]+Data2022[[#This Row],[EEA total]]+Data2022[[#This Row],[Dutch total]],"T","F"),"F")</f>
        <v>F</v>
      </c>
      <c r="T47" t="str">
        <f>IFERROR(IF(Data2022[[#This Row],[Number of active members]]=Data2022[[#This Row],[Non-EEA Active ]]+Data2022[[#This Row],[EEA Active]]+Data2022[[#This Row],[Dutch Active]],"T","F"),"F")</f>
        <v>F</v>
      </c>
      <c r="U47" t="str">
        <f>IFERROR(IF(Data2022[[#This Row],[Number of members]]-Data2022[[#This Row],[Non-EEA Active ]]-Data2022[[#This Row],[EEA Active]]-Data2022[[#This Row],[Dutch Active]]=Data2022[[#This Row],[Number of  inactive members]],"T","F"),"F")</f>
        <v>F</v>
      </c>
      <c r="V47" t="str">
        <f>IF(Data2022[[#This Row],[EEA Active]]&lt;=Data2022[[#This Row],[EEA total]],"T","F")</f>
        <v>T</v>
      </c>
      <c r="W47" t="str">
        <f>IF(Data2022[[#This Row],[Dutch Active]]&lt;=Data2022[[#This Row],[Dutch total]],"T","F")</f>
        <v>T</v>
      </c>
      <c r="X47" t="str">
        <f>IF(Data2022[[#This Row],[Non-EEA Active ]]&lt;=Data2022[[#This Row],[Non-EEA Total]],"T","F")</f>
        <v>T</v>
      </c>
      <c r="Y4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47" t="str">
        <f>IFERROR(VLOOKUP(Data2022[[#This Row],[organisation_name]],'Division Study Year Committees'!$A$1:$L$108,2,FALSE),"N/A")</f>
        <v>N/A</v>
      </c>
      <c r="AA47" t="str">
        <f>IFERROR(VLOOKUP(Data2022[[#This Row],[organisation_name]],'Division Study Year Committees'!$A$1:$L$108,3,FALSE),"N/A")</f>
        <v>N/A</v>
      </c>
      <c r="AB47" t="str">
        <f>IFERROR(VLOOKUP(Data2022[[#This Row],[organisation_name]],'Division Study Year Committees'!$A$1:$L$108,4,FALSE),"N/A")</f>
        <v>N/A</v>
      </c>
      <c r="AC47" t="str">
        <f>IFERROR(VLOOKUP(Data2022[[#This Row],[organisation_name]],'Division Study Year Committees'!$A$1:$L$108,5,FALSE), "N/A")</f>
        <v>N/A</v>
      </c>
      <c r="AD47" t="str">
        <f>IFERROR(VLOOKUP(Data2022[[#This Row],[organisation_name]],'Division Study Year Committees'!$A$1:$L$108,6,FALSE), "N/A")</f>
        <v>N/A</v>
      </c>
      <c r="AE47">
        <f>SUM(Data2022[[#This Row],[Number of first year comittee members]:[Number of 4+ year comittee members]])</f>
        <v>0</v>
      </c>
      <c r="AF47">
        <f>COUNTIF('Committee2022'!D:D,Data2022[[#This Row],[organisation_name]])</f>
        <v>0</v>
      </c>
      <c r="AG47">
        <v>2022</v>
      </c>
    </row>
    <row r="48" spans="1:33" x14ac:dyDescent="0.3">
      <c r="A48" t="str">
        <f>General2022[[#This Row],[organisation_name]]</f>
        <v>Fanaat</v>
      </c>
      <c r="B48" t="str">
        <f>IF(General2022[[#This Row],[sector]]= "",VLOOKUP(Data2022[[#This Row],[organisation_name]],'Response Rate sheet'!A:D,3,FALSE),General2022[[#This Row],[sector]])</f>
        <v>Culture</v>
      </c>
      <c r="C48" t="str">
        <f>General2022[[#This Row],[organisation_type]]</f>
        <v>association</v>
      </c>
      <c r="D48">
        <f>IF(ISBLANK(General2022[[#This Row],[number_of_members]]),"N/A",VLOOKUP(A48,General2022[[organisation_name]:[number_of_international_committee_board_members_not_eea]],6,FALSE))</f>
        <v>88</v>
      </c>
      <c r="E48">
        <f>IF(ISBLANK(General2022[[#This Row],[number_of_committee_board_members]]),"N/A",VLOOKUP(A48,General2022!B:M,10,FALSE))</f>
        <v>15</v>
      </c>
      <c r="F48">
        <f>IFERROR(Data2022[[#This Row],[Number of members]]-Data2022[[#This Row],[Number of active members]], "N/A")</f>
        <v>73</v>
      </c>
      <c r="G48">
        <f>IFERROR(Data2022[[#This Row],[Number of active members]]/Data2022[[#This Row],[Number of members]], "N/A")</f>
        <v>0.17045454545454544</v>
      </c>
      <c r="H48">
        <f>IFERROR(1-Data2022[[#This Row],[Percentage active members]],"N/A")</f>
        <v>0.82954545454545459</v>
      </c>
      <c r="I48" t="str">
        <f>IF(Data2022[[#This Row],[Number of members]]=0,"N/A",IF(Data2022[[#This Row],[Number of members]]&lt;50," A. 1 - 50 ",IF(Data2022[[#This Row],[Number of members]]&lt;100, "B. 50 - 100", IF(Data2022[[#This Row],[Number of members]]&lt;400, "C. 100 - 400", IF(Data2022[[#This Row],[Number of members]]&lt;1000,"D. 400 - 1000", "E. 1000 +")))))</f>
        <v>B. 50 - 100</v>
      </c>
      <c r="J48">
        <f>IF(ISBLANK(General2022[[#This Row],[number_of_international_members_not_eea]]),"N/A",VLOOKUP(A48,General2022[[organisation_name]:[number_of_international_committee_board_members_not_eea]],9,FALSE))</f>
        <v>12</v>
      </c>
      <c r="K48">
        <f>IF(ISBLANK(General2022[[#This Row],[number_of_international_members_eea]]),"N/A",VLOOKUP(A48,General2022[[organisation_name]:[number_of_international_committee_board_members_not_eea]],8,FALSE))</f>
        <v>1</v>
      </c>
      <c r="L48">
        <f>IFERROR(IF(Data2022[[#This Row],[Number of members]]-Data2022[[#This Row],[Non-EEA Total]]-Data2022[[#This Row],[EEA total]]&lt;1,"N/A", Data2022[[#This Row],[Number of members]]-Data2022[[#This Row],[Non-EEA Total]]-Data2022[[#This Row],[EEA total]]),"N/A")</f>
        <v>75</v>
      </c>
      <c r="M48">
        <f>VLOOKUP(A48,General2022[[organisation_name]:[number_of_international_committee_board_members_not_eea]],12,FALSE)</f>
        <v>0</v>
      </c>
      <c r="N48">
        <f>VLOOKUP(A48,General2022[[organisation_name]:[number_of_international_committee_board_members_not_eea]],11,FALSE)</f>
        <v>0</v>
      </c>
      <c r="O48">
        <f>IFERROR(IF(Data2022[[#This Row],[Number of active members]]-Data2022[[#This Row],[Non-EEA Active ]]-Data2022[[#This Row],[EEA Active]]&lt;1,"N/A", Data2022[[#This Row],[Number of active members]]-Data2022[[#This Row],[Non-EEA Active ]]-Data2022[[#This Row],[EEA Active]]),"N/A")</f>
        <v>15</v>
      </c>
      <c r="P48">
        <f>IFERROR(Data2022[[#This Row],[Non-EEA Active ]]/Data2022[[#This Row],[Number of active members]],"N/A")</f>
        <v>0</v>
      </c>
      <c r="Q48">
        <f>IFERROR(Data2022[[#This Row],[EEA Active]]/Data2022[[#This Row],[EEA total]], "N/A")</f>
        <v>0</v>
      </c>
      <c r="R48">
        <f>IFERROR(Data2022[[#This Row],[Dutch Active]]/Data2022[[#This Row],[Dutch total]],"N/A")</f>
        <v>0.2</v>
      </c>
      <c r="S48" t="str">
        <f>IFERROR(IF(Data2022[[#This Row],[Number of members]]=Data2022[[#This Row],[Non-EEA Total]]+Data2022[[#This Row],[EEA total]]+Data2022[[#This Row],[Dutch total]],"T","F"),"F")</f>
        <v>T</v>
      </c>
      <c r="T48" t="str">
        <f>IFERROR(IF(Data2022[[#This Row],[Number of active members]]=Data2022[[#This Row],[Non-EEA Active ]]+Data2022[[#This Row],[EEA Active]]+Data2022[[#This Row],[Dutch Active]],"T","F"),"F")</f>
        <v>T</v>
      </c>
      <c r="U48" t="str">
        <f>IFERROR(IF(Data2022[[#This Row],[Number of members]]-Data2022[[#This Row],[Non-EEA Active ]]-Data2022[[#This Row],[EEA Active]]-Data2022[[#This Row],[Dutch Active]]=Data2022[[#This Row],[Number of  inactive members]],"T","F"),"F")</f>
        <v>T</v>
      </c>
      <c r="V48" t="str">
        <f>IF(Data2022[[#This Row],[EEA Active]]&lt;=Data2022[[#This Row],[EEA total]],"T","F")</f>
        <v>T</v>
      </c>
      <c r="W48" t="str">
        <f>IF(Data2022[[#This Row],[Dutch Active]]&lt;=Data2022[[#This Row],[Dutch total]],"T","F")</f>
        <v>T</v>
      </c>
      <c r="X48" t="str">
        <f>IF(Data2022[[#This Row],[Non-EEA Active ]]&lt;=Data2022[[#This Row],[Non-EEA Total]],"T","F")</f>
        <v>T</v>
      </c>
      <c r="Y48"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48">
        <f>IFERROR(VLOOKUP(Data2022[[#This Row],[organisation_name]],'Division Study Year Committees'!$A$1:$L$108,2,FALSE),"N/A")</f>
        <v>0</v>
      </c>
      <c r="AA48">
        <f>IFERROR(VLOOKUP(Data2022[[#This Row],[organisation_name]],'Division Study Year Committees'!$A$1:$L$108,3,FALSE),"N/A")</f>
        <v>6</v>
      </c>
      <c r="AB48">
        <f>IFERROR(VLOOKUP(Data2022[[#This Row],[organisation_name]],'Division Study Year Committees'!$A$1:$L$108,4,FALSE),"N/A")</f>
        <v>14</v>
      </c>
      <c r="AC48">
        <f>IFERROR(VLOOKUP(Data2022[[#This Row],[organisation_name]],'Division Study Year Committees'!$A$1:$L$108,5,FALSE), "N/A")</f>
        <v>10</v>
      </c>
      <c r="AD48">
        <f>IFERROR(VLOOKUP(Data2022[[#This Row],[organisation_name]],'Division Study Year Committees'!$A$1:$L$108,6,FALSE), "N/A")</f>
        <v>3</v>
      </c>
      <c r="AE48">
        <f>SUM(Data2022[[#This Row],[Number of first year comittee members]:[Number of 4+ year comittee members]])</f>
        <v>33</v>
      </c>
      <c r="AF48">
        <f>COUNTIF('Committee2022'!D:D,Data2022[[#This Row],[organisation_name]])</f>
        <v>13</v>
      </c>
      <c r="AG48">
        <v>2022</v>
      </c>
    </row>
    <row r="49" spans="1:33" x14ac:dyDescent="0.3">
      <c r="A49" t="str">
        <f>General2022[[#This Row],[organisation_name]]</f>
        <v>Musica Silvestra Orkest</v>
      </c>
      <c r="B49" t="str">
        <f>IF(General2022[[#This Row],[sector]]= "",VLOOKUP(Data2022[[#This Row],[organisation_name]],'Response Rate sheet'!A:D,3,FALSE),General2022[[#This Row],[sector]])</f>
        <v>Culture</v>
      </c>
      <c r="C49" t="str">
        <f>General2022[[#This Row],[organisation_type]]</f>
        <v>association</v>
      </c>
      <c r="D49">
        <f>IF(ISBLANK(General2022[[#This Row],[number_of_members]]),"N/A",VLOOKUP(A49,General2022[[organisation_name]:[number_of_international_committee_board_members_not_eea]],6,FALSE))</f>
        <v>18</v>
      </c>
      <c r="E49">
        <f>IF(ISBLANK(General2022[[#This Row],[number_of_committee_board_members]]),"N/A",VLOOKUP(A49,General2022!B:M,10,FALSE))</f>
        <v>4</v>
      </c>
      <c r="F49">
        <f>IFERROR(Data2022[[#This Row],[Number of members]]-Data2022[[#This Row],[Number of active members]], "N/A")</f>
        <v>14</v>
      </c>
      <c r="G49">
        <f>IFERROR(Data2022[[#This Row],[Number of active members]]/Data2022[[#This Row],[Number of members]], "N/A")</f>
        <v>0.22222222222222221</v>
      </c>
      <c r="H49">
        <f>IFERROR(1-Data2022[[#This Row],[Percentage active members]],"N/A")</f>
        <v>0.77777777777777779</v>
      </c>
      <c r="I4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49">
        <f>IF(ISBLANK(General2022[[#This Row],[number_of_international_members_not_eea]]),"N/A",VLOOKUP(A49,General2022[[organisation_name]:[number_of_international_committee_board_members_not_eea]],9,FALSE))</f>
        <v>11</v>
      </c>
      <c r="K49">
        <f>IF(ISBLANK(General2022[[#This Row],[number_of_international_members_eea]]),"N/A",VLOOKUP(A49,General2022[[organisation_name]:[number_of_international_committee_board_members_not_eea]],8,FALSE))</f>
        <v>2</v>
      </c>
      <c r="L49">
        <f>IFERROR(IF(Data2022[[#This Row],[Number of members]]-Data2022[[#This Row],[Non-EEA Total]]-Data2022[[#This Row],[EEA total]]&lt;1,"N/A", Data2022[[#This Row],[Number of members]]-Data2022[[#This Row],[Non-EEA Total]]-Data2022[[#This Row],[EEA total]]),"N/A")</f>
        <v>5</v>
      </c>
      <c r="M49">
        <f>VLOOKUP(A49,General2022[[organisation_name]:[number_of_international_committee_board_members_not_eea]],12,FALSE)</f>
        <v>0</v>
      </c>
      <c r="N49">
        <f>VLOOKUP(A49,General2022[[organisation_name]:[number_of_international_committee_board_members_not_eea]],11,FALSE)</f>
        <v>0</v>
      </c>
      <c r="O49">
        <f>IFERROR(IF(Data2022[[#This Row],[Number of active members]]-Data2022[[#This Row],[Non-EEA Active ]]-Data2022[[#This Row],[EEA Active]]&lt;1,"N/A", Data2022[[#This Row],[Number of active members]]-Data2022[[#This Row],[Non-EEA Active ]]-Data2022[[#This Row],[EEA Active]]),"N/A")</f>
        <v>4</v>
      </c>
      <c r="P49">
        <f>IFERROR(Data2022[[#This Row],[Non-EEA Active ]]/Data2022[[#This Row],[Number of active members]],"N/A")</f>
        <v>0</v>
      </c>
      <c r="Q49">
        <f>IFERROR(Data2022[[#This Row],[EEA Active]]/Data2022[[#This Row],[EEA total]], "N/A")</f>
        <v>0</v>
      </c>
      <c r="R49">
        <f>IFERROR(Data2022[[#This Row],[Dutch Active]]/Data2022[[#This Row],[Dutch total]],"N/A")</f>
        <v>0.8</v>
      </c>
      <c r="S49" t="str">
        <f>IFERROR(IF(Data2022[[#This Row],[Number of members]]=Data2022[[#This Row],[Non-EEA Total]]+Data2022[[#This Row],[EEA total]]+Data2022[[#This Row],[Dutch total]],"T","F"),"F")</f>
        <v>T</v>
      </c>
      <c r="T49" t="str">
        <f>IFERROR(IF(Data2022[[#This Row],[Number of active members]]=Data2022[[#This Row],[Non-EEA Active ]]+Data2022[[#This Row],[EEA Active]]+Data2022[[#This Row],[Dutch Active]],"T","F"),"F")</f>
        <v>T</v>
      </c>
      <c r="U49" t="str">
        <f>IFERROR(IF(Data2022[[#This Row],[Number of members]]-Data2022[[#This Row],[Non-EEA Active ]]-Data2022[[#This Row],[EEA Active]]-Data2022[[#This Row],[Dutch Active]]=Data2022[[#This Row],[Number of  inactive members]],"T","F"),"F")</f>
        <v>T</v>
      </c>
      <c r="V49" t="str">
        <f>IF(Data2022[[#This Row],[EEA Active]]&lt;=Data2022[[#This Row],[EEA total]],"T","F")</f>
        <v>T</v>
      </c>
      <c r="W49" t="str">
        <f>IF(Data2022[[#This Row],[Dutch Active]]&lt;=Data2022[[#This Row],[Dutch total]],"T","F")</f>
        <v>T</v>
      </c>
      <c r="X49" t="str">
        <f>IF(Data2022[[#This Row],[Non-EEA Active ]]&lt;=Data2022[[#This Row],[Non-EEA Total]],"T","F")</f>
        <v>T</v>
      </c>
      <c r="Y49"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49">
        <f>IFERROR(VLOOKUP(Data2022[[#This Row],[organisation_name]],'Division Study Year Committees'!$A$1:$L$108,2,FALSE),"N/A")</f>
        <v>2</v>
      </c>
      <c r="AA49">
        <f>IFERROR(VLOOKUP(Data2022[[#This Row],[organisation_name]],'Division Study Year Committees'!$A$1:$L$108,3,FALSE),"N/A")</f>
        <v>7</v>
      </c>
      <c r="AB49">
        <f>IFERROR(VLOOKUP(Data2022[[#This Row],[organisation_name]],'Division Study Year Committees'!$A$1:$L$108,4,FALSE),"N/A")</f>
        <v>15</v>
      </c>
      <c r="AC49">
        <f>IFERROR(VLOOKUP(Data2022[[#This Row],[organisation_name]],'Division Study Year Committees'!$A$1:$L$108,5,FALSE), "N/A")</f>
        <v>6</v>
      </c>
      <c r="AD49">
        <f>IFERROR(VLOOKUP(Data2022[[#This Row],[organisation_name]],'Division Study Year Committees'!$A$1:$L$108,6,FALSE), "N/A")</f>
        <v>14</v>
      </c>
      <c r="AE49">
        <f>SUM(Data2022[[#This Row],[Number of first year comittee members]:[Number of 4+ year comittee members]])</f>
        <v>44</v>
      </c>
      <c r="AF49">
        <f>COUNTIF('Committee2022'!D:D,Data2022[[#This Row],[organisation_name]])</f>
        <v>10</v>
      </c>
      <c r="AG49">
        <v>2022</v>
      </c>
    </row>
    <row r="50" spans="1:33" x14ac:dyDescent="0.3">
      <c r="A50" t="str">
        <f>General2022[[#This Row],[organisation_name]]</f>
        <v>Musilon</v>
      </c>
      <c r="B50" t="str">
        <f>IF(General2022[[#This Row],[sector]]= "",VLOOKUP(Data2022[[#This Row],[organisation_name]],'Response Rate sheet'!A:D,3,FALSE),General2022[[#This Row],[sector]])</f>
        <v>Culture</v>
      </c>
      <c r="C50" t="str">
        <f>General2022[[#This Row],[organisation_type]]</f>
        <v>association</v>
      </c>
      <c r="D50">
        <f>IF(ISBLANK(General2022[[#This Row],[number_of_members]]),"N/A",VLOOKUP(A50,General2022[[organisation_name]:[number_of_international_committee_board_members_not_eea]],6,FALSE))</f>
        <v>43</v>
      </c>
      <c r="E50">
        <f>IF(ISBLANK(General2022[[#This Row],[number_of_committee_board_members]]),"N/A",VLOOKUP(A50,General2022!B:M,10,FALSE))</f>
        <v>15</v>
      </c>
      <c r="F50">
        <f>IFERROR(Data2022[[#This Row],[Number of members]]-Data2022[[#This Row],[Number of active members]], "N/A")</f>
        <v>28</v>
      </c>
      <c r="G50">
        <f>IFERROR(Data2022[[#This Row],[Number of active members]]/Data2022[[#This Row],[Number of members]], "N/A")</f>
        <v>0.34883720930232559</v>
      </c>
      <c r="H50">
        <f>IFERROR(1-Data2022[[#This Row],[Percentage active members]],"N/A")</f>
        <v>0.65116279069767447</v>
      </c>
      <c r="I50"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50">
        <f>IF(ISBLANK(General2022[[#This Row],[number_of_international_members_not_eea]]),"N/A",VLOOKUP(A50,General2022[[organisation_name]:[number_of_international_committee_board_members_not_eea]],9,FALSE))</f>
        <v>25</v>
      </c>
      <c r="K50">
        <f>IF(ISBLANK(General2022[[#This Row],[number_of_international_members_eea]]),"N/A",VLOOKUP(A50,General2022[[organisation_name]:[number_of_international_committee_board_members_not_eea]],8,FALSE))</f>
        <v>5</v>
      </c>
      <c r="L50">
        <f>IFERROR(IF(Data2022[[#This Row],[Number of members]]-Data2022[[#This Row],[Non-EEA Total]]-Data2022[[#This Row],[EEA total]]&lt;1,"N/A", Data2022[[#This Row],[Number of members]]-Data2022[[#This Row],[Non-EEA Total]]-Data2022[[#This Row],[EEA total]]),"N/A")</f>
        <v>13</v>
      </c>
      <c r="M50">
        <f>VLOOKUP(A50,General2022[[organisation_name]:[number_of_international_committee_board_members_not_eea]],12,FALSE)</f>
        <v>4</v>
      </c>
      <c r="N50">
        <f>VLOOKUP(A50,General2022[[organisation_name]:[number_of_international_committee_board_members_not_eea]],11,FALSE)</f>
        <v>8</v>
      </c>
      <c r="O50">
        <f>IFERROR(IF(Data2022[[#This Row],[Number of active members]]-Data2022[[#This Row],[Non-EEA Active ]]-Data2022[[#This Row],[EEA Active]]&lt;1,"N/A", Data2022[[#This Row],[Number of active members]]-Data2022[[#This Row],[Non-EEA Active ]]-Data2022[[#This Row],[EEA Active]]),"N/A")</f>
        <v>3</v>
      </c>
      <c r="P50">
        <f>IFERROR(Data2022[[#This Row],[Non-EEA Active ]]/Data2022[[#This Row],[Number of active members]],"N/A")</f>
        <v>0.26666666666666666</v>
      </c>
      <c r="Q50">
        <f>IFERROR(Data2022[[#This Row],[EEA Active]]/Data2022[[#This Row],[EEA total]], "N/A")</f>
        <v>1.6</v>
      </c>
      <c r="R50">
        <f>IFERROR(Data2022[[#This Row],[Dutch Active]]/Data2022[[#This Row],[Dutch total]],"N/A")</f>
        <v>0.23076923076923078</v>
      </c>
      <c r="S50" t="str">
        <f>IFERROR(IF(Data2022[[#This Row],[Number of members]]=Data2022[[#This Row],[Non-EEA Total]]+Data2022[[#This Row],[EEA total]]+Data2022[[#This Row],[Dutch total]],"T","F"),"F")</f>
        <v>T</v>
      </c>
      <c r="T50" t="str">
        <f>IFERROR(IF(Data2022[[#This Row],[Number of active members]]=Data2022[[#This Row],[Non-EEA Active ]]+Data2022[[#This Row],[EEA Active]]+Data2022[[#This Row],[Dutch Active]],"T","F"),"F")</f>
        <v>T</v>
      </c>
      <c r="U50" t="str">
        <f>IFERROR(IF(Data2022[[#This Row],[Number of members]]-Data2022[[#This Row],[Non-EEA Active ]]-Data2022[[#This Row],[EEA Active]]-Data2022[[#This Row],[Dutch Active]]=Data2022[[#This Row],[Number of  inactive members]],"T","F"),"F")</f>
        <v>T</v>
      </c>
      <c r="V50" t="str">
        <f>IF(Data2022[[#This Row],[EEA Active]]&lt;=Data2022[[#This Row],[EEA total]],"T","F")</f>
        <v>F</v>
      </c>
      <c r="W50" t="str">
        <f>IF(Data2022[[#This Row],[Dutch Active]]&lt;=Data2022[[#This Row],[Dutch total]],"T","F")</f>
        <v>T</v>
      </c>
      <c r="X50" t="str">
        <f>IF(Data2022[[#This Row],[Non-EEA Active ]]&lt;=Data2022[[#This Row],[Non-EEA Total]],"T","F")</f>
        <v>T</v>
      </c>
      <c r="Y5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50" t="str">
        <f>IFERROR(VLOOKUP(Data2022[[#This Row],[organisation_name]],'Division Study Year Committees'!$A$1:$L$108,2,FALSE),"N/A")</f>
        <v>N/A</v>
      </c>
      <c r="AA50" t="str">
        <f>IFERROR(VLOOKUP(Data2022[[#This Row],[organisation_name]],'Division Study Year Committees'!$A$1:$L$108,3,FALSE),"N/A")</f>
        <v>N/A</v>
      </c>
      <c r="AB50" t="str">
        <f>IFERROR(VLOOKUP(Data2022[[#This Row],[organisation_name]],'Division Study Year Committees'!$A$1:$L$108,4,FALSE),"N/A")</f>
        <v>N/A</v>
      </c>
      <c r="AC50" t="str">
        <f>IFERROR(VLOOKUP(Data2022[[#This Row],[organisation_name]],'Division Study Year Committees'!$A$1:$L$108,5,FALSE), "N/A")</f>
        <v>N/A</v>
      </c>
      <c r="AD50" t="str">
        <f>IFERROR(VLOOKUP(Data2022[[#This Row],[organisation_name]],'Division Study Year Committees'!$A$1:$L$108,6,FALSE), "N/A")</f>
        <v>N/A</v>
      </c>
      <c r="AE50">
        <f>SUM(Data2022[[#This Row],[Number of first year comittee members]:[Number of 4+ year comittee members]])</f>
        <v>0</v>
      </c>
      <c r="AF50">
        <f>COUNTIF('Committee2022'!D:D,Data2022[[#This Row],[organisation_name]])</f>
        <v>11</v>
      </c>
      <c r="AG50">
        <v>2022</v>
      </c>
    </row>
    <row r="51" spans="1:33" x14ac:dyDescent="0.3">
      <c r="A51" t="str">
        <f>General2022[[#This Row],[organisation_name]]</f>
        <v>Nest</v>
      </c>
      <c r="B51" t="str">
        <f>IF(General2022[[#This Row],[sector]]= "",VLOOKUP(Data2022[[#This Row],[organisation_name]],'Response Rate sheet'!A:D,3,FALSE),General2022[[#This Row],[sector]])</f>
        <v>Culture</v>
      </c>
      <c r="C51" t="str">
        <f>General2022[[#This Row],[organisation_type]]</f>
        <v>association</v>
      </c>
      <c r="D51">
        <f>IF(ISBLANK(General2022[[#This Row],[number_of_members]]),"N/A",VLOOKUP(A51,General2022[[organisation_name]:[number_of_international_committee_board_members_not_eea]],6,FALSE))</f>
        <v>70</v>
      </c>
      <c r="E51">
        <f>IF(ISBLANK(General2022[[#This Row],[number_of_committee_board_members]]),"N/A",VLOOKUP(A51,General2022!B:M,10,FALSE))</f>
        <v>10</v>
      </c>
      <c r="F51">
        <f>IFERROR(Data2022[[#This Row],[Number of members]]-Data2022[[#This Row],[Number of active members]], "N/A")</f>
        <v>60</v>
      </c>
      <c r="G51">
        <f>IFERROR(Data2022[[#This Row],[Number of active members]]/Data2022[[#This Row],[Number of members]], "N/A")</f>
        <v>0.14285714285714285</v>
      </c>
      <c r="H51">
        <f>IFERROR(1-Data2022[[#This Row],[Percentage active members]],"N/A")</f>
        <v>0.85714285714285721</v>
      </c>
      <c r="I51" t="str">
        <f>IF(Data2022[[#This Row],[Number of members]]=0,"N/A",IF(Data2022[[#This Row],[Number of members]]&lt;50," A. 1 - 50 ",IF(Data2022[[#This Row],[Number of members]]&lt;100, "B. 50 - 100", IF(Data2022[[#This Row],[Number of members]]&lt;400, "C. 100 - 400", IF(Data2022[[#This Row],[Number of members]]&lt;1000,"D. 400 - 1000", "E. 1000 +")))))</f>
        <v>B. 50 - 100</v>
      </c>
      <c r="J51">
        <f>IF(ISBLANK(General2022[[#This Row],[number_of_international_members_not_eea]]),"N/A",VLOOKUP(A51,General2022[[organisation_name]:[number_of_international_committee_board_members_not_eea]],9,FALSE))</f>
        <v>28</v>
      </c>
      <c r="K51">
        <f>IF(ISBLANK(General2022[[#This Row],[number_of_international_members_eea]]),"N/A",VLOOKUP(A51,General2022[[organisation_name]:[number_of_international_committee_board_members_not_eea]],8,FALSE))</f>
        <v>0</v>
      </c>
      <c r="L51">
        <f>IFERROR(IF(Data2022[[#This Row],[Number of members]]-Data2022[[#This Row],[Non-EEA Total]]-Data2022[[#This Row],[EEA total]]&lt;1,"N/A", Data2022[[#This Row],[Number of members]]-Data2022[[#This Row],[Non-EEA Total]]-Data2022[[#This Row],[EEA total]]),"N/A")</f>
        <v>42</v>
      </c>
      <c r="M51">
        <f>VLOOKUP(A51,General2022[[organisation_name]:[number_of_international_committee_board_members_not_eea]],12,FALSE)</f>
        <v>0</v>
      </c>
      <c r="N51">
        <f>VLOOKUP(A51,General2022[[organisation_name]:[number_of_international_committee_board_members_not_eea]],11,FALSE)</f>
        <v>8</v>
      </c>
      <c r="O51">
        <f>IFERROR(IF(Data2022[[#This Row],[Number of active members]]-Data2022[[#This Row],[Non-EEA Active ]]-Data2022[[#This Row],[EEA Active]]&lt;1,"N/A", Data2022[[#This Row],[Number of active members]]-Data2022[[#This Row],[Non-EEA Active ]]-Data2022[[#This Row],[EEA Active]]),"N/A")</f>
        <v>2</v>
      </c>
      <c r="P51">
        <f>IFERROR(Data2022[[#This Row],[Non-EEA Active ]]/Data2022[[#This Row],[Number of active members]],"N/A")</f>
        <v>0</v>
      </c>
      <c r="Q51" t="str">
        <f>IFERROR(Data2022[[#This Row],[EEA Active]]/Data2022[[#This Row],[EEA total]], "N/A")</f>
        <v>N/A</v>
      </c>
      <c r="R51">
        <f>IFERROR(Data2022[[#This Row],[Dutch Active]]/Data2022[[#This Row],[Dutch total]],"N/A")</f>
        <v>4.7619047619047616E-2</v>
      </c>
      <c r="S51" t="str">
        <f>IFERROR(IF(Data2022[[#This Row],[Number of members]]=Data2022[[#This Row],[Non-EEA Total]]+Data2022[[#This Row],[EEA total]]+Data2022[[#This Row],[Dutch total]],"T","F"),"F")</f>
        <v>T</v>
      </c>
      <c r="T51" t="str">
        <f>IFERROR(IF(Data2022[[#This Row],[Number of active members]]=Data2022[[#This Row],[Non-EEA Active ]]+Data2022[[#This Row],[EEA Active]]+Data2022[[#This Row],[Dutch Active]],"T","F"),"F")</f>
        <v>T</v>
      </c>
      <c r="U51" t="str">
        <f>IFERROR(IF(Data2022[[#This Row],[Number of members]]-Data2022[[#This Row],[Non-EEA Active ]]-Data2022[[#This Row],[EEA Active]]-Data2022[[#This Row],[Dutch Active]]=Data2022[[#This Row],[Number of  inactive members]],"T","F"),"F")</f>
        <v>T</v>
      </c>
      <c r="V51" t="str">
        <f>IF(Data2022[[#This Row],[EEA Active]]&lt;=Data2022[[#This Row],[EEA total]],"T","F")</f>
        <v>F</v>
      </c>
      <c r="W51" t="str">
        <f>IF(Data2022[[#This Row],[Dutch Active]]&lt;=Data2022[[#This Row],[Dutch total]],"T","F")</f>
        <v>T</v>
      </c>
      <c r="X51" t="str">
        <f>IF(Data2022[[#This Row],[Non-EEA Active ]]&lt;=Data2022[[#This Row],[Non-EEA Total]],"T","F")</f>
        <v>T</v>
      </c>
      <c r="Y5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51">
        <f>IFERROR(VLOOKUP(Data2022[[#This Row],[organisation_name]],'Division Study Year Committees'!$A$1:$L$108,2,FALSE),"N/A")</f>
        <v>0</v>
      </c>
      <c r="AA51">
        <f>IFERROR(VLOOKUP(Data2022[[#This Row],[organisation_name]],'Division Study Year Committees'!$A$1:$L$108,3,FALSE),"N/A")</f>
        <v>0</v>
      </c>
      <c r="AB51">
        <f>IFERROR(VLOOKUP(Data2022[[#This Row],[organisation_name]],'Division Study Year Committees'!$A$1:$L$108,4,FALSE),"N/A")</f>
        <v>0</v>
      </c>
      <c r="AC51">
        <f>IFERROR(VLOOKUP(Data2022[[#This Row],[organisation_name]],'Division Study Year Committees'!$A$1:$L$108,5,FALSE), "N/A")</f>
        <v>0</v>
      </c>
      <c r="AD51">
        <f>IFERROR(VLOOKUP(Data2022[[#This Row],[organisation_name]],'Division Study Year Committees'!$A$1:$L$108,6,FALSE), "N/A")</f>
        <v>0</v>
      </c>
      <c r="AE51">
        <f>SUM(Data2022[[#This Row],[Number of first year comittee members]:[Number of 4+ year comittee members]])</f>
        <v>0</v>
      </c>
      <c r="AF51">
        <f>COUNTIF('Committee2022'!D:D,Data2022[[#This Row],[organisation_name]])</f>
        <v>0</v>
      </c>
      <c r="AG51">
        <v>2022</v>
      </c>
    </row>
    <row r="52" spans="1:33" x14ac:dyDescent="0.3">
      <c r="A52" t="str">
        <f>General2022[[#This Row],[organisation_name]]</f>
        <v>Pro Deo</v>
      </c>
      <c r="B52" t="str">
        <f>IF(General2022[[#This Row],[sector]]= "",VLOOKUP(Data2022[[#This Row],[organisation_name]],'Response Rate sheet'!A:D,3,FALSE),General2022[[#This Row],[sector]])</f>
        <v>Culture</v>
      </c>
      <c r="C52" t="str">
        <f>General2022[[#This Row],[organisation_type]]</f>
        <v>association</v>
      </c>
      <c r="D52">
        <f>IF(ISBLANK(General2022[[#This Row],[number_of_members]]),"N/A",VLOOKUP(A52,General2022[[organisation_name]:[number_of_international_committee_board_members_not_eea]],6,FALSE))</f>
        <v>48</v>
      </c>
      <c r="E52">
        <f>IF(ISBLANK(General2022[[#This Row],[number_of_committee_board_members]]),"N/A",VLOOKUP(A52,General2022!B:M,10,FALSE))</f>
        <v>6</v>
      </c>
      <c r="F52">
        <f>IFERROR(Data2022[[#This Row],[Number of members]]-Data2022[[#This Row],[Number of active members]], "N/A")</f>
        <v>42</v>
      </c>
      <c r="G52">
        <f>IFERROR(Data2022[[#This Row],[Number of active members]]/Data2022[[#This Row],[Number of members]], "N/A")</f>
        <v>0.125</v>
      </c>
      <c r="H52">
        <f>IFERROR(1-Data2022[[#This Row],[Percentage active members]],"N/A")</f>
        <v>0.875</v>
      </c>
      <c r="I52"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52">
        <f>IF(ISBLANK(General2022[[#This Row],[number_of_international_members_not_eea]]),"N/A",VLOOKUP(A52,General2022[[organisation_name]:[number_of_international_committee_board_members_not_eea]],9,FALSE))</f>
        <v>15</v>
      </c>
      <c r="K52">
        <f>IF(ISBLANK(General2022[[#This Row],[number_of_international_members_eea]]),"N/A",VLOOKUP(A52,General2022[[organisation_name]:[number_of_international_committee_board_members_not_eea]],8,FALSE))</f>
        <v>2</v>
      </c>
      <c r="L52">
        <f>IFERROR(IF(Data2022[[#This Row],[Number of members]]-Data2022[[#This Row],[Non-EEA Total]]-Data2022[[#This Row],[EEA total]]&lt;1,"N/A", Data2022[[#This Row],[Number of members]]-Data2022[[#This Row],[Non-EEA Total]]-Data2022[[#This Row],[EEA total]]),"N/A")</f>
        <v>31</v>
      </c>
      <c r="M52">
        <f>VLOOKUP(A52,General2022[[organisation_name]:[number_of_international_committee_board_members_not_eea]],12,FALSE)</f>
        <v>0</v>
      </c>
      <c r="N52">
        <f>VLOOKUP(A52,General2022[[organisation_name]:[number_of_international_committee_board_members_not_eea]],11,FALSE)</f>
        <v>2</v>
      </c>
      <c r="O52">
        <f>IFERROR(IF(Data2022[[#This Row],[Number of active members]]-Data2022[[#This Row],[Non-EEA Active ]]-Data2022[[#This Row],[EEA Active]]&lt;1,"N/A", Data2022[[#This Row],[Number of active members]]-Data2022[[#This Row],[Non-EEA Active ]]-Data2022[[#This Row],[EEA Active]]),"N/A")</f>
        <v>4</v>
      </c>
      <c r="P52">
        <f>IFERROR(Data2022[[#This Row],[Non-EEA Active ]]/Data2022[[#This Row],[Number of active members]],"N/A")</f>
        <v>0</v>
      </c>
      <c r="Q52">
        <f>IFERROR(Data2022[[#This Row],[EEA Active]]/Data2022[[#This Row],[EEA total]], "N/A")</f>
        <v>1</v>
      </c>
      <c r="R52">
        <f>IFERROR(Data2022[[#This Row],[Dutch Active]]/Data2022[[#This Row],[Dutch total]],"N/A")</f>
        <v>0.12903225806451613</v>
      </c>
      <c r="S52" t="str">
        <f>IFERROR(IF(Data2022[[#This Row],[Number of members]]=Data2022[[#This Row],[Non-EEA Total]]+Data2022[[#This Row],[EEA total]]+Data2022[[#This Row],[Dutch total]],"T","F"),"F")</f>
        <v>T</v>
      </c>
      <c r="T52" t="str">
        <f>IFERROR(IF(Data2022[[#This Row],[Number of active members]]=Data2022[[#This Row],[Non-EEA Active ]]+Data2022[[#This Row],[EEA Active]]+Data2022[[#This Row],[Dutch Active]],"T","F"),"F")</f>
        <v>T</v>
      </c>
      <c r="U52" t="str">
        <f>IFERROR(IF(Data2022[[#This Row],[Number of members]]-Data2022[[#This Row],[Non-EEA Active ]]-Data2022[[#This Row],[EEA Active]]-Data2022[[#This Row],[Dutch Active]]=Data2022[[#This Row],[Number of  inactive members]],"T","F"),"F")</f>
        <v>T</v>
      </c>
      <c r="V52" t="str">
        <f>IF(Data2022[[#This Row],[EEA Active]]&lt;=Data2022[[#This Row],[EEA total]],"T","F")</f>
        <v>T</v>
      </c>
      <c r="W52" t="str">
        <f>IF(Data2022[[#This Row],[Dutch Active]]&lt;=Data2022[[#This Row],[Dutch total]],"T","F")</f>
        <v>T</v>
      </c>
      <c r="X52" t="str">
        <f>IF(Data2022[[#This Row],[Non-EEA Active ]]&lt;=Data2022[[#This Row],[Non-EEA Total]],"T","F")</f>
        <v>T</v>
      </c>
      <c r="Y52"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2">
        <f>IFERROR(VLOOKUP(Data2022[[#This Row],[organisation_name]],'Division Study Year Committees'!$A$1:$L$108,2,FALSE),"N/A")</f>
        <v>0</v>
      </c>
      <c r="AA52">
        <f>IFERROR(VLOOKUP(Data2022[[#This Row],[organisation_name]],'Division Study Year Committees'!$A$1:$L$108,3,FALSE),"N/A")</f>
        <v>2</v>
      </c>
      <c r="AB52">
        <f>IFERROR(VLOOKUP(Data2022[[#This Row],[organisation_name]],'Division Study Year Committees'!$A$1:$L$108,4,FALSE),"N/A")</f>
        <v>1</v>
      </c>
      <c r="AC52">
        <f>IFERROR(VLOOKUP(Data2022[[#This Row],[organisation_name]],'Division Study Year Committees'!$A$1:$L$108,5,FALSE), "N/A")</f>
        <v>0</v>
      </c>
      <c r="AD52">
        <f>IFERROR(VLOOKUP(Data2022[[#This Row],[organisation_name]],'Division Study Year Committees'!$A$1:$L$108,6,FALSE), "N/A")</f>
        <v>16</v>
      </c>
      <c r="AE52">
        <f>SUM(Data2022[[#This Row],[Number of first year comittee members]:[Number of 4+ year comittee members]])</f>
        <v>19</v>
      </c>
      <c r="AF52">
        <f>COUNTIF('Committee2022'!D:D,Data2022[[#This Row],[organisation_name]])</f>
        <v>10</v>
      </c>
      <c r="AG52">
        <v>2022</v>
      </c>
    </row>
    <row r="53" spans="1:33" x14ac:dyDescent="0.3">
      <c r="A53" t="str">
        <f>General2022[[#This Row],[organisation_name]]</f>
        <v>SDV Chasse</v>
      </c>
      <c r="B53" t="str">
        <f>IF(General2022[[#This Row],[sector]]= "",VLOOKUP(Data2022[[#This Row],[organisation_name]],'Response Rate sheet'!A:D,3,FALSE),General2022[[#This Row],[sector]])</f>
        <v>Culture</v>
      </c>
      <c r="C53" t="str">
        <f>General2022[[#This Row],[organisation_type]]</f>
        <v>association</v>
      </c>
      <c r="D53">
        <f>IF(ISBLANK(General2022[[#This Row],[number_of_members]]),"N/A",VLOOKUP(A53,General2022[[organisation_name]:[number_of_international_committee_board_members_not_eea]],6,FALSE))</f>
        <v>48</v>
      </c>
      <c r="E53">
        <f>IF(ISBLANK(General2022[[#This Row],[number_of_committee_board_members]]),"N/A",VLOOKUP(A53,General2022!B:M,10,FALSE))</f>
        <v>8</v>
      </c>
      <c r="F53">
        <f>IFERROR(Data2022[[#This Row],[Number of members]]-Data2022[[#This Row],[Number of active members]], "N/A")</f>
        <v>40</v>
      </c>
      <c r="G53">
        <f>IFERROR(Data2022[[#This Row],[Number of active members]]/Data2022[[#This Row],[Number of members]], "N/A")</f>
        <v>0.16666666666666666</v>
      </c>
      <c r="H53">
        <f>IFERROR(1-Data2022[[#This Row],[Percentage active members]],"N/A")</f>
        <v>0.83333333333333337</v>
      </c>
      <c r="I53"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53">
        <f>IF(ISBLANK(General2022[[#This Row],[number_of_international_members_not_eea]]),"N/A",VLOOKUP(A53,General2022[[organisation_name]:[number_of_international_committee_board_members_not_eea]],9,FALSE))</f>
        <v>26</v>
      </c>
      <c r="K53">
        <f>IF(ISBLANK(General2022[[#This Row],[number_of_international_members_eea]]),"N/A",VLOOKUP(A53,General2022[[organisation_name]:[number_of_international_committee_board_members_not_eea]],8,FALSE))</f>
        <v>3</v>
      </c>
      <c r="L53">
        <f>IFERROR(IF(Data2022[[#This Row],[Number of members]]-Data2022[[#This Row],[Non-EEA Total]]-Data2022[[#This Row],[EEA total]]&lt;1,"N/A", Data2022[[#This Row],[Number of members]]-Data2022[[#This Row],[Non-EEA Total]]-Data2022[[#This Row],[EEA total]]),"N/A")</f>
        <v>19</v>
      </c>
      <c r="M53">
        <f>VLOOKUP(A53,General2022[[organisation_name]:[number_of_international_committee_board_members_not_eea]],12,FALSE)</f>
        <v>3</v>
      </c>
      <c r="N53">
        <f>VLOOKUP(A53,General2022[[organisation_name]:[number_of_international_committee_board_members_not_eea]],11,FALSE)</f>
        <v>3</v>
      </c>
      <c r="O53">
        <f>IFERROR(IF(Data2022[[#This Row],[Number of active members]]-Data2022[[#This Row],[Non-EEA Active ]]-Data2022[[#This Row],[EEA Active]]&lt;1,"N/A", Data2022[[#This Row],[Number of active members]]-Data2022[[#This Row],[Non-EEA Active ]]-Data2022[[#This Row],[EEA Active]]),"N/A")</f>
        <v>2</v>
      </c>
      <c r="P53">
        <f>IFERROR(Data2022[[#This Row],[Non-EEA Active ]]/Data2022[[#This Row],[Number of active members]],"N/A")</f>
        <v>0.375</v>
      </c>
      <c r="Q53">
        <f>IFERROR(Data2022[[#This Row],[EEA Active]]/Data2022[[#This Row],[EEA total]], "N/A")</f>
        <v>1</v>
      </c>
      <c r="R53">
        <f>IFERROR(Data2022[[#This Row],[Dutch Active]]/Data2022[[#This Row],[Dutch total]],"N/A")</f>
        <v>0.10526315789473684</v>
      </c>
      <c r="S53" t="str">
        <f>IFERROR(IF(Data2022[[#This Row],[Number of members]]=Data2022[[#This Row],[Non-EEA Total]]+Data2022[[#This Row],[EEA total]]+Data2022[[#This Row],[Dutch total]],"T","F"),"F")</f>
        <v>T</v>
      </c>
      <c r="T53" t="str">
        <f>IFERROR(IF(Data2022[[#This Row],[Number of active members]]=Data2022[[#This Row],[Non-EEA Active ]]+Data2022[[#This Row],[EEA Active]]+Data2022[[#This Row],[Dutch Active]],"T","F"),"F")</f>
        <v>T</v>
      </c>
      <c r="U53" t="str">
        <f>IFERROR(IF(Data2022[[#This Row],[Number of members]]-Data2022[[#This Row],[Non-EEA Active ]]-Data2022[[#This Row],[EEA Active]]-Data2022[[#This Row],[Dutch Active]]=Data2022[[#This Row],[Number of  inactive members]],"T","F"),"F")</f>
        <v>T</v>
      </c>
      <c r="V53" t="str">
        <f>IF(Data2022[[#This Row],[EEA Active]]&lt;=Data2022[[#This Row],[EEA total]],"T","F")</f>
        <v>T</v>
      </c>
      <c r="W53" t="str">
        <f>IF(Data2022[[#This Row],[Dutch Active]]&lt;=Data2022[[#This Row],[Dutch total]],"T","F")</f>
        <v>T</v>
      </c>
      <c r="X53" t="str">
        <f>IF(Data2022[[#This Row],[Non-EEA Active ]]&lt;=Data2022[[#This Row],[Non-EEA Total]],"T","F")</f>
        <v>T</v>
      </c>
      <c r="Y53"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3">
        <f>IFERROR(VLOOKUP(Data2022[[#This Row],[organisation_name]],'Division Study Year Committees'!$A$1:$L$108,2,FALSE),"N/A")</f>
        <v>0</v>
      </c>
      <c r="AA53">
        <f>IFERROR(VLOOKUP(Data2022[[#This Row],[organisation_name]],'Division Study Year Committees'!$A$1:$L$108,3,FALSE),"N/A")</f>
        <v>0</v>
      </c>
      <c r="AB53">
        <f>IFERROR(VLOOKUP(Data2022[[#This Row],[organisation_name]],'Division Study Year Committees'!$A$1:$L$108,4,FALSE),"N/A")</f>
        <v>0</v>
      </c>
      <c r="AC53">
        <f>IFERROR(VLOOKUP(Data2022[[#This Row],[organisation_name]],'Division Study Year Committees'!$A$1:$L$108,5,FALSE), "N/A")</f>
        <v>0</v>
      </c>
      <c r="AD53">
        <f>IFERROR(VLOOKUP(Data2022[[#This Row],[organisation_name]],'Division Study Year Committees'!$A$1:$L$108,6,FALSE), "N/A")</f>
        <v>0</v>
      </c>
      <c r="AE53">
        <f>SUM(Data2022[[#This Row],[Number of first year comittee members]:[Number of 4+ year comittee members]])</f>
        <v>0</v>
      </c>
      <c r="AF53">
        <f>COUNTIF('Committee2022'!D:D,Data2022[[#This Row],[organisation_name]])</f>
        <v>8</v>
      </c>
      <c r="AG53">
        <v>2022</v>
      </c>
    </row>
    <row r="54" spans="1:33" x14ac:dyDescent="0.3">
      <c r="A54" t="str">
        <f>General2022[[#This Row],[organisation_name]]</f>
        <v>SHOT</v>
      </c>
      <c r="B54" t="str">
        <f>IF(General2022[[#This Row],[sector]]= "",VLOOKUP(Data2022[[#This Row],[organisation_name]],'Response Rate sheet'!A:D,3,FALSE),General2022[[#This Row],[sector]])</f>
        <v>Culture</v>
      </c>
      <c r="C54" t="str">
        <f>General2022[[#This Row],[organisation_type]]</f>
        <v>association</v>
      </c>
      <c r="D54">
        <f>IF(ISBLANK(General2022[[#This Row],[number_of_members]]),"N/A",VLOOKUP(A54,General2022[[organisation_name]:[number_of_international_committee_board_members_not_eea]],6,FALSE))</f>
        <v>60</v>
      </c>
      <c r="E54">
        <f>IF(ISBLANK(General2022[[#This Row],[number_of_committee_board_members]]),"N/A",VLOOKUP(A54,General2022!B:M,10,FALSE))</f>
        <v>10</v>
      </c>
      <c r="F54">
        <f>IFERROR(Data2022[[#This Row],[Number of members]]-Data2022[[#This Row],[Number of active members]], "N/A")</f>
        <v>50</v>
      </c>
      <c r="G54">
        <f>IFERROR(Data2022[[#This Row],[Number of active members]]/Data2022[[#This Row],[Number of members]], "N/A")</f>
        <v>0.16666666666666666</v>
      </c>
      <c r="H54">
        <f>IFERROR(1-Data2022[[#This Row],[Percentage active members]],"N/A")</f>
        <v>0.83333333333333337</v>
      </c>
      <c r="I54" t="str">
        <f>IF(Data2022[[#This Row],[Number of members]]=0,"N/A",IF(Data2022[[#This Row],[Number of members]]&lt;50," A. 1 - 50 ",IF(Data2022[[#This Row],[Number of members]]&lt;100, "B. 50 - 100", IF(Data2022[[#This Row],[Number of members]]&lt;400, "C. 100 - 400", IF(Data2022[[#This Row],[Number of members]]&lt;1000,"D. 400 - 1000", "E. 1000 +")))))</f>
        <v>B. 50 - 100</v>
      </c>
      <c r="J54">
        <f>IF(ISBLANK(General2022[[#This Row],[number_of_international_members_not_eea]]),"N/A",VLOOKUP(A54,General2022[[organisation_name]:[number_of_international_committee_board_members_not_eea]],9,FALSE))</f>
        <v>20</v>
      </c>
      <c r="K54">
        <f>IF(ISBLANK(General2022[[#This Row],[number_of_international_members_eea]]),"N/A",VLOOKUP(A54,General2022[[organisation_name]:[number_of_international_committee_board_members_not_eea]],8,FALSE))</f>
        <v>0</v>
      </c>
      <c r="L54">
        <f>IFERROR(IF(Data2022[[#This Row],[Number of members]]-Data2022[[#This Row],[Non-EEA Total]]-Data2022[[#This Row],[EEA total]]&lt;1,"N/A", Data2022[[#This Row],[Number of members]]-Data2022[[#This Row],[Non-EEA Total]]-Data2022[[#This Row],[EEA total]]),"N/A")</f>
        <v>40</v>
      </c>
      <c r="M54">
        <f>VLOOKUP(A54,General2022[[organisation_name]:[number_of_international_committee_board_members_not_eea]],12,FALSE)</f>
        <v>0</v>
      </c>
      <c r="N54">
        <f>VLOOKUP(A54,General2022[[organisation_name]:[number_of_international_committee_board_members_not_eea]],11,FALSE)</f>
        <v>0</v>
      </c>
      <c r="O54">
        <f>IFERROR(IF(Data2022[[#This Row],[Number of active members]]-Data2022[[#This Row],[Non-EEA Active ]]-Data2022[[#This Row],[EEA Active]]&lt;1,"N/A", Data2022[[#This Row],[Number of active members]]-Data2022[[#This Row],[Non-EEA Active ]]-Data2022[[#This Row],[EEA Active]]),"N/A")</f>
        <v>10</v>
      </c>
      <c r="P54">
        <f>IFERROR(Data2022[[#This Row],[Non-EEA Active ]]/Data2022[[#This Row],[Number of active members]],"N/A")</f>
        <v>0</v>
      </c>
      <c r="Q54" t="str">
        <f>IFERROR(Data2022[[#This Row],[EEA Active]]/Data2022[[#This Row],[EEA total]], "N/A")</f>
        <v>N/A</v>
      </c>
      <c r="R54">
        <f>IFERROR(Data2022[[#This Row],[Dutch Active]]/Data2022[[#This Row],[Dutch total]],"N/A")</f>
        <v>0.25</v>
      </c>
      <c r="S54" t="str">
        <f>IFERROR(IF(Data2022[[#This Row],[Number of members]]=Data2022[[#This Row],[Non-EEA Total]]+Data2022[[#This Row],[EEA total]]+Data2022[[#This Row],[Dutch total]],"T","F"),"F")</f>
        <v>T</v>
      </c>
      <c r="T54" t="str">
        <f>IFERROR(IF(Data2022[[#This Row],[Number of active members]]=Data2022[[#This Row],[Non-EEA Active ]]+Data2022[[#This Row],[EEA Active]]+Data2022[[#This Row],[Dutch Active]],"T","F"),"F")</f>
        <v>T</v>
      </c>
      <c r="U54" t="str">
        <f>IFERROR(IF(Data2022[[#This Row],[Number of members]]-Data2022[[#This Row],[Non-EEA Active ]]-Data2022[[#This Row],[EEA Active]]-Data2022[[#This Row],[Dutch Active]]=Data2022[[#This Row],[Number of  inactive members]],"T","F"),"F")</f>
        <v>T</v>
      </c>
      <c r="V54" t="str">
        <f>IF(Data2022[[#This Row],[EEA Active]]&lt;=Data2022[[#This Row],[EEA total]],"T","F")</f>
        <v>T</v>
      </c>
      <c r="W54" t="str">
        <f>IF(Data2022[[#This Row],[Dutch Active]]&lt;=Data2022[[#This Row],[Dutch total]],"T","F")</f>
        <v>T</v>
      </c>
      <c r="X54" t="str">
        <f>IF(Data2022[[#This Row],[Non-EEA Active ]]&lt;=Data2022[[#This Row],[Non-EEA Total]],"T","F")</f>
        <v>T</v>
      </c>
      <c r="Y54"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4" t="str">
        <f>IFERROR(VLOOKUP(Data2022[[#This Row],[organisation_name]],'Division Study Year Committees'!$A$1:$L$108,2,FALSE),"N/A")</f>
        <v>N/A</v>
      </c>
      <c r="AA54" t="str">
        <f>IFERROR(VLOOKUP(Data2022[[#This Row],[organisation_name]],'Division Study Year Committees'!$A$1:$L$108,3,FALSE),"N/A")</f>
        <v>N/A</v>
      </c>
      <c r="AB54" t="str">
        <f>IFERROR(VLOOKUP(Data2022[[#This Row],[organisation_name]],'Division Study Year Committees'!$A$1:$L$108,4,FALSE),"N/A")</f>
        <v>N/A</v>
      </c>
      <c r="AC54" t="str">
        <f>IFERROR(VLOOKUP(Data2022[[#This Row],[organisation_name]],'Division Study Year Committees'!$A$1:$L$108,5,FALSE), "N/A")</f>
        <v>N/A</v>
      </c>
      <c r="AD54" t="str">
        <f>IFERROR(VLOOKUP(Data2022[[#This Row],[organisation_name]],'Division Study Year Committees'!$A$1:$L$108,6,FALSE), "N/A")</f>
        <v>N/A</v>
      </c>
      <c r="AE54">
        <f>SUM(Data2022[[#This Row],[Number of first year comittee members]:[Number of 4+ year comittee members]])</f>
        <v>0</v>
      </c>
      <c r="AF54">
        <f>COUNTIF('Committee2022'!D:D,Data2022[[#This Row],[organisation_name]])</f>
        <v>14</v>
      </c>
      <c r="AG54">
        <v>2022</v>
      </c>
    </row>
    <row r="55" spans="1:33" x14ac:dyDescent="0.3">
      <c r="A55" t="str">
        <f>General2022[[#This Row],[organisation_name]]</f>
        <v>Stubiba</v>
      </c>
      <c r="B55" t="str">
        <f>IF(General2022[[#This Row],[sector]]= "",VLOOKUP(Data2022[[#This Row],[organisation_name]],'Response Rate sheet'!A:D,3,FALSE),General2022[[#This Row],[sector]])</f>
        <v>Culture</v>
      </c>
      <c r="C55" t="str">
        <f>General2022[[#This Row],[organisation_type]]</f>
        <v>association</v>
      </c>
      <c r="D55">
        <f>IF(ISBLANK(General2022[[#This Row],[number_of_members]]),"N/A",VLOOKUP(A55,General2022[[organisation_name]:[number_of_international_committee_board_members_not_eea]],6,FALSE))</f>
        <v>20</v>
      </c>
      <c r="E55">
        <f>IF(ISBLANK(General2022[[#This Row],[number_of_committee_board_members]]),"N/A",VLOOKUP(A55,General2022!B:M,10,FALSE))</f>
        <v>6</v>
      </c>
      <c r="F55">
        <f>IFERROR(Data2022[[#This Row],[Number of members]]-Data2022[[#This Row],[Number of active members]], "N/A")</f>
        <v>14</v>
      </c>
      <c r="G55">
        <f>IFERROR(Data2022[[#This Row],[Number of active members]]/Data2022[[#This Row],[Number of members]], "N/A")</f>
        <v>0.3</v>
      </c>
      <c r="H55">
        <f>IFERROR(1-Data2022[[#This Row],[Percentage active members]],"N/A")</f>
        <v>0.7</v>
      </c>
      <c r="I55"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55">
        <f>IF(ISBLANK(General2022[[#This Row],[number_of_international_members_not_eea]]),"N/A",VLOOKUP(A55,General2022[[organisation_name]:[number_of_international_committee_board_members_not_eea]],9,FALSE))</f>
        <v>3</v>
      </c>
      <c r="K55">
        <f>IF(ISBLANK(General2022[[#This Row],[number_of_international_members_eea]]),"N/A",VLOOKUP(A55,General2022[[organisation_name]:[number_of_international_committee_board_members_not_eea]],8,FALSE))</f>
        <v>1</v>
      </c>
      <c r="L55">
        <f>IFERROR(IF(Data2022[[#This Row],[Number of members]]-Data2022[[#This Row],[Non-EEA Total]]-Data2022[[#This Row],[EEA total]]&lt;1,"N/A", Data2022[[#This Row],[Number of members]]-Data2022[[#This Row],[Non-EEA Total]]-Data2022[[#This Row],[EEA total]]),"N/A")</f>
        <v>16</v>
      </c>
      <c r="M55">
        <f>VLOOKUP(A55,General2022[[organisation_name]:[number_of_international_committee_board_members_not_eea]],12,FALSE)</f>
        <v>0</v>
      </c>
      <c r="N55">
        <f>VLOOKUP(A55,General2022[[organisation_name]:[number_of_international_committee_board_members_not_eea]],11,FALSE)</f>
        <v>1</v>
      </c>
      <c r="O55">
        <f>IFERROR(IF(Data2022[[#This Row],[Number of active members]]-Data2022[[#This Row],[Non-EEA Active ]]-Data2022[[#This Row],[EEA Active]]&lt;1,"N/A", Data2022[[#This Row],[Number of active members]]-Data2022[[#This Row],[Non-EEA Active ]]-Data2022[[#This Row],[EEA Active]]),"N/A")</f>
        <v>5</v>
      </c>
      <c r="P55">
        <f>IFERROR(Data2022[[#This Row],[Non-EEA Active ]]/Data2022[[#This Row],[Number of active members]],"N/A")</f>
        <v>0</v>
      </c>
      <c r="Q55">
        <f>IFERROR(Data2022[[#This Row],[EEA Active]]/Data2022[[#This Row],[EEA total]], "N/A")</f>
        <v>1</v>
      </c>
      <c r="R55">
        <f>IFERROR(Data2022[[#This Row],[Dutch Active]]/Data2022[[#This Row],[Dutch total]],"N/A")</f>
        <v>0.3125</v>
      </c>
      <c r="S55" t="str">
        <f>IFERROR(IF(Data2022[[#This Row],[Number of members]]=Data2022[[#This Row],[Non-EEA Total]]+Data2022[[#This Row],[EEA total]]+Data2022[[#This Row],[Dutch total]],"T","F"),"F")</f>
        <v>T</v>
      </c>
      <c r="T55" t="str">
        <f>IFERROR(IF(Data2022[[#This Row],[Number of active members]]=Data2022[[#This Row],[Non-EEA Active ]]+Data2022[[#This Row],[EEA Active]]+Data2022[[#This Row],[Dutch Active]],"T","F"),"F")</f>
        <v>T</v>
      </c>
      <c r="U55" t="str">
        <f>IFERROR(IF(Data2022[[#This Row],[Number of members]]-Data2022[[#This Row],[Non-EEA Active ]]-Data2022[[#This Row],[EEA Active]]-Data2022[[#This Row],[Dutch Active]]=Data2022[[#This Row],[Number of  inactive members]],"T","F"),"F")</f>
        <v>T</v>
      </c>
      <c r="V55" t="str">
        <f>IF(Data2022[[#This Row],[EEA Active]]&lt;=Data2022[[#This Row],[EEA total]],"T","F")</f>
        <v>T</v>
      </c>
      <c r="W55" t="str">
        <f>IF(Data2022[[#This Row],[Dutch Active]]&lt;=Data2022[[#This Row],[Dutch total]],"T","F")</f>
        <v>T</v>
      </c>
      <c r="X55" t="str">
        <f>IF(Data2022[[#This Row],[Non-EEA Active ]]&lt;=Data2022[[#This Row],[Non-EEA Total]],"T","F")</f>
        <v>T</v>
      </c>
      <c r="Y5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5" t="str">
        <f>IFERROR(VLOOKUP(Data2022[[#This Row],[organisation_name]],'Division Study Year Committees'!$A$1:$L$108,2,FALSE),"N/A")</f>
        <v>N/A</v>
      </c>
      <c r="AA55" t="str">
        <f>IFERROR(VLOOKUP(Data2022[[#This Row],[organisation_name]],'Division Study Year Committees'!$A$1:$L$108,3,FALSE),"N/A")</f>
        <v>N/A</v>
      </c>
      <c r="AB55" t="str">
        <f>IFERROR(VLOOKUP(Data2022[[#This Row],[organisation_name]],'Division Study Year Committees'!$A$1:$L$108,4,FALSE),"N/A")</f>
        <v>N/A</v>
      </c>
      <c r="AC55" t="str">
        <f>IFERROR(VLOOKUP(Data2022[[#This Row],[organisation_name]],'Division Study Year Committees'!$A$1:$L$108,5,FALSE), "N/A")</f>
        <v>N/A</v>
      </c>
      <c r="AD55" t="str">
        <f>IFERROR(VLOOKUP(Data2022[[#This Row],[organisation_name]],'Division Study Year Committees'!$A$1:$L$108,6,FALSE), "N/A")</f>
        <v>N/A</v>
      </c>
      <c r="AE55">
        <f>SUM(Data2022[[#This Row],[Number of first year comittee members]:[Number of 4+ year comittee members]])</f>
        <v>0</v>
      </c>
      <c r="AF55">
        <f>COUNTIF('Committee2022'!D:D,Data2022[[#This Row],[organisation_name]])</f>
        <v>0</v>
      </c>
      <c r="AG55">
        <v>2022</v>
      </c>
    </row>
    <row r="56" spans="1:33" x14ac:dyDescent="0.3">
      <c r="A56" t="str">
        <f>General2022[[#This Row],[organisation_name]]</f>
        <v>Inspe</v>
      </c>
      <c r="B56" t="str">
        <f>IF(General2022[[#This Row],[sector]]= "",VLOOKUP(Data2022[[#This Row],[organisation_name]],'Response Rate sheet'!A:D,3,FALSE),General2022[[#This Row],[sector]])</f>
        <v>Culture</v>
      </c>
      <c r="C56" t="str">
        <f>General2022[[#This Row],[organisation_type]]</f>
        <v>foundation</v>
      </c>
      <c r="D56">
        <f>IF(ISBLANK(General2022[[#This Row],[number_of_members]]),"N/A",VLOOKUP(A56,General2022[[organisation_name]:[number_of_international_committee_board_members_not_eea]],6,FALSE))</f>
        <v>50</v>
      </c>
      <c r="E56">
        <f>IF(ISBLANK(General2022[[#This Row],[number_of_committee_board_members]]),"N/A",VLOOKUP(A56,General2022!B:M,10,FALSE))</f>
        <v>0</v>
      </c>
      <c r="F56">
        <f>IFERROR(Data2022[[#This Row],[Number of members]]-Data2022[[#This Row],[Number of active members]], "N/A")</f>
        <v>50</v>
      </c>
      <c r="G56">
        <f>IFERROR(Data2022[[#This Row],[Number of active members]]/Data2022[[#This Row],[Number of members]], "N/A")</f>
        <v>0</v>
      </c>
      <c r="H56">
        <f>IFERROR(1-Data2022[[#This Row],[Percentage active members]],"N/A")</f>
        <v>1</v>
      </c>
      <c r="I56" t="str">
        <f>IF(Data2022[[#This Row],[Number of members]]=0,"N/A",IF(Data2022[[#This Row],[Number of members]]&lt;50," A. 1 - 50 ",IF(Data2022[[#This Row],[Number of members]]&lt;100, "B. 50 - 100", IF(Data2022[[#This Row],[Number of members]]&lt;400, "C. 100 - 400", IF(Data2022[[#This Row],[Number of members]]&lt;1000,"D. 400 - 1000", "E. 1000 +")))))</f>
        <v>B. 50 - 100</v>
      </c>
      <c r="J56">
        <f>IF(ISBLANK(General2022[[#This Row],[number_of_international_members_not_eea]]),"N/A",VLOOKUP(A56,General2022[[organisation_name]:[number_of_international_committee_board_members_not_eea]],9,FALSE))</f>
        <v>0</v>
      </c>
      <c r="K56">
        <f>IF(ISBLANK(General2022[[#This Row],[number_of_international_members_eea]]),"N/A",VLOOKUP(A56,General2022[[organisation_name]:[number_of_international_committee_board_members_not_eea]],8,FALSE))</f>
        <v>2</v>
      </c>
      <c r="L56">
        <f>IFERROR(IF(Data2022[[#This Row],[Number of members]]-Data2022[[#This Row],[Non-EEA Total]]-Data2022[[#This Row],[EEA total]]&lt;1,"N/A", Data2022[[#This Row],[Number of members]]-Data2022[[#This Row],[Non-EEA Total]]-Data2022[[#This Row],[EEA total]]),"N/A")</f>
        <v>48</v>
      </c>
      <c r="M56">
        <f>VLOOKUP(A56,General2022[[organisation_name]:[number_of_international_committee_board_members_not_eea]],12,FALSE)</f>
        <v>0</v>
      </c>
      <c r="N56">
        <f>VLOOKUP(A56,General2022[[organisation_name]:[number_of_international_committee_board_members_not_eea]],11,FALSE)</f>
        <v>0</v>
      </c>
      <c r="O56" t="str">
        <f>IFERROR(IF(Data2022[[#This Row],[Number of active members]]-Data2022[[#This Row],[Non-EEA Active ]]-Data2022[[#This Row],[EEA Active]]&lt;1,"N/A", Data2022[[#This Row],[Number of active members]]-Data2022[[#This Row],[Non-EEA Active ]]-Data2022[[#This Row],[EEA Active]]),"N/A")</f>
        <v>N/A</v>
      </c>
      <c r="P56" t="str">
        <f>IFERROR(Data2022[[#This Row],[Non-EEA Active ]]/Data2022[[#This Row],[Number of active members]],"N/A")</f>
        <v>N/A</v>
      </c>
      <c r="Q56">
        <f>IFERROR(Data2022[[#This Row],[EEA Active]]/Data2022[[#This Row],[EEA total]], "N/A")</f>
        <v>0</v>
      </c>
      <c r="R56" t="str">
        <f>IFERROR(Data2022[[#This Row],[Dutch Active]]/Data2022[[#This Row],[Dutch total]],"N/A")</f>
        <v>N/A</v>
      </c>
      <c r="S56" t="str">
        <f>IFERROR(IF(Data2022[[#This Row],[Number of members]]=Data2022[[#This Row],[Non-EEA Total]]+Data2022[[#This Row],[EEA total]]+Data2022[[#This Row],[Dutch total]],"T","F"),"F")</f>
        <v>T</v>
      </c>
      <c r="T56" t="str">
        <f>IFERROR(IF(Data2022[[#This Row],[Number of active members]]=Data2022[[#This Row],[Non-EEA Active ]]+Data2022[[#This Row],[EEA Active]]+Data2022[[#This Row],[Dutch Active]],"T","F"),"F")</f>
        <v>F</v>
      </c>
      <c r="U56" t="str">
        <f>IFERROR(IF(Data2022[[#This Row],[Number of members]]-Data2022[[#This Row],[Non-EEA Active ]]-Data2022[[#This Row],[EEA Active]]-Data2022[[#This Row],[Dutch Active]]=Data2022[[#This Row],[Number of  inactive members]],"T","F"),"F")</f>
        <v>F</v>
      </c>
      <c r="V56" t="str">
        <f>IF(Data2022[[#This Row],[EEA Active]]&lt;=Data2022[[#This Row],[EEA total]],"T","F")</f>
        <v>T</v>
      </c>
      <c r="W56" t="str">
        <f>IF(Data2022[[#This Row],[Dutch Active]]&lt;=Data2022[[#This Row],[Dutch total]],"T","F")</f>
        <v>F</v>
      </c>
      <c r="X56" t="str">
        <f>IF(Data2022[[#This Row],[Non-EEA Active ]]&lt;=Data2022[[#This Row],[Non-EEA Total]],"T","F")</f>
        <v>T</v>
      </c>
      <c r="Y5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56">
        <f>IFERROR(VLOOKUP(Data2022[[#This Row],[organisation_name]],'Division Study Year Committees'!$A$1:$L$108,2,FALSE),"N/A")</f>
        <v>2</v>
      </c>
      <c r="AA56">
        <f>IFERROR(VLOOKUP(Data2022[[#This Row],[organisation_name]],'Division Study Year Committees'!$A$1:$L$108,3,FALSE),"N/A")</f>
        <v>0</v>
      </c>
      <c r="AB56">
        <f>IFERROR(VLOOKUP(Data2022[[#This Row],[organisation_name]],'Division Study Year Committees'!$A$1:$L$108,4,FALSE),"N/A")</f>
        <v>7</v>
      </c>
      <c r="AC56">
        <f>IFERROR(VLOOKUP(Data2022[[#This Row],[organisation_name]],'Division Study Year Committees'!$A$1:$L$108,5,FALSE), "N/A")</f>
        <v>8</v>
      </c>
      <c r="AD56">
        <f>IFERROR(VLOOKUP(Data2022[[#This Row],[organisation_name]],'Division Study Year Committees'!$A$1:$L$108,6,FALSE), "N/A")</f>
        <v>13</v>
      </c>
      <c r="AE56">
        <f>SUM(Data2022[[#This Row],[Number of first year comittee members]:[Number of 4+ year comittee members]])</f>
        <v>30</v>
      </c>
      <c r="AF56">
        <f>COUNTIF('Committee2022'!D:D,Data2022[[#This Row],[organisation_name]])</f>
        <v>11</v>
      </c>
      <c r="AG56">
        <v>2022</v>
      </c>
    </row>
    <row r="57" spans="1:33" x14ac:dyDescent="0.3">
      <c r="A57" t="str">
        <f>General2022[[#This Row],[organisation_name]]</f>
        <v>Stukafest</v>
      </c>
      <c r="B57" t="str">
        <f>IF(General2022[[#This Row],[sector]]= "",VLOOKUP(Data2022[[#This Row],[organisation_name]],'Response Rate sheet'!A:D,3,FALSE),General2022[[#This Row],[sector]])</f>
        <v>Culture</v>
      </c>
      <c r="C57" t="str">
        <f>General2022[[#This Row],[organisation_type]]</f>
        <v>association</v>
      </c>
      <c r="D57" t="str">
        <f>IF(ISBLANK(General2022[[#This Row],[number_of_members]]),"N/A",VLOOKUP(A57,General2022[[organisation_name]:[number_of_international_committee_board_members_not_eea]],6,FALSE))</f>
        <v>N/A</v>
      </c>
      <c r="E57" t="str">
        <f>IF(ISBLANK(General2022[[#This Row],[number_of_committee_board_members]]),"N/A",VLOOKUP(A57,General2022!B:M,10,FALSE))</f>
        <v>N/A</v>
      </c>
      <c r="F57" t="str">
        <f>IFERROR(Data2022[[#This Row],[Number of members]]-Data2022[[#This Row],[Number of active members]], "N/A")</f>
        <v>N/A</v>
      </c>
      <c r="G57" t="str">
        <f>IFERROR(Data2022[[#This Row],[Number of active members]]/Data2022[[#This Row],[Number of members]], "N/A")</f>
        <v>N/A</v>
      </c>
      <c r="H57" t="str">
        <f>IFERROR(1-Data2022[[#This Row],[Percentage active members]],"N/A")</f>
        <v>N/A</v>
      </c>
      <c r="I57" t="str">
        <f>IF(Data2022[[#This Row],[Number of members]]=0,"N/A",IF(Data2022[[#This Row],[Number of members]]&lt;50," A. 1 - 50 ",IF(Data2022[[#This Row],[Number of members]]&lt;100, "B. 50 - 100", IF(Data2022[[#This Row],[Number of members]]&lt;400, "C. 100 - 400", IF(Data2022[[#This Row],[Number of members]]&lt;1000,"D. 400 - 1000", "E. 1000 +")))))</f>
        <v>E. 1000 +</v>
      </c>
      <c r="J57" t="str">
        <f>IF(ISBLANK(General2022[[#This Row],[number_of_international_members_not_eea]]),"N/A",VLOOKUP(A57,General2022[[organisation_name]:[number_of_international_committee_board_members_not_eea]],9,FALSE))</f>
        <v>N/A</v>
      </c>
      <c r="K57" t="str">
        <f>IF(ISBLANK(General2022[[#This Row],[number_of_international_members_eea]]),"N/A",VLOOKUP(A57,General2022[[organisation_name]:[number_of_international_committee_board_members_not_eea]],8,FALSE))</f>
        <v>N/A</v>
      </c>
      <c r="L57" t="str">
        <f>IFERROR(IF(Data2022[[#This Row],[Number of members]]-Data2022[[#This Row],[Non-EEA Total]]-Data2022[[#This Row],[EEA total]]&lt;1,"N/A", Data2022[[#This Row],[Number of members]]-Data2022[[#This Row],[Non-EEA Total]]-Data2022[[#This Row],[EEA total]]),"N/A")</f>
        <v>N/A</v>
      </c>
      <c r="M57">
        <f>VLOOKUP(A57,General2022[[organisation_name]:[number_of_international_committee_board_members_not_eea]],12,FALSE)</f>
        <v>0</v>
      </c>
      <c r="N57">
        <f>VLOOKUP(A57,General2022[[organisation_name]:[number_of_international_committee_board_members_not_eea]],11,FALSE)</f>
        <v>0</v>
      </c>
      <c r="O57" t="str">
        <f>IFERROR(IF(Data2022[[#This Row],[Number of active members]]-Data2022[[#This Row],[Non-EEA Active ]]-Data2022[[#This Row],[EEA Active]]&lt;1,"N/A", Data2022[[#This Row],[Number of active members]]-Data2022[[#This Row],[Non-EEA Active ]]-Data2022[[#This Row],[EEA Active]]),"N/A")</f>
        <v>N/A</v>
      </c>
      <c r="P57" t="str">
        <f>IFERROR(Data2022[[#This Row],[Non-EEA Active ]]/Data2022[[#This Row],[Number of active members]],"N/A")</f>
        <v>N/A</v>
      </c>
      <c r="Q57" t="str">
        <f>IFERROR(Data2022[[#This Row],[EEA Active]]/Data2022[[#This Row],[EEA total]], "N/A")</f>
        <v>N/A</v>
      </c>
      <c r="R57" t="str">
        <f>IFERROR(Data2022[[#This Row],[Dutch Active]]/Data2022[[#This Row],[Dutch total]],"N/A")</f>
        <v>N/A</v>
      </c>
      <c r="S57" t="str">
        <f>IFERROR(IF(Data2022[[#This Row],[Number of members]]=Data2022[[#This Row],[Non-EEA Total]]+Data2022[[#This Row],[EEA total]]+Data2022[[#This Row],[Dutch total]],"T","F"),"F")</f>
        <v>F</v>
      </c>
      <c r="T57" t="str">
        <f>IFERROR(IF(Data2022[[#This Row],[Number of active members]]=Data2022[[#This Row],[Non-EEA Active ]]+Data2022[[#This Row],[EEA Active]]+Data2022[[#This Row],[Dutch Active]],"T","F"),"F")</f>
        <v>F</v>
      </c>
      <c r="U57" t="str">
        <f>IFERROR(IF(Data2022[[#This Row],[Number of members]]-Data2022[[#This Row],[Non-EEA Active ]]-Data2022[[#This Row],[EEA Active]]-Data2022[[#This Row],[Dutch Active]]=Data2022[[#This Row],[Number of  inactive members]],"T","F"),"F")</f>
        <v>F</v>
      </c>
      <c r="V57" t="str">
        <f>IF(Data2022[[#This Row],[EEA Active]]&lt;=Data2022[[#This Row],[EEA total]],"T","F")</f>
        <v>T</v>
      </c>
      <c r="W57" t="str">
        <f>IF(Data2022[[#This Row],[Dutch Active]]&lt;=Data2022[[#This Row],[Dutch total]],"T","F")</f>
        <v>T</v>
      </c>
      <c r="X57" t="str">
        <f>IF(Data2022[[#This Row],[Non-EEA Active ]]&lt;=Data2022[[#This Row],[Non-EEA Total]],"T","F")</f>
        <v>T</v>
      </c>
      <c r="Y5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57" t="str">
        <f>IFERROR(VLOOKUP(Data2022[[#This Row],[organisation_name]],'Division Study Year Committees'!$A$1:$L$108,2,FALSE),"N/A")</f>
        <v>N/A</v>
      </c>
      <c r="AA57" t="str">
        <f>IFERROR(VLOOKUP(Data2022[[#This Row],[organisation_name]],'Division Study Year Committees'!$A$1:$L$108,3,FALSE),"N/A")</f>
        <v>N/A</v>
      </c>
      <c r="AB57" t="str">
        <f>IFERROR(VLOOKUP(Data2022[[#This Row],[organisation_name]],'Division Study Year Committees'!$A$1:$L$108,4,FALSE),"N/A")</f>
        <v>N/A</v>
      </c>
      <c r="AC57" t="str">
        <f>IFERROR(VLOOKUP(Data2022[[#This Row],[organisation_name]],'Division Study Year Committees'!$A$1:$L$108,5,FALSE), "N/A")</f>
        <v>N/A</v>
      </c>
      <c r="AD57" t="str">
        <f>IFERROR(VLOOKUP(Data2022[[#This Row],[organisation_name]],'Division Study Year Committees'!$A$1:$L$108,6,FALSE), "N/A")</f>
        <v>N/A</v>
      </c>
      <c r="AE57">
        <f>SUM(Data2022[[#This Row],[Number of first year comittee members]:[Number of 4+ year comittee members]])</f>
        <v>0</v>
      </c>
      <c r="AF57">
        <f>COUNTIF('Committee2022'!D:D,Data2022[[#This Row],[organisation_name]])</f>
        <v>0</v>
      </c>
      <c r="AG57">
        <v>2022</v>
      </c>
    </row>
    <row r="58" spans="1:33" x14ac:dyDescent="0.3">
      <c r="A58" t="str">
        <f>General2022[[#This Row],[organisation_name]]</f>
        <v>Abacus</v>
      </c>
      <c r="B58" t="str">
        <f>IF(General2022[[#This Row],[sector]]= "",VLOOKUP(Data2022[[#This Row],[organisation_name]],'Response Rate sheet'!A:D,3,FALSE),General2022[[#This Row],[sector]])</f>
        <v>Study</v>
      </c>
      <c r="C58" t="str">
        <f>General2022[[#This Row],[organisation_type]]</f>
        <v>association</v>
      </c>
      <c r="D58">
        <f>IF(ISBLANK(General2022[[#This Row],[number_of_members]]),"N/A",VLOOKUP(A58,General2022[[organisation_name]:[number_of_international_committee_board_members_not_eea]],6,FALSE))</f>
        <v>458</v>
      </c>
      <c r="E58">
        <f>IF(ISBLANK(General2022[[#This Row],[number_of_committee_board_members]]),"N/A",VLOOKUP(A58,General2022!B:M,10,FALSE))</f>
        <v>40</v>
      </c>
      <c r="F58">
        <f>IFERROR(Data2022[[#This Row],[Number of members]]-Data2022[[#This Row],[Number of active members]], "N/A")</f>
        <v>418</v>
      </c>
      <c r="G58">
        <f>IFERROR(Data2022[[#This Row],[Number of active members]]/Data2022[[#This Row],[Number of members]], "N/A")</f>
        <v>8.7336244541484712E-2</v>
      </c>
      <c r="H58">
        <f>IFERROR(1-Data2022[[#This Row],[Percentage active members]],"N/A")</f>
        <v>0.9126637554585153</v>
      </c>
      <c r="I58" t="str">
        <f>IF(Data2022[[#This Row],[Number of members]]=0,"N/A",IF(Data2022[[#This Row],[Number of members]]&lt;50," A. 1 - 50 ",IF(Data2022[[#This Row],[Number of members]]&lt;100, "B. 50 - 100", IF(Data2022[[#This Row],[Number of members]]&lt;400, "C. 100 - 400", IF(Data2022[[#This Row],[Number of members]]&lt;1000,"D. 400 - 1000", "E. 1000 +")))))</f>
        <v>D. 400 - 1000</v>
      </c>
      <c r="J58">
        <f>IF(ISBLANK(General2022[[#This Row],[number_of_international_members_not_eea]]),"N/A",VLOOKUP(A58,General2022[[organisation_name]:[number_of_international_committee_board_members_not_eea]],9,FALSE))</f>
        <v>110</v>
      </c>
      <c r="K58">
        <f>IF(ISBLANK(General2022[[#This Row],[number_of_international_members_eea]]),"N/A",VLOOKUP(A58,General2022[[organisation_name]:[number_of_international_committee_board_members_not_eea]],8,FALSE))</f>
        <v>15</v>
      </c>
      <c r="L58">
        <f>IFERROR(IF(Data2022[[#This Row],[Number of members]]-Data2022[[#This Row],[Non-EEA Total]]-Data2022[[#This Row],[EEA total]]&lt;1,"N/A", Data2022[[#This Row],[Number of members]]-Data2022[[#This Row],[Non-EEA Total]]-Data2022[[#This Row],[EEA total]]),"N/A")</f>
        <v>333</v>
      </c>
      <c r="M58">
        <f>VLOOKUP(A58,General2022[[organisation_name]:[number_of_international_committee_board_members_not_eea]],12,FALSE)</f>
        <v>5</v>
      </c>
      <c r="N58">
        <f>VLOOKUP(A58,General2022[[organisation_name]:[number_of_international_committee_board_members_not_eea]],11,FALSE)</f>
        <v>15</v>
      </c>
      <c r="O58">
        <f>IFERROR(IF(Data2022[[#This Row],[Number of active members]]-Data2022[[#This Row],[Non-EEA Active ]]-Data2022[[#This Row],[EEA Active]]&lt;1,"N/A", Data2022[[#This Row],[Number of active members]]-Data2022[[#This Row],[Non-EEA Active ]]-Data2022[[#This Row],[EEA Active]]),"N/A")</f>
        <v>20</v>
      </c>
      <c r="P58">
        <f>IFERROR(Data2022[[#This Row],[Non-EEA Active ]]/Data2022[[#This Row],[Number of active members]],"N/A")</f>
        <v>0.125</v>
      </c>
      <c r="Q58">
        <f>IFERROR(Data2022[[#This Row],[EEA Active]]/Data2022[[#This Row],[EEA total]], "N/A")</f>
        <v>1</v>
      </c>
      <c r="R58">
        <f>IFERROR(Data2022[[#This Row],[Dutch Active]]/Data2022[[#This Row],[Dutch total]],"N/A")</f>
        <v>6.006006006006006E-2</v>
      </c>
      <c r="S58" t="str">
        <f>IFERROR(IF(Data2022[[#This Row],[Number of members]]=Data2022[[#This Row],[Non-EEA Total]]+Data2022[[#This Row],[EEA total]]+Data2022[[#This Row],[Dutch total]],"T","F"),"F")</f>
        <v>T</v>
      </c>
      <c r="T58" t="str">
        <f>IFERROR(IF(Data2022[[#This Row],[Number of active members]]=Data2022[[#This Row],[Non-EEA Active ]]+Data2022[[#This Row],[EEA Active]]+Data2022[[#This Row],[Dutch Active]],"T","F"),"F")</f>
        <v>T</v>
      </c>
      <c r="U58" t="str">
        <f>IFERROR(IF(Data2022[[#This Row],[Number of members]]-Data2022[[#This Row],[Non-EEA Active ]]-Data2022[[#This Row],[EEA Active]]-Data2022[[#This Row],[Dutch Active]]=Data2022[[#This Row],[Number of  inactive members]],"T","F"),"F")</f>
        <v>T</v>
      </c>
      <c r="V58" t="str">
        <f>IF(Data2022[[#This Row],[EEA Active]]&lt;=Data2022[[#This Row],[EEA total]],"T","F")</f>
        <v>T</v>
      </c>
      <c r="W58" t="str">
        <f>IF(Data2022[[#This Row],[Dutch Active]]&lt;=Data2022[[#This Row],[Dutch total]],"T","F")</f>
        <v>T</v>
      </c>
      <c r="X58" t="str">
        <f>IF(Data2022[[#This Row],[Non-EEA Active ]]&lt;=Data2022[[#This Row],[Non-EEA Total]],"T","F")</f>
        <v>T</v>
      </c>
      <c r="Y58"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58">
        <f>IFERROR(VLOOKUP(Data2022[[#This Row],[organisation_name]],'Division Study Year Committees'!$A$1:$L$108,2,FALSE),"N/A")</f>
        <v>11</v>
      </c>
      <c r="AA58">
        <f>IFERROR(VLOOKUP(Data2022[[#This Row],[organisation_name]],'Division Study Year Committees'!$A$1:$L$108,3,FALSE),"N/A")</f>
        <v>23</v>
      </c>
      <c r="AB58">
        <f>IFERROR(VLOOKUP(Data2022[[#This Row],[organisation_name]],'Division Study Year Committees'!$A$1:$L$108,4,FALSE),"N/A")</f>
        <v>46</v>
      </c>
      <c r="AC58">
        <f>IFERROR(VLOOKUP(Data2022[[#This Row],[organisation_name]],'Division Study Year Committees'!$A$1:$L$108,5,FALSE), "N/A")</f>
        <v>24</v>
      </c>
      <c r="AD58">
        <f>IFERROR(VLOOKUP(Data2022[[#This Row],[organisation_name]],'Division Study Year Committees'!$A$1:$L$108,6,FALSE), "N/A")</f>
        <v>14</v>
      </c>
      <c r="AE58">
        <f>SUM(Data2022[[#This Row],[Number of first year comittee members]:[Number of 4+ year comittee members]])</f>
        <v>118</v>
      </c>
      <c r="AF58">
        <f>COUNTIF('Committee2022'!D:D,Data2022[[#This Row],[organisation_name]])</f>
        <v>27</v>
      </c>
      <c r="AG58">
        <v>2022</v>
      </c>
    </row>
    <row r="59" spans="1:33" x14ac:dyDescent="0.3">
      <c r="A59" t="str">
        <f>General2022[[#This Row],[organisation_name]]</f>
        <v>Alembic</v>
      </c>
      <c r="B59" t="str">
        <f>IF(General2022[[#This Row],[sector]]= "",VLOOKUP(Data2022[[#This Row],[organisation_name]],'Response Rate sheet'!A:D,3,FALSE),General2022[[#This Row],[sector]])</f>
        <v>Study</v>
      </c>
      <c r="C59" t="str">
        <f>General2022[[#This Row],[organisation_type]]</f>
        <v>association</v>
      </c>
      <c r="D59">
        <f>IF(ISBLANK(General2022[[#This Row],[number_of_members]]),"N/A",VLOOKUP(A59,General2022[[organisation_name]:[number_of_international_committee_board_members_not_eea]],6,FALSE))</f>
        <v>346</v>
      </c>
      <c r="E59">
        <f>IF(ISBLANK(General2022[[#This Row],[number_of_committee_board_members]]),"N/A",VLOOKUP(A59,General2022!B:M,10,FALSE))</f>
        <v>30</v>
      </c>
      <c r="F59">
        <f>IFERROR(Data2022[[#This Row],[Number of members]]-Data2022[[#This Row],[Number of active members]], "N/A")</f>
        <v>316</v>
      </c>
      <c r="G59">
        <f>IFERROR(Data2022[[#This Row],[Number of active members]]/Data2022[[#This Row],[Number of members]], "N/A")</f>
        <v>8.6705202312138727E-2</v>
      </c>
      <c r="H59">
        <f>IFERROR(1-Data2022[[#This Row],[Percentage active members]],"N/A")</f>
        <v>0.91329479768786126</v>
      </c>
      <c r="I59" t="str">
        <f>IF(Data2022[[#This Row],[Number of members]]=0,"N/A",IF(Data2022[[#This Row],[Number of members]]&lt;50," A. 1 - 50 ",IF(Data2022[[#This Row],[Number of members]]&lt;100, "B. 50 - 100", IF(Data2022[[#This Row],[Number of members]]&lt;400, "C. 100 - 400", IF(Data2022[[#This Row],[Number of members]]&lt;1000,"D. 400 - 1000", "E. 1000 +")))))</f>
        <v>C. 100 - 400</v>
      </c>
      <c r="J59">
        <f>IF(ISBLANK(General2022[[#This Row],[number_of_international_members_not_eea]]),"N/A",VLOOKUP(A59,General2022[[organisation_name]:[number_of_international_committee_board_members_not_eea]],9,FALSE))</f>
        <v>100</v>
      </c>
      <c r="K59">
        <f>IF(ISBLANK(General2022[[#This Row],[number_of_international_members_eea]]),"N/A",VLOOKUP(A59,General2022[[organisation_name]:[number_of_international_committee_board_members_not_eea]],8,FALSE))</f>
        <v>36</v>
      </c>
      <c r="L59">
        <f>IFERROR(IF(Data2022[[#This Row],[Number of members]]-Data2022[[#This Row],[Non-EEA Total]]-Data2022[[#This Row],[EEA total]]&lt;1,"N/A", Data2022[[#This Row],[Number of members]]-Data2022[[#This Row],[Non-EEA Total]]-Data2022[[#This Row],[EEA total]]),"N/A")</f>
        <v>210</v>
      </c>
      <c r="M59">
        <f>VLOOKUP(A59,General2022[[organisation_name]:[number_of_international_committee_board_members_not_eea]],12,FALSE)</f>
        <v>10</v>
      </c>
      <c r="N59">
        <f>VLOOKUP(A59,General2022[[organisation_name]:[number_of_international_committee_board_members_not_eea]],11,FALSE)</f>
        <v>25</v>
      </c>
      <c r="O59" t="str">
        <f>IFERROR(IF(Data2022[[#This Row],[Number of active members]]-Data2022[[#This Row],[Non-EEA Active ]]-Data2022[[#This Row],[EEA Active]]&lt;1,"N/A", Data2022[[#This Row],[Number of active members]]-Data2022[[#This Row],[Non-EEA Active ]]-Data2022[[#This Row],[EEA Active]]),"N/A")</f>
        <v>N/A</v>
      </c>
      <c r="P59">
        <f>IFERROR(Data2022[[#This Row],[Non-EEA Active ]]/Data2022[[#This Row],[Number of active members]],"N/A")</f>
        <v>0.33333333333333331</v>
      </c>
      <c r="Q59">
        <f>IFERROR(Data2022[[#This Row],[EEA Active]]/Data2022[[#This Row],[EEA total]], "N/A")</f>
        <v>0.69444444444444442</v>
      </c>
      <c r="R59" t="str">
        <f>IFERROR(Data2022[[#This Row],[Dutch Active]]/Data2022[[#This Row],[Dutch total]],"N/A")</f>
        <v>N/A</v>
      </c>
      <c r="S59" t="str">
        <f>IFERROR(IF(Data2022[[#This Row],[Number of members]]=Data2022[[#This Row],[Non-EEA Total]]+Data2022[[#This Row],[EEA total]]+Data2022[[#This Row],[Dutch total]],"T","F"),"F")</f>
        <v>T</v>
      </c>
      <c r="T59" t="str">
        <f>IFERROR(IF(Data2022[[#This Row],[Number of active members]]=Data2022[[#This Row],[Non-EEA Active ]]+Data2022[[#This Row],[EEA Active]]+Data2022[[#This Row],[Dutch Active]],"T","F"),"F")</f>
        <v>F</v>
      </c>
      <c r="U59" t="str">
        <f>IFERROR(IF(Data2022[[#This Row],[Number of members]]-Data2022[[#This Row],[Non-EEA Active ]]-Data2022[[#This Row],[EEA Active]]-Data2022[[#This Row],[Dutch Active]]=Data2022[[#This Row],[Number of  inactive members]],"T","F"),"F")</f>
        <v>F</v>
      </c>
      <c r="V59" t="str">
        <f>IF(Data2022[[#This Row],[EEA Active]]&lt;=Data2022[[#This Row],[EEA total]],"T","F")</f>
        <v>T</v>
      </c>
      <c r="W59" t="str">
        <f>IF(Data2022[[#This Row],[Dutch Active]]&lt;=Data2022[[#This Row],[Dutch total]],"T","F")</f>
        <v>F</v>
      </c>
      <c r="X59" t="str">
        <f>IF(Data2022[[#This Row],[Non-EEA Active ]]&lt;=Data2022[[#This Row],[Non-EEA Total]],"T","F")</f>
        <v>T</v>
      </c>
      <c r="Y5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59">
        <f>IFERROR(VLOOKUP(Data2022[[#This Row],[organisation_name]],'Division Study Year Committees'!$A$1:$L$108,2,FALSE),"N/A")</f>
        <v>24</v>
      </c>
      <c r="AA59">
        <f>IFERROR(VLOOKUP(Data2022[[#This Row],[organisation_name]],'Division Study Year Committees'!$A$1:$L$108,3,FALSE),"N/A")</f>
        <v>47</v>
      </c>
      <c r="AB59">
        <f>IFERROR(VLOOKUP(Data2022[[#This Row],[organisation_name]],'Division Study Year Committees'!$A$1:$L$108,4,FALSE),"N/A")</f>
        <v>58</v>
      </c>
      <c r="AC59">
        <f>IFERROR(VLOOKUP(Data2022[[#This Row],[organisation_name]],'Division Study Year Committees'!$A$1:$L$108,5,FALSE), "N/A")</f>
        <v>31</v>
      </c>
      <c r="AD59">
        <f>IFERROR(VLOOKUP(Data2022[[#This Row],[organisation_name]],'Division Study Year Committees'!$A$1:$L$108,6,FALSE), "N/A")</f>
        <v>30</v>
      </c>
      <c r="AE59">
        <f>SUM(Data2022[[#This Row],[Number of first year comittee members]:[Number of 4+ year comittee members]])</f>
        <v>190</v>
      </c>
      <c r="AF59">
        <f>COUNTIF('Committee2022'!D:D,Data2022[[#This Row],[organisation_name]])</f>
        <v>29</v>
      </c>
      <c r="AG59">
        <v>2022</v>
      </c>
    </row>
    <row r="60" spans="1:33" x14ac:dyDescent="0.3">
      <c r="A60" t="str">
        <f>General2022[[#This Row],[organisation_name]]</f>
        <v>Arago</v>
      </c>
      <c r="B60" t="str">
        <f>IF(General2022[[#This Row],[sector]]= "",VLOOKUP(Data2022[[#This Row],[organisation_name]],'Response Rate sheet'!A:D,3,FALSE),General2022[[#This Row],[sector]])</f>
        <v>Study</v>
      </c>
      <c r="C60" t="str">
        <f>General2022[[#This Row],[organisation_type]]</f>
        <v>association</v>
      </c>
      <c r="D60">
        <f>IF(ISBLANK(General2022[[#This Row],[number_of_members]]),"N/A",VLOOKUP(A60,General2022[[organisation_name]:[number_of_international_committee_board_members_not_eea]],6,FALSE))</f>
        <v>593</v>
      </c>
      <c r="E60">
        <f>IF(ISBLANK(General2022[[#This Row],[number_of_committee_board_members]]),"N/A",VLOOKUP(A60,General2022!B:M,10,FALSE))</f>
        <v>50</v>
      </c>
      <c r="F60">
        <f>IFERROR(Data2022[[#This Row],[Number of members]]-Data2022[[#This Row],[Number of active members]], "N/A")</f>
        <v>543</v>
      </c>
      <c r="G60">
        <f>IFERROR(Data2022[[#This Row],[Number of active members]]/Data2022[[#This Row],[Number of members]], "N/A")</f>
        <v>8.4317032040472181E-2</v>
      </c>
      <c r="H60">
        <f>IFERROR(1-Data2022[[#This Row],[Percentage active members]],"N/A")</f>
        <v>0.91568296795952786</v>
      </c>
      <c r="I60" t="str">
        <f>IF(Data2022[[#This Row],[Number of members]]=0,"N/A",IF(Data2022[[#This Row],[Number of members]]&lt;50," A. 1 - 50 ",IF(Data2022[[#This Row],[Number of members]]&lt;100, "B. 50 - 100", IF(Data2022[[#This Row],[Number of members]]&lt;400, "C. 100 - 400", IF(Data2022[[#This Row],[Number of members]]&lt;1000,"D. 400 - 1000", "E. 1000 +")))))</f>
        <v>D. 400 - 1000</v>
      </c>
      <c r="J60">
        <f>IF(ISBLANK(General2022[[#This Row],[number_of_international_members_not_eea]]),"N/A",VLOOKUP(A60,General2022[[organisation_name]:[number_of_international_committee_board_members_not_eea]],9,FALSE))</f>
        <v>217</v>
      </c>
      <c r="K60">
        <f>IF(ISBLANK(General2022[[#This Row],[number_of_international_members_eea]]),"N/A",VLOOKUP(A60,General2022[[organisation_name]:[number_of_international_committee_board_members_not_eea]],8,FALSE))</f>
        <v>1</v>
      </c>
      <c r="L60">
        <f>IFERROR(IF(Data2022[[#This Row],[Number of members]]-Data2022[[#This Row],[Non-EEA Total]]-Data2022[[#This Row],[EEA total]]&lt;1,"N/A", Data2022[[#This Row],[Number of members]]-Data2022[[#This Row],[Non-EEA Total]]-Data2022[[#This Row],[EEA total]]),"N/A")</f>
        <v>375</v>
      </c>
      <c r="M60">
        <f>VLOOKUP(A60,General2022[[organisation_name]:[number_of_international_committee_board_members_not_eea]],12,FALSE)</f>
        <v>0</v>
      </c>
      <c r="N60">
        <f>VLOOKUP(A60,General2022[[organisation_name]:[number_of_international_committee_board_members_not_eea]],11,FALSE)</f>
        <v>0</v>
      </c>
      <c r="O60">
        <f>IFERROR(IF(Data2022[[#This Row],[Number of active members]]-Data2022[[#This Row],[Non-EEA Active ]]-Data2022[[#This Row],[EEA Active]]&lt;1,"N/A", Data2022[[#This Row],[Number of active members]]-Data2022[[#This Row],[Non-EEA Active ]]-Data2022[[#This Row],[EEA Active]]),"N/A")</f>
        <v>50</v>
      </c>
      <c r="P60">
        <f>IFERROR(Data2022[[#This Row],[Non-EEA Active ]]/Data2022[[#This Row],[Number of active members]],"N/A")</f>
        <v>0</v>
      </c>
      <c r="Q60">
        <f>IFERROR(Data2022[[#This Row],[EEA Active]]/Data2022[[#This Row],[EEA total]], "N/A")</f>
        <v>0</v>
      </c>
      <c r="R60">
        <f>IFERROR(Data2022[[#This Row],[Dutch Active]]/Data2022[[#This Row],[Dutch total]],"N/A")</f>
        <v>0.13333333333333333</v>
      </c>
      <c r="S60" t="str">
        <f>IFERROR(IF(Data2022[[#This Row],[Number of members]]=Data2022[[#This Row],[Non-EEA Total]]+Data2022[[#This Row],[EEA total]]+Data2022[[#This Row],[Dutch total]],"T","F"),"F")</f>
        <v>T</v>
      </c>
      <c r="T60" t="str">
        <f>IFERROR(IF(Data2022[[#This Row],[Number of active members]]=Data2022[[#This Row],[Non-EEA Active ]]+Data2022[[#This Row],[EEA Active]]+Data2022[[#This Row],[Dutch Active]],"T","F"),"F")</f>
        <v>T</v>
      </c>
      <c r="U60" t="str">
        <f>IFERROR(IF(Data2022[[#This Row],[Number of members]]-Data2022[[#This Row],[Non-EEA Active ]]-Data2022[[#This Row],[EEA Active]]-Data2022[[#This Row],[Dutch Active]]=Data2022[[#This Row],[Number of  inactive members]],"T","F"),"F")</f>
        <v>T</v>
      </c>
      <c r="V60" t="str">
        <f>IF(Data2022[[#This Row],[EEA Active]]&lt;=Data2022[[#This Row],[EEA total]],"T","F")</f>
        <v>T</v>
      </c>
      <c r="W60" t="str">
        <f>IF(Data2022[[#This Row],[Dutch Active]]&lt;=Data2022[[#This Row],[Dutch total]],"T","F")</f>
        <v>T</v>
      </c>
      <c r="X60" t="str">
        <f>IF(Data2022[[#This Row],[Non-EEA Active ]]&lt;=Data2022[[#This Row],[Non-EEA Total]],"T","F")</f>
        <v>T</v>
      </c>
      <c r="Y60"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0">
        <f>IFERROR(VLOOKUP(Data2022[[#This Row],[organisation_name]],'Division Study Year Committees'!$A$1:$L$108,2,FALSE),"N/A")</f>
        <v>10</v>
      </c>
      <c r="AA60">
        <f>IFERROR(VLOOKUP(Data2022[[#This Row],[organisation_name]],'Division Study Year Committees'!$A$1:$L$108,3,FALSE),"N/A")</f>
        <v>5</v>
      </c>
      <c r="AB60">
        <f>IFERROR(VLOOKUP(Data2022[[#This Row],[organisation_name]],'Division Study Year Committees'!$A$1:$L$108,4,FALSE),"N/A")</f>
        <v>0</v>
      </c>
      <c r="AC60">
        <f>IFERROR(VLOOKUP(Data2022[[#This Row],[organisation_name]],'Division Study Year Committees'!$A$1:$L$108,5,FALSE), "N/A")</f>
        <v>3</v>
      </c>
      <c r="AD60">
        <f>IFERROR(VLOOKUP(Data2022[[#This Row],[organisation_name]],'Division Study Year Committees'!$A$1:$L$108,6,FALSE), "N/A")</f>
        <v>0</v>
      </c>
      <c r="AE60">
        <f>SUM(Data2022[[#This Row],[Number of first year comittee members]:[Number of 4+ year comittee members]])</f>
        <v>18</v>
      </c>
      <c r="AF60">
        <f>COUNTIF('Committee2022'!D:D,Data2022[[#This Row],[organisation_name]])</f>
        <v>59</v>
      </c>
      <c r="AG60">
        <v>2022</v>
      </c>
    </row>
    <row r="61" spans="1:33" x14ac:dyDescent="0.3">
      <c r="A61" t="str">
        <f>General2022[[#This Row],[organisation_name]]</f>
        <v>Astatine</v>
      </c>
      <c r="B61" t="str">
        <f>IF(General2022[[#This Row],[sector]]= "",VLOOKUP(Data2022[[#This Row],[organisation_name]],'Response Rate sheet'!A:D,3,FALSE),General2022[[#This Row],[sector]])</f>
        <v>Study</v>
      </c>
      <c r="C61" t="str">
        <f>General2022[[#This Row],[organisation_type]]</f>
        <v>association</v>
      </c>
      <c r="D61">
        <f>IF(ISBLANK(General2022[[#This Row],[number_of_members]]),"N/A",VLOOKUP(A61,General2022[[organisation_name]:[number_of_international_committee_board_members_not_eea]],6,FALSE))</f>
        <v>442</v>
      </c>
      <c r="E61">
        <f>IF(ISBLANK(General2022[[#This Row],[number_of_committee_board_members]]),"N/A",VLOOKUP(A61,General2022!B:M,10,FALSE))</f>
        <v>0</v>
      </c>
      <c r="F61">
        <f>IFERROR(Data2022[[#This Row],[Number of members]]-Data2022[[#This Row],[Number of active members]], "N/A")</f>
        <v>442</v>
      </c>
      <c r="G61">
        <f>IFERROR(Data2022[[#This Row],[Number of active members]]/Data2022[[#This Row],[Number of members]], "N/A")</f>
        <v>0</v>
      </c>
      <c r="H61">
        <f>IFERROR(1-Data2022[[#This Row],[Percentage active members]],"N/A")</f>
        <v>1</v>
      </c>
      <c r="I61" t="str">
        <f>IF(Data2022[[#This Row],[Number of members]]=0,"N/A",IF(Data2022[[#This Row],[Number of members]]&lt;50," A. 1 - 50 ",IF(Data2022[[#This Row],[Number of members]]&lt;100, "B. 50 - 100", IF(Data2022[[#This Row],[Number of members]]&lt;400, "C. 100 - 400", IF(Data2022[[#This Row],[Number of members]]&lt;1000,"D. 400 - 1000", "E. 1000 +")))))</f>
        <v>D. 400 - 1000</v>
      </c>
      <c r="J61">
        <f>IF(ISBLANK(General2022[[#This Row],[number_of_international_members_not_eea]]),"N/A",VLOOKUP(A61,General2022[[organisation_name]:[number_of_international_committee_board_members_not_eea]],9,FALSE))</f>
        <v>108</v>
      </c>
      <c r="K61">
        <f>IF(ISBLANK(General2022[[#This Row],[number_of_international_members_eea]]),"N/A",VLOOKUP(A61,General2022[[organisation_name]:[number_of_international_committee_board_members_not_eea]],8,FALSE))</f>
        <v>36</v>
      </c>
      <c r="L61">
        <f>IFERROR(IF(Data2022[[#This Row],[Number of members]]-Data2022[[#This Row],[Non-EEA Total]]-Data2022[[#This Row],[EEA total]]&lt;1,"N/A", Data2022[[#This Row],[Number of members]]-Data2022[[#This Row],[Non-EEA Total]]-Data2022[[#This Row],[EEA total]]),"N/A")</f>
        <v>298</v>
      </c>
      <c r="M61">
        <f>VLOOKUP(A61,General2022[[organisation_name]:[number_of_international_committee_board_members_not_eea]],12,FALSE)</f>
        <v>5</v>
      </c>
      <c r="N61">
        <f>VLOOKUP(A61,General2022[[organisation_name]:[number_of_international_committee_board_members_not_eea]],11,FALSE)</f>
        <v>10</v>
      </c>
      <c r="O61" t="str">
        <f>IFERROR(IF(Data2022[[#This Row],[Number of active members]]-Data2022[[#This Row],[Non-EEA Active ]]-Data2022[[#This Row],[EEA Active]]&lt;1,"N/A", Data2022[[#This Row],[Number of active members]]-Data2022[[#This Row],[Non-EEA Active ]]-Data2022[[#This Row],[EEA Active]]),"N/A")</f>
        <v>N/A</v>
      </c>
      <c r="P61" t="str">
        <f>IFERROR(Data2022[[#This Row],[Non-EEA Active ]]/Data2022[[#This Row],[Number of active members]],"N/A")</f>
        <v>N/A</v>
      </c>
      <c r="Q61">
        <f>IFERROR(Data2022[[#This Row],[EEA Active]]/Data2022[[#This Row],[EEA total]], "N/A")</f>
        <v>0.27777777777777779</v>
      </c>
      <c r="R61" t="str">
        <f>IFERROR(Data2022[[#This Row],[Dutch Active]]/Data2022[[#This Row],[Dutch total]],"N/A")</f>
        <v>N/A</v>
      </c>
      <c r="S61" t="str">
        <f>IFERROR(IF(Data2022[[#This Row],[Number of members]]=Data2022[[#This Row],[Non-EEA Total]]+Data2022[[#This Row],[EEA total]]+Data2022[[#This Row],[Dutch total]],"T","F"),"F")</f>
        <v>T</v>
      </c>
      <c r="T61" t="str">
        <f>IFERROR(IF(Data2022[[#This Row],[Number of active members]]=Data2022[[#This Row],[Non-EEA Active ]]+Data2022[[#This Row],[EEA Active]]+Data2022[[#This Row],[Dutch Active]],"T","F"),"F")</f>
        <v>F</v>
      </c>
      <c r="U61" t="str">
        <f>IFERROR(IF(Data2022[[#This Row],[Number of members]]-Data2022[[#This Row],[Non-EEA Active ]]-Data2022[[#This Row],[EEA Active]]-Data2022[[#This Row],[Dutch Active]]=Data2022[[#This Row],[Number of  inactive members]],"T","F"),"F")</f>
        <v>F</v>
      </c>
      <c r="V61" t="str">
        <f>IF(Data2022[[#This Row],[EEA Active]]&lt;=Data2022[[#This Row],[EEA total]],"T","F")</f>
        <v>T</v>
      </c>
      <c r="W61" t="str">
        <f>IF(Data2022[[#This Row],[Dutch Active]]&lt;=Data2022[[#This Row],[Dutch total]],"T","F")</f>
        <v>F</v>
      </c>
      <c r="X61" t="str">
        <f>IF(Data2022[[#This Row],[Non-EEA Active ]]&lt;=Data2022[[#This Row],[Non-EEA Total]],"T","F")</f>
        <v>T</v>
      </c>
      <c r="Y6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61">
        <f>IFERROR(VLOOKUP(Data2022[[#This Row],[organisation_name]],'Division Study Year Committees'!$A$1:$L$108,2,FALSE),"N/A")</f>
        <v>39</v>
      </c>
      <c r="AA61">
        <f>IFERROR(VLOOKUP(Data2022[[#This Row],[organisation_name]],'Division Study Year Committees'!$A$1:$L$108,3,FALSE),"N/A")</f>
        <v>48</v>
      </c>
      <c r="AB61">
        <f>IFERROR(VLOOKUP(Data2022[[#This Row],[organisation_name]],'Division Study Year Committees'!$A$1:$L$108,4,FALSE),"N/A")</f>
        <v>72</v>
      </c>
      <c r="AC61">
        <f>IFERROR(VLOOKUP(Data2022[[#This Row],[organisation_name]],'Division Study Year Committees'!$A$1:$L$108,5,FALSE), "N/A")</f>
        <v>39</v>
      </c>
      <c r="AD61">
        <f>IFERROR(VLOOKUP(Data2022[[#This Row],[organisation_name]],'Division Study Year Committees'!$A$1:$L$108,6,FALSE), "N/A")</f>
        <v>14</v>
      </c>
      <c r="AE61">
        <f>SUM(Data2022[[#This Row],[Number of first year comittee members]:[Number of 4+ year comittee members]])</f>
        <v>212</v>
      </c>
      <c r="AF61">
        <f>COUNTIF('Committee2022'!D:D,Data2022[[#This Row],[organisation_name]])</f>
        <v>0</v>
      </c>
      <c r="AG61">
        <v>2022</v>
      </c>
    </row>
    <row r="62" spans="1:33" x14ac:dyDescent="0.3">
      <c r="A62" t="str">
        <f>General2022[[#This Row],[organisation_name]]</f>
        <v>Atlantis</v>
      </c>
      <c r="B62" t="str">
        <f>IF(General2022[[#This Row],[sector]]= "",VLOOKUP(Data2022[[#This Row],[organisation_name]],'Response Rate sheet'!A:D,3,FALSE),General2022[[#This Row],[sector]])</f>
        <v>Study</v>
      </c>
      <c r="C62" t="str">
        <f>General2022[[#This Row],[organisation_type]]</f>
        <v>association</v>
      </c>
      <c r="D62">
        <f>IF(ISBLANK(General2022[[#This Row],[number_of_members]]),"N/A",VLOOKUP(A62,General2022[[organisation_name]:[number_of_international_committee_board_members_not_eea]],6,FALSE))</f>
        <v>189</v>
      </c>
      <c r="E62">
        <f>IF(ISBLANK(General2022[[#This Row],[number_of_committee_board_members]]),"N/A",VLOOKUP(A62,General2022!B:M,10,FALSE))</f>
        <v>30</v>
      </c>
      <c r="F62">
        <f>IFERROR(Data2022[[#This Row],[Number of members]]-Data2022[[#This Row],[Number of active members]], "N/A")</f>
        <v>159</v>
      </c>
      <c r="G62">
        <f>IFERROR(Data2022[[#This Row],[Number of active members]]/Data2022[[#This Row],[Number of members]], "N/A")</f>
        <v>0.15873015873015872</v>
      </c>
      <c r="H62">
        <f>IFERROR(1-Data2022[[#This Row],[Percentage active members]],"N/A")</f>
        <v>0.84126984126984128</v>
      </c>
      <c r="I62" t="str">
        <f>IF(Data2022[[#This Row],[Number of members]]=0,"N/A",IF(Data2022[[#This Row],[Number of members]]&lt;50," A. 1 - 50 ",IF(Data2022[[#This Row],[Number of members]]&lt;100, "B. 50 - 100", IF(Data2022[[#This Row],[Number of members]]&lt;400, "C. 100 - 400", IF(Data2022[[#This Row],[Number of members]]&lt;1000,"D. 400 - 1000", "E. 1000 +")))))</f>
        <v>C. 100 - 400</v>
      </c>
      <c r="J62">
        <f>IF(ISBLANK(General2022[[#This Row],[number_of_international_members_not_eea]]),"N/A",VLOOKUP(A62,General2022[[organisation_name]:[number_of_international_committee_board_members_not_eea]],9,FALSE))</f>
        <v>75</v>
      </c>
      <c r="K62">
        <f>IF(ISBLANK(General2022[[#This Row],[number_of_international_members_eea]]),"N/A",VLOOKUP(A62,General2022[[organisation_name]:[number_of_international_committee_board_members_not_eea]],8,FALSE))</f>
        <v>29</v>
      </c>
      <c r="L62">
        <f>IFERROR(IF(Data2022[[#This Row],[Number of members]]-Data2022[[#This Row],[Non-EEA Total]]-Data2022[[#This Row],[EEA total]]&lt;1,"N/A", Data2022[[#This Row],[Number of members]]-Data2022[[#This Row],[Non-EEA Total]]-Data2022[[#This Row],[EEA total]]),"N/A")</f>
        <v>85</v>
      </c>
      <c r="M62">
        <f>VLOOKUP(A62,General2022[[organisation_name]:[number_of_international_committee_board_members_not_eea]],12,FALSE)</f>
        <v>10</v>
      </c>
      <c r="N62">
        <f>VLOOKUP(A62,General2022[[organisation_name]:[number_of_international_committee_board_members_not_eea]],11,FALSE)</f>
        <v>20</v>
      </c>
      <c r="O62" t="str">
        <f>IFERROR(IF(Data2022[[#This Row],[Number of active members]]-Data2022[[#This Row],[Non-EEA Active ]]-Data2022[[#This Row],[EEA Active]]&lt;1,"N/A", Data2022[[#This Row],[Number of active members]]-Data2022[[#This Row],[Non-EEA Active ]]-Data2022[[#This Row],[EEA Active]]),"N/A")</f>
        <v>N/A</v>
      </c>
      <c r="P62">
        <f>IFERROR(Data2022[[#This Row],[Non-EEA Active ]]/Data2022[[#This Row],[Number of active members]],"N/A")</f>
        <v>0.33333333333333331</v>
      </c>
      <c r="Q62">
        <f>IFERROR(Data2022[[#This Row],[EEA Active]]/Data2022[[#This Row],[EEA total]], "N/A")</f>
        <v>0.68965517241379315</v>
      </c>
      <c r="R62" t="str">
        <f>IFERROR(Data2022[[#This Row],[Dutch Active]]/Data2022[[#This Row],[Dutch total]],"N/A")</f>
        <v>N/A</v>
      </c>
      <c r="S62" t="str">
        <f>IFERROR(IF(Data2022[[#This Row],[Number of members]]=Data2022[[#This Row],[Non-EEA Total]]+Data2022[[#This Row],[EEA total]]+Data2022[[#This Row],[Dutch total]],"T","F"),"F")</f>
        <v>T</v>
      </c>
      <c r="T62" t="str">
        <f>IFERROR(IF(Data2022[[#This Row],[Number of active members]]=Data2022[[#This Row],[Non-EEA Active ]]+Data2022[[#This Row],[EEA Active]]+Data2022[[#This Row],[Dutch Active]],"T","F"),"F")</f>
        <v>F</v>
      </c>
      <c r="U62" t="str">
        <f>IFERROR(IF(Data2022[[#This Row],[Number of members]]-Data2022[[#This Row],[Non-EEA Active ]]-Data2022[[#This Row],[EEA Active]]-Data2022[[#This Row],[Dutch Active]]=Data2022[[#This Row],[Number of  inactive members]],"T","F"),"F")</f>
        <v>F</v>
      </c>
      <c r="V62" t="str">
        <f>IF(Data2022[[#This Row],[EEA Active]]&lt;=Data2022[[#This Row],[EEA total]],"T","F")</f>
        <v>T</v>
      </c>
      <c r="W62" t="str">
        <f>IF(Data2022[[#This Row],[Dutch Active]]&lt;=Data2022[[#This Row],[Dutch total]],"T","F")</f>
        <v>F</v>
      </c>
      <c r="X62" t="str">
        <f>IF(Data2022[[#This Row],[Non-EEA Active ]]&lt;=Data2022[[#This Row],[Non-EEA Total]],"T","F")</f>
        <v>T</v>
      </c>
      <c r="Y6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62">
        <f>IFERROR(VLOOKUP(Data2022[[#This Row],[organisation_name]],'Division Study Year Committees'!$A$1:$L$108,2,FALSE),"N/A")</f>
        <v>60</v>
      </c>
      <c r="AA62">
        <f>IFERROR(VLOOKUP(Data2022[[#This Row],[organisation_name]],'Division Study Year Committees'!$A$1:$L$108,3,FALSE),"N/A")</f>
        <v>43</v>
      </c>
      <c r="AB62">
        <f>IFERROR(VLOOKUP(Data2022[[#This Row],[organisation_name]],'Division Study Year Committees'!$A$1:$L$108,4,FALSE),"N/A")</f>
        <v>21</v>
      </c>
      <c r="AC62">
        <f>IFERROR(VLOOKUP(Data2022[[#This Row],[organisation_name]],'Division Study Year Committees'!$A$1:$L$108,5,FALSE), "N/A")</f>
        <v>6</v>
      </c>
      <c r="AD62">
        <f>IFERROR(VLOOKUP(Data2022[[#This Row],[organisation_name]],'Division Study Year Committees'!$A$1:$L$108,6,FALSE), "N/A")</f>
        <v>0</v>
      </c>
      <c r="AE62">
        <f>SUM(Data2022[[#This Row],[Number of first year comittee members]:[Number of 4+ year comittee members]])</f>
        <v>130</v>
      </c>
      <c r="AF62">
        <f>COUNTIF('Committee2022'!D:D,Data2022[[#This Row],[organisation_name]])</f>
        <v>21</v>
      </c>
      <c r="AG62">
        <v>2022</v>
      </c>
    </row>
    <row r="63" spans="1:33" x14ac:dyDescent="0.3">
      <c r="A63" t="str">
        <f>General2022[[#This Row],[organisation_name]]</f>
        <v>Communique</v>
      </c>
      <c r="B63" t="str">
        <f>IF(General2022[[#This Row],[sector]]= "",VLOOKUP(Data2022[[#This Row],[organisation_name]],'Response Rate sheet'!A:D,3,FALSE),General2022[[#This Row],[sector]])</f>
        <v>Study</v>
      </c>
      <c r="C63" t="str">
        <f>General2022[[#This Row],[organisation_type]]</f>
        <v>association</v>
      </c>
      <c r="D63">
        <f>IF(ISBLANK(General2022[[#This Row],[number_of_members]]),"N/A",VLOOKUP(A63,General2022[[organisation_name]:[number_of_international_committee_board_members_not_eea]],6,FALSE))</f>
        <v>311</v>
      </c>
      <c r="E63">
        <f>IF(ISBLANK(General2022[[#This Row],[number_of_committee_board_members]]),"N/A",VLOOKUP(A63,General2022!B:M,10,FALSE))</f>
        <v>50</v>
      </c>
      <c r="F63">
        <f>IFERROR(Data2022[[#This Row],[Number of members]]-Data2022[[#This Row],[Number of active members]], "N/A")</f>
        <v>261</v>
      </c>
      <c r="G63">
        <f>IFERROR(Data2022[[#This Row],[Number of active members]]/Data2022[[#This Row],[Number of members]], "N/A")</f>
        <v>0.16077170418006431</v>
      </c>
      <c r="H63">
        <f>IFERROR(1-Data2022[[#This Row],[Percentage active members]],"N/A")</f>
        <v>0.83922829581993574</v>
      </c>
      <c r="I63" t="str">
        <f>IF(Data2022[[#This Row],[Number of members]]=0,"N/A",IF(Data2022[[#This Row],[Number of members]]&lt;50," A. 1 - 50 ",IF(Data2022[[#This Row],[Number of members]]&lt;100, "B. 50 - 100", IF(Data2022[[#This Row],[Number of members]]&lt;400, "C. 100 - 400", IF(Data2022[[#This Row],[Number of members]]&lt;1000,"D. 400 - 1000", "E. 1000 +")))))</f>
        <v>C. 100 - 400</v>
      </c>
      <c r="J63">
        <f>IF(ISBLANK(General2022[[#This Row],[number_of_international_members_not_eea]]),"N/A",VLOOKUP(A63,General2022[[organisation_name]:[number_of_international_committee_board_members_not_eea]],9,FALSE))</f>
        <v>55</v>
      </c>
      <c r="K63">
        <f>IF(ISBLANK(General2022[[#This Row],[number_of_international_members_eea]]),"N/A",VLOOKUP(A63,General2022[[organisation_name]:[number_of_international_committee_board_members_not_eea]],8,FALSE))</f>
        <v>30</v>
      </c>
      <c r="L63">
        <f>IFERROR(IF(Data2022[[#This Row],[Number of members]]-Data2022[[#This Row],[Non-EEA Total]]-Data2022[[#This Row],[EEA total]]&lt;1,"N/A", Data2022[[#This Row],[Number of members]]-Data2022[[#This Row],[Non-EEA Total]]-Data2022[[#This Row],[EEA total]]),"N/A")</f>
        <v>226</v>
      </c>
      <c r="M63">
        <f>VLOOKUP(A63,General2022[[organisation_name]:[number_of_international_committee_board_members_not_eea]],12,FALSE)</f>
        <v>4</v>
      </c>
      <c r="N63">
        <f>VLOOKUP(A63,General2022[[organisation_name]:[number_of_international_committee_board_members_not_eea]],11,FALSE)</f>
        <v>23</v>
      </c>
      <c r="O63">
        <f>IFERROR(IF(Data2022[[#This Row],[Number of active members]]-Data2022[[#This Row],[Non-EEA Active ]]-Data2022[[#This Row],[EEA Active]]&lt;1,"N/A", Data2022[[#This Row],[Number of active members]]-Data2022[[#This Row],[Non-EEA Active ]]-Data2022[[#This Row],[EEA Active]]),"N/A")</f>
        <v>23</v>
      </c>
      <c r="P63">
        <f>IFERROR(Data2022[[#This Row],[Non-EEA Active ]]/Data2022[[#This Row],[Number of active members]],"N/A")</f>
        <v>0.08</v>
      </c>
      <c r="Q63">
        <f>IFERROR(Data2022[[#This Row],[EEA Active]]/Data2022[[#This Row],[EEA total]], "N/A")</f>
        <v>0.76666666666666672</v>
      </c>
      <c r="R63">
        <f>IFERROR(Data2022[[#This Row],[Dutch Active]]/Data2022[[#This Row],[Dutch total]],"N/A")</f>
        <v>0.10176991150442478</v>
      </c>
      <c r="S63" t="str">
        <f>IFERROR(IF(Data2022[[#This Row],[Number of members]]=Data2022[[#This Row],[Non-EEA Total]]+Data2022[[#This Row],[EEA total]]+Data2022[[#This Row],[Dutch total]],"T","F"),"F")</f>
        <v>T</v>
      </c>
      <c r="T63" t="str">
        <f>IFERROR(IF(Data2022[[#This Row],[Number of active members]]=Data2022[[#This Row],[Non-EEA Active ]]+Data2022[[#This Row],[EEA Active]]+Data2022[[#This Row],[Dutch Active]],"T","F"),"F")</f>
        <v>T</v>
      </c>
      <c r="U63" t="str">
        <f>IFERROR(IF(Data2022[[#This Row],[Number of members]]-Data2022[[#This Row],[Non-EEA Active ]]-Data2022[[#This Row],[EEA Active]]-Data2022[[#This Row],[Dutch Active]]=Data2022[[#This Row],[Number of  inactive members]],"T","F"),"F")</f>
        <v>T</v>
      </c>
      <c r="V63" t="str">
        <f>IF(Data2022[[#This Row],[EEA Active]]&lt;=Data2022[[#This Row],[EEA total]],"T","F")</f>
        <v>T</v>
      </c>
      <c r="W63" t="str">
        <f>IF(Data2022[[#This Row],[Dutch Active]]&lt;=Data2022[[#This Row],[Dutch total]],"T","F")</f>
        <v>T</v>
      </c>
      <c r="X63" t="str">
        <f>IF(Data2022[[#This Row],[Non-EEA Active ]]&lt;=Data2022[[#This Row],[Non-EEA Total]],"T","F")</f>
        <v>T</v>
      </c>
      <c r="Y63"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3">
        <f>IFERROR(VLOOKUP(Data2022[[#This Row],[organisation_name]],'Division Study Year Committees'!$A$1:$L$108,2,FALSE),"N/A")</f>
        <v>16</v>
      </c>
      <c r="AA63">
        <f>IFERROR(VLOOKUP(Data2022[[#This Row],[organisation_name]],'Division Study Year Committees'!$A$1:$L$108,3,FALSE),"N/A")</f>
        <v>19</v>
      </c>
      <c r="AB63">
        <f>IFERROR(VLOOKUP(Data2022[[#This Row],[organisation_name]],'Division Study Year Committees'!$A$1:$L$108,4,FALSE),"N/A")</f>
        <v>6</v>
      </c>
      <c r="AC63">
        <f>IFERROR(VLOOKUP(Data2022[[#This Row],[organisation_name]],'Division Study Year Committees'!$A$1:$L$108,5,FALSE), "N/A")</f>
        <v>12</v>
      </c>
      <c r="AD63">
        <f>IFERROR(VLOOKUP(Data2022[[#This Row],[organisation_name]],'Division Study Year Committees'!$A$1:$L$108,6,FALSE), "N/A")</f>
        <v>1</v>
      </c>
      <c r="AE63">
        <f>SUM(Data2022[[#This Row],[Number of first year comittee members]:[Number of 4+ year comittee members]])</f>
        <v>54</v>
      </c>
      <c r="AF63">
        <f>COUNTIF('Committee2022'!D:D,Data2022[[#This Row],[organisation_name]])</f>
        <v>22</v>
      </c>
      <c r="AG63">
        <v>2022</v>
      </c>
    </row>
    <row r="64" spans="1:33" x14ac:dyDescent="0.3">
      <c r="A64" t="str">
        <f>General2022[[#This Row],[organisation_name]]</f>
        <v>ConcepT</v>
      </c>
      <c r="B64" t="str">
        <f>IF(General2022[[#This Row],[sector]]= "",VLOOKUP(Data2022[[#This Row],[organisation_name]],'Response Rate sheet'!A:D,3,FALSE),General2022[[#This Row],[sector]])</f>
        <v>Study</v>
      </c>
      <c r="C64" t="str">
        <f>General2022[[#This Row],[organisation_type]]</f>
        <v>association</v>
      </c>
      <c r="D64">
        <f>IF(ISBLANK(General2022[[#This Row],[number_of_members]]),"N/A",VLOOKUP(A64,General2022[[organisation_name]:[number_of_international_committee_board_members_not_eea]],6,FALSE))</f>
        <v>670</v>
      </c>
      <c r="E64">
        <f>IF(ISBLANK(General2022[[#This Row],[number_of_committee_board_members]]),"N/A",VLOOKUP(A64,General2022!B:M,10,FALSE))</f>
        <v>100</v>
      </c>
      <c r="F64">
        <f>IFERROR(Data2022[[#This Row],[Number of members]]-Data2022[[#This Row],[Number of active members]], "N/A")</f>
        <v>570</v>
      </c>
      <c r="G64">
        <f>IFERROR(Data2022[[#This Row],[Number of active members]]/Data2022[[#This Row],[Number of members]], "N/A")</f>
        <v>0.14925373134328357</v>
      </c>
      <c r="H64">
        <f>IFERROR(1-Data2022[[#This Row],[Percentage active members]],"N/A")</f>
        <v>0.85074626865671643</v>
      </c>
      <c r="I64" t="str">
        <f>IF(Data2022[[#This Row],[Number of members]]=0,"N/A",IF(Data2022[[#This Row],[Number of members]]&lt;50," A. 1 - 50 ",IF(Data2022[[#This Row],[Number of members]]&lt;100, "B. 50 - 100", IF(Data2022[[#This Row],[Number of members]]&lt;400, "C. 100 - 400", IF(Data2022[[#This Row],[Number of members]]&lt;1000,"D. 400 - 1000", "E. 1000 +")))))</f>
        <v>D. 400 - 1000</v>
      </c>
      <c r="J64">
        <f>IF(ISBLANK(General2022[[#This Row],[number_of_international_members_not_eea]]),"N/A",VLOOKUP(A64,General2022[[organisation_name]:[number_of_international_committee_board_members_not_eea]],9,FALSE))</f>
        <v>146</v>
      </c>
      <c r="K64">
        <f>IF(ISBLANK(General2022[[#This Row],[number_of_international_members_eea]]),"N/A",VLOOKUP(A64,General2022[[organisation_name]:[number_of_international_committee_board_members_not_eea]],8,FALSE))</f>
        <v>40</v>
      </c>
      <c r="L64">
        <f>IFERROR(IF(Data2022[[#This Row],[Number of members]]-Data2022[[#This Row],[Non-EEA Total]]-Data2022[[#This Row],[EEA total]]&lt;1,"N/A", Data2022[[#This Row],[Number of members]]-Data2022[[#This Row],[Non-EEA Total]]-Data2022[[#This Row],[EEA total]]),"N/A")</f>
        <v>484</v>
      </c>
      <c r="M64">
        <f>VLOOKUP(A64,General2022[[organisation_name]:[number_of_international_committee_board_members_not_eea]],12,FALSE)</f>
        <v>4</v>
      </c>
      <c r="N64">
        <f>VLOOKUP(A64,General2022[[organisation_name]:[number_of_international_committee_board_members_not_eea]],11,FALSE)</f>
        <v>7</v>
      </c>
      <c r="O64">
        <f>IFERROR(IF(Data2022[[#This Row],[Number of active members]]-Data2022[[#This Row],[Non-EEA Active ]]-Data2022[[#This Row],[EEA Active]]&lt;1,"N/A", Data2022[[#This Row],[Number of active members]]-Data2022[[#This Row],[Non-EEA Active ]]-Data2022[[#This Row],[EEA Active]]),"N/A")</f>
        <v>89</v>
      </c>
      <c r="P64">
        <f>IFERROR(Data2022[[#This Row],[Non-EEA Active ]]/Data2022[[#This Row],[Number of active members]],"N/A")</f>
        <v>0.04</v>
      </c>
      <c r="Q64">
        <f>IFERROR(Data2022[[#This Row],[EEA Active]]/Data2022[[#This Row],[EEA total]], "N/A")</f>
        <v>0.17499999999999999</v>
      </c>
      <c r="R64">
        <f>IFERROR(Data2022[[#This Row],[Dutch Active]]/Data2022[[#This Row],[Dutch total]],"N/A")</f>
        <v>0.18388429752066116</v>
      </c>
      <c r="S64" t="str">
        <f>IFERROR(IF(Data2022[[#This Row],[Number of members]]=Data2022[[#This Row],[Non-EEA Total]]+Data2022[[#This Row],[EEA total]]+Data2022[[#This Row],[Dutch total]],"T","F"),"F")</f>
        <v>T</v>
      </c>
      <c r="T64" t="str">
        <f>IFERROR(IF(Data2022[[#This Row],[Number of active members]]=Data2022[[#This Row],[Non-EEA Active ]]+Data2022[[#This Row],[EEA Active]]+Data2022[[#This Row],[Dutch Active]],"T","F"),"F")</f>
        <v>T</v>
      </c>
      <c r="U64" t="str">
        <f>IFERROR(IF(Data2022[[#This Row],[Number of members]]-Data2022[[#This Row],[Non-EEA Active ]]-Data2022[[#This Row],[EEA Active]]-Data2022[[#This Row],[Dutch Active]]=Data2022[[#This Row],[Number of  inactive members]],"T","F"),"F")</f>
        <v>T</v>
      </c>
      <c r="V64" t="str">
        <f>IF(Data2022[[#This Row],[EEA Active]]&lt;=Data2022[[#This Row],[EEA total]],"T","F")</f>
        <v>T</v>
      </c>
      <c r="W64" t="str">
        <f>IF(Data2022[[#This Row],[Dutch Active]]&lt;=Data2022[[#This Row],[Dutch total]],"T","F")</f>
        <v>T</v>
      </c>
      <c r="X64" t="str">
        <f>IF(Data2022[[#This Row],[Non-EEA Active ]]&lt;=Data2022[[#This Row],[Non-EEA Total]],"T","F")</f>
        <v>T</v>
      </c>
      <c r="Y64"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4" t="str">
        <f>IFERROR(VLOOKUP(Data2022[[#This Row],[organisation_name]],'Division Study Year Committees'!$A$1:$L$108,2,FALSE),"N/A")</f>
        <v>N/A</v>
      </c>
      <c r="AA64" t="str">
        <f>IFERROR(VLOOKUP(Data2022[[#This Row],[organisation_name]],'Division Study Year Committees'!$A$1:$L$108,3,FALSE),"N/A")</f>
        <v>N/A</v>
      </c>
      <c r="AB64" t="str">
        <f>IFERROR(VLOOKUP(Data2022[[#This Row],[organisation_name]],'Division Study Year Committees'!$A$1:$L$108,4,FALSE),"N/A")</f>
        <v>N/A</v>
      </c>
      <c r="AC64" t="str">
        <f>IFERROR(VLOOKUP(Data2022[[#This Row],[organisation_name]],'Division Study Year Committees'!$A$1:$L$108,5,FALSE), "N/A")</f>
        <v>N/A</v>
      </c>
      <c r="AD64" t="str">
        <f>IFERROR(VLOOKUP(Data2022[[#This Row],[organisation_name]],'Division Study Year Committees'!$A$1:$L$108,6,FALSE), "N/A")</f>
        <v>N/A</v>
      </c>
      <c r="AE64">
        <f>SUM(Data2022[[#This Row],[Number of first year comittee members]:[Number of 4+ year comittee members]])</f>
        <v>0</v>
      </c>
      <c r="AF64">
        <f>COUNTIF('Committee2022'!D:D,Data2022[[#This Row],[organisation_name]])</f>
        <v>19</v>
      </c>
      <c r="AG64">
        <v>2022</v>
      </c>
    </row>
    <row r="65" spans="1:33" x14ac:dyDescent="0.3">
      <c r="A65" t="str">
        <f>General2022[[#This Row],[organisation_name]]</f>
        <v>Daedalus</v>
      </c>
      <c r="B65" t="str">
        <f>IF(General2022[[#This Row],[sector]]= "",VLOOKUP(Data2022[[#This Row],[organisation_name]],'Response Rate sheet'!A:D,3,FALSE),General2022[[#This Row],[sector]])</f>
        <v>Study</v>
      </c>
      <c r="C65" t="str">
        <f>General2022[[#This Row],[organisation_type]]</f>
        <v>association</v>
      </c>
      <c r="D65">
        <f>IF(ISBLANK(General2022[[#This Row],[number_of_members]]),"N/A",VLOOKUP(A65,General2022[[organisation_name]:[number_of_international_committee_board_members_not_eea]],6,FALSE))</f>
        <v>785</v>
      </c>
      <c r="E65">
        <f>IF(ISBLANK(General2022[[#This Row],[number_of_committee_board_members]]),"N/A",VLOOKUP(A65,General2022!B:M,10,FALSE))</f>
        <v>100</v>
      </c>
      <c r="F65">
        <f>IFERROR(Data2022[[#This Row],[Number of members]]-Data2022[[#This Row],[Number of active members]], "N/A")</f>
        <v>685</v>
      </c>
      <c r="G65">
        <f>IFERROR(Data2022[[#This Row],[Number of active members]]/Data2022[[#This Row],[Number of members]], "N/A")</f>
        <v>0.12738853503184713</v>
      </c>
      <c r="H65">
        <f>IFERROR(1-Data2022[[#This Row],[Percentage active members]],"N/A")</f>
        <v>0.87261146496815289</v>
      </c>
      <c r="I65" t="str">
        <f>IF(Data2022[[#This Row],[Number of members]]=0,"N/A",IF(Data2022[[#This Row],[Number of members]]&lt;50," A. 1 - 50 ",IF(Data2022[[#This Row],[Number of members]]&lt;100, "B. 50 - 100", IF(Data2022[[#This Row],[Number of members]]&lt;400, "C. 100 - 400", IF(Data2022[[#This Row],[Number of members]]&lt;1000,"D. 400 - 1000", "E. 1000 +")))))</f>
        <v>D. 400 - 1000</v>
      </c>
      <c r="J65">
        <f>IF(ISBLANK(General2022[[#This Row],[number_of_international_members_not_eea]]),"N/A",VLOOKUP(A65,General2022[[organisation_name]:[number_of_international_committee_board_members_not_eea]],9,FALSE))</f>
        <v>150</v>
      </c>
      <c r="K65">
        <f>IF(ISBLANK(General2022[[#This Row],[number_of_international_members_eea]]),"N/A",VLOOKUP(A65,General2022[[organisation_name]:[number_of_international_committee_board_members_not_eea]],8,FALSE))</f>
        <v>80</v>
      </c>
      <c r="L65">
        <f>IFERROR(IF(Data2022[[#This Row],[Number of members]]-Data2022[[#This Row],[Non-EEA Total]]-Data2022[[#This Row],[EEA total]]&lt;1,"N/A", Data2022[[#This Row],[Number of members]]-Data2022[[#This Row],[Non-EEA Total]]-Data2022[[#This Row],[EEA total]]),"N/A")</f>
        <v>555</v>
      </c>
      <c r="M65">
        <f>VLOOKUP(A65,General2022[[organisation_name]:[number_of_international_committee_board_members_not_eea]],12,FALSE)</f>
        <v>5</v>
      </c>
      <c r="N65">
        <f>VLOOKUP(A65,General2022[[organisation_name]:[number_of_international_committee_board_members_not_eea]],11,FALSE)</f>
        <v>15</v>
      </c>
      <c r="O65">
        <f>IFERROR(IF(Data2022[[#This Row],[Number of active members]]-Data2022[[#This Row],[Non-EEA Active ]]-Data2022[[#This Row],[EEA Active]]&lt;1,"N/A", Data2022[[#This Row],[Number of active members]]-Data2022[[#This Row],[Non-EEA Active ]]-Data2022[[#This Row],[EEA Active]]),"N/A")</f>
        <v>80</v>
      </c>
      <c r="P65">
        <f>IFERROR(Data2022[[#This Row],[Non-EEA Active ]]/Data2022[[#This Row],[Number of active members]],"N/A")</f>
        <v>0.05</v>
      </c>
      <c r="Q65">
        <f>IFERROR(Data2022[[#This Row],[EEA Active]]/Data2022[[#This Row],[EEA total]], "N/A")</f>
        <v>0.1875</v>
      </c>
      <c r="R65">
        <f>IFERROR(Data2022[[#This Row],[Dutch Active]]/Data2022[[#This Row],[Dutch total]],"N/A")</f>
        <v>0.14414414414414414</v>
      </c>
      <c r="S65" t="str">
        <f>IFERROR(IF(Data2022[[#This Row],[Number of members]]=Data2022[[#This Row],[Non-EEA Total]]+Data2022[[#This Row],[EEA total]]+Data2022[[#This Row],[Dutch total]],"T","F"),"F")</f>
        <v>T</v>
      </c>
      <c r="T65" t="str">
        <f>IFERROR(IF(Data2022[[#This Row],[Number of active members]]=Data2022[[#This Row],[Non-EEA Active ]]+Data2022[[#This Row],[EEA Active]]+Data2022[[#This Row],[Dutch Active]],"T","F"),"F")</f>
        <v>T</v>
      </c>
      <c r="U65" t="str">
        <f>IFERROR(IF(Data2022[[#This Row],[Number of members]]-Data2022[[#This Row],[Non-EEA Active ]]-Data2022[[#This Row],[EEA Active]]-Data2022[[#This Row],[Dutch Active]]=Data2022[[#This Row],[Number of  inactive members]],"T","F"),"F")</f>
        <v>T</v>
      </c>
      <c r="V65" t="str">
        <f>IF(Data2022[[#This Row],[EEA Active]]&lt;=Data2022[[#This Row],[EEA total]],"T","F")</f>
        <v>T</v>
      </c>
      <c r="W65" t="str">
        <f>IF(Data2022[[#This Row],[Dutch Active]]&lt;=Data2022[[#This Row],[Dutch total]],"T","F")</f>
        <v>T</v>
      </c>
      <c r="X65" t="str">
        <f>IF(Data2022[[#This Row],[Non-EEA Active ]]&lt;=Data2022[[#This Row],[Non-EEA Total]],"T","F")</f>
        <v>T</v>
      </c>
      <c r="Y6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5">
        <f>IFERROR(VLOOKUP(Data2022[[#This Row],[organisation_name]],'Division Study Year Committees'!$A$1:$L$108,2,FALSE),"N/A")</f>
        <v>0</v>
      </c>
      <c r="AA65">
        <f>IFERROR(VLOOKUP(Data2022[[#This Row],[organisation_name]],'Division Study Year Committees'!$A$1:$L$108,3,FALSE),"N/A")</f>
        <v>0</v>
      </c>
      <c r="AB65">
        <f>IFERROR(VLOOKUP(Data2022[[#This Row],[organisation_name]],'Division Study Year Committees'!$A$1:$L$108,4,FALSE),"N/A")</f>
        <v>0</v>
      </c>
      <c r="AC65">
        <f>IFERROR(VLOOKUP(Data2022[[#This Row],[organisation_name]],'Division Study Year Committees'!$A$1:$L$108,5,FALSE), "N/A")</f>
        <v>0</v>
      </c>
      <c r="AD65">
        <f>IFERROR(VLOOKUP(Data2022[[#This Row],[organisation_name]],'Division Study Year Committees'!$A$1:$L$108,6,FALSE), "N/A")</f>
        <v>0</v>
      </c>
      <c r="AE65">
        <f>SUM(Data2022[[#This Row],[Number of first year comittee members]:[Number of 4+ year comittee members]])</f>
        <v>0</v>
      </c>
      <c r="AF65">
        <f>COUNTIF('Committee2022'!D:D,Data2022[[#This Row],[organisation_name]])</f>
        <v>34</v>
      </c>
      <c r="AG65">
        <v>2022</v>
      </c>
    </row>
    <row r="66" spans="1:33" x14ac:dyDescent="0.3">
      <c r="A66" t="str">
        <f>General2022[[#This Row],[organisation_name]]</f>
        <v>Dimensie</v>
      </c>
      <c r="B66" t="str">
        <f>IF(General2022[[#This Row],[sector]]= "",VLOOKUP(Data2022[[#This Row],[organisation_name]],'Response Rate sheet'!A:D,3,FALSE),General2022[[#This Row],[sector]])</f>
        <v>Study</v>
      </c>
      <c r="C66" t="str">
        <f>General2022[[#This Row],[organisation_type]]</f>
        <v>association</v>
      </c>
      <c r="D66">
        <f>IF(ISBLANK(General2022[[#This Row],[number_of_members]]),"N/A",VLOOKUP(A66,General2022[[organisation_name]:[number_of_international_committee_board_members_not_eea]],6,FALSE))</f>
        <v>780</v>
      </c>
      <c r="E66">
        <f>IF(ISBLANK(General2022[[#This Row],[number_of_committee_board_members]]),"N/A",VLOOKUP(A66,General2022!B:M,10,FALSE))</f>
        <v>150</v>
      </c>
      <c r="F66">
        <f>IFERROR(Data2022[[#This Row],[Number of members]]-Data2022[[#This Row],[Number of active members]], "N/A")</f>
        <v>630</v>
      </c>
      <c r="G66">
        <f>IFERROR(Data2022[[#This Row],[Number of active members]]/Data2022[[#This Row],[Number of members]], "N/A")</f>
        <v>0.19230769230769232</v>
      </c>
      <c r="H66">
        <f>IFERROR(1-Data2022[[#This Row],[Percentage active members]],"N/A")</f>
        <v>0.80769230769230771</v>
      </c>
      <c r="I66" t="str">
        <f>IF(Data2022[[#This Row],[Number of members]]=0,"N/A",IF(Data2022[[#This Row],[Number of members]]&lt;50," A. 1 - 50 ",IF(Data2022[[#This Row],[Number of members]]&lt;100, "B. 50 - 100", IF(Data2022[[#This Row],[Number of members]]&lt;400, "C. 100 - 400", IF(Data2022[[#This Row],[Number of members]]&lt;1000,"D. 400 - 1000", "E. 1000 +")))))</f>
        <v>D. 400 - 1000</v>
      </c>
      <c r="J66">
        <f>IF(ISBLANK(General2022[[#This Row],[number_of_international_members_not_eea]]),"N/A",VLOOKUP(A66,General2022[[organisation_name]:[number_of_international_committee_board_members_not_eea]],9,FALSE))</f>
        <v>74</v>
      </c>
      <c r="K66">
        <f>IF(ISBLANK(General2022[[#This Row],[number_of_international_members_eea]]),"N/A",VLOOKUP(A66,General2022[[organisation_name]:[number_of_international_committee_board_members_not_eea]],8,FALSE))</f>
        <v>50</v>
      </c>
      <c r="L66">
        <f>IFERROR(IF(Data2022[[#This Row],[Number of members]]-Data2022[[#This Row],[Non-EEA Total]]-Data2022[[#This Row],[EEA total]]&lt;1,"N/A", Data2022[[#This Row],[Number of members]]-Data2022[[#This Row],[Non-EEA Total]]-Data2022[[#This Row],[EEA total]]),"N/A")</f>
        <v>656</v>
      </c>
      <c r="M66">
        <f>VLOOKUP(A66,General2022[[organisation_name]:[number_of_international_committee_board_members_not_eea]],12,FALSE)</f>
        <v>1</v>
      </c>
      <c r="N66">
        <f>VLOOKUP(A66,General2022[[organisation_name]:[number_of_international_committee_board_members_not_eea]],11,FALSE)</f>
        <v>73</v>
      </c>
      <c r="O66">
        <f>IFERROR(IF(Data2022[[#This Row],[Number of active members]]-Data2022[[#This Row],[Non-EEA Active ]]-Data2022[[#This Row],[EEA Active]]&lt;1,"N/A", Data2022[[#This Row],[Number of active members]]-Data2022[[#This Row],[Non-EEA Active ]]-Data2022[[#This Row],[EEA Active]]),"N/A")</f>
        <v>76</v>
      </c>
      <c r="P66">
        <f>IFERROR(Data2022[[#This Row],[Non-EEA Active ]]/Data2022[[#This Row],[Number of active members]],"N/A")</f>
        <v>6.6666666666666671E-3</v>
      </c>
      <c r="Q66">
        <f>IFERROR(Data2022[[#This Row],[EEA Active]]/Data2022[[#This Row],[EEA total]], "N/A")</f>
        <v>1.46</v>
      </c>
      <c r="R66">
        <f>IFERROR(Data2022[[#This Row],[Dutch Active]]/Data2022[[#This Row],[Dutch total]],"N/A")</f>
        <v>0.11585365853658537</v>
      </c>
      <c r="S66" t="str">
        <f>IFERROR(IF(Data2022[[#This Row],[Number of members]]=Data2022[[#This Row],[Non-EEA Total]]+Data2022[[#This Row],[EEA total]]+Data2022[[#This Row],[Dutch total]],"T","F"),"F")</f>
        <v>T</v>
      </c>
      <c r="T66" t="str">
        <f>IFERROR(IF(Data2022[[#This Row],[Number of active members]]=Data2022[[#This Row],[Non-EEA Active ]]+Data2022[[#This Row],[EEA Active]]+Data2022[[#This Row],[Dutch Active]],"T","F"),"F")</f>
        <v>T</v>
      </c>
      <c r="U66" t="str">
        <f>IFERROR(IF(Data2022[[#This Row],[Number of members]]-Data2022[[#This Row],[Non-EEA Active ]]-Data2022[[#This Row],[EEA Active]]-Data2022[[#This Row],[Dutch Active]]=Data2022[[#This Row],[Number of  inactive members]],"T","F"),"F")</f>
        <v>T</v>
      </c>
      <c r="V66" t="str">
        <f>IF(Data2022[[#This Row],[EEA Active]]&lt;=Data2022[[#This Row],[EEA total]],"T","F")</f>
        <v>F</v>
      </c>
      <c r="W66" t="str">
        <f>IF(Data2022[[#This Row],[Dutch Active]]&lt;=Data2022[[#This Row],[Dutch total]],"T","F")</f>
        <v>T</v>
      </c>
      <c r="X66" t="str">
        <f>IF(Data2022[[#This Row],[Non-EEA Active ]]&lt;=Data2022[[#This Row],[Non-EEA Total]],"T","F")</f>
        <v>T</v>
      </c>
      <c r="Y6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66">
        <f>IFERROR(VLOOKUP(Data2022[[#This Row],[organisation_name]],'Division Study Year Committees'!$A$1:$L$108,2,FALSE),"N/A")</f>
        <v>22</v>
      </c>
      <c r="AA66">
        <f>IFERROR(VLOOKUP(Data2022[[#This Row],[organisation_name]],'Division Study Year Committees'!$A$1:$L$108,3,FALSE),"N/A")</f>
        <v>33</v>
      </c>
      <c r="AB66">
        <f>IFERROR(VLOOKUP(Data2022[[#This Row],[organisation_name]],'Division Study Year Committees'!$A$1:$L$108,4,FALSE),"N/A")</f>
        <v>21</v>
      </c>
      <c r="AC66">
        <f>IFERROR(VLOOKUP(Data2022[[#This Row],[organisation_name]],'Division Study Year Committees'!$A$1:$L$108,5,FALSE), "N/A")</f>
        <v>20</v>
      </c>
      <c r="AD66">
        <f>IFERROR(VLOOKUP(Data2022[[#This Row],[organisation_name]],'Division Study Year Committees'!$A$1:$L$108,6,FALSE), "N/A")</f>
        <v>9</v>
      </c>
      <c r="AE66">
        <f>SUM(Data2022[[#This Row],[Number of first year comittee members]:[Number of 4+ year comittee members]])</f>
        <v>105</v>
      </c>
      <c r="AF66">
        <f>COUNTIF('Committee2022'!D:D,Data2022[[#This Row],[organisation_name]])</f>
        <v>20</v>
      </c>
      <c r="AG66">
        <v>2022</v>
      </c>
    </row>
    <row r="67" spans="1:33" x14ac:dyDescent="0.3">
      <c r="A67" t="str">
        <f>General2022[[#This Row],[organisation_name]]</f>
        <v>Ideefiks</v>
      </c>
      <c r="B67" t="str">
        <f>IF(General2022[[#This Row],[sector]]= "",VLOOKUP(Data2022[[#This Row],[organisation_name]],'Response Rate sheet'!A:D,3,FALSE),General2022[[#This Row],[sector]])</f>
        <v>Study</v>
      </c>
      <c r="C67" t="str">
        <f>General2022[[#This Row],[organisation_type]]</f>
        <v>association</v>
      </c>
      <c r="D67">
        <f>IF(ISBLANK(General2022[[#This Row],[number_of_members]]),"N/A",VLOOKUP(A67,General2022[[organisation_name]:[number_of_international_committee_board_members_not_eea]],6,FALSE))</f>
        <v>66</v>
      </c>
      <c r="E67">
        <f>IF(ISBLANK(General2022[[#This Row],[number_of_committee_board_members]]),"N/A",VLOOKUP(A67,General2022!B:M,10,FALSE))</f>
        <v>12</v>
      </c>
      <c r="F67">
        <f>IFERROR(Data2022[[#This Row],[Number of members]]-Data2022[[#This Row],[Number of active members]], "N/A")</f>
        <v>54</v>
      </c>
      <c r="G67">
        <f>IFERROR(Data2022[[#This Row],[Number of active members]]/Data2022[[#This Row],[Number of members]], "N/A")</f>
        <v>0.18181818181818182</v>
      </c>
      <c r="H67">
        <f>IFERROR(1-Data2022[[#This Row],[Percentage active members]],"N/A")</f>
        <v>0.81818181818181812</v>
      </c>
      <c r="I67" t="str">
        <f>IF(Data2022[[#This Row],[Number of members]]=0,"N/A",IF(Data2022[[#This Row],[Number of members]]&lt;50," A. 1 - 50 ",IF(Data2022[[#This Row],[Number of members]]&lt;100, "B. 50 - 100", IF(Data2022[[#This Row],[Number of members]]&lt;400, "C. 100 - 400", IF(Data2022[[#This Row],[Number of members]]&lt;1000,"D. 400 - 1000", "E. 1000 +")))))</f>
        <v>B. 50 - 100</v>
      </c>
      <c r="J67">
        <f>IF(ISBLANK(General2022[[#This Row],[number_of_international_members_not_eea]]),"N/A",VLOOKUP(A67,General2022[[organisation_name]:[number_of_international_committee_board_members_not_eea]],9,FALSE))</f>
        <v>10</v>
      </c>
      <c r="K67">
        <f>IF(ISBLANK(General2022[[#This Row],[number_of_international_members_eea]]),"N/A",VLOOKUP(A67,General2022[[organisation_name]:[number_of_international_committee_board_members_not_eea]],8,FALSE))</f>
        <v>11</v>
      </c>
      <c r="L67">
        <f>IFERROR(IF(Data2022[[#This Row],[Number of members]]-Data2022[[#This Row],[Non-EEA Total]]-Data2022[[#This Row],[EEA total]]&lt;1,"N/A", Data2022[[#This Row],[Number of members]]-Data2022[[#This Row],[Non-EEA Total]]-Data2022[[#This Row],[EEA total]]),"N/A")</f>
        <v>45</v>
      </c>
      <c r="M67">
        <f>VLOOKUP(A67,General2022[[organisation_name]:[number_of_international_committee_board_members_not_eea]],12,FALSE)</f>
        <v>11</v>
      </c>
      <c r="N67">
        <f>VLOOKUP(A67,General2022[[organisation_name]:[number_of_international_committee_board_members_not_eea]],11,FALSE)</f>
        <v>45</v>
      </c>
      <c r="O67" t="str">
        <f>IFERROR(IF(Data2022[[#This Row],[Number of active members]]-Data2022[[#This Row],[Non-EEA Active ]]-Data2022[[#This Row],[EEA Active]]&lt;1,"N/A", Data2022[[#This Row],[Number of active members]]-Data2022[[#This Row],[Non-EEA Active ]]-Data2022[[#This Row],[EEA Active]]),"N/A")</f>
        <v>N/A</v>
      </c>
      <c r="P67">
        <f>IFERROR(Data2022[[#This Row],[Non-EEA Active ]]/Data2022[[#This Row],[Number of active members]],"N/A")</f>
        <v>0.91666666666666663</v>
      </c>
      <c r="Q67">
        <f>IFERROR(Data2022[[#This Row],[EEA Active]]/Data2022[[#This Row],[EEA total]], "N/A")</f>
        <v>4.0909090909090908</v>
      </c>
      <c r="R67" t="str">
        <f>IFERROR(Data2022[[#This Row],[Dutch Active]]/Data2022[[#This Row],[Dutch total]],"N/A")</f>
        <v>N/A</v>
      </c>
      <c r="S67" t="str">
        <f>IFERROR(IF(Data2022[[#This Row],[Number of members]]=Data2022[[#This Row],[Non-EEA Total]]+Data2022[[#This Row],[EEA total]]+Data2022[[#This Row],[Dutch total]],"T","F"),"F")</f>
        <v>T</v>
      </c>
      <c r="T67" t="str">
        <f>IFERROR(IF(Data2022[[#This Row],[Number of active members]]=Data2022[[#This Row],[Non-EEA Active ]]+Data2022[[#This Row],[EEA Active]]+Data2022[[#This Row],[Dutch Active]],"T","F"),"F")</f>
        <v>F</v>
      </c>
      <c r="U67" t="str">
        <f>IFERROR(IF(Data2022[[#This Row],[Number of members]]-Data2022[[#This Row],[Non-EEA Active ]]-Data2022[[#This Row],[EEA Active]]-Data2022[[#This Row],[Dutch Active]]=Data2022[[#This Row],[Number of  inactive members]],"T","F"),"F")</f>
        <v>F</v>
      </c>
      <c r="V67" t="str">
        <f>IF(Data2022[[#This Row],[EEA Active]]&lt;=Data2022[[#This Row],[EEA total]],"T","F")</f>
        <v>F</v>
      </c>
      <c r="W67" t="str">
        <f>IF(Data2022[[#This Row],[Dutch Active]]&lt;=Data2022[[#This Row],[Dutch total]],"T","F")</f>
        <v>F</v>
      </c>
      <c r="X67" t="str">
        <f>IF(Data2022[[#This Row],[Non-EEA Active ]]&lt;=Data2022[[#This Row],[Non-EEA Total]],"T","F")</f>
        <v>F</v>
      </c>
      <c r="Y6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67" t="str">
        <f>IFERROR(VLOOKUP(Data2022[[#This Row],[organisation_name]],'Division Study Year Committees'!$A$1:$L$108,2,FALSE),"N/A")</f>
        <v>N/A</v>
      </c>
      <c r="AA67" t="str">
        <f>IFERROR(VLOOKUP(Data2022[[#This Row],[organisation_name]],'Division Study Year Committees'!$A$1:$L$108,3,FALSE),"N/A")</f>
        <v>N/A</v>
      </c>
      <c r="AB67" t="str">
        <f>IFERROR(VLOOKUP(Data2022[[#This Row],[organisation_name]],'Division Study Year Committees'!$A$1:$L$108,4,FALSE),"N/A")</f>
        <v>N/A</v>
      </c>
      <c r="AC67" t="str">
        <f>IFERROR(VLOOKUP(Data2022[[#This Row],[organisation_name]],'Division Study Year Committees'!$A$1:$L$108,5,FALSE), "N/A")</f>
        <v>N/A</v>
      </c>
      <c r="AD67" t="str">
        <f>IFERROR(VLOOKUP(Data2022[[#This Row],[organisation_name]],'Division Study Year Committees'!$A$1:$L$108,6,FALSE), "N/A")</f>
        <v>N/A</v>
      </c>
      <c r="AE67">
        <f>SUM(Data2022[[#This Row],[Number of first year comittee members]:[Number of 4+ year comittee members]])</f>
        <v>0</v>
      </c>
      <c r="AF67">
        <f>COUNTIF('Committee2022'!D:D,Data2022[[#This Row],[organisation_name]])</f>
        <v>6</v>
      </c>
      <c r="AG67">
        <v>2022</v>
      </c>
    </row>
    <row r="68" spans="1:33" x14ac:dyDescent="0.3">
      <c r="A68" t="str">
        <f>General2022[[#This Row],[organisation_name]]</f>
        <v>Inter-Actief</v>
      </c>
      <c r="B68" t="str">
        <f>IF(General2022[[#This Row],[sector]]= "",VLOOKUP(Data2022[[#This Row],[organisation_name]],'Response Rate sheet'!A:D,3,FALSE),General2022[[#This Row],[sector]])</f>
        <v>Study</v>
      </c>
      <c r="C68" t="str">
        <f>General2022[[#This Row],[organisation_type]]</f>
        <v>association</v>
      </c>
      <c r="D68">
        <f>IF(ISBLANK(General2022[[#This Row],[number_of_members]]),"N/A",VLOOKUP(A68,General2022[[organisation_name]:[number_of_international_committee_board_members_not_eea]],6,FALSE))</f>
        <v>1300</v>
      </c>
      <c r="E68">
        <f>IF(ISBLANK(General2022[[#This Row],[number_of_committee_board_members]]),"N/A",VLOOKUP(A68,General2022!B:M,10,FALSE))</f>
        <v>100</v>
      </c>
      <c r="F68">
        <f>IFERROR(Data2022[[#This Row],[Number of members]]-Data2022[[#This Row],[Number of active members]], "N/A")</f>
        <v>1200</v>
      </c>
      <c r="G68">
        <f>IFERROR(Data2022[[#This Row],[Number of active members]]/Data2022[[#This Row],[Number of members]], "N/A")</f>
        <v>7.6923076923076927E-2</v>
      </c>
      <c r="H68">
        <f>IFERROR(1-Data2022[[#This Row],[Percentage active members]],"N/A")</f>
        <v>0.92307692307692313</v>
      </c>
      <c r="I68" t="str">
        <f>IF(Data2022[[#This Row],[Number of members]]=0,"N/A",IF(Data2022[[#This Row],[Number of members]]&lt;50," A. 1 - 50 ",IF(Data2022[[#This Row],[Number of members]]&lt;100, "B. 50 - 100", IF(Data2022[[#This Row],[Number of members]]&lt;400, "C. 100 - 400", IF(Data2022[[#This Row],[Number of members]]&lt;1000,"D. 400 - 1000", "E. 1000 +")))))</f>
        <v>E. 1000 +</v>
      </c>
      <c r="J68">
        <f>IF(ISBLANK(General2022[[#This Row],[number_of_international_members_not_eea]]),"N/A",VLOOKUP(A68,General2022[[organisation_name]:[number_of_international_committee_board_members_not_eea]],9,FALSE))</f>
        <v>190</v>
      </c>
      <c r="K68">
        <f>IF(ISBLANK(General2022[[#This Row],[number_of_international_members_eea]]),"N/A",VLOOKUP(A68,General2022[[organisation_name]:[number_of_international_committee_board_members_not_eea]],8,FALSE))</f>
        <v>220</v>
      </c>
      <c r="L68">
        <f>IFERROR(IF(Data2022[[#This Row],[Number of members]]-Data2022[[#This Row],[Non-EEA Total]]-Data2022[[#This Row],[EEA total]]&lt;1,"N/A", Data2022[[#This Row],[Number of members]]-Data2022[[#This Row],[Non-EEA Total]]-Data2022[[#This Row],[EEA total]]),"N/A")</f>
        <v>890</v>
      </c>
      <c r="M68">
        <f>VLOOKUP(A68,General2022[[organisation_name]:[number_of_international_committee_board_members_not_eea]],12,FALSE)</f>
        <v>6</v>
      </c>
      <c r="N68">
        <f>VLOOKUP(A68,General2022[[organisation_name]:[number_of_international_committee_board_members_not_eea]],11,FALSE)</f>
        <v>10</v>
      </c>
      <c r="O68">
        <f>IFERROR(IF(Data2022[[#This Row],[Number of active members]]-Data2022[[#This Row],[Non-EEA Active ]]-Data2022[[#This Row],[EEA Active]]&lt;1,"N/A", Data2022[[#This Row],[Number of active members]]-Data2022[[#This Row],[Non-EEA Active ]]-Data2022[[#This Row],[EEA Active]]),"N/A")</f>
        <v>84</v>
      </c>
      <c r="P68">
        <f>IFERROR(Data2022[[#This Row],[Non-EEA Active ]]/Data2022[[#This Row],[Number of active members]],"N/A")</f>
        <v>0.06</v>
      </c>
      <c r="Q68">
        <f>IFERROR(Data2022[[#This Row],[EEA Active]]/Data2022[[#This Row],[EEA total]], "N/A")</f>
        <v>4.5454545454545456E-2</v>
      </c>
      <c r="R68">
        <f>IFERROR(Data2022[[#This Row],[Dutch Active]]/Data2022[[#This Row],[Dutch total]],"N/A")</f>
        <v>9.4382022471910118E-2</v>
      </c>
      <c r="S68" t="str">
        <f>IFERROR(IF(Data2022[[#This Row],[Number of members]]=Data2022[[#This Row],[Non-EEA Total]]+Data2022[[#This Row],[EEA total]]+Data2022[[#This Row],[Dutch total]],"T","F"),"F")</f>
        <v>T</v>
      </c>
      <c r="T68" t="str">
        <f>IFERROR(IF(Data2022[[#This Row],[Number of active members]]=Data2022[[#This Row],[Non-EEA Active ]]+Data2022[[#This Row],[EEA Active]]+Data2022[[#This Row],[Dutch Active]],"T","F"),"F")</f>
        <v>T</v>
      </c>
      <c r="U68" t="str">
        <f>IFERROR(IF(Data2022[[#This Row],[Number of members]]-Data2022[[#This Row],[Non-EEA Active ]]-Data2022[[#This Row],[EEA Active]]-Data2022[[#This Row],[Dutch Active]]=Data2022[[#This Row],[Number of  inactive members]],"T","F"),"F")</f>
        <v>T</v>
      </c>
      <c r="V68" t="str">
        <f>IF(Data2022[[#This Row],[EEA Active]]&lt;=Data2022[[#This Row],[EEA total]],"T","F")</f>
        <v>T</v>
      </c>
      <c r="W68" t="str">
        <f>IF(Data2022[[#This Row],[Dutch Active]]&lt;=Data2022[[#This Row],[Dutch total]],"T","F")</f>
        <v>T</v>
      </c>
      <c r="X68" t="str">
        <f>IF(Data2022[[#This Row],[Non-EEA Active ]]&lt;=Data2022[[#This Row],[Non-EEA Total]],"T","F")</f>
        <v>T</v>
      </c>
      <c r="Y68"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8">
        <f>IFERROR(VLOOKUP(Data2022[[#This Row],[organisation_name]],'Division Study Year Committees'!$A$1:$L$108,2,FALSE),"N/A")</f>
        <v>37</v>
      </c>
      <c r="AA68">
        <f>IFERROR(VLOOKUP(Data2022[[#This Row],[organisation_name]],'Division Study Year Committees'!$A$1:$L$108,3,FALSE),"N/A")</f>
        <v>74</v>
      </c>
      <c r="AB68">
        <f>IFERROR(VLOOKUP(Data2022[[#This Row],[organisation_name]],'Division Study Year Committees'!$A$1:$L$108,4,FALSE),"N/A")</f>
        <v>113</v>
      </c>
      <c r="AC68">
        <f>IFERROR(VLOOKUP(Data2022[[#This Row],[organisation_name]],'Division Study Year Committees'!$A$1:$L$108,5,FALSE), "N/A")</f>
        <v>67</v>
      </c>
      <c r="AD68">
        <f>IFERROR(VLOOKUP(Data2022[[#This Row],[organisation_name]],'Division Study Year Committees'!$A$1:$L$108,6,FALSE), "N/A")</f>
        <v>20</v>
      </c>
      <c r="AE68">
        <f>SUM(Data2022[[#This Row],[Number of first year comittee members]:[Number of 4+ year comittee members]])</f>
        <v>311</v>
      </c>
      <c r="AF68">
        <f>COUNTIF('Committee2022'!D:D,Data2022[[#This Row],[organisation_name]])</f>
        <v>38</v>
      </c>
      <c r="AG68">
        <v>2022</v>
      </c>
    </row>
    <row r="69" spans="1:33" x14ac:dyDescent="0.3">
      <c r="A69" t="str">
        <f>General2022[[#This Row],[organisation_name]]</f>
        <v>Isaac Newton</v>
      </c>
      <c r="B69" t="str">
        <f>IF(General2022[[#This Row],[sector]]= "",VLOOKUP(Data2022[[#This Row],[organisation_name]],'Response Rate sheet'!A:D,3,FALSE),General2022[[#This Row],[sector]])</f>
        <v>Study</v>
      </c>
      <c r="C69" t="str">
        <f>General2022[[#This Row],[organisation_type]]</f>
        <v>association</v>
      </c>
      <c r="D69">
        <f>IF(ISBLANK(General2022[[#This Row],[number_of_members]]),"N/A",VLOOKUP(A69,General2022[[organisation_name]:[number_of_international_committee_board_members_not_eea]],6,FALSE))</f>
        <v>1309</v>
      </c>
      <c r="E69">
        <f>IF(ISBLANK(General2022[[#This Row],[number_of_committee_board_members]]),"N/A",VLOOKUP(A69,General2022!B:M,10,FALSE))</f>
        <v>400</v>
      </c>
      <c r="F69">
        <f>IFERROR(Data2022[[#This Row],[Number of members]]-Data2022[[#This Row],[Number of active members]], "N/A")</f>
        <v>909</v>
      </c>
      <c r="G69">
        <f>IFERROR(Data2022[[#This Row],[Number of active members]]/Data2022[[#This Row],[Number of members]], "N/A")</f>
        <v>0.30557677616501144</v>
      </c>
      <c r="H69">
        <f>IFERROR(1-Data2022[[#This Row],[Percentage active members]],"N/A")</f>
        <v>0.69442322383498856</v>
      </c>
      <c r="I69" t="str">
        <f>IF(Data2022[[#This Row],[Number of members]]=0,"N/A",IF(Data2022[[#This Row],[Number of members]]&lt;50," A. 1 - 50 ",IF(Data2022[[#This Row],[Number of members]]&lt;100, "B. 50 - 100", IF(Data2022[[#This Row],[Number of members]]&lt;400, "C. 100 - 400", IF(Data2022[[#This Row],[Number of members]]&lt;1000,"D. 400 - 1000", "E. 1000 +")))))</f>
        <v>E. 1000 +</v>
      </c>
      <c r="J69">
        <f>IF(ISBLANK(General2022[[#This Row],[number_of_international_members_not_eea]]),"N/A",VLOOKUP(A69,General2022[[organisation_name]:[number_of_international_committee_board_members_not_eea]],9,FALSE))</f>
        <v>120</v>
      </c>
      <c r="K69">
        <f>IF(ISBLANK(General2022[[#This Row],[number_of_international_members_eea]]),"N/A",VLOOKUP(A69,General2022[[organisation_name]:[number_of_international_committee_board_members_not_eea]],8,FALSE))</f>
        <v>150</v>
      </c>
      <c r="L69">
        <f>IFERROR(IF(Data2022[[#This Row],[Number of members]]-Data2022[[#This Row],[Non-EEA Total]]-Data2022[[#This Row],[EEA total]]&lt;1,"N/A", Data2022[[#This Row],[Number of members]]-Data2022[[#This Row],[Non-EEA Total]]-Data2022[[#This Row],[EEA total]]),"N/A")</f>
        <v>1039</v>
      </c>
      <c r="M69">
        <f>VLOOKUP(A69,General2022[[organisation_name]:[number_of_international_committee_board_members_not_eea]],12,FALSE)</f>
        <v>7</v>
      </c>
      <c r="N69">
        <f>VLOOKUP(A69,General2022[[organisation_name]:[number_of_international_committee_board_members_not_eea]],11,FALSE)</f>
        <v>15</v>
      </c>
      <c r="O69">
        <f>IFERROR(IF(Data2022[[#This Row],[Number of active members]]-Data2022[[#This Row],[Non-EEA Active ]]-Data2022[[#This Row],[EEA Active]]&lt;1,"N/A", Data2022[[#This Row],[Number of active members]]-Data2022[[#This Row],[Non-EEA Active ]]-Data2022[[#This Row],[EEA Active]]),"N/A")</f>
        <v>378</v>
      </c>
      <c r="P69">
        <f>IFERROR(Data2022[[#This Row],[Non-EEA Active ]]/Data2022[[#This Row],[Number of active members]],"N/A")</f>
        <v>1.7500000000000002E-2</v>
      </c>
      <c r="Q69">
        <f>IFERROR(Data2022[[#This Row],[EEA Active]]/Data2022[[#This Row],[EEA total]], "N/A")</f>
        <v>0.1</v>
      </c>
      <c r="R69">
        <f>IFERROR(Data2022[[#This Row],[Dutch Active]]/Data2022[[#This Row],[Dutch total]],"N/A")</f>
        <v>0.36381135707410972</v>
      </c>
      <c r="S69" t="str">
        <f>IFERROR(IF(Data2022[[#This Row],[Number of members]]=Data2022[[#This Row],[Non-EEA Total]]+Data2022[[#This Row],[EEA total]]+Data2022[[#This Row],[Dutch total]],"T","F"),"F")</f>
        <v>T</v>
      </c>
      <c r="T69" t="str">
        <f>IFERROR(IF(Data2022[[#This Row],[Number of active members]]=Data2022[[#This Row],[Non-EEA Active ]]+Data2022[[#This Row],[EEA Active]]+Data2022[[#This Row],[Dutch Active]],"T","F"),"F")</f>
        <v>T</v>
      </c>
      <c r="U69" t="str">
        <f>IFERROR(IF(Data2022[[#This Row],[Number of members]]-Data2022[[#This Row],[Non-EEA Active ]]-Data2022[[#This Row],[EEA Active]]-Data2022[[#This Row],[Dutch Active]]=Data2022[[#This Row],[Number of  inactive members]],"T","F"),"F")</f>
        <v>T</v>
      </c>
      <c r="V69" t="str">
        <f>IF(Data2022[[#This Row],[EEA Active]]&lt;=Data2022[[#This Row],[EEA total]],"T","F")</f>
        <v>T</v>
      </c>
      <c r="W69" t="str">
        <f>IF(Data2022[[#This Row],[Dutch Active]]&lt;=Data2022[[#This Row],[Dutch total]],"T","F")</f>
        <v>T</v>
      </c>
      <c r="X69" t="str">
        <f>IF(Data2022[[#This Row],[Non-EEA Active ]]&lt;=Data2022[[#This Row],[Non-EEA Total]],"T","F")</f>
        <v>T</v>
      </c>
      <c r="Y69"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69">
        <f>IFERROR(VLOOKUP(Data2022[[#This Row],[organisation_name]],'Division Study Year Committees'!$A$1:$L$108,2,FALSE),"N/A")</f>
        <v>13</v>
      </c>
      <c r="AA69">
        <f>IFERROR(VLOOKUP(Data2022[[#This Row],[organisation_name]],'Division Study Year Committees'!$A$1:$L$108,3,FALSE),"N/A")</f>
        <v>59</v>
      </c>
      <c r="AB69">
        <f>IFERROR(VLOOKUP(Data2022[[#This Row],[organisation_name]],'Division Study Year Committees'!$A$1:$L$108,4,FALSE),"N/A")</f>
        <v>47</v>
      </c>
      <c r="AC69">
        <f>IFERROR(VLOOKUP(Data2022[[#This Row],[organisation_name]],'Division Study Year Committees'!$A$1:$L$108,5,FALSE), "N/A")</f>
        <v>38</v>
      </c>
      <c r="AD69">
        <f>IFERROR(VLOOKUP(Data2022[[#This Row],[organisation_name]],'Division Study Year Committees'!$A$1:$L$108,6,FALSE), "N/A")</f>
        <v>33</v>
      </c>
      <c r="AE69">
        <f>SUM(Data2022[[#This Row],[Number of first year comittee members]:[Number of 4+ year comittee members]])</f>
        <v>190</v>
      </c>
      <c r="AF69">
        <f>COUNTIF('Committee2022'!D:D,Data2022[[#This Row],[organisation_name]])</f>
        <v>28</v>
      </c>
      <c r="AG69">
        <v>2022</v>
      </c>
    </row>
    <row r="70" spans="1:33" x14ac:dyDescent="0.3">
      <c r="A70" t="str">
        <f>General2022[[#This Row],[organisation_name]]</f>
        <v>Komma</v>
      </c>
      <c r="B70" t="str">
        <f>IF(General2022[[#This Row],[sector]]= "",VLOOKUP(Data2022[[#This Row],[organisation_name]],'Response Rate sheet'!A:D,3,FALSE),General2022[[#This Row],[sector]])</f>
        <v>Study</v>
      </c>
      <c r="C70" t="str">
        <f>General2022[[#This Row],[organisation_type]]</f>
        <v>association</v>
      </c>
      <c r="D70">
        <f>IF(ISBLANK(General2022[[#This Row],[number_of_members]]),"N/A",VLOOKUP(A70,General2022[[organisation_name]:[number_of_international_committee_board_members_not_eea]],6,FALSE))</f>
        <v>185</v>
      </c>
      <c r="E70">
        <f>IF(ISBLANK(General2022[[#This Row],[number_of_committee_board_members]]),"N/A",VLOOKUP(A70,General2022!B:M,10,FALSE))</f>
        <v>40</v>
      </c>
      <c r="F70">
        <f>IFERROR(Data2022[[#This Row],[Number of members]]-Data2022[[#This Row],[Number of active members]], "N/A")</f>
        <v>145</v>
      </c>
      <c r="G70">
        <f>IFERROR(Data2022[[#This Row],[Number of active members]]/Data2022[[#This Row],[Number of members]], "N/A")</f>
        <v>0.21621621621621623</v>
      </c>
      <c r="H70">
        <f>IFERROR(1-Data2022[[#This Row],[Percentage active members]],"N/A")</f>
        <v>0.78378378378378377</v>
      </c>
      <c r="I70" t="str">
        <f>IF(Data2022[[#This Row],[Number of members]]=0,"N/A",IF(Data2022[[#This Row],[Number of members]]&lt;50," A. 1 - 50 ",IF(Data2022[[#This Row],[Number of members]]&lt;100, "B. 50 - 100", IF(Data2022[[#This Row],[Number of members]]&lt;400, "C. 100 - 400", IF(Data2022[[#This Row],[Number of members]]&lt;1000,"D. 400 - 1000", "E. 1000 +")))))</f>
        <v>C. 100 - 400</v>
      </c>
      <c r="J70">
        <f>IF(ISBLANK(General2022[[#This Row],[number_of_international_members_not_eea]]),"N/A",VLOOKUP(A70,General2022[[organisation_name]:[number_of_international_committee_board_members_not_eea]],9,FALSE))</f>
        <v>10</v>
      </c>
      <c r="K70">
        <f>IF(ISBLANK(General2022[[#This Row],[number_of_international_members_eea]]),"N/A",VLOOKUP(A70,General2022[[organisation_name]:[number_of_international_committee_board_members_not_eea]],8,FALSE))</f>
        <v>85</v>
      </c>
      <c r="L70">
        <f>IFERROR(IF(Data2022[[#This Row],[Number of members]]-Data2022[[#This Row],[Non-EEA Total]]-Data2022[[#This Row],[EEA total]]&lt;1,"N/A", Data2022[[#This Row],[Number of members]]-Data2022[[#This Row],[Non-EEA Total]]-Data2022[[#This Row],[EEA total]]),"N/A")</f>
        <v>90</v>
      </c>
      <c r="M70">
        <f>VLOOKUP(A70,General2022[[organisation_name]:[number_of_international_committee_board_members_not_eea]],12,FALSE)</f>
        <v>7</v>
      </c>
      <c r="N70">
        <f>VLOOKUP(A70,General2022[[organisation_name]:[number_of_international_committee_board_members_not_eea]],11,FALSE)</f>
        <v>3</v>
      </c>
      <c r="O70">
        <f>IFERROR(IF(Data2022[[#This Row],[Number of active members]]-Data2022[[#This Row],[Non-EEA Active ]]-Data2022[[#This Row],[EEA Active]]&lt;1,"N/A", Data2022[[#This Row],[Number of active members]]-Data2022[[#This Row],[Non-EEA Active ]]-Data2022[[#This Row],[EEA Active]]),"N/A")</f>
        <v>30</v>
      </c>
      <c r="P70">
        <f>IFERROR(Data2022[[#This Row],[Non-EEA Active ]]/Data2022[[#This Row],[Number of active members]],"N/A")</f>
        <v>0.17499999999999999</v>
      </c>
      <c r="Q70">
        <f>IFERROR(Data2022[[#This Row],[EEA Active]]/Data2022[[#This Row],[EEA total]], "N/A")</f>
        <v>3.5294117647058823E-2</v>
      </c>
      <c r="R70">
        <f>IFERROR(Data2022[[#This Row],[Dutch Active]]/Data2022[[#This Row],[Dutch total]],"N/A")</f>
        <v>0.33333333333333331</v>
      </c>
      <c r="S70" t="str">
        <f>IFERROR(IF(Data2022[[#This Row],[Number of members]]=Data2022[[#This Row],[Non-EEA Total]]+Data2022[[#This Row],[EEA total]]+Data2022[[#This Row],[Dutch total]],"T","F"),"F")</f>
        <v>T</v>
      </c>
      <c r="T70" t="str">
        <f>IFERROR(IF(Data2022[[#This Row],[Number of active members]]=Data2022[[#This Row],[Non-EEA Active ]]+Data2022[[#This Row],[EEA Active]]+Data2022[[#This Row],[Dutch Active]],"T","F"),"F")</f>
        <v>T</v>
      </c>
      <c r="U70" t="str">
        <f>IFERROR(IF(Data2022[[#This Row],[Number of members]]-Data2022[[#This Row],[Non-EEA Active ]]-Data2022[[#This Row],[EEA Active]]-Data2022[[#This Row],[Dutch Active]]=Data2022[[#This Row],[Number of  inactive members]],"T","F"),"F")</f>
        <v>T</v>
      </c>
      <c r="V70" t="str">
        <f>IF(Data2022[[#This Row],[EEA Active]]&lt;=Data2022[[#This Row],[EEA total]],"T","F")</f>
        <v>T</v>
      </c>
      <c r="W70" t="str">
        <f>IF(Data2022[[#This Row],[Dutch Active]]&lt;=Data2022[[#This Row],[Dutch total]],"T","F")</f>
        <v>T</v>
      </c>
      <c r="X70" t="str">
        <f>IF(Data2022[[#This Row],[Non-EEA Active ]]&lt;=Data2022[[#This Row],[Non-EEA Total]],"T","F")</f>
        <v>T</v>
      </c>
      <c r="Y70"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70">
        <f>IFERROR(VLOOKUP(Data2022[[#This Row],[organisation_name]],'Division Study Year Committees'!$A$1:$L$108,2,FALSE),"N/A")</f>
        <v>0</v>
      </c>
      <c r="AA70">
        <f>IFERROR(VLOOKUP(Data2022[[#This Row],[organisation_name]],'Division Study Year Committees'!$A$1:$L$108,3,FALSE),"N/A")</f>
        <v>0</v>
      </c>
      <c r="AB70">
        <f>IFERROR(VLOOKUP(Data2022[[#This Row],[organisation_name]],'Division Study Year Committees'!$A$1:$L$108,4,FALSE),"N/A")</f>
        <v>0</v>
      </c>
      <c r="AC70">
        <f>IFERROR(VLOOKUP(Data2022[[#This Row],[organisation_name]],'Division Study Year Committees'!$A$1:$L$108,5,FALSE), "N/A")</f>
        <v>4</v>
      </c>
      <c r="AD70">
        <f>IFERROR(VLOOKUP(Data2022[[#This Row],[organisation_name]],'Division Study Year Committees'!$A$1:$L$108,6,FALSE), "N/A")</f>
        <v>0</v>
      </c>
      <c r="AE70">
        <f>SUM(Data2022[[#This Row],[Number of first year comittee members]:[Number of 4+ year comittee members]])</f>
        <v>4</v>
      </c>
      <c r="AF70">
        <f>COUNTIF('Committee2022'!D:D,Data2022[[#This Row],[organisation_name]])</f>
        <v>0</v>
      </c>
      <c r="AG70">
        <v>2022</v>
      </c>
    </row>
    <row r="71" spans="1:33" x14ac:dyDescent="0.3">
      <c r="A71" t="str">
        <f>General2022[[#This Row],[organisation_name]]</f>
        <v>Paradoks</v>
      </c>
      <c r="B71" t="str">
        <f>IF(General2022[[#This Row],[sector]]= "",VLOOKUP(Data2022[[#This Row],[organisation_name]],'Response Rate sheet'!A:D,3,FALSE),General2022[[#This Row],[sector]])</f>
        <v>Study</v>
      </c>
      <c r="C71" t="str">
        <f>General2022[[#This Row],[organisation_type]]</f>
        <v>association</v>
      </c>
      <c r="D71" t="str">
        <f>IF(ISBLANK(General2022[[#This Row],[number_of_members]]),"N/A",VLOOKUP(A71,General2022[[organisation_name]:[number_of_international_committee_board_members_not_eea]],6,FALSE))</f>
        <v>N/A</v>
      </c>
      <c r="E71" t="str">
        <f>IF(ISBLANK(General2022[[#This Row],[number_of_committee_board_members]]),"N/A",VLOOKUP(A71,General2022!B:M,10,FALSE))</f>
        <v>N/A</v>
      </c>
      <c r="F71" t="str">
        <f>IFERROR(Data2022[[#This Row],[Number of members]]-Data2022[[#This Row],[Number of active members]], "N/A")</f>
        <v>N/A</v>
      </c>
      <c r="G71" t="str">
        <f>IFERROR(Data2022[[#This Row],[Number of active members]]/Data2022[[#This Row],[Number of members]], "N/A")</f>
        <v>N/A</v>
      </c>
      <c r="H71" t="str">
        <f>IFERROR(1-Data2022[[#This Row],[Percentage active members]],"N/A")</f>
        <v>N/A</v>
      </c>
      <c r="I71" t="str">
        <f>IF(Data2022[[#This Row],[Number of members]]=0,"N/A",IF(Data2022[[#This Row],[Number of members]]&lt;50," A. 1 - 50 ",IF(Data2022[[#This Row],[Number of members]]&lt;100, "B. 50 - 100", IF(Data2022[[#This Row],[Number of members]]&lt;400, "C. 100 - 400", IF(Data2022[[#This Row],[Number of members]]&lt;1000,"D. 400 - 1000", "E. 1000 +")))))</f>
        <v>E. 1000 +</v>
      </c>
      <c r="J71" t="str">
        <f>IF(ISBLANK(General2022[[#This Row],[number_of_international_members_not_eea]]),"N/A",VLOOKUP(A71,General2022[[organisation_name]:[number_of_international_committee_board_members_not_eea]],9,FALSE))</f>
        <v>N/A</v>
      </c>
      <c r="K71" t="str">
        <f>IF(ISBLANK(General2022[[#This Row],[number_of_international_members_eea]]),"N/A",VLOOKUP(A71,General2022[[organisation_name]:[number_of_international_committee_board_members_not_eea]],8,FALSE))</f>
        <v>N/A</v>
      </c>
      <c r="L71" t="str">
        <f>IFERROR(IF(Data2022[[#This Row],[Number of members]]-Data2022[[#This Row],[Non-EEA Total]]-Data2022[[#This Row],[EEA total]]&lt;1,"N/A", Data2022[[#This Row],[Number of members]]-Data2022[[#This Row],[Non-EEA Total]]-Data2022[[#This Row],[EEA total]]),"N/A")</f>
        <v>N/A</v>
      </c>
      <c r="M71">
        <f>VLOOKUP(A71,General2022[[organisation_name]:[number_of_international_committee_board_members_not_eea]],12,FALSE)</f>
        <v>0</v>
      </c>
      <c r="N71">
        <f>VLOOKUP(A71,General2022[[organisation_name]:[number_of_international_committee_board_members_not_eea]],11,FALSE)</f>
        <v>0</v>
      </c>
      <c r="O71" t="str">
        <f>IFERROR(IF(Data2022[[#This Row],[Number of active members]]-Data2022[[#This Row],[Non-EEA Active ]]-Data2022[[#This Row],[EEA Active]]&lt;1,"N/A", Data2022[[#This Row],[Number of active members]]-Data2022[[#This Row],[Non-EEA Active ]]-Data2022[[#This Row],[EEA Active]]),"N/A")</f>
        <v>N/A</v>
      </c>
      <c r="P71" t="str">
        <f>IFERROR(Data2022[[#This Row],[Non-EEA Active ]]/Data2022[[#This Row],[Number of active members]],"N/A")</f>
        <v>N/A</v>
      </c>
      <c r="Q71" t="str">
        <f>IFERROR(Data2022[[#This Row],[EEA Active]]/Data2022[[#This Row],[EEA total]], "N/A")</f>
        <v>N/A</v>
      </c>
      <c r="R71" t="str">
        <f>IFERROR(Data2022[[#This Row],[Dutch Active]]/Data2022[[#This Row],[Dutch total]],"N/A")</f>
        <v>N/A</v>
      </c>
      <c r="S71" t="str">
        <f>IFERROR(IF(Data2022[[#This Row],[Number of members]]=Data2022[[#This Row],[Non-EEA Total]]+Data2022[[#This Row],[EEA total]]+Data2022[[#This Row],[Dutch total]],"T","F"),"F")</f>
        <v>F</v>
      </c>
      <c r="T71" t="str">
        <f>IFERROR(IF(Data2022[[#This Row],[Number of active members]]=Data2022[[#This Row],[Non-EEA Active ]]+Data2022[[#This Row],[EEA Active]]+Data2022[[#This Row],[Dutch Active]],"T","F"),"F")</f>
        <v>F</v>
      </c>
      <c r="U71" t="str">
        <f>IFERROR(IF(Data2022[[#This Row],[Number of members]]-Data2022[[#This Row],[Non-EEA Active ]]-Data2022[[#This Row],[EEA Active]]-Data2022[[#This Row],[Dutch Active]]=Data2022[[#This Row],[Number of  inactive members]],"T","F"),"F")</f>
        <v>F</v>
      </c>
      <c r="V71" t="str">
        <f>IF(Data2022[[#This Row],[EEA Active]]&lt;=Data2022[[#This Row],[EEA total]],"T","F")</f>
        <v>T</v>
      </c>
      <c r="W71" t="str">
        <f>IF(Data2022[[#This Row],[Dutch Active]]&lt;=Data2022[[#This Row],[Dutch total]],"T","F")</f>
        <v>T</v>
      </c>
      <c r="X71" t="str">
        <f>IF(Data2022[[#This Row],[Non-EEA Active ]]&lt;=Data2022[[#This Row],[Non-EEA Total]],"T","F")</f>
        <v>T</v>
      </c>
      <c r="Y7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1" t="str">
        <f>IFERROR(VLOOKUP(Data2022[[#This Row],[organisation_name]],'Division Study Year Committees'!$A$1:$L$108,2,FALSE),"N/A")</f>
        <v>N/A</v>
      </c>
      <c r="AA71" t="str">
        <f>IFERROR(VLOOKUP(Data2022[[#This Row],[organisation_name]],'Division Study Year Committees'!$A$1:$L$108,3,FALSE),"N/A")</f>
        <v>N/A</v>
      </c>
      <c r="AB71" t="str">
        <f>IFERROR(VLOOKUP(Data2022[[#This Row],[organisation_name]],'Division Study Year Committees'!$A$1:$L$108,4,FALSE),"N/A")</f>
        <v>N/A</v>
      </c>
      <c r="AC71" t="str">
        <f>IFERROR(VLOOKUP(Data2022[[#This Row],[organisation_name]],'Division Study Year Committees'!$A$1:$L$108,5,FALSE), "N/A")</f>
        <v>N/A</v>
      </c>
      <c r="AD71" t="str">
        <f>IFERROR(VLOOKUP(Data2022[[#This Row],[organisation_name]],'Division Study Year Committees'!$A$1:$L$108,6,FALSE), "N/A")</f>
        <v>N/A</v>
      </c>
      <c r="AE71">
        <f>SUM(Data2022[[#This Row],[Number of first year comittee members]:[Number of 4+ year comittee members]])</f>
        <v>0</v>
      </c>
      <c r="AF71">
        <f>COUNTIF('Committee2022'!D:D,Data2022[[#This Row],[organisation_name]])</f>
        <v>0</v>
      </c>
      <c r="AG71">
        <v>2022</v>
      </c>
    </row>
    <row r="72" spans="1:33" x14ac:dyDescent="0.3">
      <c r="A72" t="str">
        <f>General2022[[#This Row],[organisation_name]]</f>
        <v>Proto</v>
      </c>
      <c r="B72" t="str">
        <f>IF(General2022[[#This Row],[sector]]= "",VLOOKUP(Data2022[[#This Row],[organisation_name]],'Response Rate sheet'!A:D,3,FALSE),General2022[[#This Row],[sector]])</f>
        <v>Study</v>
      </c>
      <c r="C72" t="str">
        <f>General2022[[#This Row],[organisation_type]]</f>
        <v>association</v>
      </c>
      <c r="D72">
        <f>IF(ISBLANK(General2022[[#This Row],[number_of_members]]),"N/A",VLOOKUP(A72,General2022[[organisation_name]:[number_of_international_committee_board_members_not_eea]],6,FALSE))</f>
        <v>932</v>
      </c>
      <c r="E72">
        <f>IF(ISBLANK(General2022[[#This Row],[number_of_committee_board_members]]),"N/A",VLOOKUP(A72,General2022!B:M,10,FALSE))</f>
        <v>0</v>
      </c>
      <c r="F72">
        <f>IFERROR(Data2022[[#This Row],[Number of members]]-Data2022[[#This Row],[Number of active members]], "N/A")</f>
        <v>932</v>
      </c>
      <c r="G72">
        <f>IFERROR(Data2022[[#This Row],[Number of active members]]/Data2022[[#This Row],[Number of members]], "N/A")</f>
        <v>0</v>
      </c>
      <c r="H72">
        <f>IFERROR(1-Data2022[[#This Row],[Percentage active members]],"N/A")</f>
        <v>1</v>
      </c>
      <c r="I72" t="str">
        <f>IF(Data2022[[#This Row],[Number of members]]=0,"N/A",IF(Data2022[[#This Row],[Number of members]]&lt;50," A. 1 - 50 ",IF(Data2022[[#This Row],[Number of members]]&lt;100, "B. 50 - 100", IF(Data2022[[#This Row],[Number of members]]&lt;400, "C. 100 - 400", IF(Data2022[[#This Row],[Number of members]]&lt;1000,"D. 400 - 1000", "E. 1000 +")))))</f>
        <v>D. 400 - 1000</v>
      </c>
      <c r="J72">
        <f>IF(ISBLANK(General2022[[#This Row],[number_of_international_members_not_eea]]),"N/A",VLOOKUP(A72,General2022[[organisation_name]:[number_of_international_committee_board_members_not_eea]],9,FALSE))</f>
        <v>122</v>
      </c>
      <c r="K72" t="str">
        <f>IF(ISBLANK(General2022[[#This Row],[number_of_international_members_eea]]),"N/A",VLOOKUP(A72,General2022[[organisation_name]:[number_of_international_committee_board_members_not_eea]],8,FALSE))</f>
        <v>N/A</v>
      </c>
      <c r="L72" t="str">
        <f>IFERROR(IF(Data2022[[#This Row],[Number of members]]-Data2022[[#This Row],[Non-EEA Total]]-Data2022[[#This Row],[EEA total]]&lt;1,"N/A", Data2022[[#This Row],[Number of members]]-Data2022[[#This Row],[Non-EEA Total]]-Data2022[[#This Row],[EEA total]]),"N/A")</f>
        <v>N/A</v>
      </c>
      <c r="M72">
        <f>VLOOKUP(A72,General2022[[organisation_name]:[number_of_international_committee_board_members_not_eea]],12,FALSE)</f>
        <v>0</v>
      </c>
      <c r="N72">
        <f>VLOOKUP(A72,General2022[[organisation_name]:[number_of_international_committee_board_members_not_eea]],11,FALSE)</f>
        <v>0</v>
      </c>
      <c r="O72" t="str">
        <f>IFERROR(IF(Data2022[[#This Row],[Number of active members]]-Data2022[[#This Row],[Non-EEA Active ]]-Data2022[[#This Row],[EEA Active]]&lt;1,"N/A", Data2022[[#This Row],[Number of active members]]-Data2022[[#This Row],[Non-EEA Active ]]-Data2022[[#This Row],[EEA Active]]),"N/A")</f>
        <v>N/A</v>
      </c>
      <c r="P72" t="str">
        <f>IFERROR(Data2022[[#This Row],[Non-EEA Active ]]/Data2022[[#This Row],[Number of active members]],"N/A")</f>
        <v>N/A</v>
      </c>
      <c r="Q72" t="str">
        <f>IFERROR(Data2022[[#This Row],[EEA Active]]/Data2022[[#This Row],[EEA total]], "N/A")</f>
        <v>N/A</v>
      </c>
      <c r="R72" t="str">
        <f>IFERROR(Data2022[[#This Row],[Dutch Active]]/Data2022[[#This Row],[Dutch total]],"N/A")</f>
        <v>N/A</v>
      </c>
      <c r="S72" t="str">
        <f>IFERROR(IF(Data2022[[#This Row],[Number of members]]=Data2022[[#This Row],[Non-EEA Total]]+Data2022[[#This Row],[EEA total]]+Data2022[[#This Row],[Dutch total]],"T","F"),"F")</f>
        <v>F</v>
      </c>
      <c r="T72" t="str">
        <f>IFERROR(IF(Data2022[[#This Row],[Number of active members]]=Data2022[[#This Row],[Non-EEA Active ]]+Data2022[[#This Row],[EEA Active]]+Data2022[[#This Row],[Dutch Active]],"T","F"),"F")</f>
        <v>F</v>
      </c>
      <c r="U72" t="str">
        <f>IFERROR(IF(Data2022[[#This Row],[Number of members]]-Data2022[[#This Row],[Non-EEA Active ]]-Data2022[[#This Row],[EEA Active]]-Data2022[[#This Row],[Dutch Active]]=Data2022[[#This Row],[Number of  inactive members]],"T","F"),"F")</f>
        <v>F</v>
      </c>
      <c r="V72" t="str">
        <f>IF(Data2022[[#This Row],[EEA Active]]&lt;=Data2022[[#This Row],[EEA total]],"T","F")</f>
        <v>T</v>
      </c>
      <c r="W72" t="str">
        <f>IF(Data2022[[#This Row],[Dutch Active]]&lt;=Data2022[[#This Row],[Dutch total]],"T","F")</f>
        <v>T</v>
      </c>
      <c r="X72" t="str">
        <f>IF(Data2022[[#This Row],[Non-EEA Active ]]&lt;=Data2022[[#This Row],[Non-EEA Total]],"T","F")</f>
        <v>T</v>
      </c>
      <c r="Y7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2">
        <f>IFERROR(VLOOKUP(Data2022[[#This Row],[organisation_name]],'Division Study Year Committees'!$A$1:$L$108,2,FALSE),"N/A")</f>
        <v>16</v>
      </c>
      <c r="AA72">
        <f>IFERROR(VLOOKUP(Data2022[[#This Row],[organisation_name]],'Division Study Year Committees'!$A$1:$L$108,3,FALSE),"N/A")</f>
        <v>62</v>
      </c>
      <c r="AB72">
        <f>IFERROR(VLOOKUP(Data2022[[#This Row],[organisation_name]],'Division Study Year Committees'!$A$1:$L$108,4,FALSE),"N/A")</f>
        <v>67</v>
      </c>
      <c r="AC72">
        <f>IFERROR(VLOOKUP(Data2022[[#This Row],[organisation_name]],'Division Study Year Committees'!$A$1:$L$108,5,FALSE), "N/A")</f>
        <v>47</v>
      </c>
      <c r="AD72">
        <f>IFERROR(VLOOKUP(Data2022[[#This Row],[organisation_name]],'Division Study Year Committees'!$A$1:$L$108,6,FALSE), "N/A")</f>
        <v>45</v>
      </c>
      <c r="AE72">
        <f>SUM(Data2022[[#This Row],[Number of first year comittee members]:[Number of 4+ year comittee members]])</f>
        <v>237</v>
      </c>
      <c r="AF72">
        <f>COUNTIF('Committee2022'!D:D,Data2022[[#This Row],[organisation_name]])</f>
        <v>36</v>
      </c>
      <c r="AG72">
        <v>2022</v>
      </c>
    </row>
    <row r="73" spans="1:33" x14ac:dyDescent="0.3">
      <c r="A73" t="str">
        <f>General2022[[#This Row],[organisation_name]]</f>
        <v>Scintilla</v>
      </c>
      <c r="B73" t="str">
        <f>IF(General2022[[#This Row],[sector]]= "",VLOOKUP(Data2022[[#This Row],[organisation_name]],'Response Rate sheet'!A:D,3,FALSE),General2022[[#This Row],[sector]])</f>
        <v>Study</v>
      </c>
      <c r="C73" t="str">
        <f>General2022[[#This Row],[organisation_type]]</f>
        <v>association</v>
      </c>
      <c r="D73">
        <f>IF(ISBLANK(General2022[[#This Row],[number_of_members]]),"N/A",VLOOKUP(A73,General2022[[organisation_name]:[number_of_international_committee_board_members_not_eea]],6,FALSE))</f>
        <v>675</v>
      </c>
      <c r="E73">
        <f>IF(ISBLANK(General2022[[#This Row],[number_of_committee_board_members]]),"N/A",VLOOKUP(A73,General2022!B:M,10,FALSE))</f>
        <v>50</v>
      </c>
      <c r="F73">
        <f>IFERROR(Data2022[[#This Row],[Number of members]]-Data2022[[#This Row],[Number of active members]], "N/A")</f>
        <v>625</v>
      </c>
      <c r="G73">
        <f>IFERROR(Data2022[[#This Row],[Number of active members]]/Data2022[[#This Row],[Number of members]], "N/A")</f>
        <v>7.407407407407407E-2</v>
      </c>
      <c r="H73">
        <f>IFERROR(1-Data2022[[#This Row],[Percentage active members]],"N/A")</f>
        <v>0.92592592592592593</v>
      </c>
      <c r="I73" t="str">
        <f>IF(Data2022[[#This Row],[Number of members]]=0,"N/A",IF(Data2022[[#This Row],[Number of members]]&lt;50," A. 1 - 50 ",IF(Data2022[[#This Row],[Number of members]]&lt;100, "B. 50 - 100", IF(Data2022[[#This Row],[Number of members]]&lt;400, "C. 100 - 400", IF(Data2022[[#This Row],[Number of members]]&lt;1000,"D. 400 - 1000", "E. 1000 +")))))</f>
        <v>D. 400 - 1000</v>
      </c>
      <c r="J73">
        <f>IF(ISBLANK(General2022[[#This Row],[number_of_international_members_not_eea]]),"N/A",VLOOKUP(A73,General2022[[organisation_name]:[number_of_international_committee_board_members_not_eea]],9,FALSE))</f>
        <v>145</v>
      </c>
      <c r="K73">
        <f>IF(ISBLANK(General2022[[#This Row],[number_of_international_members_eea]]),"N/A",VLOOKUP(A73,General2022[[organisation_name]:[number_of_international_committee_board_members_not_eea]],8,FALSE))</f>
        <v>150</v>
      </c>
      <c r="L73">
        <f>IFERROR(IF(Data2022[[#This Row],[Number of members]]-Data2022[[#This Row],[Non-EEA Total]]-Data2022[[#This Row],[EEA total]]&lt;1,"N/A", Data2022[[#This Row],[Number of members]]-Data2022[[#This Row],[Non-EEA Total]]-Data2022[[#This Row],[EEA total]]),"N/A")</f>
        <v>380</v>
      </c>
      <c r="M73">
        <f>VLOOKUP(A73,General2022[[organisation_name]:[number_of_international_committee_board_members_not_eea]],12,FALSE)</f>
        <v>5</v>
      </c>
      <c r="N73">
        <f>VLOOKUP(A73,General2022[[organisation_name]:[number_of_international_committee_board_members_not_eea]],11,FALSE)</f>
        <v>5</v>
      </c>
      <c r="O73">
        <f>IFERROR(IF(Data2022[[#This Row],[Number of active members]]-Data2022[[#This Row],[Non-EEA Active ]]-Data2022[[#This Row],[EEA Active]]&lt;1,"N/A", Data2022[[#This Row],[Number of active members]]-Data2022[[#This Row],[Non-EEA Active ]]-Data2022[[#This Row],[EEA Active]]),"N/A")</f>
        <v>40</v>
      </c>
      <c r="P73">
        <f>IFERROR(Data2022[[#This Row],[Non-EEA Active ]]/Data2022[[#This Row],[Number of active members]],"N/A")</f>
        <v>0.1</v>
      </c>
      <c r="Q73">
        <f>IFERROR(Data2022[[#This Row],[EEA Active]]/Data2022[[#This Row],[EEA total]], "N/A")</f>
        <v>3.3333333333333333E-2</v>
      </c>
      <c r="R73">
        <f>IFERROR(Data2022[[#This Row],[Dutch Active]]/Data2022[[#This Row],[Dutch total]],"N/A")</f>
        <v>0.10526315789473684</v>
      </c>
      <c r="S73" t="str">
        <f>IFERROR(IF(Data2022[[#This Row],[Number of members]]=Data2022[[#This Row],[Non-EEA Total]]+Data2022[[#This Row],[EEA total]]+Data2022[[#This Row],[Dutch total]],"T","F"),"F")</f>
        <v>T</v>
      </c>
      <c r="T73" t="str">
        <f>IFERROR(IF(Data2022[[#This Row],[Number of active members]]=Data2022[[#This Row],[Non-EEA Active ]]+Data2022[[#This Row],[EEA Active]]+Data2022[[#This Row],[Dutch Active]],"T","F"),"F")</f>
        <v>T</v>
      </c>
      <c r="U73" t="str">
        <f>IFERROR(IF(Data2022[[#This Row],[Number of members]]-Data2022[[#This Row],[Non-EEA Active ]]-Data2022[[#This Row],[EEA Active]]-Data2022[[#This Row],[Dutch Active]]=Data2022[[#This Row],[Number of  inactive members]],"T","F"),"F")</f>
        <v>T</v>
      </c>
      <c r="V73" t="str">
        <f>IF(Data2022[[#This Row],[EEA Active]]&lt;=Data2022[[#This Row],[EEA total]],"T","F")</f>
        <v>T</v>
      </c>
      <c r="W73" t="str">
        <f>IF(Data2022[[#This Row],[Dutch Active]]&lt;=Data2022[[#This Row],[Dutch total]],"T","F")</f>
        <v>T</v>
      </c>
      <c r="X73" t="str">
        <f>IF(Data2022[[#This Row],[Non-EEA Active ]]&lt;=Data2022[[#This Row],[Non-EEA Total]],"T","F")</f>
        <v>T</v>
      </c>
      <c r="Y73"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73">
        <f>IFERROR(VLOOKUP(Data2022[[#This Row],[organisation_name]],'Division Study Year Committees'!$A$1:$L$108,2,FALSE),"N/A")</f>
        <v>14</v>
      </c>
      <c r="AA73">
        <f>IFERROR(VLOOKUP(Data2022[[#This Row],[organisation_name]],'Division Study Year Committees'!$A$1:$L$108,3,FALSE),"N/A")</f>
        <v>14</v>
      </c>
      <c r="AB73">
        <f>IFERROR(VLOOKUP(Data2022[[#This Row],[organisation_name]],'Division Study Year Committees'!$A$1:$L$108,4,FALSE),"N/A")</f>
        <v>63</v>
      </c>
      <c r="AC73">
        <f>IFERROR(VLOOKUP(Data2022[[#This Row],[organisation_name]],'Division Study Year Committees'!$A$1:$L$108,5,FALSE), "N/A")</f>
        <v>63</v>
      </c>
      <c r="AD73">
        <f>IFERROR(VLOOKUP(Data2022[[#This Row],[organisation_name]],'Division Study Year Committees'!$A$1:$L$108,6,FALSE), "N/A")</f>
        <v>60</v>
      </c>
      <c r="AE73">
        <f>SUM(Data2022[[#This Row],[Number of first year comittee members]:[Number of 4+ year comittee members]])</f>
        <v>214</v>
      </c>
      <c r="AF73">
        <f>COUNTIF('Committee2022'!D:D,Data2022[[#This Row],[organisation_name]])</f>
        <v>27</v>
      </c>
      <c r="AG73">
        <v>2022</v>
      </c>
    </row>
    <row r="74" spans="1:33" x14ac:dyDescent="0.3">
      <c r="A74" t="str">
        <f>General2022[[#This Row],[organisation_name]]</f>
        <v>Sirius</v>
      </c>
      <c r="B74" t="str">
        <f>IF(General2022[[#This Row],[sector]]= "",VLOOKUP(Data2022[[#This Row],[organisation_name]],'Response Rate sheet'!A:D,3,FALSE),General2022[[#This Row],[sector]])</f>
        <v>Study</v>
      </c>
      <c r="C74" t="str">
        <f>General2022[[#This Row],[organisation_type]]</f>
        <v>association</v>
      </c>
      <c r="D74">
        <f>IF(ISBLANK(General2022[[#This Row],[number_of_members]]),"N/A",VLOOKUP(A74,General2022[[organisation_name]:[number_of_international_committee_board_members_not_eea]],6,FALSE))</f>
        <v>770</v>
      </c>
      <c r="E74">
        <f>IF(ISBLANK(General2022[[#This Row],[number_of_committee_board_members]]),"N/A",VLOOKUP(A74,General2022!B:M,10,FALSE))</f>
        <v>200</v>
      </c>
      <c r="F74">
        <f>IFERROR(Data2022[[#This Row],[Number of members]]-Data2022[[#This Row],[Number of active members]], "N/A")</f>
        <v>570</v>
      </c>
      <c r="G74">
        <f>IFERROR(Data2022[[#This Row],[Number of active members]]/Data2022[[#This Row],[Number of members]], "N/A")</f>
        <v>0.25974025974025972</v>
      </c>
      <c r="H74">
        <f>IFERROR(1-Data2022[[#This Row],[Percentage active members]],"N/A")</f>
        <v>0.74025974025974028</v>
      </c>
      <c r="I74" t="str">
        <f>IF(Data2022[[#This Row],[Number of members]]=0,"N/A",IF(Data2022[[#This Row],[Number of members]]&lt;50," A. 1 - 50 ",IF(Data2022[[#This Row],[Number of members]]&lt;100, "B. 50 - 100", IF(Data2022[[#This Row],[Number of members]]&lt;400, "C. 100 - 400", IF(Data2022[[#This Row],[Number of members]]&lt;1000,"D. 400 - 1000", "E. 1000 +")))))</f>
        <v>D. 400 - 1000</v>
      </c>
      <c r="J74">
        <f>IF(ISBLANK(General2022[[#This Row],[number_of_international_members_not_eea]]),"N/A",VLOOKUP(A74,General2022[[organisation_name]:[number_of_international_committee_board_members_not_eea]],9,FALSE))</f>
        <v>94</v>
      </c>
      <c r="K74">
        <f>IF(ISBLANK(General2022[[#This Row],[number_of_international_members_eea]]),"N/A",VLOOKUP(A74,General2022[[organisation_name]:[number_of_international_committee_board_members_not_eea]],8,FALSE))</f>
        <v>10</v>
      </c>
      <c r="L74">
        <f>IFERROR(IF(Data2022[[#This Row],[Number of members]]-Data2022[[#This Row],[Non-EEA Total]]-Data2022[[#This Row],[EEA total]]&lt;1,"N/A", Data2022[[#This Row],[Number of members]]-Data2022[[#This Row],[Non-EEA Total]]-Data2022[[#This Row],[EEA total]]),"N/A")</f>
        <v>666</v>
      </c>
      <c r="M74">
        <f>VLOOKUP(A74,General2022[[organisation_name]:[number_of_international_committee_board_members_not_eea]],12,FALSE)</f>
        <v>0</v>
      </c>
      <c r="N74">
        <f>VLOOKUP(A74,General2022[[organisation_name]:[number_of_international_committee_board_members_not_eea]],11,FALSE)</f>
        <v>10</v>
      </c>
      <c r="O74">
        <f>IFERROR(IF(Data2022[[#This Row],[Number of active members]]-Data2022[[#This Row],[Non-EEA Active ]]-Data2022[[#This Row],[EEA Active]]&lt;1,"N/A", Data2022[[#This Row],[Number of active members]]-Data2022[[#This Row],[Non-EEA Active ]]-Data2022[[#This Row],[EEA Active]]),"N/A")</f>
        <v>190</v>
      </c>
      <c r="P74">
        <f>IFERROR(Data2022[[#This Row],[Non-EEA Active ]]/Data2022[[#This Row],[Number of active members]],"N/A")</f>
        <v>0</v>
      </c>
      <c r="Q74">
        <f>IFERROR(Data2022[[#This Row],[EEA Active]]/Data2022[[#This Row],[EEA total]], "N/A")</f>
        <v>1</v>
      </c>
      <c r="R74">
        <f>IFERROR(Data2022[[#This Row],[Dutch Active]]/Data2022[[#This Row],[Dutch total]],"N/A")</f>
        <v>0.28528528528528529</v>
      </c>
      <c r="S74" t="str">
        <f>IFERROR(IF(Data2022[[#This Row],[Number of members]]=Data2022[[#This Row],[Non-EEA Total]]+Data2022[[#This Row],[EEA total]]+Data2022[[#This Row],[Dutch total]],"T","F"),"F")</f>
        <v>T</v>
      </c>
      <c r="T74" t="str">
        <f>IFERROR(IF(Data2022[[#This Row],[Number of active members]]=Data2022[[#This Row],[Non-EEA Active ]]+Data2022[[#This Row],[EEA Active]]+Data2022[[#This Row],[Dutch Active]],"T","F"),"F")</f>
        <v>T</v>
      </c>
      <c r="U74" t="str">
        <f>IFERROR(IF(Data2022[[#This Row],[Number of members]]-Data2022[[#This Row],[Non-EEA Active ]]-Data2022[[#This Row],[EEA Active]]-Data2022[[#This Row],[Dutch Active]]=Data2022[[#This Row],[Number of  inactive members]],"T","F"),"F")</f>
        <v>T</v>
      </c>
      <c r="V74" t="str">
        <f>IF(Data2022[[#This Row],[EEA Active]]&lt;=Data2022[[#This Row],[EEA total]],"T","F")</f>
        <v>T</v>
      </c>
      <c r="W74" t="str">
        <f>IF(Data2022[[#This Row],[Dutch Active]]&lt;=Data2022[[#This Row],[Dutch total]],"T","F")</f>
        <v>T</v>
      </c>
      <c r="X74" t="str">
        <f>IF(Data2022[[#This Row],[Non-EEA Active ]]&lt;=Data2022[[#This Row],[Non-EEA Total]],"T","F")</f>
        <v>T</v>
      </c>
      <c r="Y74"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74">
        <f>IFERROR(VLOOKUP(Data2022[[#This Row],[organisation_name]],'Division Study Year Committees'!$A$1:$L$108,2,FALSE),"N/A")</f>
        <v>29</v>
      </c>
      <c r="AA74">
        <f>IFERROR(VLOOKUP(Data2022[[#This Row],[organisation_name]],'Division Study Year Committees'!$A$1:$L$108,3,FALSE),"N/A")</f>
        <v>53</v>
      </c>
      <c r="AB74">
        <f>IFERROR(VLOOKUP(Data2022[[#This Row],[organisation_name]],'Division Study Year Committees'!$A$1:$L$108,4,FALSE),"N/A")</f>
        <v>12</v>
      </c>
      <c r="AC74">
        <f>IFERROR(VLOOKUP(Data2022[[#This Row],[organisation_name]],'Division Study Year Committees'!$A$1:$L$108,5,FALSE), "N/A")</f>
        <v>15</v>
      </c>
      <c r="AD74">
        <f>IFERROR(VLOOKUP(Data2022[[#This Row],[organisation_name]],'Division Study Year Committees'!$A$1:$L$108,6,FALSE), "N/A")</f>
        <v>0</v>
      </c>
      <c r="AE74">
        <f>SUM(Data2022[[#This Row],[Number of first year comittee members]:[Number of 4+ year comittee members]])</f>
        <v>109</v>
      </c>
      <c r="AF74">
        <f>COUNTIF('Committee2022'!D:D,Data2022[[#This Row],[organisation_name]])</f>
        <v>0</v>
      </c>
      <c r="AG74">
        <v>2022</v>
      </c>
    </row>
    <row r="75" spans="1:33" x14ac:dyDescent="0.3">
      <c r="A75" t="str">
        <f>General2022[[#This Row],[organisation_name]]</f>
        <v>Stress</v>
      </c>
      <c r="B75" t="str">
        <f>IF(General2022[[#This Row],[sector]]= "",VLOOKUP(Data2022[[#This Row],[organisation_name]],'Response Rate sheet'!A:D,3,FALSE),General2022[[#This Row],[sector]])</f>
        <v>Study</v>
      </c>
      <c r="C75" t="str">
        <f>General2022[[#This Row],[organisation_type]]</f>
        <v>association</v>
      </c>
      <c r="D75">
        <f>IF(ISBLANK(General2022[[#This Row],[number_of_members]]),"N/A",VLOOKUP(A75,General2022[[organisation_name]:[number_of_international_committee_board_members_not_eea]],6,FALSE))</f>
        <v>1923</v>
      </c>
      <c r="E75">
        <f>IF(ISBLANK(General2022[[#This Row],[number_of_committee_board_members]]),"N/A",VLOOKUP(A75,General2022!B:M,10,FALSE))</f>
        <v>200</v>
      </c>
      <c r="F75">
        <f>IFERROR(Data2022[[#This Row],[Number of members]]-Data2022[[#This Row],[Number of active members]], "N/A")</f>
        <v>1723</v>
      </c>
      <c r="G75">
        <f>IFERROR(Data2022[[#This Row],[Number of active members]]/Data2022[[#This Row],[Number of members]], "N/A")</f>
        <v>0.10400416016640665</v>
      </c>
      <c r="H75">
        <f>IFERROR(1-Data2022[[#This Row],[Percentage active members]],"N/A")</f>
        <v>0.89599583983359332</v>
      </c>
      <c r="I75" t="str">
        <f>IF(Data2022[[#This Row],[Number of members]]=0,"N/A",IF(Data2022[[#This Row],[Number of members]]&lt;50," A. 1 - 50 ",IF(Data2022[[#This Row],[Number of members]]&lt;100, "B. 50 - 100", IF(Data2022[[#This Row],[Number of members]]&lt;400, "C. 100 - 400", IF(Data2022[[#This Row],[Number of members]]&lt;1000,"D. 400 - 1000", "E. 1000 +")))))</f>
        <v>E. 1000 +</v>
      </c>
      <c r="J75">
        <f>IF(ISBLANK(General2022[[#This Row],[number_of_international_members_not_eea]]),"N/A",VLOOKUP(A75,General2022[[organisation_name]:[number_of_international_committee_board_members_not_eea]],9,FALSE))</f>
        <v>155</v>
      </c>
      <c r="K75">
        <f>IF(ISBLANK(General2022[[#This Row],[number_of_international_members_eea]]),"N/A",VLOOKUP(A75,General2022[[organisation_name]:[number_of_international_committee_board_members_not_eea]],8,FALSE))</f>
        <v>100</v>
      </c>
      <c r="L75">
        <f>IFERROR(IF(Data2022[[#This Row],[Number of members]]-Data2022[[#This Row],[Non-EEA Total]]-Data2022[[#This Row],[EEA total]]&lt;1,"N/A", Data2022[[#This Row],[Number of members]]-Data2022[[#This Row],[Non-EEA Total]]-Data2022[[#This Row],[EEA total]]),"N/A")</f>
        <v>1668</v>
      </c>
      <c r="M75">
        <f>VLOOKUP(A75,General2022[[organisation_name]:[number_of_international_committee_board_members_not_eea]],12,FALSE)</f>
        <v>12</v>
      </c>
      <c r="N75">
        <f>VLOOKUP(A75,General2022[[organisation_name]:[number_of_international_committee_board_members_not_eea]],11,FALSE)</f>
        <v>30</v>
      </c>
      <c r="O75">
        <f>IFERROR(IF(Data2022[[#This Row],[Number of active members]]-Data2022[[#This Row],[Non-EEA Active ]]-Data2022[[#This Row],[EEA Active]]&lt;1,"N/A", Data2022[[#This Row],[Number of active members]]-Data2022[[#This Row],[Non-EEA Active ]]-Data2022[[#This Row],[EEA Active]]),"N/A")</f>
        <v>158</v>
      </c>
      <c r="P75">
        <f>IFERROR(Data2022[[#This Row],[Non-EEA Active ]]/Data2022[[#This Row],[Number of active members]],"N/A")</f>
        <v>0.06</v>
      </c>
      <c r="Q75">
        <f>IFERROR(Data2022[[#This Row],[EEA Active]]/Data2022[[#This Row],[EEA total]], "N/A")</f>
        <v>0.3</v>
      </c>
      <c r="R75">
        <f>IFERROR(Data2022[[#This Row],[Dutch Active]]/Data2022[[#This Row],[Dutch total]],"N/A")</f>
        <v>9.4724220623501193E-2</v>
      </c>
      <c r="S75" t="str">
        <f>IFERROR(IF(Data2022[[#This Row],[Number of members]]=Data2022[[#This Row],[Non-EEA Total]]+Data2022[[#This Row],[EEA total]]+Data2022[[#This Row],[Dutch total]],"T","F"),"F")</f>
        <v>T</v>
      </c>
      <c r="T75" t="str">
        <f>IFERROR(IF(Data2022[[#This Row],[Number of active members]]=Data2022[[#This Row],[Non-EEA Active ]]+Data2022[[#This Row],[EEA Active]]+Data2022[[#This Row],[Dutch Active]],"T","F"),"F")</f>
        <v>T</v>
      </c>
      <c r="U75" t="str">
        <f>IFERROR(IF(Data2022[[#This Row],[Number of members]]-Data2022[[#This Row],[Non-EEA Active ]]-Data2022[[#This Row],[EEA Active]]-Data2022[[#This Row],[Dutch Active]]=Data2022[[#This Row],[Number of  inactive members]],"T","F"),"F")</f>
        <v>T</v>
      </c>
      <c r="V75" t="str">
        <f>IF(Data2022[[#This Row],[EEA Active]]&lt;=Data2022[[#This Row],[EEA total]],"T","F")</f>
        <v>T</v>
      </c>
      <c r="W75" t="str">
        <f>IF(Data2022[[#This Row],[Dutch Active]]&lt;=Data2022[[#This Row],[Dutch total]],"T","F")</f>
        <v>T</v>
      </c>
      <c r="X75" t="str">
        <f>IF(Data2022[[#This Row],[Non-EEA Active ]]&lt;=Data2022[[#This Row],[Non-EEA Total]],"T","F")</f>
        <v>T</v>
      </c>
      <c r="Y7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75" t="str">
        <f>IFERROR(VLOOKUP(Data2022[[#This Row],[organisation_name]],'Division Study Year Committees'!$A$1:$L$108,2,FALSE),"N/A")</f>
        <v>N/A</v>
      </c>
      <c r="AA75" t="str">
        <f>IFERROR(VLOOKUP(Data2022[[#This Row],[organisation_name]],'Division Study Year Committees'!$A$1:$L$108,3,FALSE),"N/A")</f>
        <v>N/A</v>
      </c>
      <c r="AB75" t="str">
        <f>IFERROR(VLOOKUP(Data2022[[#This Row],[organisation_name]],'Division Study Year Committees'!$A$1:$L$108,4,FALSE),"N/A")</f>
        <v>N/A</v>
      </c>
      <c r="AC75" t="str">
        <f>IFERROR(VLOOKUP(Data2022[[#This Row],[organisation_name]],'Division Study Year Committees'!$A$1:$L$108,5,FALSE), "N/A")</f>
        <v>N/A</v>
      </c>
      <c r="AD75" t="str">
        <f>IFERROR(VLOOKUP(Data2022[[#This Row],[organisation_name]],'Division Study Year Committees'!$A$1:$L$108,6,FALSE), "N/A")</f>
        <v>N/A</v>
      </c>
      <c r="AE75">
        <f>SUM(Data2022[[#This Row],[Number of first year comittee members]:[Number of 4+ year comittee members]])</f>
        <v>0</v>
      </c>
      <c r="AF75">
        <f>COUNTIF('Committee2022'!D:D,Data2022[[#This Row],[organisation_name]])</f>
        <v>26</v>
      </c>
      <c r="AG75">
        <v>2022</v>
      </c>
    </row>
    <row r="76" spans="1:33" x14ac:dyDescent="0.3">
      <c r="A76" t="str">
        <f>General2022[[#This Row],[organisation_name]]</f>
        <v>SV Onwijs</v>
      </c>
      <c r="B76" t="str">
        <f>IF(General2022[[#This Row],[sector]]= "",VLOOKUP(Data2022[[#This Row],[organisation_name]],'Response Rate sheet'!A:D,3,FALSE),General2022[[#This Row],[sector]])</f>
        <v>Study</v>
      </c>
      <c r="C76" t="str">
        <f>General2022[[#This Row],[organisation_type]]</f>
        <v>association</v>
      </c>
      <c r="D76">
        <f>IF(ISBLANK(General2022[[#This Row],[number_of_members]]),"N/A",VLOOKUP(A76,General2022[[organisation_name]:[number_of_international_committee_board_members_not_eea]],6,FALSE))</f>
        <v>80</v>
      </c>
      <c r="E76">
        <f>IF(ISBLANK(General2022[[#This Row],[number_of_committee_board_members]]),"N/A",VLOOKUP(A76,General2022!B:M,10,FALSE))</f>
        <v>40</v>
      </c>
      <c r="F76">
        <f>IFERROR(Data2022[[#This Row],[Number of members]]-Data2022[[#This Row],[Number of active members]], "N/A")</f>
        <v>40</v>
      </c>
      <c r="G76">
        <f>IFERROR(Data2022[[#This Row],[Number of active members]]/Data2022[[#This Row],[Number of members]], "N/A")</f>
        <v>0.5</v>
      </c>
      <c r="H76">
        <f>IFERROR(1-Data2022[[#This Row],[Percentage active members]],"N/A")</f>
        <v>0.5</v>
      </c>
      <c r="I76" t="str">
        <f>IF(Data2022[[#This Row],[Number of members]]=0,"N/A",IF(Data2022[[#This Row],[Number of members]]&lt;50," A. 1 - 50 ",IF(Data2022[[#This Row],[Number of members]]&lt;100, "B. 50 - 100", IF(Data2022[[#This Row],[Number of members]]&lt;400, "C. 100 - 400", IF(Data2022[[#This Row],[Number of members]]&lt;1000,"D. 400 - 1000", "E. 1000 +")))))</f>
        <v>B. 50 - 100</v>
      </c>
      <c r="J76">
        <f>IF(ISBLANK(General2022[[#This Row],[number_of_international_members_not_eea]]),"N/A",VLOOKUP(A76,General2022[[organisation_name]:[number_of_international_committee_board_members_not_eea]],9,FALSE))</f>
        <v>8</v>
      </c>
      <c r="K76" t="str">
        <f>IF(ISBLANK(General2022[[#This Row],[number_of_international_members_eea]]),"N/A",VLOOKUP(A76,General2022[[organisation_name]:[number_of_international_committee_board_members_not_eea]],8,FALSE))</f>
        <v>N/A</v>
      </c>
      <c r="L76" t="str">
        <f>IFERROR(IF(Data2022[[#This Row],[Number of members]]-Data2022[[#This Row],[Non-EEA Total]]-Data2022[[#This Row],[EEA total]]&lt;1,"N/A", Data2022[[#This Row],[Number of members]]-Data2022[[#This Row],[Non-EEA Total]]-Data2022[[#This Row],[EEA total]]),"N/A")</f>
        <v>N/A</v>
      </c>
      <c r="M76">
        <f>VLOOKUP(A76,General2022[[organisation_name]:[number_of_international_committee_board_members_not_eea]],12,FALSE)</f>
        <v>0</v>
      </c>
      <c r="N76">
        <f>VLOOKUP(A76,General2022[[organisation_name]:[number_of_international_committee_board_members_not_eea]],11,FALSE)</f>
        <v>0</v>
      </c>
      <c r="O76">
        <f>IFERROR(IF(Data2022[[#This Row],[Number of active members]]-Data2022[[#This Row],[Non-EEA Active ]]-Data2022[[#This Row],[EEA Active]]&lt;1,"N/A", Data2022[[#This Row],[Number of active members]]-Data2022[[#This Row],[Non-EEA Active ]]-Data2022[[#This Row],[EEA Active]]),"N/A")</f>
        <v>40</v>
      </c>
      <c r="P76">
        <f>IFERROR(Data2022[[#This Row],[Non-EEA Active ]]/Data2022[[#This Row],[Number of active members]],"N/A")</f>
        <v>0</v>
      </c>
      <c r="Q76" t="str">
        <f>IFERROR(Data2022[[#This Row],[EEA Active]]/Data2022[[#This Row],[EEA total]], "N/A")</f>
        <v>N/A</v>
      </c>
      <c r="R76" t="str">
        <f>IFERROR(Data2022[[#This Row],[Dutch Active]]/Data2022[[#This Row],[Dutch total]],"N/A")</f>
        <v>N/A</v>
      </c>
      <c r="S76" t="str">
        <f>IFERROR(IF(Data2022[[#This Row],[Number of members]]=Data2022[[#This Row],[Non-EEA Total]]+Data2022[[#This Row],[EEA total]]+Data2022[[#This Row],[Dutch total]],"T","F"),"F")</f>
        <v>F</v>
      </c>
      <c r="T76" t="str">
        <f>IFERROR(IF(Data2022[[#This Row],[Number of active members]]=Data2022[[#This Row],[Non-EEA Active ]]+Data2022[[#This Row],[EEA Active]]+Data2022[[#This Row],[Dutch Active]],"T","F"),"F")</f>
        <v>T</v>
      </c>
      <c r="U76" t="str">
        <f>IFERROR(IF(Data2022[[#This Row],[Number of members]]-Data2022[[#This Row],[Non-EEA Active ]]-Data2022[[#This Row],[EEA Active]]-Data2022[[#This Row],[Dutch Active]]=Data2022[[#This Row],[Number of  inactive members]],"T","F"),"F")</f>
        <v>T</v>
      </c>
      <c r="V76" t="str">
        <f>IF(Data2022[[#This Row],[EEA Active]]&lt;=Data2022[[#This Row],[EEA total]],"T","F")</f>
        <v>T</v>
      </c>
      <c r="W76" t="str">
        <f>IF(Data2022[[#This Row],[Dutch Active]]&lt;=Data2022[[#This Row],[Dutch total]],"T","F")</f>
        <v>T</v>
      </c>
      <c r="X76" t="str">
        <f>IF(Data2022[[#This Row],[Non-EEA Active ]]&lt;=Data2022[[#This Row],[Non-EEA Total]],"T","F")</f>
        <v>T</v>
      </c>
      <c r="Y7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6">
        <f>IFERROR(VLOOKUP(Data2022[[#This Row],[organisation_name]],'Division Study Year Committees'!$A$1:$L$108,2,FALSE),"N/A")</f>
        <v>0</v>
      </c>
      <c r="AA76">
        <f>IFERROR(VLOOKUP(Data2022[[#This Row],[organisation_name]],'Division Study Year Committees'!$A$1:$L$108,3,FALSE),"N/A")</f>
        <v>0</v>
      </c>
      <c r="AB76">
        <f>IFERROR(VLOOKUP(Data2022[[#This Row],[organisation_name]],'Division Study Year Committees'!$A$1:$L$108,4,FALSE),"N/A")</f>
        <v>0</v>
      </c>
      <c r="AC76">
        <f>IFERROR(VLOOKUP(Data2022[[#This Row],[organisation_name]],'Division Study Year Committees'!$A$1:$L$108,5,FALSE), "N/A")</f>
        <v>3</v>
      </c>
      <c r="AD76">
        <f>IFERROR(VLOOKUP(Data2022[[#This Row],[organisation_name]],'Division Study Year Committees'!$A$1:$L$108,6,FALSE), "N/A")</f>
        <v>3</v>
      </c>
      <c r="AE76">
        <f>SUM(Data2022[[#This Row],[Number of first year comittee members]:[Number of 4+ year comittee members]])</f>
        <v>6</v>
      </c>
      <c r="AF76">
        <f>COUNTIF('Committee2022'!D:D,Data2022[[#This Row],[organisation_name]])</f>
        <v>3</v>
      </c>
      <c r="AG76">
        <v>2022</v>
      </c>
    </row>
    <row r="77" spans="1:33" x14ac:dyDescent="0.3">
      <c r="A77" t="str">
        <f>General2022[[#This Row],[organisation_name]]</f>
        <v>ITC-SAB</v>
      </c>
      <c r="B77" t="str">
        <f>IF(General2022[[#This Row],[sector]]= "",VLOOKUP(Data2022[[#This Row],[organisation_name]],'Response Rate sheet'!A:D,3,FALSE),General2022[[#This Row],[sector]])</f>
        <v>Study</v>
      </c>
      <c r="C77" t="str">
        <f>General2022[[#This Row],[organisation_type]]</f>
        <v>association</v>
      </c>
      <c r="D77" t="str">
        <f>IF(ISBLANK(General2022[[#This Row],[number_of_members]]),"N/A",VLOOKUP(A77,General2022[[organisation_name]:[number_of_international_committee_board_members_not_eea]],6,FALSE))</f>
        <v>N/A</v>
      </c>
      <c r="E77" t="str">
        <f>IF(ISBLANK(General2022[[#This Row],[number_of_committee_board_members]]),"N/A",VLOOKUP(A77,General2022!B:M,10,FALSE))</f>
        <v>N/A</v>
      </c>
      <c r="F77" t="str">
        <f>IFERROR(Data2022[[#This Row],[Number of members]]-Data2022[[#This Row],[Number of active members]], "N/A")</f>
        <v>N/A</v>
      </c>
      <c r="G77" t="str">
        <f>IFERROR(Data2022[[#This Row],[Number of active members]]/Data2022[[#This Row],[Number of members]], "N/A")</f>
        <v>N/A</v>
      </c>
      <c r="H77" t="str">
        <f>IFERROR(1-Data2022[[#This Row],[Percentage active members]],"N/A")</f>
        <v>N/A</v>
      </c>
      <c r="I77" t="str">
        <f>IF(Data2022[[#This Row],[Number of members]]=0,"N/A",IF(Data2022[[#This Row],[Number of members]]&lt;50," A. 1 - 50 ",IF(Data2022[[#This Row],[Number of members]]&lt;100, "B. 50 - 100", IF(Data2022[[#This Row],[Number of members]]&lt;400, "C. 100 - 400", IF(Data2022[[#This Row],[Number of members]]&lt;1000,"D. 400 - 1000", "E. 1000 +")))))</f>
        <v>E. 1000 +</v>
      </c>
      <c r="J77" t="str">
        <f>IF(ISBLANK(General2022[[#This Row],[number_of_international_members_not_eea]]),"N/A",VLOOKUP(A77,General2022[[organisation_name]:[number_of_international_committee_board_members_not_eea]],9,FALSE))</f>
        <v>N/A</v>
      </c>
      <c r="K77" t="str">
        <f>IF(ISBLANK(General2022[[#This Row],[number_of_international_members_eea]]),"N/A",VLOOKUP(A77,General2022[[organisation_name]:[number_of_international_committee_board_members_not_eea]],8,FALSE))</f>
        <v>N/A</v>
      </c>
      <c r="L77" t="str">
        <f>IFERROR(IF(Data2022[[#This Row],[Number of members]]-Data2022[[#This Row],[Non-EEA Total]]-Data2022[[#This Row],[EEA total]]&lt;1,"N/A", Data2022[[#This Row],[Number of members]]-Data2022[[#This Row],[Non-EEA Total]]-Data2022[[#This Row],[EEA total]]),"N/A")</f>
        <v>N/A</v>
      </c>
      <c r="M77">
        <f>VLOOKUP(A77,General2022[[organisation_name]:[number_of_international_committee_board_members_not_eea]],12,FALSE)</f>
        <v>0</v>
      </c>
      <c r="N77">
        <f>VLOOKUP(A77,General2022[[organisation_name]:[number_of_international_committee_board_members_not_eea]],11,FALSE)</f>
        <v>0</v>
      </c>
      <c r="O77" t="str">
        <f>IFERROR(IF(Data2022[[#This Row],[Number of active members]]-Data2022[[#This Row],[Non-EEA Active ]]-Data2022[[#This Row],[EEA Active]]&lt;1,"N/A", Data2022[[#This Row],[Number of active members]]-Data2022[[#This Row],[Non-EEA Active ]]-Data2022[[#This Row],[EEA Active]]),"N/A")</f>
        <v>N/A</v>
      </c>
      <c r="P77" t="str">
        <f>IFERROR(Data2022[[#This Row],[Non-EEA Active ]]/Data2022[[#This Row],[Number of active members]],"N/A")</f>
        <v>N/A</v>
      </c>
      <c r="Q77" t="str">
        <f>IFERROR(Data2022[[#This Row],[EEA Active]]/Data2022[[#This Row],[EEA total]], "N/A")</f>
        <v>N/A</v>
      </c>
      <c r="R77" t="str">
        <f>IFERROR(Data2022[[#This Row],[Dutch Active]]/Data2022[[#This Row],[Dutch total]],"N/A")</f>
        <v>N/A</v>
      </c>
      <c r="S77" t="str">
        <f>IFERROR(IF(Data2022[[#This Row],[Number of members]]=Data2022[[#This Row],[Non-EEA Total]]+Data2022[[#This Row],[EEA total]]+Data2022[[#This Row],[Dutch total]],"T","F"),"F")</f>
        <v>F</v>
      </c>
      <c r="T77" t="str">
        <f>IFERROR(IF(Data2022[[#This Row],[Number of active members]]=Data2022[[#This Row],[Non-EEA Active ]]+Data2022[[#This Row],[EEA Active]]+Data2022[[#This Row],[Dutch Active]],"T","F"),"F")</f>
        <v>F</v>
      </c>
      <c r="U77" t="str">
        <f>IFERROR(IF(Data2022[[#This Row],[Number of members]]-Data2022[[#This Row],[Non-EEA Active ]]-Data2022[[#This Row],[EEA Active]]-Data2022[[#This Row],[Dutch Active]]=Data2022[[#This Row],[Number of  inactive members]],"T","F"),"F")</f>
        <v>F</v>
      </c>
      <c r="V77" t="str">
        <f>IF(Data2022[[#This Row],[EEA Active]]&lt;=Data2022[[#This Row],[EEA total]],"T","F")</f>
        <v>T</v>
      </c>
      <c r="W77" t="str">
        <f>IF(Data2022[[#This Row],[Dutch Active]]&lt;=Data2022[[#This Row],[Dutch total]],"T","F")</f>
        <v>T</v>
      </c>
      <c r="X77" t="str">
        <f>IF(Data2022[[#This Row],[Non-EEA Active ]]&lt;=Data2022[[#This Row],[Non-EEA Total]],"T","F")</f>
        <v>T</v>
      </c>
      <c r="Y7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7" t="str">
        <f>IFERROR(VLOOKUP(Data2022[[#This Row],[organisation_name]],'Division Study Year Committees'!$A$1:$L$108,2,FALSE),"N/A")</f>
        <v>N/A</v>
      </c>
      <c r="AA77" t="str">
        <f>IFERROR(VLOOKUP(Data2022[[#This Row],[organisation_name]],'Division Study Year Committees'!$A$1:$L$108,3,FALSE),"N/A")</f>
        <v>N/A</v>
      </c>
      <c r="AB77" t="str">
        <f>IFERROR(VLOOKUP(Data2022[[#This Row],[organisation_name]],'Division Study Year Committees'!$A$1:$L$108,4,FALSE),"N/A")</f>
        <v>N/A</v>
      </c>
      <c r="AC77" t="str">
        <f>IFERROR(VLOOKUP(Data2022[[#This Row],[organisation_name]],'Division Study Year Committees'!$A$1:$L$108,5,FALSE), "N/A")</f>
        <v>N/A</v>
      </c>
      <c r="AD77" t="str">
        <f>IFERROR(VLOOKUP(Data2022[[#This Row],[organisation_name]],'Division Study Year Committees'!$A$1:$L$108,6,FALSE), "N/A")</f>
        <v>N/A</v>
      </c>
      <c r="AE77">
        <f>SUM(Data2022[[#This Row],[Number of first year comittee members]:[Number of 4+ year comittee members]])</f>
        <v>0</v>
      </c>
      <c r="AF77">
        <f>COUNTIF('Committee2022'!D:D,Data2022[[#This Row],[organisation_name]])</f>
        <v>0</v>
      </c>
      <c r="AG77">
        <v>2022</v>
      </c>
    </row>
    <row r="78" spans="1:33" x14ac:dyDescent="0.3">
      <c r="A78" t="str">
        <f>General2022[[#This Row],[organisation_name]]</f>
        <v>Honoursvereniging Ockham</v>
      </c>
      <c r="B78" t="str">
        <f>IF(General2022[[#This Row],[sector]]= "",VLOOKUP(Data2022[[#This Row],[organisation_name]],'Response Rate sheet'!A:D,3,FALSE),General2022[[#This Row],[sector]])</f>
        <v>Study</v>
      </c>
      <c r="C78" t="str">
        <f>General2022[[#This Row],[organisation_type]]</f>
        <v>association</v>
      </c>
      <c r="D78">
        <f>IF(ISBLANK(General2022[[#This Row],[number_of_members]]),"N/A",VLOOKUP(A78,General2022[[organisation_name]:[number_of_international_committee_board_members_not_eea]],6,FALSE))</f>
        <v>150</v>
      </c>
      <c r="E78">
        <f>IF(ISBLANK(General2022[[#This Row],[number_of_committee_board_members]]),"N/A",VLOOKUP(A78,General2022!B:M,10,FALSE))</f>
        <v>60</v>
      </c>
      <c r="F78">
        <f>IFERROR(Data2022[[#This Row],[Number of members]]-Data2022[[#This Row],[Number of active members]], "N/A")</f>
        <v>90</v>
      </c>
      <c r="G78">
        <f>IFERROR(Data2022[[#This Row],[Number of active members]]/Data2022[[#This Row],[Number of members]], "N/A")</f>
        <v>0.4</v>
      </c>
      <c r="H78">
        <f>IFERROR(1-Data2022[[#This Row],[Percentage active members]],"N/A")</f>
        <v>0.6</v>
      </c>
      <c r="I78" t="str">
        <f>IF(Data2022[[#This Row],[Number of members]]=0,"N/A",IF(Data2022[[#This Row],[Number of members]]&lt;50," A. 1 - 50 ",IF(Data2022[[#This Row],[Number of members]]&lt;100, "B. 50 - 100", IF(Data2022[[#This Row],[Number of members]]&lt;400, "C. 100 - 400", IF(Data2022[[#This Row],[Number of members]]&lt;1000,"D. 400 - 1000", "E. 1000 +")))))</f>
        <v>C. 100 - 400</v>
      </c>
      <c r="J78">
        <f>IF(ISBLANK(General2022[[#This Row],[number_of_international_members_not_eea]]),"N/A",VLOOKUP(A78,General2022[[organisation_name]:[number_of_international_committee_board_members_not_eea]],9,FALSE))</f>
        <v>40</v>
      </c>
      <c r="K78">
        <f>IF(ISBLANK(General2022[[#This Row],[number_of_international_members_eea]]),"N/A",VLOOKUP(A78,General2022[[organisation_name]:[number_of_international_committee_board_members_not_eea]],8,FALSE))</f>
        <v>100</v>
      </c>
      <c r="L78">
        <f>IFERROR(IF(Data2022[[#This Row],[Number of members]]-Data2022[[#This Row],[Non-EEA Total]]-Data2022[[#This Row],[EEA total]]&lt;1,"N/A", Data2022[[#This Row],[Number of members]]-Data2022[[#This Row],[Non-EEA Total]]-Data2022[[#This Row],[EEA total]]),"N/A")</f>
        <v>10</v>
      </c>
      <c r="M78">
        <f>VLOOKUP(A78,General2022[[organisation_name]:[number_of_international_committee_board_members_not_eea]],12,FALSE)</f>
        <v>4</v>
      </c>
      <c r="N78">
        <f>VLOOKUP(A78,General2022[[organisation_name]:[number_of_international_committee_board_members_not_eea]],11,FALSE)</f>
        <v>10</v>
      </c>
      <c r="O78">
        <f>IFERROR(IF(Data2022[[#This Row],[Number of active members]]-Data2022[[#This Row],[Non-EEA Active ]]-Data2022[[#This Row],[EEA Active]]&lt;1,"N/A", Data2022[[#This Row],[Number of active members]]-Data2022[[#This Row],[Non-EEA Active ]]-Data2022[[#This Row],[EEA Active]]),"N/A")</f>
        <v>46</v>
      </c>
      <c r="P78">
        <f>IFERROR(Data2022[[#This Row],[Non-EEA Active ]]/Data2022[[#This Row],[Number of active members]],"N/A")</f>
        <v>6.6666666666666666E-2</v>
      </c>
      <c r="Q78">
        <f>IFERROR(Data2022[[#This Row],[EEA Active]]/Data2022[[#This Row],[EEA total]], "N/A")</f>
        <v>0.1</v>
      </c>
      <c r="R78">
        <f>IFERROR(Data2022[[#This Row],[Dutch Active]]/Data2022[[#This Row],[Dutch total]],"N/A")</f>
        <v>4.5999999999999996</v>
      </c>
      <c r="S78" t="str">
        <f>IFERROR(IF(Data2022[[#This Row],[Number of members]]=Data2022[[#This Row],[Non-EEA Total]]+Data2022[[#This Row],[EEA total]]+Data2022[[#This Row],[Dutch total]],"T","F"),"F")</f>
        <v>T</v>
      </c>
      <c r="T78" t="str">
        <f>IFERROR(IF(Data2022[[#This Row],[Number of active members]]=Data2022[[#This Row],[Non-EEA Active ]]+Data2022[[#This Row],[EEA Active]]+Data2022[[#This Row],[Dutch Active]],"T","F"),"F")</f>
        <v>T</v>
      </c>
      <c r="U78" t="str">
        <f>IFERROR(IF(Data2022[[#This Row],[Number of members]]-Data2022[[#This Row],[Non-EEA Active ]]-Data2022[[#This Row],[EEA Active]]-Data2022[[#This Row],[Dutch Active]]=Data2022[[#This Row],[Number of  inactive members]],"T","F"),"F")</f>
        <v>T</v>
      </c>
      <c r="V78" t="str">
        <f>IF(Data2022[[#This Row],[EEA Active]]&lt;=Data2022[[#This Row],[EEA total]],"T","F")</f>
        <v>T</v>
      </c>
      <c r="W78" t="str">
        <f>IF(Data2022[[#This Row],[Dutch Active]]&lt;=Data2022[[#This Row],[Dutch total]],"T","F")</f>
        <v>F</v>
      </c>
      <c r="X78" t="str">
        <f>IF(Data2022[[#This Row],[Non-EEA Active ]]&lt;=Data2022[[#This Row],[Non-EEA Total]],"T","F")</f>
        <v>T</v>
      </c>
      <c r="Y7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78" t="str">
        <f>IFERROR(VLOOKUP(Data2022[[#This Row],[organisation_name]],'Division Study Year Committees'!$A$1:$L$108,2,FALSE),"N/A")</f>
        <v>N/A</v>
      </c>
      <c r="AA78" t="str">
        <f>IFERROR(VLOOKUP(Data2022[[#This Row],[organisation_name]],'Division Study Year Committees'!$A$1:$L$108,3,FALSE),"N/A")</f>
        <v>N/A</v>
      </c>
      <c r="AB78" t="str">
        <f>IFERROR(VLOOKUP(Data2022[[#This Row],[organisation_name]],'Division Study Year Committees'!$A$1:$L$108,4,FALSE),"N/A")</f>
        <v>N/A</v>
      </c>
      <c r="AC78" t="str">
        <f>IFERROR(VLOOKUP(Data2022[[#This Row],[organisation_name]],'Division Study Year Committees'!$A$1:$L$108,5,FALSE), "N/A")</f>
        <v>N/A</v>
      </c>
      <c r="AD78" t="str">
        <f>IFERROR(VLOOKUP(Data2022[[#This Row],[organisation_name]],'Division Study Year Committees'!$A$1:$L$108,6,FALSE), "N/A")</f>
        <v>N/A</v>
      </c>
      <c r="AE78">
        <f>SUM(Data2022[[#This Row],[Number of first year comittee members]:[Number of 4+ year comittee members]])</f>
        <v>0</v>
      </c>
      <c r="AF78">
        <f>COUNTIF('Committee2022'!D:D,Data2022[[#This Row],[organisation_name]])</f>
        <v>11</v>
      </c>
      <c r="AG78">
        <v>2022</v>
      </c>
    </row>
    <row r="79" spans="1:33" x14ac:dyDescent="0.3">
      <c r="A79" t="str">
        <f>General2022[[#This Row],[organisation_name]]</f>
        <v>AEGEE Enschede</v>
      </c>
      <c r="B79" t="str">
        <f>IF(General2022[[#This Row],[sector]]= "",VLOOKUP(Data2022[[#This Row],[organisation_name]],'Response Rate sheet'!A:D,3,FALSE),General2022[[#This Row],[sector]])</f>
        <v>Social</v>
      </c>
      <c r="C79" t="str">
        <f>General2022[[#This Row],[organisation_type]]</f>
        <v>association</v>
      </c>
      <c r="D79">
        <f>IF(ISBLANK(General2022[[#This Row],[number_of_members]]),"N/A",VLOOKUP(A79,General2022[[organisation_name]:[number_of_international_committee_board_members_not_eea]],6,FALSE))</f>
        <v>285</v>
      </c>
      <c r="E79">
        <f>IF(ISBLANK(General2022[[#This Row],[number_of_committee_board_members]]),"N/A",VLOOKUP(A79,General2022!B:M,10,FALSE))</f>
        <v>95</v>
      </c>
      <c r="F79">
        <f>IFERROR(Data2022[[#This Row],[Number of members]]-Data2022[[#This Row],[Number of active members]], "N/A")</f>
        <v>190</v>
      </c>
      <c r="G79">
        <f>IFERROR(Data2022[[#This Row],[Number of active members]]/Data2022[[#This Row],[Number of members]], "N/A")</f>
        <v>0.33333333333333331</v>
      </c>
      <c r="H79">
        <f>IFERROR(1-Data2022[[#This Row],[Percentage active members]],"N/A")</f>
        <v>0.66666666666666674</v>
      </c>
      <c r="I79" t="str">
        <f>IF(Data2022[[#This Row],[Number of members]]=0,"N/A",IF(Data2022[[#This Row],[Number of members]]&lt;50," A. 1 - 50 ",IF(Data2022[[#This Row],[Number of members]]&lt;100, "B. 50 - 100", IF(Data2022[[#This Row],[Number of members]]&lt;400, "C. 100 - 400", IF(Data2022[[#This Row],[Number of members]]&lt;1000,"D. 400 - 1000", "E. 1000 +")))))</f>
        <v>C. 100 - 400</v>
      </c>
      <c r="J79">
        <f>IF(ISBLANK(General2022[[#This Row],[number_of_international_members_not_eea]]),"N/A",VLOOKUP(A79,General2022[[organisation_name]:[number_of_international_committee_board_members_not_eea]],9,FALSE))</f>
        <v>100</v>
      </c>
      <c r="K79">
        <f>IF(ISBLANK(General2022[[#This Row],[number_of_international_members_eea]]),"N/A",VLOOKUP(A79,General2022[[organisation_name]:[number_of_international_committee_board_members_not_eea]],8,FALSE))</f>
        <v>5</v>
      </c>
      <c r="L79">
        <f>IFERROR(IF(Data2022[[#This Row],[Number of members]]-Data2022[[#This Row],[Non-EEA Total]]-Data2022[[#This Row],[EEA total]]&lt;1,"N/A", Data2022[[#This Row],[Number of members]]-Data2022[[#This Row],[Non-EEA Total]]-Data2022[[#This Row],[EEA total]]),"N/A")</f>
        <v>180</v>
      </c>
      <c r="M79">
        <f>VLOOKUP(A79,General2022[[organisation_name]:[number_of_international_committee_board_members_not_eea]],12,FALSE)</f>
        <v>0</v>
      </c>
      <c r="N79">
        <f>VLOOKUP(A79,General2022[[organisation_name]:[number_of_international_committee_board_members_not_eea]],11,FALSE)</f>
        <v>5</v>
      </c>
      <c r="O79">
        <f>IFERROR(IF(Data2022[[#This Row],[Number of active members]]-Data2022[[#This Row],[Non-EEA Active ]]-Data2022[[#This Row],[EEA Active]]&lt;1,"N/A", Data2022[[#This Row],[Number of active members]]-Data2022[[#This Row],[Non-EEA Active ]]-Data2022[[#This Row],[EEA Active]]),"N/A")</f>
        <v>90</v>
      </c>
      <c r="P79">
        <f>IFERROR(Data2022[[#This Row],[Non-EEA Active ]]/Data2022[[#This Row],[Number of active members]],"N/A")</f>
        <v>0</v>
      </c>
      <c r="Q79">
        <f>IFERROR(Data2022[[#This Row],[EEA Active]]/Data2022[[#This Row],[EEA total]], "N/A")</f>
        <v>1</v>
      </c>
      <c r="R79">
        <f>IFERROR(Data2022[[#This Row],[Dutch Active]]/Data2022[[#This Row],[Dutch total]],"N/A")</f>
        <v>0.5</v>
      </c>
      <c r="S79" t="str">
        <f>IFERROR(IF(Data2022[[#This Row],[Number of members]]=Data2022[[#This Row],[Non-EEA Total]]+Data2022[[#This Row],[EEA total]]+Data2022[[#This Row],[Dutch total]],"T","F"),"F")</f>
        <v>T</v>
      </c>
      <c r="T79" t="str">
        <f>IFERROR(IF(Data2022[[#This Row],[Number of active members]]=Data2022[[#This Row],[Non-EEA Active ]]+Data2022[[#This Row],[EEA Active]]+Data2022[[#This Row],[Dutch Active]],"T","F"),"F")</f>
        <v>T</v>
      </c>
      <c r="U79" t="str">
        <f>IFERROR(IF(Data2022[[#This Row],[Number of members]]-Data2022[[#This Row],[Non-EEA Active ]]-Data2022[[#This Row],[EEA Active]]-Data2022[[#This Row],[Dutch Active]]=Data2022[[#This Row],[Number of  inactive members]],"T","F"),"F")</f>
        <v>T</v>
      </c>
      <c r="V79" t="str">
        <f>IF(Data2022[[#This Row],[EEA Active]]&lt;=Data2022[[#This Row],[EEA total]],"T","F")</f>
        <v>T</v>
      </c>
      <c r="W79" t="str">
        <f>IF(Data2022[[#This Row],[Dutch Active]]&lt;=Data2022[[#This Row],[Dutch total]],"T","F")</f>
        <v>T</v>
      </c>
      <c r="X79" t="str">
        <f>IF(Data2022[[#This Row],[Non-EEA Active ]]&lt;=Data2022[[#This Row],[Non-EEA Total]],"T","F")</f>
        <v>T</v>
      </c>
      <c r="Y79"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79">
        <f>IFERROR(VLOOKUP(Data2022[[#This Row],[organisation_name]],'Division Study Year Committees'!$A$1:$L$108,2,FALSE),"N/A")</f>
        <v>24</v>
      </c>
      <c r="AA79">
        <f>IFERROR(VLOOKUP(Data2022[[#This Row],[organisation_name]],'Division Study Year Committees'!$A$1:$L$108,3,FALSE),"N/A")</f>
        <v>21</v>
      </c>
      <c r="AB79">
        <f>IFERROR(VLOOKUP(Data2022[[#This Row],[organisation_name]],'Division Study Year Committees'!$A$1:$L$108,4,FALSE),"N/A")</f>
        <v>50</v>
      </c>
      <c r="AC79">
        <f>IFERROR(VLOOKUP(Data2022[[#This Row],[organisation_name]],'Division Study Year Committees'!$A$1:$L$108,5,FALSE), "N/A")</f>
        <v>65</v>
      </c>
      <c r="AD79">
        <f>IFERROR(VLOOKUP(Data2022[[#This Row],[organisation_name]],'Division Study Year Committees'!$A$1:$L$108,6,FALSE), "N/A")</f>
        <v>24</v>
      </c>
      <c r="AE79">
        <f>SUM(Data2022[[#This Row],[Number of first year comittee members]:[Number of 4+ year comittee members]])</f>
        <v>184</v>
      </c>
      <c r="AF79">
        <f>COUNTIF('Committee2022'!D:D,Data2022[[#This Row],[organisation_name]])</f>
        <v>26</v>
      </c>
      <c r="AG79">
        <v>2022</v>
      </c>
    </row>
    <row r="80" spans="1:33" x14ac:dyDescent="0.3">
      <c r="A80" t="str">
        <f>General2022[[#This Row],[organisation_name]]</f>
        <v>ASV Taste</v>
      </c>
      <c r="B80" t="str">
        <f>IF(General2022[[#This Row],[sector]]= "",VLOOKUP(Data2022[[#This Row],[organisation_name]],'Response Rate sheet'!A:D,3,FALSE),General2022[[#This Row],[sector]])</f>
        <v>Social</v>
      </c>
      <c r="C80" t="str">
        <f>General2022[[#This Row],[organisation_type]]</f>
        <v>association</v>
      </c>
      <c r="D80">
        <f>IF(ISBLANK(General2022[[#This Row],[number_of_members]]),"N/A",VLOOKUP(A80,General2022[[organisation_name]:[number_of_international_committee_board_members_not_eea]],6,FALSE))</f>
        <v>525</v>
      </c>
      <c r="E80">
        <f>IF(ISBLANK(General2022[[#This Row],[number_of_committee_board_members]]),"N/A",VLOOKUP(A80,General2022!B:M,10,FALSE))</f>
        <v>70</v>
      </c>
      <c r="F80">
        <f>IFERROR(Data2022[[#This Row],[Number of members]]-Data2022[[#This Row],[Number of active members]], "N/A")</f>
        <v>455</v>
      </c>
      <c r="G80">
        <f>IFERROR(Data2022[[#This Row],[Number of active members]]/Data2022[[#This Row],[Number of members]], "N/A")</f>
        <v>0.13333333333333333</v>
      </c>
      <c r="H80">
        <f>IFERROR(1-Data2022[[#This Row],[Percentage active members]],"N/A")</f>
        <v>0.8666666666666667</v>
      </c>
      <c r="I80" t="str">
        <f>IF(Data2022[[#This Row],[Number of members]]=0,"N/A",IF(Data2022[[#This Row],[Number of members]]&lt;50," A. 1 - 50 ",IF(Data2022[[#This Row],[Number of members]]&lt;100, "B. 50 - 100", IF(Data2022[[#This Row],[Number of members]]&lt;400, "C. 100 - 400", IF(Data2022[[#This Row],[Number of members]]&lt;1000,"D. 400 - 1000", "E. 1000 +")))))</f>
        <v>D. 400 - 1000</v>
      </c>
      <c r="J80">
        <f>IF(ISBLANK(General2022[[#This Row],[number_of_international_members_not_eea]]),"N/A",VLOOKUP(A80,General2022[[organisation_name]:[number_of_international_committee_board_members_not_eea]],9,FALSE))</f>
        <v>100</v>
      </c>
      <c r="K80">
        <f>IF(ISBLANK(General2022[[#This Row],[number_of_international_members_eea]]),"N/A",VLOOKUP(A80,General2022[[organisation_name]:[number_of_international_committee_board_members_not_eea]],8,FALSE))</f>
        <v>0</v>
      </c>
      <c r="L80">
        <f>IFERROR(IF(Data2022[[#This Row],[Number of members]]-Data2022[[#This Row],[Non-EEA Total]]-Data2022[[#This Row],[EEA total]]&lt;1,"N/A", Data2022[[#This Row],[Number of members]]-Data2022[[#This Row],[Non-EEA Total]]-Data2022[[#This Row],[EEA total]]),"N/A")</f>
        <v>425</v>
      </c>
      <c r="M80">
        <f>VLOOKUP(A80,General2022[[organisation_name]:[number_of_international_committee_board_members_not_eea]],12,FALSE)</f>
        <v>0</v>
      </c>
      <c r="N80">
        <f>VLOOKUP(A80,General2022[[organisation_name]:[number_of_international_committee_board_members_not_eea]],11,FALSE)</f>
        <v>1</v>
      </c>
      <c r="O80">
        <f>IFERROR(IF(Data2022[[#This Row],[Number of active members]]-Data2022[[#This Row],[Non-EEA Active ]]-Data2022[[#This Row],[EEA Active]]&lt;1,"N/A", Data2022[[#This Row],[Number of active members]]-Data2022[[#This Row],[Non-EEA Active ]]-Data2022[[#This Row],[EEA Active]]),"N/A")</f>
        <v>69</v>
      </c>
      <c r="P80">
        <f>IFERROR(Data2022[[#This Row],[Non-EEA Active ]]/Data2022[[#This Row],[Number of active members]],"N/A")</f>
        <v>0</v>
      </c>
      <c r="Q80" t="str">
        <f>IFERROR(Data2022[[#This Row],[EEA Active]]/Data2022[[#This Row],[EEA total]], "N/A")</f>
        <v>N/A</v>
      </c>
      <c r="R80">
        <f>IFERROR(Data2022[[#This Row],[Dutch Active]]/Data2022[[#This Row],[Dutch total]],"N/A")</f>
        <v>0.16235294117647059</v>
      </c>
      <c r="S80" t="str">
        <f>IFERROR(IF(Data2022[[#This Row],[Number of members]]=Data2022[[#This Row],[Non-EEA Total]]+Data2022[[#This Row],[EEA total]]+Data2022[[#This Row],[Dutch total]],"T","F"),"F")</f>
        <v>T</v>
      </c>
      <c r="T80" t="str">
        <f>IFERROR(IF(Data2022[[#This Row],[Number of active members]]=Data2022[[#This Row],[Non-EEA Active ]]+Data2022[[#This Row],[EEA Active]]+Data2022[[#This Row],[Dutch Active]],"T","F"),"F")</f>
        <v>T</v>
      </c>
      <c r="U80" t="str">
        <f>IFERROR(IF(Data2022[[#This Row],[Number of members]]-Data2022[[#This Row],[Non-EEA Active ]]-Data2022[[#This Row],[EEA Active]]-Data2022[[#This Row],[Dutch Active]]=Data2022[[#This Row],[Number of  inactive members]],"T","F"),"F")</f>
        <v>T</v>
      </c>
      <c r="V80" t="str">
        <f>IF(Data2022[[#This Row],[EEA Active]]&lt;=Data2022[[#This Row],[EEA total]],"T","F")</f>
        <v>F</v>
      </c>
      <c r="W80" t="str">
        <f>IF(Data2022[[#This Row],[Dutch Active]]&lt;=Data2022[[#This Row],[Dutch total]],"T","F")</f>
        <v>T</v>
      </c>
      <c r="X80" t="str">
        <f>IF(Data2022[[#This Row],[Non-EEA Active ]]&lt;=Data2022[[#This Row],[Non-EEA Total]],"T","F")</f>
        <v>T</v>
      </c>
      <c r="Y8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0">
        <f>IFERROR(VLOOKUP(Data2022[[#This Row],[organisation_name]],'Division Study Year Committees'!$A$1:$L$108,2,FALSE),"N/A")</f>
        <v>42</v>
      </c>
      <c r="AA80">
        <f>IFERROR(VLOOKUP(Data2022[[#This Row],[organisation_name]],'Division Study Year Committees'!$A$1:$L$108,3,FALSE),"N/A")</f>
        <v>85</v>
      </c>
      <c r="AB80">
        <f>IFERROR(VLOOKUP(Data2022[[#This Row],[organisation_name]],'Division Study Year Committees'!$A$1:$L$108,4,FALSE),"N/A")</f>
        <v>69</v>
      </c>
      <c r="AC80">
        <f>IFERROR(VLOOKUP(Data2022[[#This Row],[organisation_name]],'Division Study Year Committees'!$A$1:$L$108,5,FALSE), "N/A")</f>
        <v>31</v>
      </c>
      <c r="AD80">
        <f>IFERROR(VLOOKUP(Data2022[[#This Row],[organisation_name]],'Division Study Year Committees'!$A$1:$L$108,6,FALSE), "N/A")</f>
        <v>9</v>
      </c>
      <c r="AE80">
        <f>SUM(Data2022[[#This Row],[Number of first year comittee members]:[Number of 4+ year comittee members]])</f>
        <v>236</v>
      </c>
      <c r="AF80">
        <f>COUNTIF('Committee2022'!D:D,Data2022[[#This Row],[organisation_name]])</f>
        <v>29</v>
      </c>
      <c r="AG80">
        <v>2022</v>
      </c>
    </row>
    <row r="81" spans="1:33" x14ac:dyDescent="0.3">
      <c r="A81" t="str">
        <f>General2022[[#This Row],[organisation_name]]</f>
        <v>Audentis et Virtutis</v>
      </c>
      <c r="B81" t="str">
        <f>IF(General2022[[#This Row],[sector]]= "",VLOOKUP(Data2022[[#This Row],[organisation_name]],'Response Rate sheet'!A:D,3,FALSE),General2022[[#This Row],[sector]])</f>
        <v>Social</v>
      </c>
      <c r="C81" t="str">
        <f>General2022[[#This Row],[organisation_type]]</f>
        <v>association</v>
      </c>
      <c r="D81">
        <f>IF(ISBLANK(General2022[[#This Row],[number_of_members]]),"N/A",VLOOKUP(A81,General2022[[organisation_name]:[number_of_international_committee_board_members_not_eea]],6,FALSE))</f>
        <v>530</v>
      </c>
      <c r="E81">
        <f>IF(ISBLANK(General2022[[#This Row],[number_of_committee_board_members]]),"N/A",VLOOKUP(A81,General2022!B:M,10,FALSE))</f>
        <v>15</v>
      </c>
      <c r="F81">
        <f>IFERROR(Data2022[[#This Row],[Number of members]]-Data2022[[#This Row],[Number of active members]], "N/A")</f>
        <v>515</v>
      </c>
      <c r="G81">
        <f>IFERROR(Data2022[[#This Row],[Number of active members]]/Data2022[[#This Row],[Number of members]], "N/A")</f>
        <v>2.8301886792452831E-2</v>
      </c>
      <c r="H81">
        <f>IFERROR(1-Data2022[[#This Row],[Percentage active members]],"N/A")</f>
        <v>0.97169811320754718</v>
      </c>
      <c r="I81" t="str">
        <f>IF(Data2022[[#This Row],[Number of members]]=0,"N/A",IF(Data2022[[#This Row],[Number of members]]&lt;50," A. 1 - 50 ",IF(Data2022[[#This Row],[Number of members]]&lt;100, "B. 50 - 100", IF(Data2022[[#This Row],[Number of members]]&lt;400, "C. 100 - 400", IF(Data2022[[#This Row],[Number of members]]&lt;1000,"D. 400 - 1000", "E. 1000 +")))))</f>
        <v>D. 400 - 1000</v>
      </c>
      <c r="J81">
        <f>IF(ISBLANK(General2022[[#This Row],[number_of_international_members_not_eea]]),"N/A",VLOOKUP(A81,General2022[[organisation_name]:[number_of_international_committee_board_members_not_eea]],9,FALSE))</f>
        <v>200</v>
      </c>
      <c r="K81">
        <f>IF(ISBLANK(General2022[[#This Row],[number_of_international_members_eea]]),"N/A",VLOOKUP(A81,General2022[[organisation_name]:[number_of_international_committee_board_members_not_eea]],8,FALSE))</f>
        <v>0</v>
      </c>
      <c r="L81">
        <f>IFERROR(IF(Data2022[[#This Row],[Number of members]]-Data2022[[#This Row],[Non-EEA Total]]-Data2022[[#This Row],[EEA total]]&lt;1,"N/A", Data2022[[#This Row],[Number of members]]-Data2022[[#This Row],[Non-EEA Total]]-Data2022[[#This Row],[EEA total]]),"N/A")</f>
        <v>330</v>
      </c>
      <c r="M81">
        <f>VLOOKUP(A81,General2022[[organisation_name]:[number_of_international_committee_board_members_not_eea]],12,FALSE)</f>
        <v>0</v>
      </c>
      <c r="N81">
        <f>VLOOKUP(A81,General2022[[organisation_name]:[number_of_international_committee_board_members_not_eea]],11,FALSE)</f>
        <v>0</v>
      </c>
      <c r="O81">
        <f>IFERROR(IF(Data2022[[#This Row],[Number of active members]]-Data2022[[#This Row],[Non-EEA Active ]]-Data2022[[#This Row],[EEA Active]]&lt;1,"N/A", Data2022[[#This Row],[Number of active members]]-Data2022[[#This Row],[Non-EEA Active ]]-Data2022[[#This Row],[EEA Active]]),"N/A")</f>
        <v>15</v>
      </c>
      <c r="P81">
        <f>IFERROR(Data2022[[#This Row],[Non-EEA Active ]]/Data2022[[#This Row],[Number of active members]],"N/A")</f>
        <v>0</v>
      </c>
      <c r="Q81" t="str">
        <f>IFERROR(Data2022[[#This Row],[EEA Active]]/Data2022[[#This Row],[EEA total]], "N/A")</f>
        <v>N/A</v>
      </c>
      <c r="R81">
        <f>IFERROR(Data2022[[#This Row],[Dutch Active]]/Data2022[[#This Row],[Dutch total]],"N/A")</f>
        <v>4.5454545454545456E-2</v>
      </c>
      <c r="S81" t="str">
        <f>IFERROR(IF(Data2022[[#This Row],[Number of members]]=Data2022[[#This Row],[Non-EEA Total]]+Data2022[[#This Row],[EEA total]]+Data2022[[#This Row],[Dutch total]],"T","F"),"F")</f>
        <v>T</v>
      </c>
      <c r="T81" t="str">
        <f>IFERROR(IF(Data2022[[#This Row],[Number of active members]]=Data2022[[#This Row],[Non-EEA Active ]]+Data2022[[#This Row],[EEA Active]]+Data2022[[#This Row],[Dutch Active]],"T","F"),"F")</f>
        <v>T</v>
      </c>
      <c r="U81" t="str">
        <f>IFERROR(IF(Data2022[[#This Row],[Number of members]]-Data2022[[#This Row],[Non-EEA Active ]]-Data2022[[#This Row],[EEA Active]]-Data2022[[#This Row],[Dutch Active]]=Data2022[[#This Row],[Number of  inactive members]],"T","F"),"F")</f>
        <v>T</v>
      </c>
      <c r="V81" t="str">
        <f>IF(Data2022[[#This Row],[EEA Active]]&lt;=Data2022[[#This Row],[EEA total]],"T","F")</f>
        <v>T</v>
      </c>
      <c r="W81" t="str">
        <f>IF(Data2022[[#This Row],[Dutch Active]]&lt;=Data2022[[#This Row],[Dutch total]],"T","F")</f>
        <v>T</v>
      </c>
      <c r="X81" t="str">
        <f>IF(Data2022[[#This Row],[Non-EEA Active ]]&lt;=Data2022[[#This Row],[Non-EEA Total]],"T","F")</f>
        <v>T</v>
      </c>
      <c r="Y81"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81" t="str">
        <f>IFERROR(VLOOKUP(Data2022[[#This Row],[organisation_name]],'Division Study Year Committees'!$A$1:$L$108,2,FALSE),"N/A")</f>
        <v>N/A</v>
      </c>
      <c r="AA81" t="str">
        <f>IFERROR(VLOOKUP(Data2022[[#This Row],[organisation_name]],'Division Study Year Committees'!$A$1:$L$108,3,FALSE),"N/A")</f>
        <v>N/A</v>
      </c>
      <c r="AB81" t="str">
        <f>IFERROR(VLOOKUP(Data2022[[#This Row],[organisation_name]],'Division Study Year Committees'!$A$1:$L$108,4,FALSE),"N/A")</f>
        <v>N/A</v>
      </c>
      <c r="AC81" t="str">
        <f>IFERROR(VLOOKUP(Data2022[[#This Row],[organisation_name]],'Division Study Year Committees'!$A$1:$L$108,5,FALSE), "N/A")</f>
        <v>N/A</v>
      </c>
      <c r="AD81" t="str">
        <f>IFERROR(VLOOKUP(Data2022[[#This Row],[organisation_name]],'Division Study Year Committees'!$A$1:$L$108,6,FALSE), "N/A")</f>
        <v>N/A</v>
      </c>
      <c r="AE81">
        <f>SUM(Data2022[[#This Row],[Number of first year comittee members]:[Number of 4+ year comittee members]])</f>
        <v>0</v>
      </c>
      <c r="AF81">
        <f>COUNTIF('Committee2022'!D:D,Data2022[[#This Row],[organisation_name]])</f>
        <v>24</v>
      </c>
      <c r="AG81">
        <v>2022</v>
      </c>
    </row>
    <row r="82" spans="1:33" x14ac:dyDescent="0.3">
      <c r="A82" t="str">
        <f>General2022[[#This Row],[organisation_name]]</f>
        <v>CSV Alpha</v>
      </c>
      <c r="B82" t="str">
        <f>IF(General2022[[#This Row],[sector]]= "",VLOOKUP(Data2022[[#This Row],[organisation_name]],'Response Rate sheet'!A:D,3,FALSE),General2022[[#This Row],[sector]])</f>
        <v>Social</v>
      </c>
      <c r="C82" t="str">
        <f>General2022[[#This Row],[organisation_type]]</f>
        <v>association</v>
      </c>
      <c r="D82">
        <f>IF(ISBLANK(General2022[[#This Row],[number_of_members]]),"N/A",VLOOKUP(A82,General2022[[organisation_name]:[number_of_international_committee_board_members_not_eea]],6,FALSE))</f>
        <v>108</v>
      </c>
      <c r="E82">
        <f>IF(ISBLANK(General2022[[#This Row],[number_of_committee_board_members]]),"N/A",VLOOKUP(A82,General2022!B:M,10,FALSE))</f>
        <v>15</v>
      </c>
      <c r="F82">
        <f>IFERROR(Data2022[[#This Row],[Number of members]]-Data2022[[#This Row],[Number of active members]], "N/A")</f>
        <v>93</v>
      </c>
      <c r="G82">
        <f>IFERROR(Data2022[[#This Row],[Number of active members]]/Data2022[[#This Row],[Number of members]], "N/A")</f>
        <v>0.1388888888888889</v>
      </c>
      <c r="H82">
        <f>IFERROR(1-Data2022[[#This Row],[Percentage active members]],"N/A")</f>
        <v>0.86111111111111116</v>
      </c>
      <c r="I82" t="str">
        <f>IF(Data2022[[#This Row],[Number of members]]=0,"N/A",IF(Data2022[[#This Row],[Number of members]]&lt;50," A. 1 - 50 ",IF(Data2022[[#This Row],[Number of members]]&lt;100, "B. 50 - 100", IF(Data2022[[#This Row],[Number of members]]&lt;400, "C. 100 - 400", IF(Data2022[[#This Row],[Number of members]]&lt;1000,"D. 400 - 1000", "E. 1000 +")))))</f>
        <v>C. 100 - 400</v>
      </c>
      <c r="J82">
        <f>IF(ISBLANK(General2022[[#This Row],[number_of_international_members_not_eea]]),"N/A",VLOOKUP(A82,General2022[[organisation_name]:[number_of_international_committee_board_members_not_eea]],9,FALSE))</f>
        <v>80</v>
      </c>
      <c r="K82">
        <f>IF(ISBLANK(General2022[[#This Row],[number_of_international_members_eea]]),"N/A",VLOOKUP(A82,General2022[[organisation_name]:[number_of_international_committee_board_members_not_eea]],8,FALSE))</f>
        <v>0</v>
      </c>
      <c r="L82">
        <f>IFERROR(IF(Data2022[[#This Row],[Number of members]]-Data2022[[#This Row],[Non-EEA Total]]-Data2022[[#This Row],[EEA total]]&lt;1,"N/A", Data2022[[#This Row],[Number of members]]-Data2022[[#This Row],[Non-EEA Total]]-Data2022[[#This Row],[EEA total]]),"N/A")</f>
        <v>28</v>
      </c>
      <c r="M82">
        <f>VLOOKUP(A82,General2022[[organisation_name]:[number_of_international_committee_board_members_not_eea]],12,FALSE)</f>
        <v>0</v>
      </c>
      <c r="N82">
        <f>VLOOKUP(A82,General2022[[organisation_name]:[number_of_international_committee_board_members_not_eea]],11,FALSE)</f>
        <v>0</v>
      </c>
      <c r="O82">
        <f>IFERROR(IF(Data2022[[#This Row],[Number of active members]]-Data2022[[#This Row],[Non-EEA Active ]]-Data2022[[#This Row],[EEA Active]]&lt;1,"N/A", Data2022[[#This Row],[Number of active members]]-Data2022[[#This Row],[Non-EEA Active ]]-Data2022[[#This Row],[EEA Active]]),"N/A")</f>
        <v>15</v>
      </c>
      <c r="P82">
        <f>IFERROR(Data2022[[#This Row],[Non-EEA Active ]]/Data2022[[#This Row],[Number of active members]],"N/A")</f>
        <v>0</v>
      </c>
      <c r="Q82" t="str">
        <f>IFERROR(Data2022[[#This Row],[EEA Active]]/Data2022[[#This Row],[EEA total]], "N/A")</f>
        <v>N/A</v>
      </c>
      <c r="R82">
        <f>IFERROR(Data2022[[#This Row],[Dutch Active]]/Data2022[[#This Row],[Dutch total]],"N/A")</f>
        <v>0.5357142857142857</v>
      </c>
      <c r="S82" t="str">
        <f>IFERROR(IF(Data2022[[#This Row],[Number of members]]=Data2022[[#This Row],[Non-EEA Total]]+Data2022[[#This Row],[EEA total]]+Data2022[[#This Row],[Dutch total]],"T","F"),"F")</f>
        <v>T</v>
      </c>
      <c r="T82" t="str">
        <f>IFERROR(IF(Data2022[[#This Row],[Number of active members]]=Data2022[[#This Row],[Non-EEA Active ]]+Data2022[[#This Row],[EEA Active]]+Data2022[[#This Row],[Dutch Active]],"T","F"),"F")</f>
        <v>T</v>
      </c>
      <c r="U82" t="str">
        <f>IFERROR(IF(Data2022[[#This Row],[Number of members]]-Data2022[[#This Row],[Non-EEA Active ]]-Data2022[[#This Row],[EEA Active]]-Data2022[[#This Row],[Dutch Active]]=Data2022[[#This Row],[Number of  inactive members]],"T","F"),"F")</f>
        <v>T</v>
      </c>
      <c r="V82" t="str">
        <f>IF(Data2022[[#This Row],[EEA Active]]&lt;=Data2022[[#This Row],[EEA total]],"T","F")</f>
        <v>T</v>
      </c>
      <c r="W82" t="str">
        <f>IF(Data2022[[#This Row],[Dutch Active]]&lt;=Data2022[[#This Row],[Dutch total]],"T","F")</f>
        <v>T</v>
      </c>
      <c r="X82" t="str">
        <f>IF(Data2022[[#This Row],[Non-EEA Active ]]&lt;=Data2022[[#This Row],[Non-EEA Total]],"T","F")</f>
        <v>T</v>
      </c>
      <c r="Y82"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82">
        <f>IFERROR(VLOOKUP(Data2022[[#This Row],[organisation_name]],'Division Study Year Committees'!$A$1:$L$108,2,FALSE),"N/A")</f>
        <v>30</v>
      </c>
      <c r="AA82">
        <f>IFERROR(VLOOKUP(Data2022[[#This Row],[organisation_name]],'Division Study Year Committees'!$A$1:$L$108,3,FALSE),"N/A")</f>
        <v>25</v>
      </c>
      <c r="AB82">
        <f>IFERROR(VLOOKUP(Data2022[[#This Row],[organisation_name]],'Division Study Year Committees'!$A$1:$L$108,4,FALSE),"N/A")</f>
        <v>35</v>
      </c>
      <c r="AC82">
        <f>IFERROR(VLOOKUP(Data2022[[#This Row],[organisation_name]],'Division Study Year Committees'!$A$1:$L$108,5,FALSE), "N/A")</f>
        <v>22</v>
      </c>
      <c r="AD82">
        <f>IFERROR(VLOOKUP(Data2022[[#This Row],[organisation_name]],'Division Study Year Committees'!$A$1:$L$108,6,FALSE), "N/A")</f>
        <v>19</v>
      </c>
      <c r="AE82">
        <f>SUM(Data2022[[#This Row],[Number of first year comittee members]:[Number of 4+ year comittee members]])</f>
        <v>131</v>
      </c>
      <c r="AF82">
        <f>COUNTIF('Committee2022'!D:D,Data2022[[#This Row],[organisation_name]])</f>
        <v>36</v>
      </c>
      <c r="AG82">
        <v>2022</v>
      </c>
    </row>
    <row r="83" spans="1:33" x14ac:dyDescent="0.3">
      <c r="A83" t="str">
        <f>General2022[[#This Row],[organisation_name]]</f>
        <v>Reformatorische Studenten Kring</v>
      </c>
      <c r="B83" t="str">
        <f>IF(General2022[[#This Row],[sector]]= "",VLOOKUP(Data2022[[#This Row],[organisation_name]],'Response Rate sheet'!A:D,3,FALSE),General2022[[#This Row],[sector]])</f>
        <v>Other</v>
      </c>
      <c r="C83" t="str">
        <f>General2022[[#This Row],[organisation_type]]</f>
        <v>association</v>
      </c>
      <c r="D83">
        <f>IF(ISBLANK(General2022[[#This Row],[number_of_members]]),"N/A",VLOOKUP(A83,General2022[[organisation_name]:[number_of_international_committee_board_members_not_eea]],6,FALSE))</f>
        <v>53</v>
      </c>
      <c r="E83">
        <f>IF(ISBLANK(General2022[[#This Row],[number_of_committee_board_members]]),"N/A",VLOOKUP(A83,General2022!B:M,10,FALSE))</f>
        <v>1</v>
      </c>
      <c r="F83">
        <f>IFERROR(Data2022[[#This Row],[Number of members]]-Data2022[[#This Row],[Number of active members]], "N/A")</f>
        <v>52</v>
      </c>
      <c r="G83">
        <f>IFERROR(Data2022[[#This Row],[Number of active members]]/Data2022[[#This Row],[Number of members]], "N/A")</f>
        <v>1.8867924528301886E-2</v>
      </c>
      <c r="H83">
        <f>IFERROR(1-Data2022[[#This Row],[Percentage active members]],"N/A")</f>
        <v>0.98113207547169812</v>
      </c>
      <c r="I83" t="str">
        <f>IF(Data2022[[#This Row],[Number of members]]=0,"N/A",IF(Data2022[[#This Row],[Number of members]]&lt;50," A. 1 - 50 ",IF(Data2022[[#This Row],[Number of members]]&lt;100, "B. 50 - 100", IF(Data2022[[#This Row],[Number of members]]&lt;400, "C. 100 - 400", IF(Data2022[[#This Row],[Number of members]]&lt;1000,"D. 400 - 1000", "E. 1000 +")))))</f>
        <v>B. 50 - 100</v>
      </c>
      <c r="J83">
        <f>IF(ISBLANK(General2022[[#This Row],[number_of_international_members_not_eea]]),"N/A",VLOOKUP(A83,General2022[[organisation_name]:[number_of_international_committee_board_members_not_eea]],9,FALSE))</f>
        <v>40</v>
      </c>
      <c r="K83">
        <f>IF(ISBLANK(General2022[[#This Row],[number_of_international_members_eea]]),"N/A",VLOOKUP(A83,General2022[[organisation_name]:[number_of_international_committee_board_members_not_eea]],8,FALSE))</f>
        <v>0</v>
      </c>
      <c r="L83">
        <f>IFERROR(IF(Data2022[[#This Row],[Number of members]]-Data2022[[#This Row],[Non-EEA Total]]-Data2022[[#This Row],[EEA total]]&lt;1,"N/A", Data2022[[#This Row],[Number of members]]-Data2022[[#This Row],[Non-EEA Total]]-Data2022[[#This Row],[EEA total]]),"N/A")</f>
        <v>13</v>
      </c>
      <c r="M83">
        <f>VLOOKUP(A83,General2022[[organisation_name]:[number_of_international_committee_board_members_not_eea]],12,FALSE)</f>
        <v>0</v>
      </c>
      <c r="N83">
        <f>VLOOKUP(A83,General2022[[organisation_name]:[number_of_international_committee_board_members_not_eea]],11,FALSE)</f>
        <v>1</v>
      </c>
      <c r="O83" t="str">
        <f>IFERROR(IF(Data2022[[#This Row],[Number of active members]]-Data2022[[#This Row],[Non-EEA Active ]]-Data2022[[#This Row],[EEA Active]]&lt;1,"N/A", Data2022[[#This Row],[Number of active members]]-Data2022[[#This Row],[Non-EEA Active ]]-Data2022[[#This Row],[EEA Active]]),"N/A")</f>
        <v>N/A</v>
      </c>
      <c r="P83">
        <f>IFERROR(Data2022[[#This Row],[Non-EEA Active ]]/Data2022[[#This Row],[Number of active members]],"N/A")</f>
        <v>0</v>
      </c>
      <c r="Q83" t="str">
        <f>IFERROR(Data2022[[#This Row],[EEA Active]]/Data2022[[#This Row],[EEA total]], "N/A")</f>
        <v>N/A</v>
      </c>
      <c r="R83" t="str">
        <f>IFERROR(Data2022[[#This Row],[Dutch Active]]/Data2022[[#This Row],[Dutch total]],"N/A")</f>
        <v>N/A</v>
      </c>
      <c r="S83" t="str">
        <f>IFERROR(IF(Data2022[[#This Row],[Number of members]]=Data2022[[#This Row],[Non-EEA Total]]+Data2022[[#This Row],[EEA total]]+Data2022[[#This Row],[Dutch total]],"T","F"),"F")</f>
        <v>T</v>
      </c>
      <c r="T83" t="str">
        <f>IFERROR(IF(Data2022[[#This Row],[Number of active members]]=Data2022[[#This Row],[Non-EEA Active ]]+Data2022[[#This Row],[EEA Active]]+Data2022[[#This Row],[Dutch Active]],"T","F"),"F")</f>
        <v>F</v>
      </c>
      <c r="U83" t="str">
        <f>IFERROR(IF(Data2022[[#This Row],[Number of members]]-Data2022[[#This Row],[Non-EEA Active ]]-Data2022[[#This Row],[EEA Active]]-Data2022[[#This Row],[Dutch Active]]=Data2022[[#This Row],[Number of  inactive members]],"T","F"),"F")</f>
        <v>F</v>
      </c>
      <c r="V83" t="str">
        <f>IF(Data2022[[#This Row],[EEA Active]]&lt;=Data2022[[#This Row],[EEA total]],"T","F")</f>
        <v>F</v>
      </c>
      <c r="W83" t="str">
        <f>IF(Data2022[[#This Row],[Dutch Active]]&lt;=Data2022[[#This Row],[Dutch total]],"T","F")</f>
        <v>F</v>
      </c>
      <c r="X83" t="str">
        <f>IF(Data2022[[#This Row],[Non-EEA Active ]]&lt;=Data2022[[#This Row],[Non-EEA Total]],"T","F")</f>
        <v>T</v>
      </c>
      <c r="Y8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3" t="str">
        <f>IFERROR(VLOOKUP(Data2022[[#This Row],[organisation_name]],'Division Study Year Committees'!$A$1:$L$108,2,FALSE),"N/A")</f>
        <v>N/A</v>
      </c>
      <c r="AA83" t="str">
        <f>IFERROR(VLOOKUP(Data2022[[#This Row],[organisation_name]],'Division Study Year Committees'!$A$1:$L$108,3,FALSE),"N/A")</f>
        <v>N/A</v>
      </c>
      <c r="AB83" t="str">
        <f>IFERROR(VLOOKUP(Data2022[[#This Row],[organisation_name]],'Division Study Year Committees'!$A$1:$L$108,4,FALSE),"N/A")</f>
        <v>N/A</v>
      </c>
      <c r="AC83" t="str">
        <f>IFERROR(VLOOKUP(Data2022[[#This Row],[organisation_name]],'Division Study Year Committees'!$A$1:$L$108,5,FALSE), "N/A")</f>
        <v>N/A</v>
      </c>
      <c r="AD83" t="str">
        <f>IFERROR(VLOOKUP(Data2022[[#This Row],[organisation_name]],'Division Study Year Committees'!$A$1:$L$108,6,FALSE), "N/A")</f>
        <v>N/A</v>
      </c>
      <c r="AE83">
        <f>SUM(Data2022[[#This Row],[Number of first year comittee members]:[Number of 4+ year comittee members]])</f>
        <v>0</v>
      </c>
      <c r="AF83">
        <f>COUNTIF('Committee2022'!D:D,Data2022[[#This Row],[organisation_name]])</f>
        <v>28</v>
      </c>
      <c r="AG83">
        <v>2022</v>
      </c>
    </row>
    <row r="84" spans="1:33" x14ac:dyDescent="0.3">
      <c r="A84" t="str">
        <f>General2022[[#This Row],[organisation_name]]</f>
        <v>SV De Gevreesde Koe VB</v>
      </c>
      <c r="B84" t="str">
        <f>IF(General2022[[#This Row],[sector]]= "",VLOOKUP(Data2022[[#This Row],[organisation_name]],'Response Rate sheet'!A:D,3,FALSE),General2022[[#This Row],[sector]])</f>
        <v>Social</v>
      </c>
      <c r="C84" t="str">
        <f>General2022[[#This Row],[organisation_type]]</f>
        <v>association</v>
      </c>
      <c r="D84" t="str">
        <f>IF(ISBLANK(General2022[[#This Row],[number_of_members]]),"N/A",VLOOKUP(A84,General2022[[organisation_name]:[number_of_international_committee_board_members_not_eea]],6,FALSE))</f>
        <v>N/A</v>
      </c>
      <c r="E84" t="str">
        <f>IF(ISBLANK(General2022[[#This Row],[number_of_committee_board_members]]),"N/A",VLOOKUP(A84,General2022!B:M,10,FALSE))</f>
        <v>N/A</v>
      </c>
      <c r="F84" t="str">
        <f>IFERROR(Data2022[[#This Row],[Number of members]]-Data2022[[#This Row],[Number of active members]], "N/A")</f>
        <v>N/A</v>
      </c>
      <c r="G84" t="str">
        <f>IFERROR(Data2022[[#This Row],[Number of active members]]/Data2022[[#This Row],[Number of members]], "N/A")</f>
        <v>N/A</v>
      </c>
      <c r="H84" t="str">
        <f>IFERROR(1-Data2022[[#This Row],[Percentage active members]],"N/A")</f>
        <v>N/A</v>
      </c>
      <c r="I84" t="str">
        <f>IF(Data2022[[#This Row],[Number of members]]=0,"N/A",IF(Data2022[[#This Row],[Number of members]]&lt;50," A. 1 - 50 ",IF(Data2022[[#This Row],[Number of members]]&lt;100, "B. 50 - 100", IF(Data2022[[#This Row],[Number of members]]&lt;400, "C. 100 - 400", IF(Data2022[[#This Row],[Number of members]]&lt;1000,"D. 400 - 1000", "E. 1000 +")))))</f>
        <v>E. 1000 +</v>
      </c>
      <c r="J84" t="str">
        <f>IF(ISBLANK(General2022[[#This Row],[number_of_international_members_not_eea]]),"N/A",VLOOKUP(A84,General2022[[organisation_name]:[number_of_international_committee_board_members_not_eea]],9,FALSE))</f>
        <v>N/A</v>
      </c>
      <c r="K84" t="str">
        <f>IF(ISBLANK(General2022[[#This Row],[number_of_international_members_eea]]),"N/A",VLOOKUP(A84,General2022[[organisation_name]:[number_of_international_committee_board_members_not_eea]],8,FALSE))</f>
        <v>N/A</v>
      </c>
      <c r="L84" t="str">
        <f>IFERROR(IF(Data2022[[#This Row],[Number of members]]-Data2022[[#This Row],[Non-EEA Total]]-Data2022[[#This Row],[EEA total]]&lt;1,"N/A", Data2022[[#This Row],[Number of members]]-Data2022[[#This Row],[Non-EEA Total]]-Data2022[[#This Row],[EEA total]]),"N/A")</f>
        <v>N/A</v>
      </c>
      <c r="M84">
        <f>VLOOKUP(A84,General2022[[organisation_name]:[number_of_international_committee_board_members_not_eea]],12,FALSE)</f>
        <v>0</v>
      </c>
      <c r="N84">
        <f>VLOOKUP(A84,General2022[[organisation_name]:[number_of_international_committee_board_members_not_eea]],11,FALSE)</f>
        <v>0</v>
      </c>
      <c r="O84" t="str">
        <f>IFERROR(IF(Data2022[[#This Row],[Number of active members]]-Data2022[[#This Row],[Non-EEA Active ]]-Data2022[[#This Row],[EEA Active]]&lt;1,"N/A", Data2022[[#This Row],[Number of active members]]-Data2022[[#This Row],[Non-EEA Active ]]-Data2022[[#This Row],[EEA Active]]),"N/A")</f>
        <v>N/A</v>
      </c>
      <c r="P84" t="str">
        <f>IFERROR(Data2022[[#This Row],[Non-EEA Active ]]/Data2022[[#This Row],[Number of active members]],"N/A")</f>
        <v>N/A</v>
      </c>
      <c r="Q84" t="str">
        <f>IFERROR(Data2022[[#This Row],[EEA Active]]/Data2022[[#This Row],[EEA total]], "N/A")</f>
        <v>N/A</v>
      </c>
      <c r="R84" t="str">
        <f>IFERROR(Data2022[[#This Row],[Dutch Active]]/Data2022[[#This Row],[Dutch total]],"N/A")</f>
        <v>N/A</v>
      </c>
      <c r="S84" t="str">
        <f>IFERROR(IF(Data2022[[#This Row],[Number of members]]=Data2022[[#This Row],[Non-EEA Total]]+Data2022[[#This Row],[EEA total]]+Data2022[[#This Row],[Dutch total]],"T","F"),"F")</f>
        <v>F</v>
      </c>
      <c r="T84" t="str">
        <f>IFERROR(IF(Data2022[[#This Row],[Number of active members]]=Data2022[[#This Row],[Non-EEA Active ]]+Data2022[[#This Row],[EEA Active]]+Data2022[[#This Row],[Dutch Active]],"T","F"),"F")</f>
        <v>F</v>
      </c>
      <c r="U84" t="str">
        <f>IFERROR(IF(Data2022[[#This Row],[Number of members]]-Data2022[[#This Row],[Non-EEA Active ]]-Data2022[[#This Row],[EEA Active]]-Data2022[[#This Row],[Dutch Active]]=Data2022[[#This Row],[Number of  inactive members]],"T","F"),"F")</f>
        <v>F</v>
      </c>
      <c r="V84" t="str">
        <f>IF(Data2022[[#This Row],[EEA Active]]&lt;=Data2022[[#This Row],[EEA total]],"T","F")</f>
        <v>T</v>
      </c>
      <c r="W84" t="str">
        <f>IF(Data2022[[#This Row],[Dutch Active]]&lt;=Data2022[[#This Row],[Dutch total]],"T","F")</f>
        <v>T</v>
      </c>
      <c r="X84" t="str">
        <f>IF(Data2022[[#This Row],[Non-EEA Active ]]&lt;=Data2022[[#This Row],[Non-EEA Total]],"T","F")</f>
        <v>T</v>
      </c>
      <c r="Y8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4" t="str">
        <f>IFERROR(VLOOKUP(Data2022[[#This Row],[organisation_name]],'Division Study Year Committees'!$A$1:$L$108,2,FALSE),"N/A")</f>
        <v>N/A</v>
      </c>
      <c r="AA84" t="str">
        <f>IFERROR(VLOOKUP(Data2022[[#This Row],[organisation_name]],'Division Study Year Committees'!$A$1:$L$108,3,FALSE),"N/A")</f>
        <v>N/A</v>
      </c>
      <c r="AB84" t="str">
        <f>IFERROR(VLOOKUP(Data2022[[#This Row],[organisation_name]],'Division Study Year Committees'!$A$1:$L$108,4,FALSE),"N/A")</f>
        <v>N/A</v>
      </c>
      <c r="AC84" t="str">
        <f>IFERROR(VLOOKUP(Data2022[[#This Row],[organisation_name]],'Division Study Year Committees'!$A$1:$L$108,5,FALSE), "N/A")</f>
        <v>N/A</v>
      </c>
      <c r="AD84" t="str">
        <f>IFERROR(VLOOKUP(Data2022[[#This Row],[organisation_name]],'Division Study Year Committees'!$A$1:$L$108,6,FALSE), "N/A")</f>
        <v>N/A</v>
      </c>
      <c r="AE84">
        <f>SUM(Data2022[[#This Row],[Number of first year comittee members]:[Number of 4+ year comittee members]])</f>
        <v>0</v>
      </c>
      <c r="AF84">
        <f>COUNTIF('Committee2022'!D:D,Data2022[[#This Row],[organisation_name]])</f>
        <v>0</v>
      </c>
      <c r="AG84">
        <v>2022</v>
      </c>
    </row>
    <row r="85" spans="1:33" x14ac:dyDescent="0.3">
      <c r="A85" t="str">
        <f>General2022[[#This Row],[organisation_name]]</f>
        <v>Navigators studentenvereniging Enschede</v>
      </c>
      <c r="B85" t="str">
        <f>IF(General2022[[#This Row],[sector]]= "",VLOOKUP(Data2022[[#This Row],[organisation_name]],'Response Rate sheet'!A:D,3,FALSE),General2022[[#This Row],[sector]])</f>
        <v>Social</v>
      </c>
      <c r="C85" t="str">
        <f>General2022[[#This Row],[organisation_type]]</f>
        <v>association</v>
      </c>
      <c r="D85">
        <f>IF(ISBLANK(General2022[[#This Row],[number_of_members]]),"N/A",VLOOKUP(A85,General2022[[organisation_name]:[number_of_international_committee_board_members_not_eea]],6,FALSE))</f>
        <v>96</v>
      </c>
      <c r="E85">
        <f>IF(ISBLANK(General2022[[#This Row],[number_of_committee_board_members]]),"N/A",VLOOKUP(A85,General2022!B:M,10,FALSE))</f>
        <v>5</v>
      </c>
      <c r="F85">
        <f>IFERROR(Data2022[[#This Row],[Number of members]]-Data2022[[#This Row],[Number of active members]], "N/A")</f>
        <v>91</v>
      </c>
      <c r="G85">
        <f>IFERROR(Data2022[[#This Row],[Number of active members]]/Data2022[[#This Row],[Number of members]], "N/A")</f>
        <v>5.2083333333333336E-2</v>
      </c>
      <c r="H85">
        <f>IFERROR(1-Data2022[[#This Row],[Percentage active members]],"N/A")</f>
        <v>0.94791666666666663</v>
      </c>
      <c r="I85" t="str">
        <f>IF(Data2022[[#This Row],[Number of members]]=0,"N/A",IF(Data2022[[#This Row],[Number of members]]&lt;50," A. 1 - 50 ",IF(Data2022[[#This Row],[Number of members]]&lt;100, "B. 50 - 100", IF(Data2022[[#This Row],[Number of members]]&lt;400, "C. 100 - 400", IF(Data2022[[#This Row],[Number of members]]&lt;1000,"D. 400 - 1000", "E. 1000 +")))))</f>
        <v>B. 50 - 100</v>
      </c>
      <c r="J85">
        <f>IF(ISBLANK(General2022[[#This Row],[number_of_international_members_not_eea]]),"N/A",VLOOKUP(A85,General2022[[organisation_name]:[number_of_international_committee_board_members_not_eea]],9,FALSE))</f>
        <v>80</v>
      </c>
      <c r="K85">
        <f>IF(ISBLANK(General2022[[#This Row],[number_of_international_members_eea]]),"N/A",VLOOKUP(A85,General2022[[organisation_name]:[number_of_international_committee_board_members_not_eea]],8,FALSE))</f>
        <v>0</v>
      </c>
      <c r="L85">
        <f>IFERROR(IF(Data2022[[#This Row],[Number of members]]-Data2022[[#This Row],[Non-EEA Total]]-Data2022[[#This Row],[EEA total]]&lt;1,"N/A", Data2022[[#This Row],[Number of members]]-Data2022[[#This Row],[Non-EEA Total]]-Data2022[[#This Row],[EEA total]]),"N/A")</f>
        <v>16</v>
      </c>
      <c r="M85">
        <f>VLOOKUP(A85,General2022[[organisation_name]:[number_of_international_committee_board_members_not_eea]],12,FALSE)</f>
        <v>0</v>
      </c>
      <c r="N85">
        <f>VLOOKUP(A85,General2022[[organisation_name]:[number_of_international_committee_board_members_not_eea]],11,FALSE)</f>
        <v>0</v>
      </c>
      <c r="O85">
        <f>IFERROR(IF(Data2022[[#This Row],[Number of active members]]-Data2022[[#This Row],[Non-EEA Active ]]-Data2022[[#This Row],[EEA Active]]&lt;1,"N/A", Data2022[[#This Row],[Number of active members]]-Data2022[[#This Row],[Non-EEA Active ]]-Data2022[[#This Row],[EEA Active]]),"N/A")</f>
        <v>5</v>
      </c>
      <c r="P85">
        <f>IFERROR(Data2022[[#This Row],[Non-EEA Active ]]/Data2022[[#This Row],[Number of active members]],"N/A")</f>
        <v>0</v>
      </c>
      <c r="Q85" t="str">
        <f>IFERROR(Data2022[[#This Row],[EEA Active]]/Data2022[[#This Row],[EEA total]], "N/A")</f>
        <v>N/A</v>
      </c>
      <c r="R85">
        <f>IFERROR(Data2022[[#This Row],[Dutch Active]]/Data2022[[#This Row],[Dutch total]],"N/A")</f>
        <v>0.3125</v>
      </c>
      <c r="S85" t="str">
        <f>IFERROR(IF(Data2022[[#This Row],[Number of members]]=Data2022[[#This Row],[Non-EEA Total]]+Data2022[[#This Row],[EEA total]]+Data2022[[#This Row],[Dutch total]],"T","F"),"F")</f>
        <v>T</v>
      </c>
      <c r="T85" t="str">
        <f>IFERROR(IF(Data2022[[#This Row],[Number of active members]]=Data2022[[#This Row],[Non-EEA Active ]]+Data2022[[#This Row],[EEA Active]]+Data2022[[#This Row],[Dutch Active]],"T","F"),"F")</f>
        <v>T</v>
      </c>
      <c r="U85" t="str">
        <f>IFERROR(IF(Data2022[[#This Row],[Number of members]]-Data2022[[#This Row],[Non-EEA Active ]]-Data2022[[#This Row],[EEA Active]]-Data2022[[#This Row],[Dutch Active]]=Data2022[[#This Row],[Number of  inactive members]],"T","F"),"F")</f>
        <v>T</v>
      </c>
      <c r="V85" t="str">
        <f>IF(Data2022[[#This Row],[EEA Active]]&lt;=Data2022[[#This Row],[EEA total]],"T","F")</f>
        <v>T</v>
      </c>
      <c r="W85" t="str">
        <f>IF(Data2022[[#This Row],[Dutch Active]]&lt;=Data2022[[#This Row],[Dutch total]],"T","F")</f>
        <v>T</v>
      </c>
      <c r="X85" t="str">
        <f>IF(Data2022[[#This Row],[Non-EEA Active ]]&lt;=Data2022[[#This Row],[Non-EEA Total]],"T","F")</f>
        <v>T</v>
      </c>
      <c r="Y85"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85">
        <f>IFERROR(VLOOKUP(Data2022[[#This Row],[organisation_name]],'Division Study Year Committees'!$A$1:$L$108,2,FALSE),"N/A")</f>
        <v>0</v>
      </c>
      <c r="AA85">
        <f>IFERROR(VLOOKUP(Data2022[[#This Row],[organisation_name]],'Division Study Year Committees'!$A$1:$L$108,3,FALSE),"N/A")</f>
        <v>0</v>
      </c>
      <c r="AB85">
        <f>IFERROR(VLOOKUP(Data2022[[#This Row],[organisation_name]],'Division Study Year Committees'!$A$1:$L$108,4,FALSE),"N/A")</f>
        <v>0</v>
      </c>
      <c r="AC85">
        <f>IFERROR(VLOOKUP(Data2022[[#This Row],[organisation_name]],'Division Study Year Committees'!$A$1:$L$108,5,FALSE), "N/A")</f>
        <v>0</v>
      </c>
      <c r="AD85">
        <f>IFERROR(VLOOKUP(Data2022[[#This Row],[organisation_name]],'Division Study Year Committees'!$A$1:$L$108,6,FALSE), "N/A")</f>
        <v>0</v>
      </c>
      <c r="AE85">
        <f>SUM(Data2022[[#This Row],[Number of first year comittee members]:[Number of 4+ year comittee members]])</f>
        <v>0</v>
      </c>
      <c r="AF85">
        <f>COUNTIF('Committee2022'!D:D,Data2022[[#This Row],[organisation_name]])</f>
        <v>26</v>
      </c>
      <c r="AG85">
        <v>2022</v>
      </c>
    </row>
    <row r="86" spans="1:33" x14ac:dyDescent="0.3">
      <c r="A86" t="str">
        <f>General2022[[#This Row],[organisation_name]]</f>
        <v>Jongeren - en Studentenvereniging Exaltio</v>
      </c>
      <c r="B86" t="str">
        <f>IF(General2022[[#This Row],[sector]]= "",VLOOKUP(Data2022[[#This Row],[organisation_name]],'Response Rate sheet'!A:D,3,FALSE),General2022[[#This Row],[sector]])</f>
        <v>Social</v>
      </c>
      <c r="C86" t="str">
        <f>General2022[[#This Row],[organisation_type]]</f>
        <v>association</v>
      </c>
      <c r="D86" t="str">
        <f>IF(ISBLANK(General2022[[#This Row],[number_of_members]]),"N/A",VLOOKUP(A86,General2022[[organisation_name]:[number_of_international_committee_board_members_not_eea]],6,FALSE))</f>
        <v>N/A</v>
      </c>
      <c r="E86" t="str">
        <f>IF(ISBLANK(General2022[[#This Row],[number_of_committee_board_members]]),"N/A",VLOOKUP(A86,General2022!B:M,10,FALSE))</f>
        <v>N/A</v>
      </c>
      <c r="F86" t="str">
        <f>IFERROR(Data2022[[#This Row],[Number of members]]-Data2022[[#This Row],[Number of active members]], "N/A")</f>
        <v>N/A</v>
      </c>
      <c r="G86" t="str">
        <f>IFERROR(Data2022[[#This Row],[Number of active members]]/Data2022[[#This Row],[Number of members]], "N/A")</f>
        <v>N/A</v>
      </c>
      <c r="H86" t="str">
        <f>IFERROR(1-Data2022[[#This Row],[Percentage active members]],"N/A")</f>
        <v>N/A</v>
      </c>
      <c r="I86" t="str">
        <f>IF(Data2022[[#This Row],[Number of members]]=0,"N/A",IF(Data2022[[#This Row],[Number of members]]&lt;50," A. 1 - 50 ",IF(Data2022[[#This Row],[Number of members]]&lt;100, "B. 50 - 100", IF(Data2022[[#This Row],[Number of members]]&lt;400, "C. 100 - 400", IF(Data2022[[#This Row],[Number of members]]&lt;1000,"D. 400 - 1000", "E. 1000 +")))))</f>
        <v>E. 1000 +</v>
      </c>
      <c r="J86" t="str">
        <f>IF(ISBLANK(General2022[[#This Row],[number_of_international_members_not_eea]]),"N/A",VLOOKUP(A86,General2022[[organisation_name]:[number_of_international_committee_board_members_not_eea]],9,FALSE))</f>
        <v>N/A</v>
      </c>
      <c r="K86" t="str">
        <f>IF(ISBLANK(General2022[[#This Row],[number_of_international_members_eea]]),"N/A",VLOOKUP(A86,General2022[[organisation_name]:[number_of_international_committee_board_members_not_eea]],8,FALSE))</f>
        <v>N/A</v>
      </c>
      <c r="L86" t="str">
        <f>IFERROR(IF(Data2022[[#This Row],[Number of members]]-Data2022[[#This Row],[Non-EEA Total]]-Data2022[[#This Row],[EEA total]]&lt;1,"N/A", Data2022[[#This Row],[Number of members]]-Data2022[[#This Row],[Non-EEA Total]]-Data2022[[#This Row],[EEA total]]),"N/A")</f>
        <v>N/A</v>
      </c>
      <c r="M86">
        <f>VLOOKUP(A86,General2022[[organisation_name]:[number_of_international_committee_board_members_not_eea]],12,FALSE)</f>
        <v>0</v>
      </c>
      <c r="N86">
        <f>VLOOKUP(A86,General2022[[organisation_name]:[number_of_international_committee_board_members_not_eea]],11,FALSE)</f>
        <v>0</v>
      </c>
      <c r="O86" t="str">
        <f>IFERROR(IF(Data2022[[#This Row],[Number of active members]]-Data2022[[#This Row],[Non-EEA Active ]]-Data2022[[#This Row],[EEA Active]]&lt;1,"N/A", Data2022[[#This Row],[Number of active members]]-Data2022[[#This Row],[Non-EEA Active ]]-Data2022[[#This Row],[EEA Active]]),"N/A")</f>
        <v>N/A</v>
      </c>
      <c r="P86" t="str">
        <f>IFERROR(Data2022[[#This Row],[Non-EEA Active ]]/Data2022[[#This Row],[Number of active members]],"N/A")</f>
        <v>N/A</v>
      </c>
      <c r="Q86" t="str">
        <f>IFERROR(Data2022[[#This Row],[EEA Active]]/Data2022[[#This Row],[EEA total]], "N/A")</f>
        <v>N/A</v>
      </c>
      <c r="R86" t="str">
        <f>IFERROR(Data2022[[#This Row],[Dutch Active]]/Data2022[[#This Row],[Dutch total]],"N/A")</f>
        <v>N/A</v>
      </c>
      <c r="S86" t="str">
        <f>IFERROR(IF(Data2022[[#This Row],[Number of members]]=Data2022[[#This Row],[Non-EEA Total]]+Data2022[[#This Row],[EEA total]]+Data2022[[#This Row],[Dutch total]],"T","F"),"F")</f>
        <v>F</v>
      </c>
      <c r="T86" t="str">
        <f>IFERROR(IF(Data2022[[#This Row],[Number of active members]]=Data2022[[#This Row],[Non-EEA Active ]]+Data2022[[#This Row],[EEA Active]]+Data2022[[#This Row],[Dutch Active]],"T","F"),"F")</f>
        <v>F</v>
      </c>
      <c r="U86" t="str">
        <f>IFERROR(IF(Data2022[[#This Row],[Number of members]]-Data2022[[#This Row],[Non-EEA Active ]]-Data2022[[#This Row],[EEA Active]]-Data2022[[#This Row],[Dutch Active]]=Data2022[[#This Row],[Number of  inactive members]],"T","F"),"F")</f>
        <v>F</v>
      </c>
      <c r="V86" t="str">
        <f>IF(Data2022[[#This Row],[EEA Active]]&lt;=Data2022[[#This Row],[EEA total]],"T","F")</f>
        <v>T</v>
      </c>
      <c r="W86" t="str">
        <f>IF(Data2022[[#This Row],[Dutch Active]]&lt;=Data2022[[#This Row],[Dutch total]],"T","F")</f>
        <v>T</v>
      </c>
      <c r="X86" t="str">
        <f>IF(Data2022[[#This Row],[Non-EEA Active ]]&lt;=Data2022[[#This Row],[Non-EEA Total]],"T","F")</f>
        <v>T</v>
      </c>
      <c r="Y8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6" t="str">
        <f>IFERROR(VLOOKUP(Data2022[[#This Row],[organisation_name]],'Division Study Year Committees'!$A$1:$L$108,2,FALSE),"N/A")</f>
        <v>N/A</v>
      </c>
      <c r="AA86" t="str">
        <f>IFERROR(VLOOKUP(Data2022[[#This Row],[organisation_name]],'Division Study Year Committees'!$A$1:$L$108,3,FALSE),"N/A")</f>
        <v>N/A</v>
      </c>
      <c r="AB86" t="str">
        <f>IFERROR(VLOOKUP(Data2022[[#This Row],[organisation_name]],'Division Study Year Committees'!$A$1:$L$108,4,FALSE),"N/A")</f>
        <v>N/A</v>
      </c>
      <c r="AC86" t="str">
        <f>IFERROR(VLOOKUP(Data2022[[#This Row],[organisation_name]],'Division Study Year Committees'!$A$1:$L$108,5,FALSE), "N/A")</f>
        <v>N/A</v>
      </c>
      <c r="AD86" t="str">
        <f>IFERROR(VLOOKUP(Data2022[[#This Row],[organisation_name]],'Division Study Year Committees'!$A$1:$L$108,6,FALSE), "N/A")</f>
        <v>N/A</v>
      </c>
      <c r="AE86">
        <f>SUM(Data2022[[#This Row],[Number of first year comittee members]:[Number of 4+ year comittee members]])</f>
        <v>0</v>
      </c>
      <c r="AF86">
        <f>COUNTIF('Committee2022'!D:D,Data2022[[#This Row],[organisation_name]])</f>
        <v>0</v>
      </c>
      <c r="AG86">
        <v>2022</v>
      </c>
    </row>
    <row r="87" spans="1:33" x14ac:dyDescent="0.3">
      <c r="A87" t="str">
        <f>General2022[[#This Row],[organisation_name]]</f>
        <v>ISA AT UT</v>
      </c>
      <c r="B87" t="str">
        <f>IF(General2022[[#This Row],[sector]]= "",VLOOKUP(Data2022[[#This Row],[organisation_name]],'Response Rate sheet'!A:D,3,FALSE),General2022[[#This Row],[sector]])</f>
        <v>World</v>
      </c>
      <c r="C87" t="str">
        <f>General2022[[#This Row],[organisation_type]]</f>
        <v>association</v>
      </c>
      <c r="D87" t="str">
        <f>IF(ISBLANK(General2022[[#This Row],[number_of_members]]),"N/A",VLOOKUP(A87,General2022[[organisation_name]:[number_of_international_committee_board_members_not_eea]],6,FALSE))</f>
        <v>N/A</v>
      </c>
      <c r="E87" t="str">
        <f>IF(ISBLANK(General2022[[#This Row],[number_of_committee_board_members]]),"N/A",VLOOKUP(A87,General2022!B:M,10,FALSE))</f>
        <v>N/A</v>
      </c>
      <c r="F87" t="str">
        <f>IFERROR(Data2022[[#This Row],[Number of members]]-Data2022[[#This Row],[Number of active members]], "N/A")</f>
        <v>N/A</v>
      </c>
      <c r="G87" t="str">
        <f>IFERROR(Data2022[[#This Row],[Number of active members]]/Data2022[[#This Row],[Number of members]], "N/A")</f>
        <v>N/A</v>
      </c>
      <c r="H87" t="str">
        <f>IFERROR(1-Data2022[[#This Row],[Percentage active members]],"N/A")</f>
        <v>N/A</v>
      </c>
      <c r="I87" t="str">
        <f>IF(Data2022[[#This Row],[Number of members]]=0,"N/A",IF(Data2022[[#This Row],[Number of members]]&lt;50," A. 1 - 50 ",IF(Data2022[[#This Row],[Number of members]]&lt;100, "B. 50 - 100", IF(Data2022[[#This Row],[Number of members]]&lt;400, "C. 100 - 400", IF(Data2022[[#This Row],[Number of members]]&lt;1000,"D. 400 - 1000", "E. 1000 +")))))</f>
        <v>E. 1000 +</v>
      </c>
      <c r="J87" t="str">
        <f>IF(ISBLANK(General2022[[#This Row],[number_of_international_members_not_eea]]),"N/A",VLOOKUP(A87,General2022[[organisation_name]:[number_of_international_committee_board_members_not_eea]],9,FALSE))</f>
        <v>N/A</v>
      </c>
      <c r="K87" t="str">
        <f>IF(ISBLANK(General2022[[#This Row],[number_of_international_members_eea]]),"N/A",VLOOKUP(A87,General2022[[organisation_name]:[number_of_international_committee_board_members_not_eea]],8,FALSE))</f>
        <v>N/A</v>
      </c>
      <c r="L87" t="str">
        <f>IFERROR(IF(Data2022[[#This Row],[Number of members]]-Data2022[[#This Row],[Non-EEA Total]]-Data2022[[#This Row],[EEA total]]&lt;1,"N/A", Data2022[[#This Row],[Number of members]]-Data2022[[#This Row],[Non-EEA Total]]-Data2022[[#This Row],[EEA total]]),"N/A")</f>
        <v>N/A</v>
      </c>
      <c r="M87">
        <f>VLOOKUP(A87,General2022[[organisation_name]:[number_of_international_committee_board_members_not_eea]],12,FALSE)</f>
        <v>0</v>
      </c>
      <c r="N87">
        <f>VLOOKUP(A87,General2022[[organisation_name]:[number_of_international_committee_board_members_not_eea]],11,FALSE)</f>
        <v>0</v>
      </c>
      <c r="O87" t="str">
        <f>IFERROR(IF(Data2022[[#This Row],[Number of active members]]-Data2022[[#This Row],[Non-EEA Active ]]-Data2022[[#This Row],[EEA Active]]&lt;1,"N/A", Data2022[[#This Row],[Number of active members]]-Data2022[[#This Row],[Non-EEA Active ]]-Data2022[[#This Row],[EEA Active]]),"N/A")</f>
        <v>N/A</v>
      </c>
      <c r="P87" t="str">
        <f>IFERROR(Data2022[[#This Row],[Non-EEA Active ]]/Data2022[[#This Row],[Number of active members]],"N/A")</f>
        <v>N/A</v>
      </c>
      <c r="Q87" t="str">
        <f>IFERROR(Data2022[[#This Row],[EEA Active]]/Data2022[[#This Row],[EEA total]], "N/A")</f>
        <v>N/A</v>
      </c>
      <c r="R87" t="str">
        <f>IFERROR(Data2022[[#This Row],[Dutch Active]]/Data2022[[#This Row],[Dutch total]],"N/A")</f>
        <v>N/A</v>
      </c>
      <c r="S87" t="str">
        <f>IFERROR(IF(Data2022[[#This Row],[Number of members]]=Data2022[[#This Row],[Non-EEA Total]]+Data2022[[#This Row],[EEA total]]+Data2022[[#This Row],[Dutch total]],"T","F"),"F")</f>
        <v>F</v>
      </c>
      <c r="T87" t="str">
        <f>IFERROR(IF(Data2022[[#This Row],[Number of active members]]=Data2022[[#This Row],[Non-EEA Active ]]+Data2022[[#This Row],[EEA Active]]+Data2022[[#This Row],[Dutch Active]],"T","F"),"F")</f>
        <v>F</v>
      </c>
      <c r="U87" t="str">
        <f>IFERROR(IF(Data2022[[#This Row],[Number of members]]-Data2022[[#This Row],[Non-EEA Active ]]-Data2022[[#This Row],[EEA Active]]-Data2022[[#This Row],[Dutch Active]]=Data2022[[#This Row],[Number of  inactive members]],"T","F"),"F")</f>
        <v>F</v>
      </c>
      <c r="V87" t="str">
        <f>IF(Data2022[[#This Row],[EEA Active]]&lt;=Data2022[[#This Row],[EEA total]],"T","F")</f>
        <v>T</v>
      </c>
      <c r="W87" t="str">
        <f>IF(Data2022[[#This Row],[Dutch Active]]&lt;=Data2022[[#This Row],[Dutch total]],"T","F")</f>
        <v>T</v>
      </c>
      <c r="X87" t="str">
        <f>IF(Data2022[[#This Row],[Non-EEA Active ]]&lt;=Data2022[[#This Row],[Non-EEA Total]],"T","F")</f>
        <v>T</v>
      </c>
      <c r="Y8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7" t="str">
        <f>IFERROR(VLOOKUP(Data2022[[#This Row],[organisation_name]],'Division Study Year Committees'!$A$1:$L$108,2,FALSE),"N/A")</f>
        <v>N/A</v>
      </c>
      <c r="AA87" t="str">
        <f>IFERROR(VLOOKUP(Data2022[[#This Row],[organisation_name]],'Division Study Year Committees'!$A$1:$L$108,3,FALSE),"N/A")</f>
        <v>N/A</v>
      </c>
      <c r="AB87" t="str">
        <f>IFERROR(VLOOKUP(Data2022[[#This Row],[organisation_name]],'Division Study Year Committees'!$A$1:$L$108,4,FALSE),"N/A")</f>
        <v>N/A</v>
      </c>
      <c r="AC87" t="str">
        <f>IFERROR(VLOOKUP(Data2022[[#This Row],[organisation_name]],'Division Study Year Committees'!$A$1:$L$108,5,FALSE), "N/A")</f>
        <v>N/A</v>
      </c>
      <c r="AD87" t="str">
        <f>IFERROR(VLOOKUP(Data2022[[#This Row],[organisation_name]],'Division Study Year Committees'!$A$1:$L$108,6,FALSE), "N/A")</f>
        <v>N/A</v>
      </c>
      <c r="AE87">
        <f>SUM(Data2022[[#This Row],[Number of first year comittee members]:[Number of 4+ year comittee members]])</f>
        <v>0</v>
      </c>
      <c r="AF87">
        <f>COUNTIF('Committee2022'!D:D,Data2022[[#This Row],[organisation_name]])</f>
        <v>0</v>
      </c>
      <c r="AG87">
        <v>2022</v>
      </c>
    </row>
    <row r="88" spans="1:33" x14ac:dyDescent="0.3">
      <c r="A88" t="str">
        <f>General2022[[#This Row],[organisation_name]]</f>
        <v>Student Union</v>
      </c>
      <c r="B88" t="str">
        <f>IF(General2022[[#This Row],[sector]]= "",VLOOKUP(Data2022[[#This Row],[organisation_name]],'Response Rate sheet'!A:D,3,FALSE),General2022[[#This Row],[sector]])</f>
        <v>Other</v>
      </c>
      <c r="C88" t="str">
        <f>General2022[[#This Row],[organisation_type]]</f>
        <v>foundation</v>
      </c>
      <c r="D88">
        <f>IF(ISBLANK(General2022[[#This Row],[number_of_members]]),"N/A",VLOOKUP(A88,General2022[[organisation_name]:[number_of_international_committee_board_members_not_eea]],6,FALSE))</f>
        <v>6</v>
      </c>
      <c r="E88">
        <f>IF(ISBLANK(General2022[[#This Row],[number_of_committee_board_members]]),"N/A",VLOOKUP(A88,General2022!B:M,10,FALSE))</f>
        <v>0</v>
      </c>
      <c r="F88">
        <f>IFERROR(Data2022[[#This Row],[Number of members]]-Data2022[[#This Row],[Number of active members]], "N/A")</f>
        <v>6</v>
      </c>
      <c r="G88">
        <f>IFERROR(Data2022[[#This Row],[Number of active members]]/Data2022[[#This Row],[Number of members]], "N/A")</f>
        <v>0</v>
      </c>
      <c r="H88">
        <f>IFERROR(1-Data2022[[#This Row],[Percentage active members]],"N/A")</f>
        <v>1</v>
      </c>
      <c r="I88"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88">
        <f>IF(ISBLANK(General2022[[#This Row],[number_of_international_members_not_eea]]),"N/A",VLOOKUP(A88,General2022[[organisation_name]:[number_of_international_committee_board_members_not_eea]],9,FALSE))</f>
        <v>0</v>
      </c>
      <c r="K88">
        <f>IF(ISBLANK(General2022[[#This Row],[number_of_international_members_eea]]),"N/A",VLOOKUP(A88,General2022[[organisation_name]:[number_of_international_committee_board_members_not_eea]],8,FALSE))</f>
        <v>0</v>
      </c>
      <c r="L88">
        <f>IFERROR(IF(Data2022[[#This Row],[Number of members]]-Data2022[[#This Row],[Non-EEA Total]]-Data2022[[#This Row],[EEA total]]&lt;1,"N/A", Data2022[[#This Row],[Number of members]]-Data2022[[#This Row],[Non-EEA Total]]-Data2022[[#This Row],[EEA total]]),"N/A")</f>
        <v>6</v>
      </c>
      <c r="M88">
        <f>VLOOKUP(A88,General2022[[organisation_name]:[number_of_international_committee_board_members_not_eea]],12,FALSE)</f>
        <v>0</v>
      </c>
      <c r="N88">
        <f>VLOOKUP(A88,General2022[[organisation_name]:[number_of_international_committee_board_members_not_eea]],11,FALSE)</f>
        <v>0</v>
      </c>
      <c r="O88" t="str">
        <f>IFERROR(IF(Data2022[[#This Row],[Number of active members]]-Data2022[[#This Row],[Non-EEA Active ]]-Data2022[[#This Row],[EEA Active]]&lt;1,"N/A", Data2022[[#This Row],[Number of active members]]-Data2022[[#This Row],[Non-EEA Active ]]-Data2022[[#This Row],[EEA Active]]),"N/A")</f>
        <v>N/A</v>
      </c>
      <c r="P88" t="str">
        <f>IFERROR(Data2022[[#This Row],[Non-EEA Active ]]/Data2022[[#This Row],[Number of active members]],"N/A")</f>
        <v>N/A</v>
      </c>
      <c r="Q88" t="str">
        <f>IFERROR(Data2022[[#This Row],[EEA Active]]/Data2022[[#This Row],[EEA total]], "N/A")</f>
        <v>N/A</v>
      </c>
      <c r="R88" t="str">
        <f>IFERROR(Data2022[[#This Row],[Dutch Active]]/Data2022[[#This Row],[Dutch total]],"N/A")</f>
        <v>N/A</v>
      </c>
      <c r="S88" t="str">
        <f>IFERROR(IF(Data2022[[#This Row],[Number of members]]=Data2022[[#This Row],[Non-EEA Total]]+Data2022[[#This Row],[EEA total]]+Data2022[[#This Row],[Dutch total]],"T","F"),"F")</f>
        <v>T</v>
      </c>
      <c r="T88" t="str">
        <f>IFERROR(IF(Data2022[[#This Row],[Number of active members]]=Data2022[[#This Row],[Non-EEA Active ]]+Data2022[[#This Row],[EEA Active]]+Data2022[[#This Row],[Dutch Active]],"T","F"),"F")</f>
        <v>F</v>
      </c>
      <c r="U88" t="str">
        <f>IFERROR(IF(Data2022[[#This Row],[Number of members]]-Data2022[[#This Row],[Non-EEA Active ]]-Data2022[[#This Row],[EEA Active]]-Data2022[[#This Row],[Dutch Active]]=Data2022[[#This Row],[Number of  inactive members]],"T","F"),"F")</f>
        <v>F</v>
      </c>
      <c r="V88" t="str">
        <f>IF(Data2022[[#This Row],[EEA Active]]&lt;=Data2022[[#This Row],[EEA total]],"T","F")</f>
        <v>T</v>
      </c>
      <c r="W88" t="str">
        <f>IF(Data2022[[#This Row],[Dutch Active]]&lt;=Data2022[[#This Row],[Dutch total]],"T","F")</f>
        <v>F</v>
      </c>
      <c r="X88" t="str">
        <f>IF(Data2022[[#This Row],[Non-EEA Active ]]&lt;=Data2022[[#This Row],[Non-EEA Total]],"T","F")</f>
        <v>T</v>
      </c>
      <c r="Y8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8">
        <f>IFERROR(VLOOKUP(Data2022[[#This Row],[organisation_name]],'Division Study Year Committees'!$A$1:$L$108,2,FALSE),"N/A")</f>
        <v>0</v>
      </c>
      <c r="AA88">
        <f>IFERROR(VLOOKUP(Data2022[[#This Row],[organisation_name]],'Division Study Year Committees'!$A$1:$L$108,3,FALSE),"N/A")</f>
        <v>5</v>
      </c>
      <c r="AB88">
        <f>IFERROR(VLOOKUP(Data2022[[#This Row],[organisation_name]],'Division Study Year Committees'!$A$1:$L$108,4,FALSE),"N/A")</f>
        <v>12</v>
      </c>
      <c r="AC88">
        <f>IFERROR(VLOOKUP(Data2022[[#This Row],[organisation_name]],'Division Study Year Committees'!$A$1:$L$108,5,FALSE), "N/A")</f>
        <v>8</v>
      </c>
      <c r="AD88">
        <f>IFERROR(VLOOKUP(Data2022[[#This Row],[organisation_name]],'Division Study Year Committees'!$A$1:$L$108,6,FALSE), "N/A")</f>
        <v>1</v>
      </c>
      <c r="AE88">
        <f>SUM(Data2022[[#This Row],[Number of first year comittee members]:[Number of 4+ year comittee members]])</f>
        <v>26</v>
      </c>
      <c r="AF88">
        <f>COUNTIF('Committee2022'!D:D,Data2022[[#This Row],[organisation_name]])</f>
        <v>5</v>
      </c>
      <c r="AG88">
        <v>2022</v>
      </c>
    </row>
    <row r="89" spans="1:33" x14ac:dyDescent="0.3">
      <c r="A89" t="str">
        <f>General2022[[#This Row],[organisation_name]]</f>
        <v>LA Voz</v>
      </c>
      <c r="B89" t="str">
        <f>IF(General2022[[#This Row],[sector]]= "",VLOOKUP(Data2022[[#This Row],[organisation_name]],'Response Rate sheet'!A:D,3,FALSE),General2022[[#This Row],[sector]])</f>
        <v>Culture</v>
      </c>
      <c r="C89" t="str">
        <f>General2022[[#This Row],[organisation_type]]</f>
        <v>association</v>
      </c>
      <c r="D89">
        <f>IF(ISBLANK(General2022[[#This Row],[number_of_members]]),"N/A",VLOOKUP(A89,General2022[[organisation_name]:[number_of_international_committee_board_members_not_eea]],6,FALSE))</f>
        <v>5</v>
      </c>
      <c r="E89">
        <f>IF(ISBLANK(General2022[[#This Row],[number_of_committee_board_members]]),"N/A",VLOOKUP(A89,General2022!B:M,10,FALSE))</f>
        <v>2</v>
      </c>
      <c r="F89">
        <f>IFERROR(Data2022[[#This Row],[Number of members]]-Data2022[[#This Row],[Number of active members]], "N/A")</f>
        <v>3</v>
      </c>
      <c r="G89">
        <f>IFERROR(Data2022[[#This Row],[Number of active members]]/Data2022[[#This Row],[Number of members]], "N/A")</f>
        <v>0.4</v>
      </c>
      <c r="H89">
        <f>IFERROR(1-Data2022[[#This Row],[Percentage active members]],"N/A")</f>
        <v>0.6</v>
      </c>
      <c r="I8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89">
        <f>IF(ISBLANK(General2022[[#This Row],[number_of_international_members_not_eea]]),"N/A",VLOOKUP(A89,General2022[[organisation_name]:[number_of_international_committee_board_members_not_eea]],9,FALSE))</f>
        <v>5</v>
      </c>
      <c r="K89">
        <f>IF(ISBLANK(General2022[[#This Row],[number_of_international_members_eea]]),"N/A",VLOOKUP(A89,General2022[[organisation_name]:[number_of_international_committee_board_members_not_eea]],8,FALSE))</f>
        <v>4</v>
      </c>
      <c r="L89" t="str">
        <f>IFERROR(IF(Data2022[[#This Row],[Number of members]]-Data2022[[#This Row],[Non-EEA Total]]-Data2022[[#This Row],[EEA total]]&lt;1,"N/A", Data2022[[#This Row],[Number of members]]-Data2022[[#This Row],[Non-EEA Total]]-Data2022[[#This Row],[EEA total]]),"N/A")</f>
        <v>N/A</v>
      </c>
      <c r="M89">
        <f>VLOOKUP(A89,General2022[[organisation_name]:[number_of_international_committee_board_members_not_eea]],12,FALSE)</f>
        <v>4</v>
      </c>
      <c r="N89">
        <f>VLOOKUP(A89,General2022[[organisation_name]:[number_of_international_committee_board_members_not_eea]],11,FALSE)</f>
        <v>1</v>
      </c>
      <c r="O89" t="str">
        <f>IFERROR(IF(Data2022[[#This Row],[Number of active members]]-Data2022[[#This Row],[Non-EEA Active ]]-Data2022[[#This Row],[EEA Active]]&lt;1,"N/A", Data2022[[#This Row],[Number of active members]]-Data2022[[#This Row],[Non-EEA Active ]]-Data2022[[#This Row],[EEA Active]]),"N/A")</f>
        <v>N/A</v>
      </c>
      <c r="P89">
        <f>IFERROR(Data2022[[#This Row],[Non-EEA Active ]]/Data2022[[#This Row],[Number of active members]],"N/A")</f>
        <v>2</v>
      </c>
      <c r="Q89">
        <f>IFERROR(Data2022[[#This Row],[EEA Active]]/Data2022[[#This Row],[EEA total]], "N/A")</f>
        <v>0.25</v>
      </c>
      <c r="R89" t="str">
        <f>IFERROR(Data2022[[#This Row],[Dutch Active]]/Data2022[[#This Row],[Dutch total]],"N/A")</f>
        <v>N/A</v>
      </c>
      <c r="S89" t="str">
        <f>IFERROR(IF(Data2022[[#This Row],[Number of members]]=Data2022[[#This Row],[Non-EEA Total]]+Data2022[[#This Row],[EEA total]]+Data2022[[#This Row],[Dutch total]],"T","F"),"F")</f>
        <v>F</v>
      </c>
      <c r="T89" t="str">
        <f>IFERROR(IF(Data2022[[#This Row],[Number of active members]]=Data2022[[#This Row],[Non-EEA Active ]]+Data2022[[#This Row],[EEA Active]]+Data2022[[#This Row],[Dutch Active]],"T","F"),"F")</f>
        <v>F</v>
      </c>
      <c r="U89" t="str">
        <f>IFERROR(IF(Data2022[[#This Row],[Number of members]]-Data2022[[#This Row],[Non-EEA Active ]]-Data2022[[#This Row],[EEA Active]]-Data2022[[#This Row],[Dutch Active]]=Data2022[[#This Row],[Number of  inactive members]],"T","F"),"F")</f>
        <v>F</v>
      </c>
      <c r="V89" t="str">
        <f>IF(Data2022[[#This Row],[EEA Active]]&lt;=Data2022[[#This Row],[EEA total]],"T","F")</f>
        <v>T</v>
      </c>
      <c r="W89" t="str">
        <f>IF(Data2022[[#This Row],[Dutch Active]]&lt;=Data2022[[#This Row],[Dutch total]],"T","F")</f>
        <v>T</v>
      </c>
      <c r="X89" t="str">
        <f>IF(Data2022[[#This Row],[Non-EEA Active ]]&lt;=Data2022[[#This Row],[Non-EEA Total]],"T","F")</f>
        <v>T</v>
      </c>
      <c r="Y8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89" t="str">
        <f>IFERROR(VLOOKUP(Data2022[[#This Row],[organisation_name]],'Division Study Year Committees'!$A$1:$L$108,2,FALSE),"N/A")</f>
        <v>N/A</v>
      </c>
      <c r="AA89" t="str">
        <f>IFERROR(VLOOKUP(Data2022[[#This Row],[organisation_name]],'Division Study Year Committees'!$A$1:$L$108,3,FALSE),"N/A")</f>
        <v>N/A</v>
      </c>
      <c r="AB89" t="str">
        <f>IFERROR(VLOOKUP(Data2022[[#This Row],[organisation_name]],'Division Study Year Committees'!$A$1:$L$108,4,FALSE),"N/A")</f>
        <v>N/A</v>
      </c>
      <c r="AC89" t="str">
        <f>IFERROR(VLOOKUP(Data2022[[#This Row],[organisation_name]],'Division Study Year Committees'!$A$1:$L$108,5,FALSE), "N/A")</f>
        <v>N/A</v>
      </c>
      <c r="AD89" t="str">
        <f>IFERROR(VLOOKUP(Data2022[[#This Row],[organisation_name]],'Division Study Year Committees'!$A$1:$L$108,6,FALSE), "N/A")</f>
        <v>N/A</v>
      </c>
      <c r="AE89">
        <f>SUM(Data2022[[#This Row],[Number of first year comittee members]:[Number of 4+ year comittee members]])</f>
        <v>0</v>
      </c>
      <c r="AF89">
        <f>COUNTIF('Committee2022'!D:D,Data2022[[#This Row],[organisation_name]])</f>
        <v>1</v>
      </c>
      <c r="AG89">
        <v>2022</v>
      </c>
    </row>
    <row r="90" spans="1:33" x14ac:dyDescent="0.3">
      <c r="A90" t="str">
        <f>General2022[[#This Row],[organisation_name]]</f>
        <v>ESN Twente</v>
      </c>
      <c r="B90" t="str">
        <f>IF(General2022[[#This Row],[sector]]= "",VLOOKUP(Data2022[[#This Row],[organisation_name]],'Response Rate sheet'!A:D,3,FALSE),General2022[[#This Row],[sector]])</f>
        <v>World</v>
      </c>
      <c r="C90" t="str">
        <f>General2022[[#This Row],[organisation_type]]</f>
        <v>foundation</v>
      </c>
      <c r="D90">
        <f>IF(ISBLANK(General2022[[#This Row],[number_of_members]]),"N/A",VLOOKUP(A90,General2022[[organisation_name]:[number_of_international_committee_board_members_not_eea]],6,FALSE))</f>
        <v>800</v>
      </c>
      <c r="E90">
        <f>IF(ISBLANK(General2022[[#This Row],[number_of_committee_board_members]]),"N/A",VLOOKUP(A90,General2022!B:M,10,FALSE))</f>
        <v>0</v>
      </c>
      <c r="F90">
        <f>IFERROR(Data2022[[#This Row],[Number of members]]-Data2022[[#This Row],[Number of active members]], "N/A")</f>
        <v>800</v>
      </c>
      <c r="G90">
        <f>IFERROR(Data2022[[#This Row],[Number of active members]]/Data2022[[#This Row],[Number of members]], "N/A")</f>
        <v>0</v>
      </c>
      <c r="H90">
        <f>IFERROR(1-Data2022[[#This Row],[Percentage active members]],"N/A")</f>
        <v>1</v>
      </c>
      <c r="I90" t="str">
        <f>IF(Data2022[[#This Row],[Number of members]]=0,"N/A",IF(Data2022[[#This Row],[Number of members]]&lt;50," A. 1 - 50 ",IF(Data2022[[#This Row],[Number of members]]&lt;100, "B. 50 - 100", IF(Data2022[[#This Row],[Number of members]]&lt;400, "C. 100 - 400", IF(Data2022[[#This Row],[Number of members]]&lt;1000,"D. 400 - 1000", "E. 1000 +")))))</f>
        <v>D. 400 - 1000</v>
      </c>
      <c r="J90">
        <f>IF(ISBLANK(General2022[[#This Row],[number_of_international_members_not_eea]]),"N/A",VLOOKUP(A90,General2022[[organisation_name]:[number_of_international_committee_board_members_not_eea]],9,FALSE))</f>
        <v>0</v>
      </c>
      <c r="K90">
        <f>IF(ISBLANK(General2022[[#This Row],[number_of_international_members_eea]]),"N/A",VLOOKUP(A90,General2022[[organisation_name]:[number_of_international_committee_board_members_not_eea]],8,FALSE))</f>
        <v>350</v>
      </c>
      <c r="L90">
        <f>IFERROR(IF(Data2022[[#This Row],[Number of members]]-Data2022[[#This Row],[Non-EEA Total]]-Data2022[[#This Row],[EEA total]]&lt;1,"N/A", Data2022[[#This Row],[Number of members]]-Data2022[[#This Row],[Non-EEA Total]]-Data2022[[#This Row],[EEA total]]),"N/A")</f>
        <v>450</v>
      </c>
      <c r="M90">
        <f>VLOOKUP(A90,General2022[[organisation_name]:[number_of_international_committee_board_members_not_eea]],12,FALSE)</f>
        <v>0</v>
      </c>
      <c r="N90">
        <f>VLOOKUP(A90,General2022[[organisation_name]:[number_of_international_committee_board_members_not_eea]],11,FALSE)</f>
        <v>0</v>
      </c>
      <c r="O90" t="str">
        <f>IFERROR(IF(Data2022[[#This Row],[Number of active members]]-Data2022[[#This Row],[Non-EEA Active ]]-Data2022[[#This Row],[EEA Active]]&lt;1,"N/A", Data2022[[#This Row],[Number of active members]]-Data2022[[#This Row],[Non-EEA Active ]]-Data2022[[#This Row],[EEA Active]]),"N/A")</f>
        <v>N/A</v>
      </c>
      <c r="P90" t="str">
        <f>IFERROR(Data2022[[#This Row],[Non-EEA Active ]]/Data2022[[#This Row],[Number of active members]],"N/A")</f>
        <v>N/A</v>
      </c>
      <c r="Q90">
        <f>IFERROR(Data2022[[#This Row],[EEA Active]]/Data2022[[#This Row],[EEA total]], "N/A")</f>
        <v>0</v>
      </c>
      <c r="R90" t="str">
        <f>IFERROR(Data2022[[#This Row],[Dutch Active]]/Data2022[[#This Row],[Dutch total]],"N/A")</f>
        <v>N/A</v>
      </c>
      <c r="S90" t="str">
        <f>IFERROR(IF(Data2022[[#This Row],[Number of members]]=Data2022[[#This Row],[Non-EEA Total]]+Data2022[[#This Row],[EEA total]]+Data2022[[#This Row],[Dutch total]],"T","F"),"F")</f>
        <v>T</v>
      </c>
      <c r="T90" t="str">
        <f>IFERROR(IF(Data2022[[#This Row],[Number of active members]]=Data2022[[#This Row],[Non-EEA Active ]]+Data2022[[#This Row],[EEA Active]]+Data2022[[#This Row],[Dutch Active]],"T","F"),"F")</f>
        <v>F</v>
      </c>
      <c r="U90" t="str">
        <f>IFERROR(IF(Data2022[[#This Row],[Number of members]]-Data2022[[#This Row],[Non-EEA Active ]]-Data2022[[#This Row],[EEA Active]]-Data2022[[#This Row],[Dutch Active]]=Data2022[[#This Row],[Number of  inactive members]],"T","F"),"F")</f>
        <v>F</v>
      </c>
      <c r="V90" t="str">
        <f>IF(Data2022[[#This Row],[EEA Active]]&lt;=Data2022[[#This Row],[EEA total]],"T","F")</f>
        <v>T</v>
      </c>
      <c r="W90" t="str">
        <f>IF(Data2022[[#This Row],[Dutch Active]]&lt;=Data2022[[#This Row],[Dutch total]],"T","F")</f>
        <v>F</v>
      </c>
      <c r="X90" t="str">
        <f>IF(Data2022[[#This Row],[Non-EEA Active ]]&lt;=Data2022[[#This Row],[Non-EEA Total]],"T","F")</f>
        <v>T</v>
      </c>
      <c r="Y9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0">
        <f>IFERROR(VLOOKUP(Data2022[[#This Row],[organisation_name]],'Division Study Year Committees'!$A$1:$L$108,2,FALSE),"N/A")</f>
        <v>0</v>
      </c>
      <c r="AA90">
        <f>IFERROR(VLOOKUP(Data2022[[#This Row],[organisation_name]],'Division Study Year Committees'!$A$1:$L$108,3,FALSE),"N/A")</f>
        <v>0</v>
      </c>
      <c r="AB90">
        <f>IFERROR(VLOOKUP(Data2022[[#This Row],[organisation_name]],'Division Study Year Committees'!$A$1:$L$108,4,FALSE),"N/A")</f>
        <v>2</v>
      </c>
      <c r="AC90">
        <f>IFERROR(VLOOKUP(Data2022[[#This Row],[organisation_name]],'Division Study Year Committees'!$A$1:$L$108,5,FALSE), "N/A")</f>
        <v>0</v>
      </c>
      <c r="AD90">
        <f>IFERROR(VLOOKUP(Data2022[[#This Row],[organisation_name]],'Division Study Year Committees'!$A$1:$L$108,6,FALSE), "N/A")</f>
        <v>0</v>
      </c>
      <c r="AE90">
        <f>SUM(Data2022[[#This Row],[Number of first year comittee members]:[Number of 4+ year comittee members]])</f>
        <v>2</v>
      </c>
      <c r="AF90">
        <f>COUNTIF('Committee2022'!D:D,Data2022[[#This Row],[organisation_name]])</f>
        <v>1</v>
      </c>
      <c r="AG90">
        <v>2022</v>
      </c>
    </row>
    <row r="91" spans="1:33" x14ac:dyDescent="0.3">
      <c r="A91" t="str">
        <f>General2022[[#This Row],[organisation_name]]</f>
        <v>ICF-E</v>
      </c>
      <c r="B91" t="str">
        <f>IF(General2022[[#This Row],[sector]]= "",VLOOKUP(Data2022[[#This Row],[organisation_name]],'Response Rate sheet'!A:D,3,FALSE),General2022[[#This Row],[sector]])</f>
        <v>World</v>
      </c>
      <c r="C91" t="str">
        <f>General2022[[#This Row],[organisation_type]]</f>
        <v>foundation</v>
      </c>
      <c r="D91">
        <f>IF(ISBLANK(General2022[[#This Row],[number_of_members]]),"N/A",VLOOKUP(A91,General2022[[organisation_name]:[number_of_international_committee_board_members_not_eea]],6,FALSE))</f>
        <v>100</v>
      </c>
      <c r="E91">
        <f>IF(ISBLANK(General2022[[#This Row],[number_of_committee_board_members]]),"N/A",VLOOKUP(A91,General2022!B:M,10,FALSE))</f>
        <v>0</v>
      </c>
      <c r="F91">
        <f>IFERROR(Data2022[[#This Row],[Number of members]]-Data2022[[#This Row],[Number of active members]], "N/A")</f>
        <v>100</v>
      </c>
      <c r="G91">
        <f>IFERROR(Data2022[[#This Row],[Number of active members]]/Data2022[[#This Row],[Number of members]], "N/A")</f>
        <v>0</v>
      </c>
      <c r="H91">
        <f>IFERROR(1-Data2022[[#This Row],[Percentage active members]],"N/A")</f>
        <v>1</v>
      </c>
      <c r="I91" t="str">
        <f>IF(Data2022[[#This Row],[Number of members]]=0,"N/A",IF(Data2022[[#This Row],[Number of members]]&lt;50," A. 1 - 50 ",IF(Data2022[[#This Row],[Number of members]]&lt;100, "B. 50 - 100", IF(Data2022[[#This Row],[Number of members]]&lt;400, "C. 100 - 400", IF(Data2022[[#This Row],[Number of members]]&lt;1000,"D. 400 - 1000", "E. 1000 +")))))</f>
        <v>C. 100 - 400</v>
      </c>
      <c r="J91">
        <f>IF(ISBLANK(General2022[[#This Row],[number_of_international_members_not_eea]]),"N/A",VLOOKUP(A91,General2022[[organisation_name]:[number_of_international_committee_board_members_not_eea]],9,FALSE))</f>
        <v>0</v>
      </c>
      <c r="K91">
        <f>IF(ISBLANK(General2022[[#This Row],[number_of_international_members_eea]]),"N/A",VLOOKUP(A91,General2022[[organisation_name]:[number_of_international_committee_board_members_not_eea]],8,FALSE))</f>
        <v>40</v>
      </c>
      <c r="L91">
        <f>IFERROR(IF(Data2022[[#This Row],[Number of members]]-Data2022[[#This Row],[Non-EEA Total]]-Data2022[[#This Row],[EEA total]]&lt;1,"N/A", Data2022[[#This Row],[Number of members]]-Data2022[[#This Row],[Non-EEA Total]]-Data2022[[#This Row],[EEA total]]),"N/A")</f>
        <v>60</v>
      </c>
      <c r="M91">
        <f>VLOOKUP(A91,General2022[[organisation_name]:[number_of_international_committee_board_members_not_eea]],12,FALSE)</f>
        <v>0</v>
      </c>
      <c r="N91">
        <f>VLOOKUP(A91,General2022[[organisation_name]:[number_of_international_committee_board_members_not_eea]],11,FALSE)</f>
        <v>0</v>
      </c>
      <c r="O91" t="str">
        <f>IFERROR(IF(Data2022[[#This Row],[Number of active members]]-Data2022[[#This Row],[Non-EEA Active ]]-Data2022[[#This Row],[EEA Active]]&lt;1,"N/A", Data2022[[#This Row],[Number of active members]]-Data2022[[#This Row],[Non-EEA Active ]]-Data2022[[#This Row],[EEA Active]]),"N/A")</f>
        <v>N/A</v>
      </c>
      <c r="P91" t="str">
        <f>IFERROR(Data2022[[#This Row],[Non-EEA Active ]]/Data2022[[#This Row],[Number of active members]],"N/A")</f>
        <v>N/A</v>
      </c>
      <c r="Q91">
        <f>IFERROR(Data2022[[#This Row],[EEA Active]]/Data2022[[#This Row],[EEA total]], "N/A")</f>
        <v>0</v>
      </c>
      <c r="R91" t="str">
        <f>IFERROR(Data2022[[#This Row],[Dutch Active]]/Data2022[[#This Row],[Dutch total]],"N/A")</f>
        <v>N/A</v>
      </c>
      <c r="S91" t="str">
        <f>IFERROR(IF(Data2022[[#This Row],[Number of members]]=Data2022[[#This Row],[Non-EEA Total]]+Data2022[[#This Row],[EEA total]]+Data2022[[#This Row],[Dutch total]],"T","F"),"F")</f>
        <v>T</v>
      </c>
      <c r="T91" t="str">
        <f>IFERROR(IF(Data2022[[#This Row],[Number of active members]]=Data2022[[#This Row],[Non-EEA Active ]]+Data2022[[#This Row],[EEA Active]]+Data2022[[#This Row],[Dutch Active]],"T","F"),"F")</f>
        <v>F</v>
      </c>
      <c r="U91" t="str">
        <f>IFERROR(IF(Data2022[[#This Row],[Number of members]]-Data2022[[#This Row],[Non-EEA Active ]]-Data2022[[#This Row],[EEA Active]]-Data2022[[#This Row],[Dutch Active]]=Data2022[[#This Row],[Number of  inactive members]],"T","F"),"F")</f>
        <v>F</v>
      </c>
      <c r="V91" t="str">
        <f>IF(Data2022[[#This Row],[EEA Active]]&lt;=Data2022[[#This Row],[EEA total]],"T","F")</f>
        <v>T</v>
      </c>
      <c r="W91" t="str">
        <f>IF(Data2022[[#This Row],[Dutch Active]]&lt;=Data2022[[#This Row],[Dutch total]],"T","F")</f>
        <v>F</v>
      </c>
      <c r="X91" t="str">
        <f>IF(Data2022[[#This Row],[Non-EEA Active ]]&lt;=Data2022[[#This Row],[Non-EEA Total]],"T","F")</f>
        <v>T</v>
      </c>
      <c r="Y9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1">
        <f>IFERROR(VLOOKUP(Data2022[[#This Row],[organisation_name]],'Division Study Year Committees'!$A$1:$L$108,2,FALSE),"N/A")</f>
        <v>5</v>
      </c>
      <c r="AA91">
        <f>IFERROR(VLOOKUP(Data2022[[#This Row],[organisation_name]],'Division Study Year Committees'!$A$1:$L$108,3,FALSE),"N/A")</f>
        <v>2</v>
      </c>
      <c r="AB91">
        <f>IFERROR(VLOOKUP(Data2022[[#This Row],[organisation_name]],'Division Study Year Committees'!$A$1:$L$108,4,FALSE),"N/A")</f>
        <v>1</v>
      </c>
      <c r="AC91">
        <f>IFERROR(VLOOKUP(Data2022[[#This Row],[organisation_name]],'Division Study Year Committees'!$A$1:$L$108,5,FALSE), "N/A")</f>
        <v>0</v>
      </c>
      <c r="AD91">
        <f>IFERROR(VLOOKUP(Data2022[[#This Row],[organisation_name]],'Division Study Year Committees'!$A$1:$L$108,6,FALSE), "N/A")</f>
        <v>10</v>
      </c>
      <c r="AE91">
        <f>SUM(Data2022[[#This Row],[Number of first year comittee members]:[Number of 4+ year comittee members]])</f>
        <v>18</v>
      </c>
      <c r="AF91">
        <f>COUNTIF('Committee2022'!D:D,Data2022[[#This Row],[organisation_name]])</f>
        <v>11</v>
      </c>
      <c r="AG91">
        <v>2022</v>
      </c>
    </row>
    <row r="92" spans="1:33" x14ac:dyDescent="0.3">
      <c r="A92" t="str">
        <f>General2022[[#This Row],[organisation_name]]</f>
        <v>PSA</v>
      </c>
      <c r="B92" t="str">
        <f>IF(General2022[[#This Row],[sector]]= "",VLOOKUP(Data2022[[#This Row],[organisation_name]],'Response Rate sheet'!A:D,3,FALSE),General2022[[#This Row],[sector]])</f>
        <v>world</v>
      </c>
      <c r="C92" t="str">
        <f>General2022[[#This Row],[organisation_type]]</f>
        <v>association</v>
      </c>
      <c r="D92" t="str">
        <f>IF(ISBLANK(General2022[[#This Row],[number_of_members]]),"N/A",VLOOKUP(A92,General2022[[organisation_name]:[number_of_international_committee_board_members_not_eea]],6,FALSE))</f>
        <v>N/A</v>
      </c>
      <c r="E92" t="str">
        <f>IF(ISBLANK(General2022[[#This Row],[number_of_committee_board_members]]),"N/A",VLOOKUP(A92,General2022!B:M,10,FALSE))</f>
        <v>N/A</v>
      </c>
      <c r="F92" t="str">
        <f>IFERROR(Data2022[[#This Row],[Number of members]]-Data2022[[#This Row],[Number of active members]], "N/A")</f>
        <v>N/A</v>
      </c>
      <c r="G92" t="str">
        <f>IFERROR(Data2022[[#This Row],[Number of active members]]/Data2022[[#This Row],[Number of members]], "N/A")</f>
        <v>N/A</v>
      </c>
      <c r="H92" t="str">
        <f>IFERROR(1-Data2022[[#This Row],[Percentage active members]],"N/A")</f>
        <v>N/A</v>
      </c>
      <c r="I92" t="str">
        <f>IF(Data2022[[#This Row],[Number of members]]=0,"N/A",IF(Data2022[[#This Row],[Number of members]]&lt;50," A. 1 - 50 ",IF(Data2022[[#This Row],[Number of members]]&lt;100, "B. 50 - 100", IF(Data2022[[#This Row],[Number of members]]&lt;400, "C. 100 - 400", IF(Data2022[[#This Row],[Number of members]]&lt;1000,"D. 400 - 1000", "E. 1000 +")))))</f>
        <v>E. 1000 +</v>
      </c>
      <c r="J92" t="str">
        <f>IF(ISBLANK(General2022[[#This Row],[number_of_international_members_not_eea]]),"N/A",VLOOKUP(A92,General2022[[organisation_name]:[number_of_international_committee_board_members_not_eea]],9,FALSE))</f>
        <v>N/A</v>
      </c>
      <c r="K92" t="str">
        <f>IF(ISBLANK(General2022[[#This Row],[number_of_international_members_eea]]),"N/A",VLOOKUP(A92,General2022[[organisation_name]:[number_of_international_committee_board_members_not_eea]],8,FALSE))</f>
        <v>N/A</v>
      </c>
      <c r="L92" t="str">
        <f>IFERROR(IF(Data2022[[#This Row],[Number of members]]-Data2022[[#This Row],[Non-EEA Total]]-Data2022[[#This Row],[EEA total]]&lt;1,"N/A", Data2022[[#This Row],[Number of members]]-Data2022[[#This Row],[Non-EEA Total]]-Data2022[[#This Row],[EEA total]]),"N/A")</f>
        <v>N/A</v>
      </c>
      <c r="M92">
        <f>VLOOKUP(A92,General2022[[organisation_name]:[number_of_international_committee_board_members_not_eea]],12,FALSE)</f>
        <v>0</v>
      </c>
      <c r="N92">
        <f>VLOOKUP(A92,General2022[[organisation_name]:[number_of_international_committee_board_members_not_eea]],11,FALSE)</f>
        <v>0</v>
      </c>
      <c r="O92" t="str">
        <f>IFERROR(IF(Data2022[[#This Row],[Number of active members]]-Data2022[[#This Row],[Non-EEA Active ]]-Data2022[[#This Row],[EEA Active]]&lt;1,"N/A", Data2022[[#This Row],[Number of active members]]-Data2022[[#This Row],[Non-EEA Active ]]-Data2022[[#This Row],[EEA Active]]),"N/A")</f>
        <v>N/A</v>
      </c>
      <c r="P92" t="str">
        <f>IFERROR(Data2022[[#This Row],[Non-EEA Active ]]/Data2022[[#This Row],[Number of active members]],"N/A")</f>
        <v>N/A</v>
      </c>
      <c r="Q92" t="str">
        <f>IFERROR(Data2022[[#This Row],[EEA Active]]/Data2022[[#This Row],[EEA total]], "N/A")</f>
        <v>N/A</v>
      </c>
      <c r="R92" t="str">
        <f>IFERROR(Data2022[[#This Row],[Dutch Active]]/Data2022[[#This Row],[Dutch total]],"N/A")</f>
        <v>N/A</v>
      </c>
      <c r="S92" t="str">
        <f>IFERROR(IF(Data2022[[#This Row],[Number of members]]=Data2022[[#This Row],[Non-EEA Total]]+Data2022[[#This Row],[EEA total]]+Data2022[[#This Row],[Dutch total]],"T","F"),"F")</f>
        <v>F</v>
      </c>
      <c r="T92" t="str">
        <f>IFERROR(IF(Data2022[[#This Row],[Number of active members]]=Data2022[[#This Row],[Non-EEA Active ]]+Data2022[[#This Row],[EEA Active]]+Data2022[[#This Row],[Dutch Active]],"T","F"),"F")</f>
        <v>F</v>
      </c>
      <c r="U92" t="str">
        <f>IFERROR(IF(Data2022[[#This Row],[Number of members]]-Data2022[[#This Row],[Non-EEA Active ]]-Data2022[[#This Row],[EEA Active]]-Data2022[[#This Row],[Dutch Active]]=Data2022[[#This Row],[Number of  inactive members]],"T","F"),"F")</f>
        <v>F</v>
      </c>
      <c r="V92" t="str">
        <f>IF(Data2022[[#This Row],[EEA Active]]&lt;=Data2022[[#This Row],[EEA total]],"T","F")</f>
        <v>T</v>
      </c>
      <c r="W92" t="str">
        <f>IF(Data2022[[#This Row],[Dutch Active]]&lt;=Data2022[[#This Row],[Dutch total]],"T","F")</f>
        <v>T</v>
      </c>
      <c r="X92" t="str">
        <f>IF(Data2022[[#This Row],[Non-EEA Active ]]&lt;=Data2022[[#This Row],[Non-EEA Total]],"T","F")</f>
        <v>T</v>
      </c>
      <c r="Y9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2" t="str">
        <f>IFERROR(VLOOKUP(Data2022[[#This Row],[organisation_name]],'Division Study Year Committees'!$A$1:$L$108,2,FALSE),"N/A")</f>
        <v>N/A</v>
      </c>
      <c r="AA92" t="str">
        <f>IFERROR(VLOOKUP(Data2022[[#This Row],[organisation_name]],'Division Study Year Committees'!$A$1:$L$108,3,FALSE),"N/A")</f>
        <v>N/A</v>
      </c>
      <c r="AB92" t="str">
        <f>IFERROR(VLOOKUP(Data2022[[#This Row],[organisation_name]],'Division Study Year Committees'!$A$1:$L$108,4,FALSE),"N/A")</f>
        <v>N/A</v>
      </c>
      <c r="AC92" t="str">
        <f>IFERROR(VLOOKUP(Data2022[[#This Row],[organisation_name]],'Division Study Year Committees'!$A$1:$L$108,5,FALSE), "N/A")</f>
        <v>N/A</v>
      </c>
      <c r="AD92" t="str">
        <f>IFERROR(VLOOKUP(Data2022[[#This Row],[organisation_name]],'Division Study Year Committees'!$A$1:$L$108,6,FALSE), "N/A")</f>
        <v>N/A</v>
      </c>
      <c r="AE92">
        <f>SUM(Data2022[[#This Row],[Number of first year comittee members]:[Number of 4+ year comittee members]])</f>
        <v>0</v>
      </c>
      <c r="AF92">
        <f>COUNTIF('Committee2022'!D:D,Data2022[[#This Row],[organisation_name]])</f>
        <v>0</v>
      </c>
      <c r="AG92">
        <v>2022</v>
      </c>
    </row>
    <row r="93" spans="1:33" x14ac:dyDescent="0.3">
      <c r="A93" t="str">
        <f>General2022[[#This Row],[organisation_name]]</f>
        <v>SUUT</v>
      </c>
      <c r="B93" t="str">
        <f>IF(General2022[[#This Row],[sector]]= "",VLOOKUP(Data2022[[#This Row],[organisation_name]],'Response Rate sheet'!A:D,3,FALSE),General2022[[#This Row],[sector]])</f>
        <v>world</v>
      </c>
      <c r="C93" t="str">
        <f>General2022[[#This Row],[organisation_type]]</f>
        <v>association</v>
      </c>
      <c r="D93" t="str">
        <f>IF(ISBLANK(General2022[[#This Row],[number_of_members]]),"N/A",VLOOKUP(A93,General2022[[organisation_name]:[number_of_international_committee_board_members_not_eea]],6,FALSE))</f>
        <v>N/A</v>
      </c>
      <c r="E93" t="str">
        <f>IF(ISBLANK(General2022[[#This Row],[number_of_committee_board_members]]),"N/A",VLOOKUP(A93,General2022!B:M,10,FALSE))</f>
        <v>N/A</v>
      </c>
      <c r="F93" t="str">
        <f>IFERROR(Data2022[[#This Row],[Number of members]]-Data2022[[#This Row],[Number of active members]], "N/A")</f>
        <v>N/A</v>
      </c>
      <c r="G93" t="str">
        <f>IFERROR(Data2022[[#This Row],[Number of active members]]/Data2022[[#This Row],[Number of members]], "N/A")</f>
        <v>N/A</v>
      </c>
      <c r="H93" t="str">
        <f>IFERROR(1-Data2022[[#This Row],[Percentage active members]],"N/A")</f>
        <v>N/A</v>
      </c>
      <c r="I93" t="str">
        <f>IF(Data2022[[#This Row],[Number of members]]=0,"N/A",IF(Data2022[[#This Row],[Number of members]]&lt;50," A. 1 - 50 ",IF(Data2022[[#This Row],[Number of members]]&lt;100, "B. 50 - 100", IF(Data2022[[#This Row],[Number of members]]&lt;400, "C. 100 - 400", IF(Data2022[[#This Row],[Number of members]]&lt;1000,"D. 400 - 1000", "E. 1000 +")))))</f>
        <v>E. 1000 +</v>
      </c>
      <c r="J93" t="str">
        <f>IF(ISBLANK(General2022[[#This Row],[number_of_international_members_not_eea]]),"N/A",VLOOKUP(A93,General2022[[organisation_name]:[number_of_international_committee_board_members_not_eea]],9,FALSE))</f>
        <v>N/A</v>
      </c>
      <c r="K93" t="str">
        <f>IF(ISBLANK(General2022[[#This Row],[number_of_international_members_eea]]),"N/A",VLOOKUP(A93,General2022[[organisation_name]:[number_of_international_committee_board_members_not_eea]],8,FALSE))</f>
        <v>N/A</v>
      </c>
      <c r="L93" t="str">
        <f>IFERROR(IF(Data2022[[#This Row],[Number of members]]-Data2022[[#This Row],[Non-EEA Total]]-Data2022[[#This Row],[EEA total]]&lt;1,"N/A", Data2022[[#This Row],[Number of members]]-Data2022[[#This Row],[Non-EEA Total]]-Data2022[[#This Row],[EEA total]]),"N/A")</f>
        <v>N/A</v>
      </c>
      <c r="M93">
        <f>VLOOKUP(A93,General2022[[organisation_name]:[number_of_international_committee_board_members_not_eea]],12,FALSE)</f>
        <v>0</v>
      </c>
      <c r="N93">
        <f>VLOOKUP(A93,General2022[[organisation_name]:[number_of_international_committee_board_members_not_eea]],11,FALSE)</f>
        <v>0</v>
      </c>
      <c r="O93" t="str">
        <f>IFERROR(IF(Data2022[[#This Row],[Number of active members]]-Data2022[[#This Row],[Non-EEA Active ]]-Data2022[[#This Row],[EEA Active]]&lt;1,"N/A", Data2022[[#This Row],[Number of active members]]-Data2022[[#This Row],[Non-EEA Active ]]-Data2022[[#This Row],[EEA Active]]),"N/A")</f>
        <v>N/A</v>
      </c>
      <c r="P93" t="str">
        <f>IFERROR(Data2022[[#This Row],[Non-EEA Active ]]/Data2022[[#This Row],[Number of active members]],"N/A")</f>
        <v>N/A</v>
      </c>
      <c r="Q93" t="str">
        <f>IFERROR(Data2022[[#This Row],[EEA Active]]/Data2022[[#This Row],[EEA total]], "N/A")</f>
        <v>N/A</v>
      </c>
      <c r="R93" t="str">
        <f>IFERROR(Data2022[[#This Row],[Dutch Active]]/Data2022[[#This Row],[Dutch total]],"N/A")</f>
        <v>N/A</v>
      </c>
      <c r="S93" t="str">
        <f>IFERROR(IF(Data2022[[#This Row],[Number of members]]=Data2022[[#This Row],[Non-EEA Total]]+Data2022[[#This Row],[EEA total]]+Data2022[[#This Row],[Dutch total]],"T","F"),"F")</f>
        <v>F</v>
      </c>
      <c r="T93" t="str">
        <f>IFERROR(IF(Data2022[[#This Row],[Number of active members]]=Data2022[[#This Row],[Non-EEA Active ]]+Data2022[[#This Row],[EEA Active]]+Data2022[[#This Row],[Dutch Active]],"T","F"),"F")</f>
        <v>F</v>
      </c>
      <c r="U93" t="str">
        <f>IFERROR(IF(Data2022[[#This Row],[Number of members]]-Data2022[[#This Row],[Non-EEA Active ]]-Data2022[[#This Row],[EEA Active]]-Data2022[[#This Row],[Dutch Active]]=Data2022[[#This Row],[Number of  inactive members]],"T","F"),"F")</f>
        <v>F</v>
      </c>
      <c r="V93" t="str">
        <f>IF(Data2022[[#This Row],[EEA Active]]&lt;=Data2022[[#This Row],[EEA total]],"T","F")</f>
        <v>T</v>
      </c>
      <c r="W93" t="str">
        <f>IF(Data2022[[#This Row],[Dutch Active]]&lt;=Data2022[[#This Row],[Dutch total]],"T","F")</f>
        <v>T</v>
      </c>
      <c r="X93" t="str">
        <f>IF(Data2022[[#This Row],[Non-EEA Active ]]&lt;=Data2022[[#This Row],[Non-EEA Total]],"T","F")</f>
        <v>T</v>
      </c>
      <c r="Y9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3" t="str">
        <f>IFERROR(VLOOKUP(Data2022[[#This Row],[organisation_name]],'Division Study Year Committees'!$A$1:$L$108,2,FALSE),"N/A")</f>
        <v>N/A</v>
      </c>
      <c r="AA93" t="str">
        <f>IFERROR(VLOOKUP(Data2022[[#This Row],[organisation_name]],'Division Study Year Committees'!$A$1:$L$108,3,FALSE),"N/A")</f>
        <v>N/A</v>
      </c>
      <c r="AB93" t="str">
        <f>IFERROR(VLOOKUP(Data2022[[#This Row],[organisation_name]],'Division Study Year Committees'!$A$1:$L$108,4,FALSE),"N/A")</f>
        <v>N/A</v>
      </c>
      <c r="AC93" t="str">
        <f>IFERROR(VLOOKUP(Data2022[[#This Row],[organisation_name]],'Division Study Year Committees'!$A$1:$L$108,5,FALSE), "N/A")</f>
        <v>N/A</v>
      </c>
      <c r="AD93" t="str">
        <f>IFERROR(VLOOKUP(Data2022[[#This Row],[organisation_name]],'Division Study Year Committees'!$A$1:$L$108,6,FALSE), "N/A")</f>
        <v>N/A</v>
      </c>
      <c r="AE93">
        <f>SUM(Data2022[[#This Row],[Number of first year comittee members]:[Number of 4+ year comittee members]])</f>
        <v>0</v>
      </c>
      <c r="AF93">
        <f>COUNTIF('Committee2022'!D:D,Data2022[[#This Row],[organisation_name]])</f>
        <v>0</v>
      </c>
      <c r="AG93">
        <v>2022</v>
      </c>
    </row>
    <row r="94" spans="1:33" x14ac:dyDescent="0.3">
      <c r="A94" t="str">
        <f>General2022[[#This Row],[organisation_name]]</f>
        <v>RSA</v>
      </c>
      <c r="B94" t="str">
        <f>IF(General2022[[#This Row],[sector]]= "",VLOOKUP(Data2022[[#This Row],[organisation_name]],'Response Rate sheet'!A:D,3,FALSE),General2022[[#This Row],[sector]])</f>
        <v>world</v>
      </c>
      <c r="C94" t="str">
        <f>General2022[[#This Row],[organisation_type]]</f>
        <v>association</v>
      </c>
      <c r="D94" t="str">
        <f>IF(ISBLANK(General2022[[#This Row],[number_of_members]]),"N/A",VLOOKUP(A94,General2022[[organisation_name]:[number_of_international_committee_board_members_not_eea]],6,FALSE))</f>
        <v>N/A</v>
      </c>
      <c r="E94" t="str">
        <f>IF(ISBLANK(General2022[[#This Row],[number_of_committee_board_members]]),"N/A",VLOOKUP(A94,General2022!B:M,10,FALSE))</f>
        <v>N/A</v>
      </c>
      <c r="F94" t="str">
        <f>IFERROR(Data2022[[#This Row],[Number of members]]-Data2022[[#This Row],[Number of active members]], "N/A")</f>
        <v>N/A</v>
      </c>
      <c r="G94" t="str">
        <f>IFERROR(Data2022[[#This Row],[Number of active members]]/Data2022[[#This Row],[Number of members]], "N/A")</f>
        <v>N/A</v>
      </c>
      <c r="H94" t="str">
        <f>IFERROR(1-Data2022[[#This Row],[Percentage active members]],"N/A")</f>
        <v>N/A</v>
      </c>
      <c r="I94" t="str">
        <f>IF(Data2022[[#This Row],[Number of members]]=0,"N/A",IF(Data2022[[#This Row],[Number of members]]&lt;50," A. 1 - 50 ",IF(Data2022[[#This Row],[Number of members]]&lt;100, "B. 50 - 100", IF(Data2022[[#This Row],[Number of members]]&lt;400, "C. 100 - 400", IF(Data2022[[#This Row],[Number of members]]&lt;1000,"D. 400 - 1000", "E. 1000 +")))))</f>
        <v>E. 1000 +</v>
      </c>
      <c r="J94" t="str">
        <f>IF(ISBLANK(General2022[[#This Row],[number_of_international_members_not_eea]]),"N/A",VLOOKUP(A94,General2022[[organisation_name]:[number_of_international_committee_board_members_not_eea]],9,FALSE))</f>
        <v>N/A</v>
      </c>
      <c r="K94" t="str">
        <f>IF(ISBLANK(General2022[[#This Row],[number_of_international_members_eea]]),"N/A",VLOOKUP(A94,General2022[[organisation_name]:[number_of_international_committee_board_members_not_eea]],8,FALSE))</f>
        <v>N/A</v>
      </c>
      <c r="L94" t="str">
        <f>IFERROR(IF(Data2022[[#This Row],[Number of members]]-Data2022[[#This Row],[Non-EEA Total]]-Data2022[[#This Row],[EEA total]]&lt;1,"N/A", Data2022[[#This Row],[Number of members]]-Data2022[[#This Row],[Non-EEA Total]]-Data2022[[#This Row],[EEA total]]),"N/A")</f>
        <v>N/A</v>
      </c>
      <c r="M94">
        <f>VLOOKUP(A94,General2022[[organisation_name]:[number_of_international_committee_board_members_not_eea]],12,FALSE)</f>
        <v>0</v>
      </c>
      <c r="N94">
        <f>VLOOKUP(A94,General2022[[organisation_name]:[number_of_international_committee_board_members_not_eea]],11,FALSE)</f>
        <v>0</v>
      </c>
      <c r="O94" t="str">
        <f>IFERROR(IF(Data2022[[#This Row],[Number of active members]]-Data2022[[#This Row],[Non-EEA Active ]]-Data2022[[#This Row],[EEA Active]]&lt;1,"N/A", Data2022[[#This Row],[Number of active members]]-Data2022[[#This Row],[Non-EEA Active ]]-Data2022[[#This Row],[EEA Active]]),"N/A")</f>
        <v>N/A</v>
      </c>
      <c r="P94" t="str">
        <f>IFERROR(Data2022[[#This Row],[Non-EEA Active ]]/Data2022[[#This Row],[Number of active members]],"N/A")</f>
        <v>N/A</v>
      </c>
      <c r="Q94" t="str">
        <f>IFERROR(Data2022[[#This Row],[EEA Active]]/Data2022[[#This Row],[EEA total]], "N/A")</f>
        <v>N/A</v>
      </c>
      <c r="R94" t="str">
        <f>IFERROR(Data2022[[#This Row],[Dutch Active]]/Data2022[[#This Row],[Dutch total]],"N/A")</f>
        <v>N/A</v>
      </c>
      <c r="S94" t="str">
        <f>IFERROR(IF(Data2022[[#This Row],[Number of members]]=Data2022[[#This Row],[Non-EEA Total]]+Data2022[[#This Row],[EEA total]]+Data2022[[#This Row],[Dutch total]],"T","F"),"F")</f>
        <v>F</v>
      </c>
      <c r="T94" t="str">
        <f>IFERROR(IF(Data2022[[#This Row],[Number of active members]]=Data2022[[#This Row],[Non-EEA Active ]]+Data2022[[#This Row],[EEA Active]]+Data2022[[#This Row],[Dutch Active]],"T","F"),"F")</f>
        <v>F</v>
      </c>
      <c r="U94" t="str">
        <f>IFERROR(IF(Data2022[[#This Row],[Number of members]]-Data2022[[#This Row],[Non-EEA Active ]]-Data2022[[#This Row],[EEA Active]]-Data2022[[#This Row],[Dutch Active]]=Data2022[[#This Row],[Number of  inactive members]],"T","F"),"F")</f>
        <v>F</v>
      </c>
      <c r="V94" t="str">
        <f>IF(Data2022[[#This Row],[EEA Active]]&lt;=Data2022[[#This Row],[EEA total]],"T","F")</f>
        <v>T</v>
      </c>
      <c r="W94" t="str">
        <f>IF(Data2022[[#This Row],[Dutch Active]]&lt;=Data2022[[#This Row],[Dutch total]],"T","F")</f>
        <v>T</v>
      </c>
      <c r="X94" t="str">
        <f>IF(Data2022[[#This Row],[Non-EEA Active ]]&lt;=Data2022[[#This Row],[Non-EEA Total]],"T","F")</f>
        <v>T</v>
      </c>
      <c r="Y9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4" t="str">
        <f>IFERROR(VLOOKUP(Data2022[[#This Row],[organisation_name]],'Division Study Year Committees'!$A$1:$L$108,2,FALSE),"N/A")</f>
        <v>N/A</v>
      </c>
      <c r="AA94" t="str">
        <f>IFERROR(VLOOKUP(Data2022[[#This Row],[organisation_name]],'Division Study Year Committees'!$A$1:$L$108,3,FALSE),"N/A")</f>
        <v>N/A</v>
      </c>
      <c r="AB94" t="str">
        <f>IFERROR(VLOOKUP(Data2022[[#This Row],[organisation_name]],'Division Study Year Committees'!$A$1:$L$108,4,FALSE),"N/A")</f>
        <v>N/A</v>
      </c>
      <c r="AC94" t="str">
        <f>IFERROR(VLOOKUP(Data2022[[#This Row],[organisation_name]],'Division Study Year Committees'!$A$1:$L$108,5,FALSE), "N/A")</f>
        <v>N/A</v>
      </c>
      <c r="AD94" t="str">
        <f>IFERROR(VLOOKUP(Data2022[[#This Row],[organisation_name]],'Division Study Year Committees'!$A$1:$L$108,6,FALSE), "N/A")</f>
        <v>N/A</v>
      </c>
      <c r="AE94">
        <f>SUM(Data2022[[#This Row],[Number of first year comittee members]:[Number of 4+ year comittee members]])</f>
        <v>0</v>
      </c>
      <c r="AF94">
        <f>COUNTIF('Committee2022'!D:D,Data2022[[#This Row],[organisation_name]])</f>
        <v>0</v>
      </c>
      <c r="AG94">
        <v>2022</v>
      </c>
    </row>
    <row r="95" spans="1:33" x14ac:dyDescent="0.3">
      <c r="A95" t="str">
        <f>General2022[[#This Row],[organisation_name]]</f>
        <v>UT Muslims</v>
      </c>
      <c r="B95" t="str">
        <f>IF(General2022[[#This Row],[sector]]= "",VLOOKUP(Data2022[[#This Row],[organisation_name]],'Response Rate sheet'!A:D,3,FALSE),General2022[[#This Row],[sector]])</f>
        <v>World</v>
      </c>
      <c r="C95" t="str">
        <f>General2022[[#This Row],[organisation_type]]</f>
        <v>association</v>
      </c>
      <c r="D95">
        <f>IF(ISBLANK(General2022[[#This Row],[number_of_members]]),"N/A",VLOOKUP(A95,General2022[[organisation_name]:[number_of_international_committee_board_members_not_eea]],6,FALSE))</f>
        <v>57</v>
      </c>
      <c r="E95">
        <f>IF(ISBLANK(General2022[[#This Row],[number_of_committee_board_members]]),"N/A",VLOOKUP(A95,General2022!B:M,10,FALSE))</f>
        <v>5</v>
      </c>
      <c r="F95">
        <f>IFERROR(Data2022[[#This Row],[Number of members]]-Data2022[[#This Row],[Number of active members]], "N/A")</f>
        <v>52</v>
      </c>
      <c r="G95">
        <f>IFERROR(Data2022[[#This Row],[Number of active members]]/Data2022[[#This Row],[Number of members]], "N/A")</f>
        <v>8.771929824561403E-2</v>
      </c>
      <c r="H95">
        <f>IFERROR(1-Data2022[[#This Row],[Percentage active members]],"N/A")</f>
        <v>0.91228070175438591</v>
      </c>
      <c r="I95" t="str">
        <f>IF(Data2022[[#This Row],[Number of members]]=0,"N/A",IF(Data2022[[#This Row],[Number of members]]&lt;50," A. 1 - 50 ",IF(Data2022[[#This Row],[Number of members]]&lt;100, "B. 50 - 100", IF(Data2022[[#This Row],[Number of members]]&lt;400, "C. 100 - 400", IF(Data2022[[#This Row],[Number of members]]&lt;1000,"D. 400 - 1000", "E. 1000 +")))))</f>
        <v>B. 50 - 100</v>
      </c>
      <c r="J95">
        <f>IF(ISBLANK(General2022[[#This Row],[number_of_international_members_not_eea]]),"N/A",VLOOKUP(A95,General2022[[organisation_name]:[number_of_international_committee_board_members_not_eea]],9,FALSE))</f>
        <v>15</v>
      </c>
      <c r="K95">
        <f>IF(ISBLANK(General2022[[#This Row],[number_of_international_members_eea]]),"N/A",VLOOKUP(A95,General2022[[organisation_name]:[number_of_international_committee_board_members_not_eea]],8,FALSE))</f>
        <v>36</v>
      </c>
      <c r="L95">
        <f>IFERROR(IF(Data2022[[#This Row],[Number of members]]-Data2022[[#This Row],[Non-EEA Total]]-Data2022[[#This Row],[EEA total]]&lt;1,"N/A", Data2022[[#This Row],[Number of members]]-Data2022[[#This Row],[Non-EEA Total]]-Data2022[[#This Row],[EEA total]]),"N/A")</f>
        <v>6</v>
      </c>
      <c r="M95">
        <f>VLOOKUP(A95,General2022[[organisation_name]:[number_of_international_committee_board_members_not_eea]],12,FALSE)</f>
        <v>6</v>
      </c>
      <c r="N95">
        <f>VLOOKUP(A95,General2022[[organisation_name]:[number_of_international_committee_board_members_not_eea]],11,FALSE)</f>
        <v>1</v>
      </c>
      <c r="O95" t="str">
        <f>IFERROR(IF(Data2022[[#This Row],[Number of active members]]-Data2022[[#This Row],[Non-EEA Active ]]-Data2022[[#This Row],[EEA Active]]&lt;1,"N/A", Data2022[[#This Row],[Number of active members]]-Data2022[[#This Row],[Non-EEA Active ]]-Data2022[[#This Row],[EEA Active]]),"N/A")</f>
        <v>N/A</v>
      </c>
      <c r="P95">
        <f>IFERROR(Data2022[[#This Row],[Non-EEA Active ]]/Data2022[[#This Row],[Number of active members]],"N/A")</f>
        <v>1.2</v>
      </c>
      <c r="Q95">
        <f>IFERROR(Data2022[[#This Row],[EEA Active]]/Data2022[[#This Row],[EEA total]], "N/A")</f>
        <v>2.7777777777777776E-2</v>
      </c>
      <c r="R95" t="str">
        <f>IFERROR(Data2022[[#This Row],[Dutch Active]]/Data2022[[#This Row],[Dutch total]],"N/A")</f>
        <v>N/A</v>
      </c>
      <c r="S95" t="str">
        <f>IFERROR(IF(Data2022[[#This Row],[Number of members]]=Data2022[[#This Row],[Non-EEA Total]]+Data2022[[#This Row],[EEA total]]+Data2022[[#This Row],[Dutch total]],"T","F"),"F")</f>
        <v>T</v>
      </c>
      <c r="T95" t="str">
        <f>IFERROR(IF(Data2022[[#This Row],[Number of active members]]=Data2022[[#This Row],[Non-EEA Active ]]+Data2022[[#This Row],[EEA Active]]+Data2022[[#This Row],[Dutch Active]],"T","F"),"F")</f>
        <v>F</v>
      </c>
      <c r="U95" t="str">
        <f>IFERROR(IF(Data2022[[#This Row],[Number of members]]-Data2022[[#This Row],[Non-EEA Active ]]-Data2022[[#This Row],[EEA Active]]-Data2022[[#This Row],[Dutch Active]]=Data2022[[#This Row],[Number of  inactive members]],"T","F"),"F")</f>
        <v>F</v>
      </c>
      <c r="V95" t="str">
        <f>IF(Data2022[[#This Row],[EEA Active]]&lt;=Data2022[[#This Row],[EEA total]],"T","F")</f>
        <v>T</v>
      </c>
      <c r="W95" t="str">
        <f>IF(Data2022[[#This Row],[Dutch Active]]&lt;=Data2022[[#This Row],[Dutch total]],"T","F")</f>
        <v>F</v>
      </c>
      <c r="X95" t="str">
        <f>IF(Data2022[[#This Row],[Non-EEA Active ]]&lt;=Data2022[[#This Row],[Non-EEA Total]],"T","F")</f>
        <v>T</v>
      </c>
      <c r="Y9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5">
        <f>IFERROR(VLOOKUP(Data2022[[#This Row],[organisation_name]],'Division Study Year Committees'!$A$1:$L$108,2,FALSE),"N/A")</f>
        <v>8</v>
      </c>
      <c r="AA95">
        <f>IFERROR(VLOOKUP(Data2022[[#This Row],[organisation_name]],'Division Study Year Committees'!$A$1:$L$108,3,FALSE),"N/A")</f>
        <v>2</v>
      </c>
      <c r="AB95">
        <f>IFERROR(VLOOKUP(Data2022[[#This Row],[organisation_name]],'Division Study Year Committees'!$A$1:$L$108,4,FALSE),"N/A")</f>
        <v>0</v>
      </c>
      <c r="AC95">
        <f>IFERROR(VLOOKUP(Data2022[[#This Row],[organisation_name]],'Division Study Year Committees'!$A$1:$L$108,5,FALSE), "N/A")</f>
        <v>0</v>
      </c>
      <c r="AD95">
        <f>IFERROR(VLOOKUP(Data2022[[#This Row],[organisation_name]],'Division Study Year Committees'!$A$1:$L$108,6,FALSE), "N/A")</f>
        <v>3</v>
      </c>
      <c r="AE95">
        <f>SUM(Data2022[[#This Row],[Number of first year comittee members]:[Number of 4+ year comittee members]])</f>
        <v>13</v>
      </c>
      <c r="AF95">
        <f>COUNTIF('Committee2022'!D:D,Data2022[[#This Row],[organisation_name]])</f>
        <v>0</v>
      </c>
      <c r="AG95">
        <v>2022</v>
      </c>
    </row>
    <row r="96" spans="1:33" x14ac:dyDescent="0.3">
      <c r="A96" t="str">
        <f>General2022[[#This Row],[organisation_name]]</f>
        <v>SUT</v>
      </c>
      <c r="B96" t="str">
        <f>IF(General2022[[#This Row],[sector]]= "",VLOOKUP(Data2022[[#This Row],[organisation_name]],'Response Rate sheet'!A:D,3,FALSE),General2022[[#This Row],[sector]])</f>
        <v>Sports</v>
      </c>
      <c r="C96" t="str">
        <f>General2022[[#This Row],[organisation_type]]</f>
        <v>foundation</v>
      </c>
      <c r="D96">
        <f>IF(ISBLANK(General2022[[#This Row],[number_of_members]]),"N/A",VLOOKUP(A96,General2022[[organisation_name]:[number_of_international_committee_board_members_not_eea]],6,FALSE))</f>
        <v>3</v>
      </c>
      <c r="E96">
        <f>IF(ISBLANK(General2022[[#This Row],[number_of_committee_board_members]]),"N/A",VLOOKUP(A96,General2022!B:M,10,FALSE))</f>
        <v>0</v>
      </c>
      <c r="F96">
        <f>IFERROR(Data2022[[#This Row],[Number of members]]-Data2022[[#This Row],[Number of active members]], "N/A")</f>
        <v>3</v>
      </c>
      <c r="G96">
        <f>IFERROR(Data2022[[#This Row],[Number of active members]]/Data2022[[#This Row],[Number of members]], "N/A")</f>
        <v>0</v>
      </c>
      <c r="H96">
        <f>IFERROR(1-Data2022[[#This Row],[Percentage active members]],"N/A")</f>
        <v>1</v>
      </c>
      <c r="I96"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96">
        <f>IF(ISBLANK(General2022[[#This Row],[number_of_international_members_not_eea]]),"N/A",VLOOKUP(A96,General2022[[organisation_name]:[number_of_international_committee_board_members_not_eea]],9,FALSE))</f>
        <v>0</v>
      </c>
      <c r="K96" t="str">
        <f>IF(ISBLANK(General2022[[#This Row],[number_of_international_members_eea]]),"N/A",VLOOKUP(A96,General2022[[organisation_name]:[number_of_international_committee_board_members_not_eea]],8,FALSE))</f>
        <v>N/A</v>
      </c>
      <c r="L96" t="str">
        <f>IFERROR(IF(Data2022[[#This Row],[Number of members]]-Data2022[[#This Row],[Non-EEA Total]]-Data2022[[#This Row],[EEA total]]&lt;1,"N/A", Data2022[[#This Row],[Number of members]]-Data2022[[#This Row],[Non-EEA Total]]-Data2022[[#This Row],[EEA total]]),"N/A")</f>
        <v>N/A</v>
      </c>
      <c r="M96">
        <f>VLOOKUP(A96,General2022[[organisation_name]:[number_of_international_committee_board_members_not_eea]],12,FALSE)</f>
        <v>0</v>
      </c>
      <c r="N96">
        <f>VLOOKUP(A96,General2022[[organisation_name]:[number_of_international_committee_board_members_not_eea]],11,FALSE)</f>
        <v>0</v>
      </c>
      <c r="O96" t="str">
        <f>IFERROR(IF(Data2022[[#This Row],[Number of active members]]-Data2022[[#This Row],[Non-EEA Active ]]-Data2022[[#This Row],[EEA Active]]&lt;1,"N/A", Data2022[[#This Row],[Number of active members]]-Data2022[[#This Row],[Non-EEA Active ]]-Data2022[[#This Row],[EEA Active]]),"N/A")</f>
        <v>N/A</v>
      </c>
      <c r="P96" t="str">
        <f>IFERROR(Data2022[[#This Row],[Non-EEA Active ]]/Data2022[[#This Row],[Number of active members]],"N/A")</f>
        <v>N/A</v>
      </c>
      <c r="Q96" t="str">
        <f>IFERROR(Data2022[[#This Row],[EEA Active]]/Data2022[[#This Row],[EEA total]], "N/A")</f>
        <v>N/A</v>
      </c>
      <c r="R96" t="str">
        <f>IFERROR(Data2022[[#This Row],[Dutch Active]]/Data2022[[#This Row],[Dutch total]],"N/A")</f>
        <v>N/A</v>
      </c>
      <c r="S96" t="str">
        <f>IFERROR(IF(Data2022[[#This Row],[Number of members]]=Data2022[[#This Row],[Non-EEA Total]]+Data2022[[#This Row],[EEA total]]+Data2022[[#This Row],[Dutch total]],"T","F"),"F")</f>
        <v>F</v>
      </c>
      <c r="T96" t="str">
        <f>IFERROR(IF(Data2022[[#This Row],[Number of active members]]=Data2022[[#This Row],[Non-EEA Active ]]+Data2022[[#This Row],[EEA Active]]+Data2022[[#This Row],[Dutch Active]],"T","F"),"F")</f>
        <v>F</v>
      </c>
      <c r="U96" t="str">
        <f>IFERROR(IF(Data2022[[#This Row],[Number of members]]-Data2022[[#This Row],[Non-EEA Active ]]-Data2022[[#This Row],[EEA Active]]-Data2022[[#This Row],[Dutch Active]]=Data2022[[#This Row],[Number of  inactive members]],"T","F"),"F")</f>
        <v>F</v>
      </c>
      <c r="V96" t="str">
        <f>IF(Data2022[[#This Row],[EEA Active]]&lt;=Data2022[[#This Row],[EEA total]],"T","F")</f>
        <v>T</v>
      </c>
      <c r="W96" t="str">
        <f>IF(Data2022[[#This Row],[Dutch Active]]&lt;=Data2022[[#This Row],[Dutch total]],"T","F")</f>
        <v>T</v>
      </c>
      <c r="X96" t="str">
        <f>IF(Data2022[[#This Row],[Non-EEA Active ]]&lt;=Data2022[[#This Row],[Non-EEA Total]],"T","F")</f>
        <v>T</v>
      </c>
      <c r="Y9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6">
        <f>IFERROR(VLOOKUP(Data2022[[#This Row],[organisation_name]],'Division Study Year Committees'!$A$1:$L$108,2,FALSE),"N/A")</f>
        <v>0</v>
      </c>
      <c r="AA96">
        <f>IFERROR(VLOOKUP(Data2022[[#This Row],[organisation_name]],'Division Study Year Committees'!$A$1:$L$108,3,FALSE),"N/A")</f>
        <v>1</v>
      </c>
      <c r="AB96">
        <f>IFERROR(VLOOKUP(Data2022[[#This Row],[organisation_name]],'Division Study Year Committees'!$A$1:$L$108,4,FALSE),"N/A")</f>
        <v>3</v>
      </c>
      <c r="AC96">
        <f>IFERROR(VLOOKUP(Data2022[[#This Row],[organisation_name]],'Division Study Year Committees'!$A$1:$L$108,5,FALSE), "N/A")</f>
        <v>8</v>
      </c>
      <c r="AD96">
        <f>IFERROR(VLOOKUP(Data2022[[#This Row],[organisation_name]],'Division Study Year Committees'!$A$1:$L$108,6,FALSE), "N/A")</f>
        <v>2</v>
      </c>
      <c r="AE96">
        <f>SUM(Data2022[[#This Row],[Number of first year comittee members]:[Number of 4+ year comittee members]])</f>
        <v>14</v>
      </c>
      <c r="AF96">
        <f>COUNTIF('Committee2022'!D:D,Data2022[[#This Row],[organisation_name]])</f>
        <v>5</v>
      </c>
      <c r="AG96">
        <v>2022</v>
      </c>
    </row>
    <row r="97" spans="1:33" x14ac:dyDescent="0.3">
      <c r="A97" t="str">
        <f>General2022[[#This Row],[organisation_name]]</f>
        <v>Cultuurkoepel Apollo</v>
      </c>
      <c r="B97" t="str">
        <f>IF(General2022[[#This Row],[sector]]= "",VLOOKUP(Data2022[[#This Row],[organisation_name]],'Response Rate sheet'!A:D,3,FALSE),General2022[[#This Row],[sector]])</f>
        <v>Culture</v>
      </c>
      <c r="C97" t="str">
        <f>General2022[[#This Row],[organisation_type]]</f>
        <v>foundation</v>
      </c>
      <c r="D97">
        <f>IF(ISBLANK(General2022[[#This Row],[number_of_members]]),"N/A",VLOOKUP(A97,General2022[[organisation_name]:[number_of_international_committee_board_members_not_eea]],6,FALSE))</f>
        <v>3</v>
      </c>
      <c r="E97">
        <f>IF(ISBLANK(General2022[[#This Row],[number_of_committee_board_members]]),"N/A",VLOOKUP(A97,General2022!B:M,10,FALSE))</f>
        <v>0</v>
      </c>
      <c r="F97">
        <f>IFERROR(Data2022[[#This Row],[Number of members]]-Data2022[[#This Row],[Number of active members]], "N/A")</f>
        <v>3</v>
      </c>
      <c r="G97">
        <f>IFERROR(Data2022[[#This Row],[Number of active members]]/Data2022[[#This Row],[Number of members]], "N/A")</f>
        <v>0</v>
      </c>
      <c r="H97">
        <f>IFERROR(1-Data2022[[#This Row],[Percentage active members]],"N/A")</f>
        <v>1</v>
      </c>
      <c r="I97"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97">
        <f>IF(ISBLANK(General2022[[#This Row],[number_of_international_members_not_eea]]),"N/A",VLOOKUP(A97,General2022[[organisation_name]:[number_of_international_committee_board_members_not_eea]],9,FALSE))</f>
        <v>0</v>
      </c>
      <c r="K97">
        <f>IF(ISBLANK(General2022[[#This Row],[number_of_international_members_eea]]),"N/A",VLOOKUP(A97,General2022[[organisation_name]:[number_of_international_committee_board_members_not_eea]],8,FALSE))</f>
        <v>0</v>
      </c>
      <c r="L97">
        <f>IFERROR(IF(Data2022[[#This Row],[Number of members]]-Data2022[[#This Row],[Non-EEA Total]]-Data2022[[#This Row],[EEA total]]&lt;1,"N/A", Data2022[[#This Row],[Number of members]]-Data2022[[#This Row],[Non-EEA Total]]-Data2022[[#This Row],[EEA total]]),"N/A")</f>
        <v>3</v>
      </c>
      <c r="M97">
        <f>VLOOKUP(A97,General2022[[organisation_name]:[number_of_international_committee_board_members_not_eea]],12,FALSE)</f>
        <v>0</v>
      </c>
      <c r="N97">
        <f>VLOOKUP(A97,General2022[[organisation_name]:[number_of_international_committee_board_members_not_eea]],11,FALSE)</f>
        <v>0</v>
      </c>
      <c r="O97" t="str">
        <f>IFERROR(IF(Data2022[[#This Row],[Number of active members]]-Data2022[[#This Row],[Non-EEA Active ]]-Data2022[[#This Row],[EEA Active]]&lt;1,"N/A", Data2022[[#This Row],[Number of active members]]-Data2022[[#This Row],[Non-EEA Active ]]-Data2022[[#This Row],[EEA Active]]),"N/A")</f>
        <v>N/A</v>
      </c>
      <c r="P97" t="str">
        <f>IFERROR(Data2022[[#This Row],[Non-EEA Active ]]/Data2022[[#This Row],[Number of active members]],"N/A")</f>
        <v>N/A</v>
      </c>
      <c r="Q97" t="str">
        <f>IFERROR(Data2022[[#This Row],[EEA Active]]/Data2022[[#This Row],[EEA total]], "N/A")</f>
        <v>N/A</v>
      </c>
      <c r="R97" t="str">
        <f>IFERROR(Data2022[[#This Row],[Dutch Active]]/Data2022[[#This Row],[Dutch total]],"N/A")</f>
        <v>N/A</v>
      </c>
      <c r="S97" t="str">
        <f>IFERROR(IF(Data2022[[#This Row],[Number of members]]=Data2022[[#This Row],[Non-EEA Total]]+Data2022[[#This Row],[EEA total]]+Data2022[[#This Row],[Dutch total]],"T","F"),"F")</f>
        <v>T</v>
      </c>
      <c r="T97" t="str">
        <f>IFERROR(IF(Data2022[[#This Row],[Number of active members]]=Data2022[[#This Row],[Non-EEA Active ]]+Data2022[[#This Row],[EEA Active]]+Data2022[[#This Row],[Dutch Active]],"T","F"),"F")</f>
        <v>F</v>
      </c>
      <c r="U97" t="str">
        <f>IFERROR(IF(Data2022[[#This Row],[Number of members]]-Data2022[[#This Row],[Non-EEA Active ]]-Data2022[[#This Row],[EEA Active]]-Data2022[[#This Row],[Dutch Active]]=Data2022[[#This Row],[Number of  inactive members]],"T","F"),"F")</f>
        <v>F</v>
      </c>
      <c r="V97" t="str">
        <f>IF(Data2022[[#This Row],[EEA Active]]&lt;=Data2022[[#This Row],[EEA total]],"T","F")</f>
        <v>T</v>
      </c>
      <c r="W97" t="str">
        <f>IF(Data2022[[#This Row],[Dutch Active]]&lt;=Data2022[[#This Row],[Dutch total]],"T","F")</f>
        <v>F</v>
      </c>
      <c r="X97" t="str">
        <f>IF(Data2022[[#This Row],[Non-EEA Active ]]&lt;=Data2022[[#This Row],[Non-EEA Total]],"T","F")</f>
        <v>T</v>
      </c>
      <c r="Y9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7">
        <f>IFERROR(VLOOKUP(Data2022[[#This Row],[organisation_name]],'Division Study Year Committees'!$A$1:$L$108,2,FALSE),"N/A")</f>
        <v>1</v>
      </c>
      <c r="AA97">
        <f>IFERROR(VLOOKUP(Data2022[[#This Row],[organisation_name]],'Division Study Year Committees'!$A$1:$L$108,3,FALSE),"N/A")</f>
        <v>5</v>
      </c>
      <c r="AB97">
        <f>IFERROR(VLOOKUP(Data2022[[#This Row],[organisation_name]],'Division Study Year Committees'!$A$1:$L$108,4,FALSE),"N/A")</f>
        <v>11</v>
      </c>
      <c r="AC97">
        <f>IFERROR(VLOOKUP(Data2022[[#This Row],[organisation_name]],'Division Study Year Committees'!$A$1:$L$108,5,FALSE), "N/A")</f>
        <v>11</v>
      </c>
      <c r="AD97">
        <f>IFERROR(VLOOKUP(Data2022[[#This Row],[organisation_name]],'Division Study Year Committees'!$A$1:$L$108,6,FALSE), "N/A")</f>
        <v>6</v>
      </c>
      <c r="AE97">
        <f>SUM(Data2022[[#This Row],[Number of first year comittee members]:[Number of 4+ year comittee members]])</f>
        <v>34</v>
      </c>
      <c r="AF97">
        <f>COUNTIF('Committee2022'!D:D,Data2022[[#This Row],[organisation_name]])</f>
        <v>15</v>
      </c>
      <c r="AG97">
        <v>2022</v>
      </c>
    </row>
    <row r="98" spans="1:33" x14ac:dyDescent="0.3">
      <c r="A98" t="str">
        <f>General2022[[#This Row],[organisation_name]]</f>
        <v>PKVV Fact</v>
      </c>
      <c r="B98" t="str">
        <f>IF(General2022[[#This Row],[sector]]= "",VLOOKUP(Data2022[[#This Row],[organisation_name]],'Response Rate sheet'!A:D,3,FALSE),General2022[[#This Row],[sector]])</f>
        <v>Social</v>
      </c>
      <c r="C98" t="str">
        <f>General2022[[#This Row],[organisation_type]]</f>
        <v>foundation</v>
      </c>
      <c r="D98">
        <f>IF(ISBLANK(General2022[[#This Row],[number_of_members]]),"N/A",VLOOKUP(A98,General2022[[organisation_name]:[number_of_international_committee_board_members_not_eea]],6,FALSE))</f>
        <v>5</v>
      </c>
      <c r="E98">
        <f>IF(ISBLANK(General2022[[#This Row],[number_of_committee_board_members]]),"N/A",VLOOKUP(A98,General2022!B:M,10,FALSE))</f>
        <v>0</v>
      </c>
      <c r="F98">
        <f>IFERROR(Data2022[[#This Row],[Number of members]]-Data2022[[#This Row],[Number of active members]], "N/A")</f>
        <v>5</v>
      </c>
      <c r="G98">
        <f>IFERROR(Data2022[[#This Row],[Number of active members]]/Data2022[[#This Row],[Number of members]], "N/A")</f>
        <v>0</v>
      </c>
      <c r="H98">
        <f>IFERROR(1-Data2022[[#This Row],[Percentage active members]],"N/A")</f>
        <v>1</v>
      </c>
      <c r="I98"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98">
        <f>IF(ISBLANK(General2022[[#This Row],[number_of_international_members_not_eea]]),"N/A",VLOOKUP(A98,General2022[[organisation_name]:[number_of_international_committee_board_members_not_eea]],9,FALSE))</f>
        <v>0</v>
      </c>
      <c r="K98">
        <f>IF(ISBLANK(General2022[[#This Row],[number_of_international_members_eea]]),"N/A",VLOOKUP(A98,General2022[[organisation_name]:[number_of_international_committee_board_members_not_eea]],8,FALSE))</f>
        <v>0</v>
      </c>
      <c r="L98">
        <f>IFERROR(IF(Data2022[[#This Row],[Number of members]]-Data2022[[#This Row],[Non-EEA Total]]-Data2022[[#This Row],[EEA total]]&lt;1,"N/A", Data2022[[#This Row],[Number of members]]-Data2022[[#This Row],[Non-EEA Total]]-Data2022[[#This Row],[EEA total]]),"N/A")</f>
        <v>5</v>
      </c>
      <c r="M98">
        <f>VLOOKUP(A98,General2022[[organisation_name]:[number_of_international_committee_board_members_not_eea]],12,FALSE)</f>
        <v>0</v>
      </c>
      <c r="N98">
        <f>VLOOKUP(A98,General2022[[organisation_name]:[number_of_international_committee_board_members_not_eea]],11,FALSE)</f>
        <v>0</v>
      </c>
      <c r="O98" t="str">
        <f>IFERROR(IF(Data2022[[#This Row],[Number of active members]]-Data2022[[#This Row],[Non-EEA Active ]]-Data2022[[#This Row],[EEA Active]]&lt;1,"N/A", Data2022[[#This Row],[Number of active members]]-Data2022[[#This Row],[Non-EEA Active ]]-Data2022[[#This Row],[EEA Active]]),"N/A")</f>
        <v>N/A</v>
      </c>
      <c r="P98" t="str">
        <f>IFERROR(Data2022[[#This Row],[Non-EEA Active ]]/Data2022[[#This Row],[Number of active members]],"N/A")</f>
        <v>N/A</v>
      </c>
      <c r="Q98" t="str">
        <f>IFERROR(Data2022[[#This Row],[EEA Active]]/Data2022[[#This Row],[EEA total]], "N/A")</f>
        <v>N/A</v>
      </c>
      <c r="R98" t="str">
        <f>IFERROR(Data2022[[#This Row],[Dutch Active]]/Data2022[[#This Row],[Dutch total]],"N/A")</f>
        <v>N/A</v>
      </c>
      <c r="S98" t="str">
        <f>IFERROR(IF(Data2022[[#This Row],[Number of members]]=Data2022[[#This Row],[Non-EEA Total]]+Data2022[[#This Row],[EEA total]]+Data2022[[#This Row],[Dutch total]],"T","F"),"F")</f>
        <v>T</v>
      </c>
      <c r="T98" t="str">
        <f>IFERROR(IF(Data2022[[#This Row],[Number of active members]]=Data2022[[#This Row],[Non-EEA Active ]]+Data2022[[#This Row],[EEA Active]]+Data2022[[#This Row],[Dutch Active]],"T","F"),"F")</f>
        <v>F</v>
      </c>
      <c r="U98" t="str">
        <f>IFERROR(IF(Data2022[[#This Row],[Number of members]]-Data2022[[#This Row],[Non-EEA Active ]]-Data2022[[#This Row],[EEA Active]]-Data2022[[#This Row],[Dutch Active]]=Data2022[[#This Row],[Number of  inactive members]],"T","F"),"F")</f>
        <v>F</v>
      </c>
      <c r="V98" t="str">
        <f>IF(Data2022[[#This Row],[EEA Active]]&lt;=Data2022[[#This Row],[EEA total]],"T","F")</f>
        <v>T</v>
      </c>
      <c r="W98" t="str">
        <f>IF(Data2022[[#This Row],[Dutch Active]]&lt;=Data2022[[#This Row],[Dutch total]],"T","F")</f>
        <v>F</v>
      </c>
      <c r="X98" t="str">
        <f>IF(Data2022[[#This Row],[Non-EEA Active ]]&lt;=Data2022[[#This Row],[Non-EEA Total]],"T","F")</f>
        <v>T</v>
      </c>
      <c r="Y9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8">
        <f>IFERROR(VLOOKUP(Data2022[[#This Row],[organisation_name]],'Division Study Year Committees'!$A$1:$L$108,2,FALSE),"N/A")</f>
        <v>1</v>
      </c>
      <c r="AA98">
        <f>IFERROR(VLOOKUP(Data2022[[#This Row],[organisation_name]],'Division Study Year Committees'!$A$1:$L$108,3,FALSE),"N/A")</f>
        <v>4</v>
      </c>
      <c r="AB98">
        <f>IFERROR(VLOOKUP(Data2022[[#This Row],[organisation_name]],'Division Study Year Committees'!$A$1:$L$108,4,FALSE),"N/A")</f>
        <v>4</v>
      </c>
      <c r="AC98">
        <f>IFERROR(VLOOKUP(Data2022[[#This Row],[organisation_name]],'Division Study Year Committees'!$A$1:$L$108,5,FALSE), "N/A")</f>
        <v>3</v>
      </c>
      <c r="AD98">
        <f>IFERROR(VLOOKUP(Data2022[[#This Row],[organisation_name]],'Division Study Year Committees'!$A$1:$L$108,6,FALSE), "N/A")</f>
        <v>6</v>
      </c>
      <c r="AE98">
        <f>SUM(Data2022[[#This Row],[Number of first year comittee members]:[Number of 4+ year comittee members]])</f>
        <v>18</v>
      </c>
      <c r="AF98">
        <f>COUNTIF('Committee2022'!D:D,Data2022[[#This Row],[organisation_name]])</f>
        <v>2</v>
      </c>
      <c r="AG98">
        <v>2022</v>
      </c>
    </row>
    <row r="99" spans="1:33" x14ac:dyDescent="0.3">
      <c r="A99" t="str">
        <f>General2022[[#This Row],[organisation_name]]</f>
        <v>UniTe</v>
      </c>
      <c r="B99" t="str">
        <f>IF(General2022[[#This Row],[sector]]= "",VLOOKUP(Data2022[[#This Row],[organisation_name]],'Response Rate sheet'!A:D,3,FALSE),General2022[[#This Row],[sector]])</f>
        <v>World</v>
      </c>
      <c r="C99" t="str">
        <f>General2022[[#This Row],[organisation_type]]</f>
        <v>foundation</v>
      </c>
      <c r="D99">
        <f>IF(ISBLANK(General2022[[#This Row],[number_of_members]]),"N/A",VLOOKUP(A99,General2022[[organisation_name]:[number_of_international_committee_board_members_not_eea]],6,FALSE))</f>
        <v>7</v>
      </c>
      <c r="E99">
        <f>IF(ISBLANK(General2022[[#This Row],[number_of_committee_board_members]]),"N/A",VLOOKUP(A99,General2022!B:M,10,FALSE))</f>
        <v>0</v>
      </c>
      <c r="F99">
        <f>IFERROR(Data2022[[#This Row],[Number of members]]-Data2022[[#This Row],[Number of active members]], "N/A")</f>
        <v>7</v>
      </c>
      <c r="G99">
        <f>IFERROR(Data2022[[#This Row],[Number of active members]]/Data2022[[#This Row],[Number of members]], "N/A")</f>
        <v>0</v>
      </c>
      <c r="H99">
        <f>IFERROR(1-Data2022[[#This Row],[Percentage active members]],"N/A")</f>
        <v>1</v>
      </c>
      <c r="I9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99">
        <f>IF(ISBLANK(General2022[[#This Row],[number_of_international_members_not_eea]]),"N/A",VLOOKUP(A99,General2022[[organisation_name]:[number_of_international_committee_board_members_not_eea]],9,FALSE))</f>
        <v>0</v>
      </c>
      <c r="K99">
        <f>IF(ISBLANK(General2022[[#This Row],[number_of_international_members_eea]]),"N/A",VLOOKUP(A99,General2022[[organisation_name]:[number_of_international_committee_board_members_not_eea]],8,FALSE))</f>
        <v>6</v>
      </c>
      <c r="L99">
        <f>IFERROR(IF(Data2022[[#This Row],[Number of members]]-Data2022[[#This Row],[Non-EEA Total]]-Data2022[[#This Row],[EEA total]]&lt;1,"N/A", Data2022[[#This Row],[Number of members]]-Data2022[[#This Row],[Non-EEA Total]]-Data2022[[#This Row],[EEA total]]),"N/A")</f>
        <v>1</v>
      </c>
      <c r="M99">
        <f>VLOOKUP(A99,General2022[[organisation_name]:[number_of_international_committee_board_members_not_eea]],12,FALSE)</f>
        <v>0</v>
      </c>
      <c r="N99">
        <f>VLOOKUP(A99,General2022[[organisation_name]:[number_of_international_committee_board_members_not_eea]],11,FALSE)</f>
        <v>0</v>
      </c>
      <c r="O99" t="str">
        <f>IFERROR(IF(Data2022[[#This Row],[Number of active members]]-Data2022[[#This Row],[Non-EEA Active ]]-Data2022[[#This Row],[EEA Active]]&lt;1,"N/A", Data2022[[#This Row],[Number of active members]]-Data2022[[#This Row],[Non-EEA Active ]]-Data2022[[#This Row],[EEA Active]]),"N/A")</f>
        <v>N/A</v>
      </c>
      <c r="P99" t="str">
        <f>IFERROR(Data2022[[#This Row],[Non-EEA Active ]]/Data2022[[#This Row],[Number of active members]],"N/A")</f>
        <v>N/A</v>
      </c>
      <c r="Q99">
        <f>IFERROR(Data2022[[#This Row],[EEA Active]]/Data2022[[#This Row],[EEA total]], "N/A")</f>
        <v>0</v>
      </c>
      <c r="R99" t="str">
        <f>IFERROR(Data2022[[#This Row],[Dutch Active]]/Data2022[[#This Row],[Dutch total]],"N/A")</f>
        <v>N/A</v>
      </c>
      <c r="S99" t="str">
        <f>IFERROR(IF(Data2022[[#This Row],[Number of members]]=Data2022[[#This Row],[Non-EEA Total]]+Data2022[[#This Row],[EEA total]]+Data2022[[#This Row],[Dutch total]],"T","F"),"F")</f>
        <v>T</v>
      </c>
      <c r="T99" t="str">
        <f>IFERROR(IF(Data2022[[#This Row],[Number of active members]]=Data2022[[#This Row],[Non-EEA Active ]]+Data2022[[#This Row],[EEA Active]]+Data2022[[#This Row],[Dutch Active]],"T","F"),"F")</f>
        <v>F</v>
      </c>
      <c r="U99" t="str">
        <f>IFERROR(IF(Data2022[[#This Row],[Number of members]]-Data2022[[#This Row],[Non-EEA Active ]]-Data2022[[#This Row],[EEA Active]]-Data2022[[#This Row],[Dutch Active]]=Data2022[[#This Row],[Number of  inactive members]],"T","F"),"F")</f>
        <v>F</v>
      </c>
      <c r="V99" t="str">
        <f>IF(Data2022[[#This Row],[EEA Active]]&lt;=Data2022[[#This Row],[EEA total]],"T","F")</f>
        <v>T</v>
      </c>
      <c r="W99" t="str">
        <f>IF(Data2022[[#This Row],[Dutch Active]]&lt;=Data2022[[#This Row],[Dutch total]],"T","F")</f>
        <v>F</v>
      </c>
      <c r="X99" t="str">
        <f>IF(Data2022[[#This Row],[Non-EEA Active ]]&lt;=Data2022[[#This Row],[Non-EEA Total]],"T","F")</f>
        <v>T</v>
      </c>
      <c r="Y9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99">
        <f>IFERROR(VLOOKUP(Data2022[[#This Row],[organisation_name]],'Division Study Year Committees'!$A$1:$L$108,2,FALSE),"N/A")</f>
        <v>0</v>
      </c>
      <c r="AA99">
        <f>IFERROR(VLOOKUP(Data2022[[#This Row],[organisation_name]],'Division Study Year Committees'!$A$1:$L$108,3,FALSE),"N/A")</f>
        <v>1</v>
      </c>
      <c r="AB99">
        <f>IFERROR(VLOOKUP(Data2022[[#This Row],[organisation_name]],'Division Study Year Committees'!$A$1:$L$108,4,FALSE),"N/A")</f>
        <v>0</v>
      </c>
      <c r="AC99">
        <f>IFERROR(VLOOKUP(Data2022[[#This Row],[organisation_name]],'Division Study Year Committees'!$A$1:$L$108,5,FALSE), "N/A")</f>
        <v>3</v>
      </c>
      <c r="AD99">
        <f>IFERROR(VLOOKUP(Data2022[[#This Row],[organisation_name]],'Division Study Year Committees'!$A$1:$L$108,6,FALSE), "N/A")</f>
        <v>3</v>
      </c>
      <c r="AE99">
        <f>SUM(Data2022[[#This Row],[Number of first year comittee members]:[Number of 4+ year comittee members]])</f>
        <v>7</v>
      </c>
      <c r="AF99">
        <f>COUNTIF('Committee2022'!D:D,Data2022[[#This Row],[organisation_name]])</f>
        <v>0</v>
      </c>
      <c r="AG99">
        <v>2022</v>
      </c>
    </row>
    <row r="100" spans="1:33" x14ac:dyDescent="0.3">
      <c r="A100" t="str">
        <f>General2022[[#This Row],[organisation_name]]</f>
        <v>Bedrijvendagen</v>
      </c>
      <c r="B100" t="str">
        <f>IF(General2022[[#This Row],[sector]]= "",VLOOKUP(Data2022[[#This Row],[organisation_name]],'Response Rate sheet'!A:D,3,FALSE),General2022[[#This Row],[sector]])</f>
        <v>Other</v>
      </c>
      <c r="C100" t="str">
        <f>General2022[[#This Row],[organisation_type]]</f>
        <v>foundation</v>
      </c>
      <c r="D100">
        <f>IF(ISBLANK(General2022[[#This Row],[number_of_members]]),"N/A",VLOOKUP(A100,General2022[[organisation_name]:[number_of_international_committee_board_members_not_eea]],6,FALSE))</f>
        <v>0</v>
      </c>
      <c r="E100">
        <f>IF(ISBLANK(General2022[[#This Row],[number_of_committee_board_members]]),"N/A",VLOOKUP(A100,General2022!B:M,10,FALSE))</f>
        <v>0</v>
      </c>
      <c r="F100">
        <f>IFERROR(Data2022[[#This Row],[Number of members]]-Data2022[[#This Row],[Number of active members]], "N/A")</f>
        <v>0</v>
      </c>
      <c r="G100" t="str">
        <f>IFERROR(Data2022[[#This Row],[Number of active members]]/Data2022[[#This Row],[Number of members]], "N/A")</f>
        <v>N/A</v>
      </c>
      <c r="H100" t="str">
        <f>IFERROR(1-Data2022[[#This Row],[Percentage active members]],"N/A")</f>
        <v>N/A</v>
      </c>
      <c r="I100" t="str">
        <f>IF(Data2022[[#This Row],[Number of members]]=0,"N/A",IF(Data2022[[#This Row],[Number of members]]&lt;50," A. 1 - 50 ",IF(Data2022[[#This Row],[Number of members]]&lt;100, "B. 50 - 100", IF(Data2022[[#This Row],[Number of members]]&lt;400, "C. 100 - 400", IF(Data2022[[#This Row],[Number of members]]&lt;1000,"D. 400 - 1000", "E. 1000 +")))))</f>
        <v>N/A</v>
      </c>
      <c r="J100">
        <f>IF(ISBLANK(General2022[[#This Row],[number_of_international_members_not_eea]]),"N/A",VLOOKUP(A100,General2022[[organisation_name]:[number_of_international_committee_board_members_not_eea]],9,FALSE))</f>
        <v>0</v>
      </c>
      <c r="K100" t="str">
        <f>IF(ISBLANK(General2022[[#This Row],[number_of_international_members_eea]]),"N/A",VLOOKUP(A100,General2022[[organisation_name]:[number_of_international_committee_board_members_not_eea]],8,FALSE))</f>
        <v>N/A</v>
      </c>
      <c r="L100" t="str">
        <f>IFERROR(IF(Data2022[[#This Row],[Number of members]]-Data2022[[#This Row],[Non-EEA Total]]-Data2022[[#This Row],[EEA total]]&lt;1,"N/A", Data2022[[#This Row],[Number of members]]-Data2022[[#This Row],[Non-EEA Total]]-Data2022[[#This Row],[EEA total]]),"N/A")</f>
        <v>N/A</v>
      </c>
      <c r="M100">
        <f>VLOOKUP(A100,General2022[[organisation_name]:[number_of_international_committee_board_members_not_eea]],12,FALSE)</f>
        <v>0</v>
      </c>
      <c r="N100">
        <f>VLOOKUP(A100,General2022[[organisation_name]:[number_of_international_committee_board_members_not_eea]],11,FALSE)</f>
        <v>0</v>
      </c>
      <c r="O100" t="str">
        <f>IFERROR(IF(Data2022[[#This Row],[Number of active members]]-Data2022[[#This Row],[Non-EEA Active ]]-Data2022[[#This Row],[EEA Active]]&lt;1,"N/A", Data2022[[#This Row],[Number of active members]]-Data2022[[#This Row],[Non-EEA Active ]]-Data2022[[#This Row],[EEA Active]]),"N/A")</f>
        <v>N/A</v>
      </c>
      <c r="P100" t="str">
        <f>IFERROR(Data2022[[#This Row],[Non-EEA Active ]]/Data2022[[#This Row],[Number of active members]],"N/A")</f>
        <v>N/A</v>
      </c>
      <c r="Q100" t="str">
        <f>IFERROR(Data2022[[#This Row],[EEA Active]]/Data2022[[#This Row],[EEA total]], "N/A")</f>
        <v>N/A</v>
      </c>
      <c r="R100" t="str">
        <f>IFERROR(Data2022[[#This Row],[Dutch Active]]/Data2022[[#This Row],[Dutch total]],"N/A")</f>
        <v>N/A</v>
      </c>
      <c r="S100" t="str">
        <f>IFERROR(IF(Data2022[[#This Row],[Number of members]]=Data2022[[#This Row],[Non-EEA Total]]+Data2022[[#This Row],[EEA total]]+Data2022[[#This Row],[Dutch total]],"T","F"),"F")</f>
        <v>F</v>
      </c>
      <c r="T100" t="str">
        <f>IFERROR(IF(Data2022[[#This Row],[Number of active members]]=Data2022[[#This Row],[Non-EEA Active ]]+Data2022[[#This Row],[EEA Active]]+Data2022[[#This Row],[Dutch Active]],"T","F"),"F")</f>
        <v>F</v>
      </c>
      <c r="U100" t="str">
        <f>IFERROR(IF(Data2022[[#This Row],[Number of members]]-Data2022[[#This Row],[Non-EEA Active ]]-Data2022[[#This Row],[EEA Active]]-Data2022[[#This Row],[Dutch Active]]=Data2022[[#This Row],[Number of  inactive members]],"T","F"),"F")</f>
        <v>F</v>
      </c>
      <c r="V100" t="str">
        <f>IF(Data2022[[#This Row],[EEA Active]]&lt;=Data2022[[#This Row],[EEA total]],"T","F")</f>
        <v>T</v>
      </c>
      <c r="W100" t="str">
        <f>IF(Data2022[[#This Row],[Dutch Active]]&lt;=Data2022[[#This Row],[Dutch total]],"T","F")</f>
        <v>T</v>
      </c>
      <c r="X100" t="str">
        <f>IF(Data2022[[#This Row],[Non-EEA Active ]]&lt;=Data2022[[#This Row],[Non-EEA Total]],"T","F")</f>
        <v>T</v>
      </c>
      <c r="Y10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0" t="str">
        <f>IFERROR(VLOOKUP(Data2022[[#This Row],[organisation_name]],'Division Study Year Committees'!$A$1:$L$108,2,FALSE),"N/A")</f>
        <v>N/A</v>
      </c>
      <c r="AA100" t="str">
        <f>IFERROR(VLOOKUP(Data2022[[#This Row],[organisation_name]],'Division Study Year Committees'!$A$1:$L$108,3,FALSE),"N/A")</f>
        <v>N/A</v>
      </c>
      <c r="AB100" t="str">
        <f>IFERROR(VLOOKUP(Data2022[[#This Row],[organisation_name]],'Division Study Year Committees'!$A$1:$L$108,4,FALSE),"N/A")</f>
        <v>N/A</v>
      </c>
      <c r="AC100" t="str">
        <f>IFERROR(VLOOKUP(Data2022[[#This Row],[organisation_name]],'Division Study Year Committees'!$A$1:$L$108,5,FALSE), "N/A")</f>
        <v>N/A</v>
      </c>
      <c r="AD100" t="str">
        <f>IFERROR(VLOOKUP(Data2022[[#This Row],[organisation_name]],'Division Study Year Committees'!$A$1:$L$108,6,FALSE), "N/A")</f>
        <v>N/A</v>
      </c>
      <c r="AE100">
        <f>SUM(Data2022[[#This Row],[Number of first year comittee members]:[Number of 4+ year comittee members]])</f>
        <v>0</v>
      </c>
      <c r="AF100">
        <f>COUNTIF('Committee2022'!D:D,Data2022[[#This Row],[organisation_name]])</f>
        <v>1</v>
      </c>
      <c r="AG100">
        <v>2022</v>
      </c>
    </row>
    <row r="101" spans="1:33" x14ac:dyDescent="0.3">
      <c r="A101" t="str">
        <f>General2022[[#This Row],[organisation_name]]</f>
        <v>Duitenberg</v>
      </c>
      <c r="B101" t="str">
        <f>IF(General2022[[#This Row],[sector]]= "",VLOOKUP(Data2022[[#This Row],[organisation_name]],'Response Rate sheet'!A:D,3,FALSE),General2022[[#This Row],[sector]])</f>
        <v>Other</v>
      </c>
      <c r="C101" t="str">
        <f>General2022[[#This Row],[organisation_type]]</f>
        <v>association</v>
      </c>
      <c r="D101" t="str">
        <f>IF(ISBLANK(General2022[[#This Row],[number_of_members]]),"N/A",VLOOKUP(A101,General2022[[organisation_name]:[number_of_international_committee_board_members_not_eea]],6,FALSE))</f>
        <v>N/A</v>
      </c>
      <c r="E101" t="str">
        <f>IF(ISBLANK(General2022[[#This Row],[number_of_committee_board_members]]),"N/A",VLOOKUP(A101,General2022!B:M,10,FALSE))</f>
        <v>N/A</v>
      </c>
      <c r="F101" t="str">
        <f>IFERROR(Data2022[[#This Row],[Number of members]]-Data2022[[#This Row],[Number of active members]], "N/A")</f>
        <v>N/A</v>
      </c>
      <c r="G101" t="str">
        <f>IFERROR(Data2022[[#This Row],[Number of active members]]/Data2022[[#This Row],[Number of members]], "N/A")</f>
        <v>N/A</v>
      </c>
      <c r="H101" t="str">
        <f>IFERROR(1-Data2022[[#This Row],[Percentage active members]],"N/A")</f>
        <v>N/A</v>
      </c>
      <c r="I101" t="str">
        <f>IF(Data2022[[#This Row],[Number of members]]=0,"N/A",IF(Data2022[[#This Row],[Number of members]]&lt;50," A. 1 - 50 ",IF(Data2022[[#This Row],[Number of members]]&lt;100, "B. 50 - 100", IF(Data2022[[#This Row],[Number of members]]&lt;400, "C. 100 - 400", IF(Data2022[[#This Row],[Number of members]]&lt;1000,"D. 400 - 1000", "E. 1000 +")))))</f>
        <v>E. 1000 +</v>
      </c>
      <c r="J101" t="str">
        <f>IF(ISBLANK(General2022[[#This Row],[number_of_international_members_not_eea]]),"N/A",VLOOKUP(A101,General2022[[organisation_name]:[number_of_international_committee_board_members_not_eea]],9,FALSE))</f>
        <v>N/A</v>
      </c>
      <c r="K101" t="str">
        <f>IF(ISBLANK(General2022[[#This Row],[number_of_international_members_eea]]),"N/A",VLOOKUP(A101,General2022[[organisation_name]:[number_of_international_committee_board_members_not_eea]],8,FALSE))</f>
        <v>N/A</v>
      </c>
      <c r="L101" t="str">
        <f>IFERROR(IF(Data2022[[#This Row],[Number of members]]-Data2022[[#This Row],[Non-EEA Total]]-Data2022[[#This Row],[EEA total]]&lt;1,"N/A", Data2022[[#This Row],[Number of members]]-Data2022[[#This Row],[Non-EEA Total]]-Data2022[[#This Row],[EEA total]]),"N/A")</f>
        <v>N/A</v>
      </c>
      <c r="M101">
        <f>VLOOKUP(A101,General2022[[organisation_name]:[number_of_international_committee_board_members_not_eea]],12,FALSE)</f>
        <v>0</v>
      </c>
      <c r="N101">
        <f>VLOOKUP(A101,General2022[[organisation_name]:[number_of_international_committee_board_members_not_eea]],11,FALSE)</f>
        <v>0</v>
      </c>
      <c r="O101" t="str">
        <f>IFERROR(IF(Data2022[[#This Row],[Number of active members]]-Data2022[[#This Row],[Non-EEA Active ]]-Data2022[[#This Row],[EEA Active]]&lt;1,"N/A", Data2022[[#This Row],[Number of active members]]-Data2022[[#This Row],[Non-EEA Active ]]-Data2022[[#This Row],[EEA Active]]),"N/A")</f>
        <v>N/A</v>
      </c>
      <c r="P101" t="str">
        <f>IFERROR(Data2022[[#This Row],[Non-EEA Active ]]/Data2022[[#This Row],[Number of active members]],"N/A")</f>
        <v>N/A</v>
      </c>
      <c r="Q101" t="str">
        <f>IFERROR(Data2022[[#This Row],[EEA Active]]/Data2022[[#This Row],[EEA total]], "N/A")</f>
        <v>N/A</v>
      </c>
      <c r="R101" t="str">
        <f>IFERROR(Data2022[[#This Row],[Dutch Active]]/Data2022[[#This Row],[Dutch total]],"N/A")</f>
        <v>N/A</v>
      </c>
      <c r="S101" t="str">
        <f>IFERROR(IF(Data2022[[#This Row],[Number of members]]=Data2022[[#This Row],[Non-EEA Total]]+Data2022[[#This Row],[EEA total]]+Data2022[[#This Row],[Dutch total]],"T","F"),"F")</f>
        <v>F</v>
      </c>
      <c r="T101" t="str">
        <f>IFERROR(IF(Data2022[[#This Row],[Number of active members]]=Data2022[[#This Row],[Non-EEA Active ]]+Data2022[[#This Row],[EEA Active]]+Data2022[[#This Row],[Dutch Active]],"T","F"),"F")</f>
        <v>F</v>
      </c>
      <c r="U101" t="str">
        <f>IFERROR(IF(Data2022[[#This Row],[Number of members]]-Data2022[[#This Row],[Non-EEA Active ]]-Data2022[[#This Row],[EEA Active]]-Data2022[[#This Row],[Dutch Active]]=Data2022[[#This Row],[Number of  inactive members]],"T","F"),"F")</f>
        <v>F</v>
      </c>
      <c r="V101" t="str">
        <f>IF(Data2022[[#This Row],[EEA Active]]&lt;=Data2022[[#This Row],[EEA total]],"T","F")</f>
        <v>T</v>
      </c>
      <c r="W101" t="str">
        <f>IF(Data2022[[#This Row],[Dutch Active]]&lt;=Data2022[[#This Row],[Dutch total]],"T","F")</f>
        <v>T</v>
      </c>
      <c r="X101" t="str">
        <f>IF(Data2022[[#This Row],[Non-EEA Active ]]&lt;=Data2022[[#This Row],[Non-EEA Total]],"T","F")</f>
        <v>T</v>
      </c>
      <c r="Y10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1" t="str">
        <f>IFERROR(VLOOKUP(Data2022[[#This Row],[organisation_name]],'Division Study Year Committees'!$A$1:$L$108,2,FALSE),"N/A")</f>
        <v>N/A</v>
      </c>
      <c r="AA101" t="str">
        <f>IFERROR(VLOOKUP(Data2022[[#This Row],[organisation_name]],'Division Study Year Committees'!$A$1:$L$108,3,FALSE),"N/A")</f>
        <v>N/A</v>
      </c>
      <c r="AB101" t="str">
        <f>IFERROR(VLOOKUP(Data2022[[#This Row],[organisation_name]],'Division Study Year Committees'!$A$1:$L$108,4,FALSE),"N/A")</f>
        <v>N/A</v>
      </c>
      <c r="AC101" t="str">
        <f>IFERROR(VLOOKUP(Data2022[[#This Row],[organisation_name]],'Division Study Year Committees'!$A$1:$L$108,5,FALSE), "N/A")</f>
        <v>N/A</v>
      </c>
      <c r="AD101" t="str">
        <f>IFERROR(VLOOKUP(Data2022[[#This Row],[organisation_name]],'Division Study Year Committees'!$A$1:$L$108,6,FALSE), "N/A")</f>
        <v>N/A</v>
      </c>
      <c r="AE101">
        <f>SUM(Data2022[[#This Row],[Number of first year comittee members]:[Number of 4+ year comittee members]])</f>
        <v>0</v>
      </c>
      <c r="AF101">
        <f>COUNTIF('Committee2022'!D:D,Data2022[[#This Row],[organisation_name]])</f>
        <v>0</v>
      </c>
      <c r="AG101">
        <v>2022</v>
      </c>
    </row>
    <row r="102" spans="1:33" x14ac:dyDescent="0.3">
      <c r="A102" t="str">
        <f>General2022[[#This Row],[organisation_name]]</f>
        <v>Integrand Twente</v>
      </c>
      <c r="B102" t="str">
        <f>IF(General2022[[#This Row],[sector]]= "",VLOOKUP(Data2022[[#This Row],[organisation_name]],'Response Rate sheet'!A:D,3,FALSE),General2022[[#This Row],[sector]])</f>
        <v>Other</v>
      </c>
      <c r="C102" t="str">
        <f>General2022[[#This Row],[organisation_type]]</f>
        <v>foundation</v>
      </c>
      <c r="D102">
        <f>IF(ISBLANK(General2022[[#This Row],[number_of_members]]),"N/A",VLOOKUP(A102,General2022[[organisation_name]:[number_of_international_committee_board_members_not_eea]],6,FALSE))</f>
        <v>9</v>
      </c>
      <c r="E102">
        <f>IF(ISBLANK(General2022[[#This Row],[number_of_committee_board_members]]),"N/A",VLOOKUP(A102,General2022!B:M,10,FALSE))</f>
        <v>0</v>
      </c>
      <c r="F102">
        <f>IFERROR(Data2022[[#This Row],[Number of members]]-Data2022[[#This Row],[Number of active members]], "N/A")</f>
        <v>9</v>
      </c>
      <c r="G102">
        <f>IFERROR(Data2022[[#This Row],[Number of active members]]/Data2022[[#This Row],[Number of members]], "N/A")</f>
        <v>0</v>
      </c>
      <c r="H102">
        <f>IFERROR(1-Data2022[[#This Row],[Percentage active members]],"N/A")</f>
        <v>1</v>
      </c>
      <c r="I102"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02">
        <f>IF(ISBLANK(General2022[[#This Row],[number_of_international_members_not_eea]]),"N/A",VLOOKUP(A102,General2022[[organisation_name]:[number_of_international_committee_board_members_not_eea]],9,FALSE))</f>
        <v>0</v>
      </c>
      <c r="K102">
        <f>IF(ISBLANK(General2022[[#This Row],[number_of_international_members_eea]]),"N/A",VLOOKUP(A102,General2022[[organisation_name]:[number_of_international_committee_board_members_not_eea]],8,FALSE))</f>
        <v>0</v>
      </c>
      <c r="L102">
        <f>IFERROR(IF(Data2022[[#This Row],[Number of members]]-Data2022[[#This Row],[Non-EEA Total]]-Data2022[[#This Row],[EEA total]]&lt;1,"N/A", Data2022[[#This Row],[Number of members]]-Data2022[[#This Row],[Non-EEA Total]]-Data2022[[#This Row],[EEA total]]),"N/A")</f>
        <v>9</v>
      </c>
      <c r="M102">
        <f>VLOOKUP(A102,General2022[[organisation_name]:[number_of_international_committee_board_members_not_eea]],12,FALSE)</f>
        <v>0</v>
      </c>
      <c r="N102">
        <f>VLOOKUP(A102,General2022[[organisation_name]:[number_of_international_committee_board_members_not_eea]],11,FALSE)</f>
        <v>0</v>
      </c>
      <c r="O102" t="str">
        <f>IFERROR(IF(Data2022[[#This Row],[Number of active members]]-Data2022[[#This Row],[Non-EEA Active ]]-Data2022[[#This Row],[EEA Active]]&lt;1,"N/A", Data2022[[#This Row],[Number of active members]]-Data2022[[#This Row],[Non-EEA Active ]]-Data2022[[#This Row],[EEA Active]]),"N/A")</f>
        <v>N/A</v>
      </c>
      <c r="P102" t="str">
        <f>IFERROR(Data2022[[#This Row],[Non-EEA Active ]]/Data2022[[#This Row],[Number of active members]],"N/A")</f>
        <v>N/A</v>
      </c>
      <c r="Q102" t="str">
        <f>IFERROR(Data2022[[#This Row],[EEA Active]]/Data2022[[#This Row],[EEA total]], "N/A")</f>
        <v>N/A</v>
      </c>
      <c r="R102" t="str">
        <f>IFERROR(Data2022[[#This Row],[Dutch Active]]/Data2022[[#This Row],[Dutch total]],"N/A")</f>
        <v>N/A</v>
      </c>
      <c r="S102" t="str">
        <f>IFERROR(IF(Data2022[[#This Row],[Number of members]]=Data2022[[#This Row],[Non-EEA Total]]+Data2022[[#This Row],[EEA total]]+Data2022[[#This Row],[Dutch total]],"T","F"),"F")</f>
        <v>T</v>
      </c>
      <c r="T102" t="str">
        <f>IFERROR(IF(Data2022[[#This Row],[Number of active members]]=Data2022[[#This Row],[Non-EEA Active ]]+Data2022[[#This Row],[EEA Active]]+Data2022[[#This Row],[Dutch Active]],"T","F"),"F")</f>
        <v>F</v>
      </c>
      <c r="U102" t="str">
        <f>IFERROR(IF(Data2022[[#This Row],[Number of members]]-Data2022[[#This Row],[Non-EEA Active ]]-Data2022[[#This Row],[EEA Active]]-Data2022[[#This Row],[Dutch Active]]=Data2022[[#This Row],[Number of  inactive members]],"T","F"),"F")</f>
        <v>F</v>
      </c>
      <c r="V102" t="str">
        <f>IF(Data2022[[#This Row],[EEA Active]]&lt;=Data2022[[#This Row],[EEA total]],"T","F")</f>
        <v>T</v>
      </c>
      <c r="W102" t="str">
        <f>IF(Data2022[[#This Row],[Dutch Active]]&lt;=Data2022[[#This Row],[Dutch total]],"T","F")</f>
        <v>F</v>
      </c>
      <c r="X102" t="str">
        <f>IF(Data2022[[#This Row],[Non-EEA Active ]]&lt;=Data2022[[#This Row],[Non-EEA Total]],"T","F")</f>
        <v>T</v>
      </c>
      <c r="Y10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2">
        <f>IFERROR(VLOOKUP(Data2022[[#This Row],[organisation_name]],'Division Study Year Committees'!$A$1:$L$108,2,FALSE),"N/A")</f>
        <v>0</v>
      </c>
      <c r="AA102">
        <f>IFERROR(VLOOKUP(Data2022[[#This Row],[organisation_name]],'Division Study Year Committees'!$A$1:$L$108,3,FALSE),"N/A")</f>
        <v>0</v>
      </c>
      <c r="AB102">
        <f>IFERROR(VLOOKUP(Data2022[[#This Row],[organisation_name]],'Division Study Year Committees'!$A$1:$L$108,4,FALSE),"N/A")</f>
        <v>6</v>
      </c>
      <c r="AC102">
        <f>IFERROR(VLOOKUP(Data2022[[#This Row],[organisation_name]],'Division Study Year Committees'!$A$1:$L$108,5,FALSE), "N/A")</f>
        <v>2</v>
      </c>
      <c r="AD102">
        <f>IFERROR(VLOOKUP(Data2022[[#This Row],[organisation_name]],'Division Study Year Committees'!$A$1:$L$108,6,FALSE), "N/A")</f>
        <v>0</v>
      </c>
      <c r="AE102">
        <f>SUM(Data2022[[#This Row],[Number of first year comittee members]:[Number of 4+ year comittee members]])</f>
        <v>8</v>
      </c>
      <c r="AF102">
        <f>COUNTIF('Committee2022'!D:D,Data2022[[#This Row],[organisation_name]])</f>
        <v>1</v>
      </c>
      <c r="AG102">
        <v>2022</v>
      </c>
    </row>
    <row r="103" spans="1:33" x14ac:dyDescent="0.3">
      <c r="A103" t="str">
        <f>General2022[[#This Row],[organisation_name]]</f>
        <v>KIVI Students Twente</v>
      </c>
      <c r="B103" t="str">
        <f>IF(General2022[[#This Row],[sector]]= "",VLOOKUP(Data2022[[#This Row],[organisation_name]],'Response Rate sheet'!A:D,3,FALSE),General2022[[#This Row],[sector]])</f>
        <v>Study</v>
      </c>
      <c r="C103" t="str">
        <f>General2022[[#This Row],[organisation_type]]</f>
        <v>foundation</v>
      </c>
      <c r="D103">
        <f>IF(ISBLANK(General2022[[#This Row],[number_of_members]]),"N/A",VLOOKUP(A103,General2022[[organisation_name]:[number_of_international_committee_board_members_not_eea]],6,FALSE))</f>
        <v>7</v>
      </c>
      <c r="E103">
        <f>IF(ISBLANK(General2022[[#This Row],[number_of_committee_board_members]]),"N/A",VLOOKUP(A103,General2022!B:M,10,FALSE))</f>
        <v>0</v>
      </c>
      <c r="F103">
        <f>IFERROR(Data2022[[#This Row],[Number of members]]-Data2022[[#This Row],[Number of active members]], "N/A")</f>
        <v>7</v>
      </c>
      <c r="G103">
        <f>IFERROR(Data2022[[#This Row],[Number of active members]]/Data2022[[#This Row],[Number of members]], "N/A")</f>
        <v>0</v>
      </c>
      <c r="H103">
        <f>IFERROR(1-Data2022[[#This Row],[Percentage active members]],"N/A")</f>
        <v>1</v>
      </c>
      <c r="I103"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03">
        <f>IF(ISBLANK(General2022[[#This Row],[number_of_international_members_not_eea]]),"N/A",VLOOKUP(A103,General2022[[organisation_name]:[number_of_international_committee_board_members_not_eea]],9,FALSE))</f>
        <v>0</v>
      </c>
      <c r="K103">
        <f>IF(ISBLANK(General2022[[#This Row],[number_of_international_members_eea]]),"N/A",VLOOKUP(A103,General2022[[organisation_name]:[number_of_international_committee_board_members_not_eea]],8,FALSE))</f>
        <v>0</v>
      </c>
      <c r="L103">
        <f>IFERROR(IF(Data2022[[#This Row],[Number of members]]-Data2022[[#This Row],[Non-EEA Total]]-Data2022[[#This Row],[EEA total]]&lt;1,"N/A", Data2022[[#This Row],[Number of members]]-Data2022[[#This Row],[Non-EEA Total]]-Data2022[[#This Row],[EEA total]]),"N/A")</f>
        <v>7</v>
      </c>
      <c r="M103">
        <f>VLOOKUP(A103,General2022[[organisation_name]:[number_of_international_committee_board_members_not_eea]],12,FALSE)</f>
        <v>0</v>
      </c>
      <c r="N103">
        <f>VLOOKUP(A103,General2022[[organisation_name]:[number_of_international_committee_board_members_not_eea]],11,FALSE)</f>
        <v>0</v>
      </c>
      <c r="O103" t="str">
        <f>IFERROR(IF(Data2022[[#This Row],[Number of active members]]-Data2022[[#This Row],[Non-EEA Active ]]-Data2022[[#This Row],[EEA Active]]&lt;1,"N/A", Data2022[[#This Row],[Number of active members]]-Data2022[[#This Row],[Non-EEA Active ]]-Data2022[[#This Row],[EEA Active]]),"N/A")</f>
        <v>N/A</v>
      </c>
      <c r="P103" t="str">
        <f>IFERROR(Data2022[[#This Row],[Non-EEA Active ]]/Data2022[[#This Row],[Number of active members]],"N/A")</f>
        <v>N/A</v>
      </c>
      <c r="Q103" t="str">
        <f>IFERROR(Data2022[[#This Row],[EEA Active]]/Data2022[[#This Row],[EEA total]], "N/A")</f>
        <v>N/A</v>
      </c>
      <c r="R103" t="str">
        <f>IFERROR(Data2022[[#This Row],[Dutch Active]]/Data2022[[#This Row],[Dutch total]],"N/A")</f>
        <v>N/A</v>
      </c>
      <c r="S103" t="str">
        <f>IFERROR(IF(Data2022[[#This Row],[Number of members]]=Data2022[[#This Row],[Non-EEA Total]]+Data2022[[#This Row],[EEA total]]+Data2022[[#This Row],[Dutch total]],"T","F"),"F")</f>
        <v>T</v>
      </c>
      <c r="T103" t="str">
        <f>IFERROR(IF(Data2022[[#This Row],[Number of active members]]=Data2022[[#This Row],[Non-EEA Active ]]+Data2022[[#This Row],[EEA Active]]+Data2022[[#This Row],[Dutch Active]],"T","F"),"F")</f>
        <v>F</v>
      </c>
      <c r="U103" t="str">
        <f>IFERROR(IF(Data2022[[#This Row],[Number of members]]-Data2022[[#This Row],[Non-EEA Active ]]-Data2022[[#This Row],[EEA Active]]-Data2022[[#This Row],[Dutch Active]]=Data2022[[#This Row],[Number of  inactive members]],"T","F"),"F")</f>
        <v>F</v>
      </c>
      <c r="V103" t="str">
        <f>IF(Data2022[[#This Row],[EEA Active]]&lt;=Data2022[[#This Row],[EEA total]],"T","F")</f>
        <v>T</v>
      </c>
      <c r="W103" t="str">
        <f>IF(Data2022[[#This Row],[Dutch Active]]&lt;=Data2022[[#This Row],[Dutch total]],"T","F")</f>
        <v>F</v>
      </c>
      <c r="X103" t="str">
        <f>IF(Data2022[[#This Row],[Non-EEA Active ]]&lt;=Data2022[[#This Row],[Non-EEA Total]],"T","F")</f>
        <v>T</v>
      </c>
      <c r="Y10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3">
        <f>IFERROR(VLOOKUP(Data2022[[#This Row],[organisation_name]],'Division Study Year Committees'!$A$1:$L$108,2,FALSE),"N/A")</f>
        <v>0</v>
      </c>
      <c r="AA103">
        <f>IFERROR(VLOOKUP(Data2022[[#This Row],[organisation_name]],'Division Study Year Committees'!$A$1:$L$108,3,FALSE),"N/A")</f>
        <v>0</v>
      </c>
      <c r="AB103">
        <f>IFERROR(VLOOKUP(Data2022[[#This Row],[organisation_name]],'Division Study Year Committees'!$A$1:$L$108,4,FALSE),"N/A")</f>
        <v>0</v>
      </c>
      <c r="AC103">
        <f>IFERROR(VLOOKUP(Data2022[[#This Row],[organisation_name]],'Division Study Year Committees'!$A$1:$L$108,5,FALSE), "N/A")</f>
        <v>0</v>
      </c>
      <c r="AD103">
        <f>IFERROR(VLOOKUP(Data2022[[#This Row],[organisation_name]],'Division Study Year Committees'!$A$1:$L$108,6,FALSE), "N/A")</f>
        <v>0</v>
      </c>
      <c r="AE103">
        <f>SUM(Data2022[[#This Row],[Number of first year comittee members]:[Number of 4+ year comittee members]])</f>
        <v>0</v>
      </c>
      <c r="AF103">
        <f>COUNTIF('Committee2022'!D:D,Data2022[[#This Row],[organisation_name]])</f>
        <v>4</v>
      </c>
      <c r="AG103">
        <v>2022</v>
      </c>
    </row>
    <row r="104" spans="1:33" x14ac:dyDescent="0.3">
      <c r="A104" t="str">
        <f>General2022[[#This Row],[organisation_name]]</f>
        <v>Unipartners</v>
      </c>
      <c r="B104" t="str">
        <f>IF(General2022[[#This Row],[sector]]= "",VLOOKUP(Data2022[[#This Row],[organisation_name]],'Response Rate sheet'!A:D,3,FALSE),General2022[[#This Row],[sector]])</f>
        <v>Other</v>
      </c>
      <c r="C104" t="str">
        <f>General2022[[#This Row],[organisation_type]]</f>
        <v>foundation</v>
      </c>
      <c r="D104" t="str">
        <f>IF(ISBLANK(General2022[[#This Row],[number_of_members]]),"N/A",VLOOKUP(A104,General2022[[organisation_name]:[number_of_international_committee_board_members_not_eea]],6,FALSE))</f>
        <v>N/A</v>
      </c>
      <c r="E104" t="str">
        <f>IF(ISBLANK(General2022[[#This Row],[number_of_committee_board_members]]),"N/A",VLOOKUP(A104,General2022!B:M,10,FALSE))</f>
        <v>N/A</v>
      </c>
      <c r="F104" t="str">
        <f>IFERROR(Data2022[[#This Row],[Number of members]]-Data2022[[#This Row],[Number of active members]], "N/A")</f>
        <v>N/A</v>
      </c>
      <c r="G104" t="str">
        <f>IFERROR(Data2022[[#This Row],[Number of active members]]/Data2022[[#This Row],[Number of members]], "N/A")</f>
        <v>N/A</v>
      </c>
      <c r="H104" t="str">
        <f>IFERROR(1-Data2022[[#This Row],[Percentage active members]],"N/A")</f>
        <v>N/A</v>
      </c>
      <c r="I104" t="str">
        <f>IF(Data2022[[#This Row],[Number of members]]=0,"N/A",IF(Data2022[[#This Row],[Number of members]]&lt;50," A. 1 - 50 ",IF(Data2022[[#This Row],[Number of members]]&lt;100, "B. 50 - 100", IF(Data2022[[#This Row],[Number of members]]&lt;400, "C. 100 - 400", IF(Data2022[[#This Row],[Number of members]]&lt;1000,"D. 400 - 1000", "E. 1000 +")))))</f>
        <v>E. 1000 +</v>
      </c>
      <c r="J104" t="str">
        <f>IF(ISBLANK(General2022[[#This Row],[number_of_international_members_not_eea]]),"N/A",VLOOKUP(A104,General2022[[organisation_name]:[number_of_international_committee_board_members_not_eea]],9,FALSE))</f>
        <v>N/A</v>
      </c>
      <c r="K104" t="str">
        <f>IF(ISBLANK(General2022[[#This Row],[number_of_international_members_eea]]),"N/A",VLOOKUP(A104,General2022[[organisation_name]:[number_of_international_committee_board_members_not_eea]],8,FALSE))</f>
        <v>N/A</v>
      </c>
      <c r="L104" t="str">
        <f>IFERROR(IF(Data2022[[#This Row],[Number of members]]-Data2022[[#This Row],[Non-EEA Total]]-Data2022[[#This Row],[EEA total]]&lt;1,"N/A", Data2022[[#This Row],[Number of members]]-Data2022[[#This Row],[Non-EEA Total]]-Data2022[[#This Row],[EEA total]]),"N/A")</f>
        <v>N/A</v>
      </c>
      <c r="M104">
        <f>VLOOKUP(A104,General2022[[organisation_name]:[number_of_international_committee_board_members_not_eea]],12,FALSE)</f>
        <v>0</v>
      </c>
      <c r="N104">
        <f>VLOOKUP(A104,General2022[[organisation_name]:[number_of_international_committee_board_members_not_eea]],11,FALSE)</f>
        <v>0</v>
      </c>
      <c r="O104" t="str">
        <f>IFERROR(IF(Data2022[[#This Row],[Number of active members]]-Data2022[[#This Row],[Non-EEA Active ]]-Data2022[[#This Row],[EEA Active]]&lt;1,"N/A", Data2022[[#This Row],[Number of active members]]-Data2022[[#This Row],[Non-EEA Active ]]-Data2022[[#This Row],[EEA Active]]),"N/A")</f>
        <v>N/A</v>
      </c>
      <c r="P104" t="str">
        <f>IFERROR(Data2022[[#This Row],[Non-EEA Active ]]/Data2022[[#This Row],[Number of active members]],"N/A")</f>
        <v>N/A</v>
      </c>
      <c r="Q104" t="str">
        <f>IFERROR(Data2022[[#This Row],[EEA Active]]/Data2022[[#This Row],[EEA total]], "N/A")</f>
        <v>N/A</v>
      </c>
      <c r="R104" t="str">
        <f>IFERROR(Data2022[[#This Row],[Dutch Active]]/Data2022[[#This Row],[Dutch total]],"N/A")</f>
        <v>N/A</v>
      </c>
      <c r="S104" t="str">
        <f>IFERROR(IF(Data2022[[#This Row],[Number of members]]=Data2022[[#This Row],[Non-EEA Total]]+Data2022[[#This Row],[EEA total]]+Data2022[[#This Row],[Dutch total]],"T","F"),"F")</f>
        <v>F</v>
      </c>
      <c r="T104" t="str">
        <f>IFERROR(IF(Data2022[[#This Row],[Number of active members]]=Data2022[[#This Row],[Non-EEA Active ]]+Data2022[[#This Row],[EEA Active]]+Data2022[[#This Row],[Dutch Active]],"T","F"),"F")</f>
        <v>F</v>
      </c>
      <c r="U104" t="str">
        <f>IFERROR(IF(Data2022[[#This Row],[Number of members]]-Data2022[[#This Row],[Non-EEA Active ]]-Data2022[[#This Row],[EEA Active]]-Data2022[[#This Row],[Dutch Active]]=Data2022[[#This Row],[Number of  inactive members]],"T","F"),"F")</f>
        <v>F</v>
      </c>
      <c r="V104" t="str">
        <f>IF(Data2022[[#This Row],[EEA Active]]&lt;=Data2022[[#This Row],[EEA total]],"T","F")</f>
        <v>T</v>
      </c>
      <c r="W104" t="str">
        <f>IF(Data2022[[#This Row],[Dutch Active]]&lt;=Data2022[[#This Row],[Dutch total]],"T","F")</f>
        <v>T</v>
      </c>
      <c r="X104" t="str">
        <f>IF(Data2022[[#This Row],[Non-EEA Active ]]&lt;=Data2022[[#This Row],[Non-EEA Total]],"T","F")</f>
        <v>T</v>
      </c>
      <c r="Y10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4" t="str">
        <f>IFERROR(VLOOKUP(Data2022[[#This Row],[organisation_name]],'Division Study Year Committees'!$A$1:$L$108,2,FALSE),"N/A")</f>
        <v>N/A</v>
      </c>
      <c r="AA104" t="str">
        <f>IFERROR(VLOOKUP(Data2022[[#This Row],[organisation_name]],'Division Study Year Committees'!$A$1:$L$108,3,FALSE),"N/A")</f>
        <v>N/A</v>
      </c>
      <c r="AB104" t="str">
        <f>IFERROR(VLOOKUP(Data2022[[#This Row],[organisation_name]],'Division Study Year Committees'!$A$1:$L$108,4,FALSE),"N/A")</f>
        <v>N/A</v>
      </c>
      <c r="AC104" t="str">
        <f>IFERROR(VLOOKUP(Data2022[[#This Row],[organisation_name]],'Division Study Year Committees'!$A$1:$L$108,5,FALSE), "N/A")</f>
        <v>N/A</v>
      </c>
      <c r="AD104" t="str">
        <f>IFERROR(VLOOKUP(Data2022[[#This Row],[organisation_name]],'Division Study Year Committees'!$A$1:$L$108,6,FALSE), "N/A")</f>
        <v>N/A</v>
      </c>
      <c r="AE104">
        <f>SUM(Data2022[[#This Row],[Number of first year comittee members]:[Number of 4+ year comittee members]])</f>
        <v>0</v>
      </c>
      <c r="AF104">
        <f>COUNTIF('Committee2022'!D:D,Data2022[[#This Row],[organisation_name]])</f>
        <v>0</v>
      </c>
      <c r="AG104">
        <v>2022</v>
      </c>
    </row>
    <row r="105" spans="1:33" x14ac:dyDescent="0.3">
      <c r="A105" t="str">
        <f>General2022[[#This Row],[organisation_name]]</f>
        <v>DSIF</v>
      </c>
      <c r="B105" t="str">
        <f>IF(General2022[[#This Row],[sector]]= "",VLOOKUP(Data2022[[#This Row],[organisation_name]],'Response Rate sheet'!A:D,3,FALSE),General2022[[#This Row],[sector]])</f>
        <v>Other</v>
      </c>
      <c r="C105" t="str">
        <f>General2022[[#This Row],[organisation_type]]</f>
        <v>foundation</v>
      </c>
      <c r="D105" t="str">
        <f>IF(ISBLANK(General2022[[#This Row],[number_of_members]]),"N/A",VLOOKUP(A105,General2022[[organisation_name]:[number_of_international_committee_board_members_not_eea]],6,FALSE))</f>
        <v>N/A</v>
      </c>
      <c r="E105" t="str">
        <f>IF(ISBLANK(General2022[[#This Row],[number_of_committee_board_members]]),"N/A",VLOOKUP(A105,General2022!B:M,10,FALSE))</f>
        <v>N/A</v>
      </c>
      <c r="F105" t="str">
        <f>IFERROR(Data2022[[#This Row],[Number of members]]-Data2022[[#This Row],[Number of active members]], "N/A")</f>
        <v>N/A</v>
      </c>
      <c r="G105" t="str">
        <f>IFERROR(Data2022[[#This Row],[Number of active members]]/Data2022[[#This Row],[Number of members]], "N/A")</f>
        <v>N/A</v>
      </c>
      <c r="H105" t="str">
        <f>IFERROR(1-Data2022[[#This Row],[Percentage active members]],"N/A")</f>
        <v>N/A</v>
      </c>
      <c r="I105" t="str">
        <f>IF(Data2022[[#This Row],[Number of members]]=0,"N/A",IF(Data2022[[#This Row],[Number of members]]&lt;50," A. 1 - 50 ",IF(Data2022[[#This Row],[Number of members]]&lt;100, "B. 50 - 100", IF(Data2022[[#This Row],[Number of members]]&lt;400, "C. 100 - 400", IF(Data2022[[#This Row],[Number of members]]&lt;1000,"D. 400 - 1000", "E. 1000 +")))))</f>
        <v>E. 1000 +</v>
      </c>
      <c r="J105" t="str">
        <f>IF(ISBLANK(General2022[[#This Row],[number_of_international_members_not_eea]]),"N/A",VLOOKUP(A105,General2022[[organisation_name]:[number_of_international_committee_board_members_not_eea]],9,FALSE))</f>
        <v>N/A</v>
      </c>
      <c r="K105" t="str">
        <f>IF(ISBLANK(General2022[[#This Row],[number_of_international_members_eea]]),"N/A",VLOOKUP(A105,General2022[[organisation_name]:[number_of_international_committee_board_members_not_eea]],8,FALSE))</f>
        <v>N/A</v>
      </c>
      <c r="L105" t="str">
        <f>IFERROR(IF(Data2022[[#This Row],[Number of members]]-Data2022[[#This Row],[Non-EEA Total]]-Data2022[[#This Row],[EEA total]]&lt;1,"N/A", Data2022[[#This Row],[Number of members]]-Data2022[[#This Row],[Non-EEA Total]]-Data2022[[#This Row],[EEA total]]),"N/A")</f>
        <v>N/A</v>
      </c>
      <c r="M105">
        <f>VLOOKUP(A105,General2022[[organisation_name]:[number_of_international_committee_board_members_not_eea]],12,FALSE)</f>
        <v>0</v>
      </c>
      <c r="N105">
        <f>VLOOKUP(A105,General2022[[organisation_name]:[number_of_international_committee_board_members_not_eea]],11,FALSE)</f>
        <v>0</v>
      </c>
      <c r="O105" t="str">
        <f>IFERROR(IF(Data2022[[#This Row],[Number of active members]]-Data2022[[#This Row],[Non-EEA Active ]]-Data2022[[#This Row],[EEA Active]]&lt;1,"N/A", Data2022[[#This Row],[Number of active members]]-Data2022[[#This Row],[Non-EEA Active ]]-Data2022[[#This Row],[EEA Active]]),"N/A")</f>
        <v>N/A</v>
      </c>
      <c r="P105" t="str">
        <f>IFERROR(Data2022[[#This Row],[Non-EEA Active ]]/Data2022[[#This Row],[Number of active members]],"N/A")</f>
        <v>N/A</v>
      </c>
      <c r="Q105" t="str">
        <f>IFERROR(Data2022[[#This Row],[EEA Active]]/Data2022[[#This Row],[EEA total]], "N/A")</f>
        <v>N/A</v>
      </c>
      <c r="R105" t="str">
        <f>IFERROR(Data2022[[#This Row],[Dutch Active]]/Data2022[[#This Row],[Dutch total]],"N/A")</f>
        <v>N/A</v>
      </c>
      <c r="S105" t="str">
        <f>IFERROR(IF(Data2022[[#This Row],[Number of members]]=Data2022[[#This Row],[Non-EEA Total]]+Data2022[[#This Row],[EEA total]]+Data2022[[#This Row],[Dutch total]],"T","F"),"F")</f>
        <v>F</v>
      </c>
      <c r="T105" t="str">
        <f>IFERROR(IF(Data2022[[#This Row],[Number of active members]]=Data2022[[#This Row],[Non-EEA Active ]]+Data2022[[#This Row],[EEA Active]]+Data2022[[#This Row],[Dutch Active]],"T","F"),"F")</f>
        <v>F</v>
      </c>
      <c r="U105" t="str">
        <f>IFERROR(IF(Data2022[[#This Row],[Number of members]]-Data2022[[#This Row],[Non-EEA Active ]]-Data2022[[#This Row],[EEA Active]]-Data2022[[#This Row],[Dutch Active]]=Data2022[[#This Row],[Number of  inactive members]],"T","F"),"F")</f>
        <v>F</v>
      </c>
      <c r="V105" t="str">
        <f>IF(Data2022[[#This Row],[EEA Active]]&lt;=Data2022[[#This Row],[EEA total]],"T","F")</f>
        <v>T</v>
      </c>
      <c r="W105" t="str">
        <f>IF(Data2022[[#This Row],[Dutch Active]]&lt;=Data2022[[#This Row],[Dutch total]],"T","F")</f>
        <v>T</v>
      </c>
      <c r="X105" t="str">
        <f>IF(Data2022[[#This Row],[Non-EEA Active ]]&lt;=Data2022[[#This Row],[Non-EEA Total]],"T","F")</f>
        <v>T</v>
      </c>
      <c r="Y10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5" t="str">
        <f>IFERROR(VLOOKUP(Data2022[[#This Row],[organisation_name]],'Division Study Year Committees'!$A$1:$L$108,2,FALSE),"N/A")</f>
        <v>N/A</v>
      </c>
      <c r="AA105" t="str">
        <f>IFERROR(VLOOKUP(Data2022[[#This Row],[organisation_name]],'Division Study Year Committees'!$A$1:$L$108,3,FALSE),"N/A")</f>
        <v>N/A</v>
      </c>
      <c r="AB105" t="str">
        <f>IFERROR(VLOOKUP(Data2022[[#This Row],[organisation_name]],'Division Study Year Committees'!$A$1:$L$108,4,FALSE),"N/A")</f>
        <v>N/A</v>
      </c>
      <c r="AC105" t="str">
        <f>IFERROR(VLOOKUP(Data2022[[#This Row],[organisation_name]],'Division Study Year Committees'!$A$1:$L$108,5,FALSE), "N/A")</f>
        <v>N/A</v>
      </c>
      <c r="AD105" t="str">
        <f>IFERROR(VLOOKUP(Data2022[[#This Row],[organisation_name]],'Division Study Year Committees'!$A$1:$L$108,6,FALSE), "N/A")</f>
        <v>N/A</v>
      </c>
      <c r="AE105">
        <f>SUM(Data2022[[#This Row],[Number of first year comittee members]:[Number of 4+ year comittee members]])</f>
        <v>0</v>
      </c>
      <c r="AF105">
        <f>COUNTIF('Committee2022'!D:D,Data2022[[#This Row],[organisation_name]])</f>
        <v>0</v>
      </c>
      <c r="AG105">
        <v>2022</v>
      </c>
    </row>
    <row r="106" spans="1:33" x14ac:dyDescent="0.3">
      <c r="A106" t="str">
        <f>General2022[[#This Row],[organisation_name]]</f>
        <v>Hive01</v>
      </c>
      <c r="B106" t="str">
        <f>IF(General2022[[#This Row],[sector]]= "",VLOOKUP(Data2022[[#This Row],[organisation_name]],'Response Rate sheet'!A:D,3,FALSE),General2022[[#This Row],[sector]])</f>
        <v>Other</v>
      </c>
      <c r="C106" t="str">
        <f>General2022[[#This Row],[organisation_type]]</f>
        <v>foundation</v>
      </c>
      <c r="D106">
        <f>IF(ISBLANK(General2022[[#This Row],[number_of_members]]),"N/A",VLOOKUP(A106,General2022[[organisation_name]:[number_of_international_committee_board_members_not_eea]],6,FALSE))</f>
        <v>5</v>
      </c>
      <c r="E106">
        <f>IF(ISBLANK(General2022[[#This Row],[number_of_committee_board_members]]),"N/A",VLOOKUP(A106,General2022!B:M,10,FALSE))</f>
        <v>0</v>
      </c>
      <c r="F106">
        <f>IFERROR(Data2022[[#This Row],[Number of members]]-Data2022[[#This Row],[Number of active members]], "N/A")</f>
        <v>5</v>
      </c>
      <c r="G106">
        <f>IFERROR(Data2022[[#This Row],[Number of active members]]/Data2022[[#This Row],[Number of members]], "N/A")</f>
        <v>0</v>
      </c>
      <c r="H106">
        <f>IFERROR(1-Data2022[[#This Row],[Percentage active members]],"N/A")</f>
        <v>1</v>
      </c>
      <c r="I106"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06">
        <f>IF(ISBLANK(General2022[[#This Row],[number_of_international_members_not_eea]]),"N/A",VLOOKUP(A106,General2022[[organisation_name]:[number_of_international_committee_board_members_not_eea]],9,FALSE))</f>
        <v>0</v>
      </c>
      <c r="K106">
        <f>IF(ISBLANK(General2022[[#This Row],[number_of_international_members_eea]]),"N/A",VLOOKUP(A106,General2022[[organisation_name]:[number_of_international_committee_board_members_not_eea]],8,FALSE))</f>
        <v>1</v>
      </c>
      <c r="L106">
        <f>IFERROR(IF(Data2022[[#This Row],[Number of members]]-Data2022[[#This Row],[Non-EEA Total]]-Data2022[[#This Row],[EEA total]]&lt;1,"N/A", Data2022[[#This Row],[Number of members]]-Data2022[[#This Row],[Non-EEA Total]]-Data2022[[#This Row],[EEA total]]),"N/A")</f>
        <v>4</v>
      </c>
      <c r="M106">
        <f>VLOOKUP(A106,General2022[[organisation_name]:[number_of_international_committee_board_members_not_eea]],12,FALSE)</f>
        <v>0</v>
      </c>
      <c r="N106">
        <f>VLOOKUP(A106,General2022[[organisation_name]:[number_of_international_committee_board_members_not_eea]],11,FALSE)</f>
        <v>0</v>
      </c>
      <c r="O106" t="str">
        <f>IFERROR(IF(Data2022[[#This Row],[Number of active members]]-Data2022[[#This Row],[Non-EEA Active ]]-Data2022[[#This Row],[EEA Active]]&lt;1,"N/A", Data2022[[#This Row],[Number of active members]]-Data2022[[#This Row],[Non-EEA Active ]]-Data2022[[#This Row],[EEA Active]]),"N/A")</f>
        <v>N/A</v>
      </c>
      <c r="P106" t="str">
        <f>IFERROR(Data2022[[#This Row],[Non-EEA Active ]]/Data2022[[#This Row],[Number of active members]],"N/A")</f>
        <v>N/A</v>
      </c>
      <c r="Q106">
        <f>IFERROR(Data2022[[#This Row],[EEA Active]]/Data2022[[#This Row],[EEA total]], "N/A")</f>
        <v>0</v>
      </c>
      <c r="R106" t="str">
        <f>IFERROR(Data2022[[#This Row],[Dutch Active]]/Data2022[[#This Row],[Dutch total]],"N/A")</f>
        <v>N/A</v>
      </c>
      <c r="S106" t="str">
        <f>IFERROR(IF(Data2022[[#This Row],[Number of members]]=Data2022[[#This Row],[Non-EEA Total]]+Data2022[[#This Row],[EEA total]]+Data2022[[#This Row],[Dutch total]],"T","F"),"F")</f>
        <v>T</v>
      </c>
      <c r="T106" t="str">
        <f>IFERROR(IF(Data2022[[#This Row],[Number of active members]]=Data2022[[#This Row],[Non-EEA Active ]]+Data2022[[#This Row],[EEA Active]]+Data2022[[#This Row],[Dutch Active]],"T","F"),"F")</f>
        <v>F</v>
      </c>
      <c r="U106" t="str">
        <f>IFERROR(IF(Data2022[[#This Row],[Number of members]]-Data2022[[#This Row],[Non-EEA Active ]]-Data2022[[#This Row],[EEA Active]]-Data2022[[#This Row],[Dutch Active]]=Data2022[[#This Row],[Number of  inactive members]],"T","F"),"F")</f>
        <v>F</v>
      </c>
      <c r="V106" t="str">
        <f>IF(Data2022[[#This Row],[EEA Active]]&lt;=Data2022[[#This Row],[EEA total]],"T","F")</f>
        <v>T</v>
      </c>
      <c r="W106" t="str">
        <f>IF(Data2022[[#This Row],[Dutch Active]]&lt;=Data2022[[#This Row],[Dutch total]],"T","F")</f>
        <v>F</v>
      </c>
      <c r="X106" t="str">
        <f>IF(Data2022[[#This Row],[Non-EEA Active ]]&lt;=Data2022[[#This Row],[Non-EEA Total]],"T","F")</f>
        <v>T</v>
      </c>
      <c r="Y10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6" t="str">
        <f>IFERROR(VLOOKUP(Data2022[[#This Row],[organisation_name]],'Division Study Year Committees'!$A$1:$L$108,2,FALSE),"N/A")</f>
        <v>N/A</v>
      </c>
      <c r="AA106" t="str">
        <f>IFERROR(VLOOKUP(Data2022[[#This Row],[organisation_name]],'Division Study Year Committees'!$A$1:$L$108,3,FALSE),"N/A")</f>
        <v>N/A</v>
      </c>
      <c r="AB106" t="str">
        <f>IFERROR(VLOOKUP(Data2022[[#This Row],[organisation_name]],'Division Study Year Committees'!$A$1:$L$108,4,FALSE),"N/A")</f>
        <v>N/A</v>
      </c>
      <c r="AC106" t="str">
        <f>IFERROR(VLOOKUP(Data2022[[#This Row],[organisation_name]],'Division Study Year Committees'!$A$1:$L$108,5,FALSE), "N/A")</f>
        <v>N/A</v>
      </c>
      <c r="AD106" t="str">
        <f>IFERROR(VLOOKUP(Data2022[[#This Row],[organisation_name]],'Division Study Year Committees'!$A$1:$L$108,6,FALSE), "N/A")</f>
        <v>N/A</v>
      </c>
      <c r="AE106">
        <f>SUM(Data2022[[#This Row],[Number of first year comittee members]:[Number of 4+ year comittee members]])</f>
        <v>0</v>
      </c>
      <c r="AF106">
        <f>COUNTIF('Committee2022'!D:D,Data2022[[#This Row],[organisation_name]])</f>
        <v>0</v>
      </c>
      <c r="AG106">
        <v>2022</v>
      </c>
    </row>
    <row r="107" spans="1:33" x14ac:dyDescent="0.3">
      <c r="A107" t="str">
        <f>General2022[[#This Row],[organisation_name]]</f>
        <v>Green Team Twente</v>
      </c>
      <c r="B107" t="str">
        <f>IF(General2022[[#This Row],[sector]]= "",VLOOKUP(Data2022[[#This Row],[organisation_name]],'Response Rate sheet'!A:D,3,FALSE),General2022[[#This Row],[sector]])</f>
        <v>Other</v>
      </c>
      <c r="C107" t="str">
        <f>General2022[[#This Row],[organisation_type]]</f>
        <v>foundation</v>
      </c>
      <c r="D107">
        <f>IF(ISBLANK(General2022[[#This Row],[number_of_members]]),"N/A",VLOOKUP(A107,General2022[[organisation_name]:[number_of_international_committee_board_members_not_eea]],6,FALSE))</f>
        <v>28</v>
      </c>
      <c r="E107">
        <f>IF(ISBLANK(General2022[[#This Row],[number_of_committee_board_members]]),"N/A",VLOOKUP(A107,General2022!B:M,10,FALSE))</f>
        <v>0</v>
      </c>
      <c r="F107">
        <f>IFERROR(Data2022[[#This Row],[Number of members]]-Data2022[[#This Row],[Number of active members]], "N/A")</f>
        <v>28</v>
      </c>
      <c r="G107">
        <f>IFERROR(Data2022[[#This Row],[Number of active members]]/Data2022[[#This Row],[Number of members]], "N/A")</f>
        <v>0</v>
      </c>
      <c r="H107">
        <f>IFERROR(1-Data2022[[#This Row],[Percentage active members]],"N/A")</f>
        <v>1</v>
      </c>
      <c r="I107"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07">
        <f>IF(ISBLANK(General2022[[#This Row],[number_of_international_members_not_eea]]),"N/A",VLOOKUP(A107,General2022[[organisation_name]:[number_of_international_committee_board_members_not_eea]],9,FALSE))</f>
        <v>0</v>
      </c>
      <c r="K107">
        <f>IF(ISBLANK(General2022[[#This Row],[number_of_international_members_eea]]),"N/A",VLOOKUP(A107,General2022[[organisation_name]:[number_of_international_committee_board_members_not_eea]],8,FALSE))</f>
        <v>1</v>
      </c>
      <c r="L107">
        <f>IFERROR(IF(Data2022[[#This Row],[Number of members]]-Data2022[[#This Row],[Non-EEA Total]]-Data2022[[#This Row],[EEA total]]&lt;1,"N/A", Data2022[[#This Row],[Number of members]]-Data2022[[#This Row],[Non-EEA Total]]-Data2022[[#This Row],[EEA total]]),"N/A")</f>
        <v>27</v>
      </c>
      <c r="M107">
        <f>VLOOKUP(A107,General2022[[organisation_name]:[number_of_international_committee_board_members_not_eea]],12,FALSE)</f>
        <v>0</v>
      </c>
      <c r="N107">
        <f>VLOOKUP(A107,General2022[[organisation_name]:[number_of_international_committee_board_members_not_eea]],11,FALSE)</f>
        <v>0</v>
      </c>
      <c r="O107" t="str">
        <f>IFERROR(IF(Data2022[[#This Row],[Number of active members]]-Data2022[[#This Row],[Non-EEA Active ]]-Data2022[[#This Row],[EEA Active]]&lt;1,"N/A", Data2022[[#This Row],[Number of active members]]-Data2022[[#This Row],[Non-EEA Active ]]-Data2022[[#This Row],[EEA Active]]),"N/A")</f>
        <v>N/A</v>
      </c>
      <c r="P107" t="str">
        <f>IFERROR(Data2022[[#This Row],[Non-EEA Active ]]/Data2022[[#This Row],[Number of active members]],"N/A")</f>
        <v>N/A</v>
      </c>
      <c r="Q107">
        <f>IFERROR(Data2022[[#This Row],[EEA Active]]/Data2022[[#This Row],[EEA total]], "N/A")</f>
        <v>0</v>
      </c>
      <c r="R107" t="str">
        <f>IFERROR(Data2022[[#This Row],[Dutch Active]]/Data2022[[#This Row],[Dutch total]],"N/A")</f>
        <v>N/A</v>
      </c>
      <c r="S107" t="str">
        <f>IFERROR(IF(Data2022[[#This Row],[Number of members]]=Data2022[[#This Row],[Non-EEA Total]]+Data2022[[#This Row],[EEA total]]+Data2022[[#This Row],[Dutch total]],"T","F"),"F")</f>
        <v>T</v>
      </c>
      <c r="T107" t="str">
        <f>IFERROR(IF(Data2022[[#This Row],[Number of active members]]=Data2022[[#This Row],[Non-EEA Active ]]+Data2022[[#This Row],[EEA Active]]+Data2022[[#This Row],[Dutch Active]],"T","F"),"F")</f>
        <v>F</v>
      </c>
      <c r="U107" t="str">
        <f>IFERROR(IF(Data2022[[#This Row],[Number of members]]-Data2022[[#This Row],[Non-EEA Active ]]-Data2022[[#This Row],[EEA Active]]-Data2022[[#This Row],[Dutch Active]]=Data2022[[#This Row],[Number of  inactive members]],"T","F"),"F")</f>
        <v>F</v>
      </c>
      <c r="V107" t="str">
        <f>IF(Data2022[[#This Row],[EEA Active]]&lt;=Data2022[[#This Row],[EEA total]],"T","F")</f>
        <v>T</v>
      </c>
      <c r="W107" t="str">
        <f>IF(Data2022[[#This Row],[Dutch Active]]&lt;=Data2022[[#This Row],[Dutch total]],"T","F")</f>
        <v>F</v>
      </c>
      <c r="X107" t="str">
        <f>IF(Data2022[[#This Row],[Non-EEA Active ]]&lt;=Data2022[[#This Row],[Non-EEA Total]],"T","F")</f>
        <v>T</v>
      </c>
      <c r="Y10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7" t="str">
        <f>IFERROR(VLOOKUP(Data2022[[#This Row],[organisation_name]],'Division Study Year Committees'!$A$1:$L$108,2,FALSE),"N/A")</f>
        <v>N/A</v>
      </c>
      <c r="AA107" t="str">
        <f>IFERROR(VLOOKUP(Data2022[[#This Row],[organisation_name]],'Division Study Year Committees'!$A$1:$L$108,3,FALSE),"N/A")</f>
        <v>N/A</v>
      </c>
      <c r="AB107" t="str">
        <f>IFERROR(VLOOKUP(Data2022[[#This Row],[organisation_name]],'Division Study Year Committees'!$A$1:$L$108,4,FALSE),"N/A")</f>
        <v>N/A</v>
      </c>
      <c r="AC107" t="str">
        <f>IFERROR(VLOOKUP(Data2022[[#This Row],[organisation_name]],'Division Study Year Committees'!$A$1:$L$108,5,FALSE), "N/A")</f>
        <v>N/A</v>
      </c>
      <c r="AD107" t="str">
        <f>IFERROR(VLOOKUP(Data2022[[#This Row],[organisation_name]],'Division Study Year Committees'!$A$1:$L$108,6,FALSE), "N/A")</f>
        <v>N/A</v>
      </c>
      <c r="AE107">
        <f>SUM(Data2022[[#This Row],[Number of first year comittee members]:[Number of 4+ year comittee members]])</f>
        <v>0</v>
      </c>
      <c r="AF107">
        <f>COUNTIF('Committee2022'!D:D,Data2022[[#This Row],[organisation_name]])</f>
        <v>1</v>
      </c>
      <c r="AG107">
        <v>2022</v>
      </c>
    </row>
    <row r="108" spans="1:33" x14ac:dyDescent="0.3">
      <c r="A108" t="str">
        <f>General2022[[#This Row],[organisation_name]]</f>
        <v>IAPC</v>
      </c>
      <c r="B108" t="str">
        <f>IF(General2022[[#This Row],[sector]]= "",VLOOKUP(Data2022[[#This Row],[organisation_name]],'Response Rate sheet'!A:D,3,FALSE),General2022[[#This Row],[sector]])</f>
        <v>Other</v>
      </c>
      <c r="C108" t="str">
        <f>General2022[[#This Row],[organisation_type]]</f>
        <v>foundation</v>
      </c>
      <c r="D108">
        <f>IF(ISBLANK(General2022[[#This Row],[number_of_members]]),"N/A",VLOOKUP(A108,General2022[[organisation_name]:[number_of_international_committee_board_members_not_eea]],6,FALSE))</f>
        <v>92</v>
      </c>
      <c r="E108">
        <f>IF(ISBLANK(General2022[[#This Row],[number_of_committee_board_members]]),"N/A",VLOOKUP(A108,General2022!B:M,10,FALSE))</f>
        <v>0</v>
      </c>
      <c r="F108">
        <f>IFERROR(Data2022[[#This Row],[Number of members]]-Data2022[[#This Row],[Number of active members]], "N/A")</f>
        <v>92</v>
      </c>
      <c r="G108">
        <f>IFERROR(Data2022[[#This Row],[Number of active members]]/Data2022[[#This Row],[Number of members]], "N/A")</f>
        <v>0</v>
      </c>
      <c r="H108">
        <f>IFERROR(1-Data2022[[#This Row],[Percentage active members]],"N/A")</f>
        <v>1</v>
      </c>
      <c r="I108" t="str">
        <f>IF(Data2022[[#This Row],[Number of members]]=0,"N/A",IF(Data2022[[#This Row],[Number of members]]&lt;50," A. 1 - 50 ",IF(Data2022[[#This Row],[Number of members]]&lt;100, "B. 50 - 100", IF(Data2022[[#This Row],[Number of members]]&lt;400, "C. 100 - 400", IF(Data2022[[#This Row],[Number of members]]&lt;1000,"D. 400 - 1000", "E. 1000 +")))))</f>
        <v>B. 50 - 100</v>
      </c>
      <c r="J108">
        <f>IF(ISBLANK(General2022[[#This Row],[number_of_international_members_not_eea]]),"N/A",VLOOKUP(A108,General2022[[organisation_name]:[number_of_international_committee_board_members_not_eea]],9,FALSE))</f>
        <v>0</v>
      </c>
      <c r="K108">
        <f>IF(ISBLANK(General2022[[#This Row],[number_of_international_members_eea]]),"N/A",VLOOKUP(A108,General2022[[organisation_name]:[number_of_international_committee_board_members_not_eea]],8,FALSE))</f>
        <v>0</v>
      </c>
      <c r="L108">
        <f>IFERROR(IF(Data2022[[#This Row],[Number of members]]-Data2022[[#This Row],[Non-EEA Total]]-Data2022[[#This Row],[EEA total]]&lt;1,"N/A", Data2022[[#This Row],[Number of members]]-Data2022[[#This Row],[Non-EEA Total]]-Data2022[[#This Row],[EEA total]]),"N/A")</f>
        <v>92</v>
      </c>
      <c r="M108">
        <f>VLOOKUP(A108,General2022[[organisation_name]:[number_of_international_committee_board_members_not_eea]],12,FALSE)</f>
        <v>0</v>
      </c>
      <c r="N108">
        <f>VLOOKUP(A108,General2022[[organisation_name]:[number_of_international_committee_board_members_not_eea]],11,FALSE)</f>
        <v>0</v>
      </c>
      <c r="O108" t="str">
        <f>IFERROR(IF(Data2022[[#This Row],[Number of active members]]-Data2022[[#This Row],[Non-EEA Active ]]-Data2022[[#This Row],[EEA Active]]&lt;1,"N/A", Data2022[[#This Row],[Number of active members]]-Data2022[[#This Row],[Non-EEA Active ]]-Data2022[[#This Row],[EEA Active]]),"N/A")</f>
        <v>N/A</v>
      </c>
      <c r="P108" t="str">
        <f>IFERROR(Data2022[[#This Row],[Non-EEA Active ]]/Data2022[[#This Row],[Number of active members]],"N/A")</f>
        <v>N/A</v>
      </c>
      <c r="Q108" t="str">
        <f>IFERROR(Data2022[[#This Row],[EEA Active]]/Data2022[[#This Row],[EEA total]], "N/A")</f>
        <v>N/A</v>
      </c>
      <c r="R108" t="str">
        <f>IFERROR(Data2022[[#This Row],[Dutch Active]]/Data2022[[#This Row],[Dutch total]],"N/A")</f>
        <v>N/A</v>
      </c>
      <c r="S108" t="str">
        <f>IFERROR(IF(Data2022[[#This Row],[Number of members]]=Data2022[[#This Row],[Non-EEA Total]]+Data2022[[#This Row],[EEA total]]+Data2022[[#This Row],[Dutch total]],"T","F"),"F")</f>
        <v>T</v>
      </c>
      <c r="T108" t="str">
        <f>IFERROR(IF(Data2022[[#This Row],[Number of active members]]=Data2022[[#This Row],[Non-EEA Active ]]+Data2022[[#This Row],[EEA Active]]+Data2022[[#This Row],[Dutch Active]],"T","F"),"F")</f>
        <v>F</v>
      </c>
      <c r="U108" t="str">
        <f>IFERROR(IF(Data2022[[#This Row],[Number of members]]-Data2022[[#This Row],[Non-EEA Active ]]-Data2022[[#This Row],[EEA Active]]-Data2022[[#This Row],[Dutch Active]]=Data2022[[#This Row],[Number of  inactive members]],"T","F"),"F")</f>
        <v>F</v>
      </c>
      <c r="V108" t="str">
        <f>IF(Data2022[[#This Row],[EEA Active]]&lt;=Data2022[[#This Row],[EEA total]],"T","F")</f>
        <v>T</v>
      </c>
      <c r="W108" t="str">
        <f>IF(Data2022[[#This Row],[Dutch Active]]&lt;=Data2022[[#This Row],[Dutch total]],"T","F")</f>
        <v>F</v>
      </c>
      <c r="X108" t="str">
        <f>IF(Data2022[[#This Row],[Non-EEA Active ]]&lt;=Data2022[[#This Row],[Non-EEA Total]],"T","F")</f>
        <v>T</v>
      </c>
      <c r="Y10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8">
        <f>IFERROR(VLOOKUP(Data2022[[#This Row],[organisation_name]],'Division Study Year Committees'!$A$1:$L$108,2,FALSE),"N/A")</f>
        <v>0</v>
      </c>
      <c r="AA108">
        <f>IFERROR(VLOOKUP(Data2022[[#This Row],[organisation_name]],'Division Study Year Committees'!$A$1:$L$108,3,FALSE),"N/A")</f>
        <v>13</v>
      </c>
      <c r="AB108">
        <f>IFERROR(VLOOKUP(Data2022[[#This Row],[organisation_name]],'Division Study Year Committees'!$A$1:$L$108,4,FALSE),"N/A")</f>
        <v>5</v>
      </c>
      <c r="AC108">
        <f>IFERROR(VLOOKUP(Data2022[[#This Row],[organisation_name]],'Division Study Year Committees'!$A$1:$L$108,5,FALSE), "N/A")</f>
        <v>0</v>
      </c>
      <c r="AD108">
        <f>IFERROR(VLOOKUP(Data2022[[#This Row],[organisation_name]],'Division Study Year Committees'!$A$1:$L$108,6,FALSE), "N/A")</f>
        <v>1</v>
      </c>
      <c r="AE108">
        <f>SUM(Data2022[[#This Row],[Number of first year comittee members]:[Number of 4+ year comittee members]])</f>
        <v>19</v>
      </c>
      <c r="AF108">
        <f>COUNTIF('Committee2022'!D:D,Data2022[[#This Row],[organisation_name]])</f>
        <v>0</v>
      </c>
      <c r="AG108">
        <v>2022</v>
      </c>
    </row>
    <row r="109" spans="1:33" x14ac:dyDescent="0.3">
      <c r="A109" t="str">
        <f>General2022[[#This Row],[organisation_name]]</f>
        <v>Stichting Borrelbeheer Zilvering</v>
      </c>
      <c r="B109" t="str">
        <f>IF(General2022[[#This Row],[sector]]= "",VLOOKUP(Data2022[[#This Row],[organisation_name]],'Response Rate sheet'!A:D,3,FALSE),General2022[[#This Row],[sector]])</f>
        <v>Social</v>
      </c>
      <c r="C109" t="str">
        <f>General2022[[#This Row],[organisation_type]]</f>
        <v>foundation</v>
      </c>
      <c r="D109">
        <f>IF(ISBLANK(General2022[[#This Row],[number_of_members]]),"N/A",VLOOKUP(A109,General2022[[organisation_name]:[number_of_international_committee_board_members_not_eea]],6,FALSE))</f>
        <v>17</v>
      </c>
      <c r="E109">
        <f>IF(ISBLANK(General2022[[#This Row],[number_of_committee_board_members]]),"N/A",VLOOKUP(A109,General2022!B:M,10,FALSE))</f>
        <v>0</v>
      </c>
      <c r="F109">
        <f>IFERROR(Data2022[[#This Row],[Number of members]]-Data2022[[#This Row],[Number of active members]], "N/A")</f>
        <v>17</v>
      </c>
      <c r="G109">
        <f>IFERROR(Data2022[[#This Row],[Number of active members]]/Data2022[[#This Row],[Number of members]], "N/A")</f>
        <v>0</v>
      </c>
      <c r="H109">
        <f>IFERROR(1-Data2022[[#This Row],[Percentage active members]],"N/A")</f>
        <v>1</v>
      </c>
      <c r="I10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09">
        <f>IF(ISBLANK(General2022[[#This Row],[number_of_international_members_not_eea]]),"N/A",VLOOKUP(A109,General2022[[organisation_name]:[number_of_international_committee_board_members_not_eea]],9,FALSE))</f>
        <v>0</v>
      </c>
      <c r="K109">
        <f>IF(ISBLANK(General2022[[#This Row],[number_of_international_members_eea]]),"N/A",VLOOKUP(A109,General2022[[organisation_name]:[number_of_international_committee_board_members_not_eea]],8,FALSE))</f>
        <v>0</v>
      </c>
      <c r="L109">
        <f>IFERROR(IF(Data2022[[#This Row],[Number of members]]-Data2022[[#This Row],[Non-EEA Total]]-Data2022[[#This Row],[EEA total]]&lt;1,"N/A", Data2022[[#This Row],[Number of members]]-Data2022[[#This Row],[Non-EEA Total]]-Data2022[[#This Row],[EEA total]]),"N/A")</f>
        <v>17</v>
      </c>
      <c r="M109">
        <f>VLOOKUP(A109,General2022[[organisation_name]:[number_of_international_committee_board_members_not_eea]],12,FALSE)</f>
        <v>0</v>
      </c>
      <c r="N109">
        <f>VLOOKUP(A109,General2022[[organisation_name]:[number_of_international_committee_board_members_not_eea]],11,FALSE)</f>
        <v>0</v>
      </c>
      <c r="O109" t="str">
        <f>IFERROR(IF(Data2022[[#This Row],[Number of active members]]-Data2022[[#This Row],[Non-EEA Active ]]-Data2022[[#This Row],[EEA Active]]&lt;1,"N/A", Data2022[[#This Row],[Number of active members]]-Data2022[[#This Row],[Non-EEA Active ]]-Data2022[[#This Row],[EEA Active]]),"N/A")</f>
        <v>N/A</v>
      </c>
      <c r="P109" t="str">
        <f>IFERROR(Data2022[[#This Row],[Non-EEA Active ]]/Data2022[[#This Row],[Number of active members]],"N/A")</f>
        <v>N/A</v>
      </c>
      <c r="Q109" t="str">
        <f>IFERROR(Data2022[[#This Row],[EEA Active]]/Data2022[[#This Row],[EEA total]], "N/A")</f>
        <v>N/A</v>
      </c>
      <c r="R109" t="str">
        <f>IFERROR(Data2022[[#This Row],[Dutch Active]]/Data2022[[#This Row],[Dutch total]],"N/A")</f>
        <v>N/A</v>
      </c>
      <c r="S109" t="str">
        <f>IFERROR(IF(Data2022[[#This Row],[Number of members]]=Data2022[[#This Row],[Non-EEA Total]]+Data2022[[#This Row],[EEA total]]+Data2022[[#This Row],[Dutch total]],"T","F"),"F")</f>
        <v>T</v>
      </c>
      <c r="T109" t="str">
        <f>IFERROR(IF(Data2022[[#This Row],[Number of active members]]=Data2022[[#This Row],[Non-EEA Active ]]+Data2022[[#This Row],[EEA Active]]+Data2022[[#This Row],[Dutch Active]],"T","F"),"F")</f>
        <v>F</v>
      </c>
      <c r="U109" t="str">
        <f>IFERROR(IF(Data2022[[#This Row],[Number of members]]-Data2022[[#This Row],[Non-EEA Active ]]-Data2022[[#This Row],[EEA Active]]-Data2022[[#This Row],[Dutch Active]]=Data2022[[#This Row],[Number of  inactive members]],"T","F"),"F")</f>
        <v>F</v>
      </c>
      <c r="V109" t="str">
        <f>IF(Data2022[[#This Row],[EEA Active]]&lt;=Data2022[[#This Row],[EEA total]],"T","F")</f>
        <v>T</v>
      </c>
      <c r="W109" t="str">
        <f>IF(Data2022[[#This Row],[Dutch Active]]&lt;=Data2022[[#This Row],[Dutch total]],"T","F")</f>
        <v>F</v>
      </c>
      <c r="X109" t="str">
        <f>IF(Data2022[[#This Row],[Non-EEA Active ]]&lt;=Data2022[[#This Row],[Non-EEA Total]],"T","F")</f>
        <v>T</v>
      </c>
      <c r="Y10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09">
        <f>IFERROR(VLOOKUP(Data2022[[#This Row],[organisation_name]],'Division Study Year Committees'!$A$1:$L$108,2,FALSE),"N/A")</f>
        <v>0</v>
      </c>
      <c r="AA109">
        <f>IFERROR(VLOOKUP(Data2022[[#This Row],[organisation_name]],'Division Study Year Committees'!$A$1:$L$108,3,FALSE),"N/A")</f>
        <v>0</v>
      </c>
      <c r="AB109">
        <f>IFERROR(VLOOKUP(Data2022[[#This Row],[organisation_name]],'Division Study Year Committees'!$A$1:$L$108,4,FALSE),"N/A")</f>
        <v>6</v>
      </c>
      <c r="AC109">
        <f>IFERROR(VLOOKUP(Data2022[[#This Row],[organisation_name]],'Division Study Year Committees'!$A$1:$L$108,5,FALSE), "N/A")</f>
        <v>2</v>
      </c>
      <c r="AD109">
        <f>IFERROR(VLOOKUP(Data2022[[#This Row],[organisation_name]],'Division Study Year Committees'!$A$1:$L$108,6,FALSE), "N/A")</f>
        <v>0</v>
      </c>
      <c r="AE109">
        <f>SUM(Data2022[[#This Row],[Number of first year comittee members]:[Number of 4+ year comittee members]])</f>
        <v>8</v>
      </c>
      <c r="AF109">
        <f>COUNTIF('Committee2022'!D:D,Data2022[[#This Row],[organisation_name]])</f>
        <v>0</v>
      </c>
      <c r="AG109">
        <v>2022</v>
      </c>
    </row>
    <row r="110" spans="1:33" x14ac:dyDescent="0.3">
      <c r="A110" t="str">
        <f>General2022[[#This Row],[organisation_name]]</f>
        <v>Stichting Batavierenrace</v>
      </c>
      <c r="B110" t="str">
        <f>IF(General2022[[#This Row],[sector]]= "",VLOOKUP(Data2022[[#This Row],[organisation_name]],'Response Rate sheet'!A:D,3,FALSE),General2022[[#This Row],[sector]])</f>
        <v>Sports</v>
      </c>
      <c r="C110" t="str">
        <f>General2022[[#This Row],[organisation_type]]</f>
        <v>foundation</v>
      </c>
      <c r="D110">
        <f>IF(ISBLANK(General2022[[#This Row],[number_of_members]]),"N/A",VLOOKUP(A110,General2022[[organisation_name]:[number_of_international_committee_board_members_not_eea]],6,FALSE))</f>
        <v>120</v>
      </c>
      <c r="E110">
        <f>IF(ISBLANK(General2022[[#This Row],[number_of_committee_board_members]]),"N/A",VLOOKUP(A110,General2022!B:M,10,FALSE))</f>
        <v>0</v>
      </c>
      <c r="F110">
        <f>IFERROR(Data2022[[#This Row],[Number of members]]-Data2022[[#This Row],[Number of active members]], "N/A")</f>
        <v>120</v>
      </c>
      <c r="G110">
        <f>IFERROR(Data2022[[#This Row],[Number of active members]]/Data2022[[#This Row],[Number of members]], "N/A")</f>
        <v>0</v>
      </c>
      <c r="H110">
        <f>IFERROR(1-Data2022[[#This Row],[Percentage active members]],"N/A")</f>
        <v>1</v>
      </c>
      <c r="I110" t="str">
        <f>IF(Data2022[[#This Row],[Number of members]]=0,"N/A",IF(Data2022[[#This Row],[Number of members]]&lt;50," A. 1 - 50 ",IF(Data2022[[#This Row],[Number of members]]&lt;100, "B. 50 - 100", IF(Data2022[[#This Row],[Number of members]]&lt;400, "C. 100 - 400", IF(Data2022[[#This Row],[Number of members]]&lt;1000,"D. 400 - 1000", "E. 1000 +")))))</f>
        <v>C. 100 - 400</v>
      </c>
      <c r="J110">
        <f>IF(ISBLANK(General2022[[#This Row],[number_of_international_members_not_eea]]),"N/A",VLOOKUP(A110,General2022[[organisation_name]:[number_of_international_committee_board_members_not_eea]],9,FALSE))</f>
        <v>0</v>
      </c>
      <c r="K110">
        <f>IF(ISBLANK(General2022[[#This Row],[number_of_international_members_eea]]),"N/A",VLOOKUP(A110,General2022[[organisation_name]:[number_of_international_committee_board_members_not_eea]],8,FALSE))</f>
        <v>0</v>
      </c>
      <c r="L110">
        <f>IFERROR(IF(Data2022[[#This Row],[Number of members]]-Data2022[[#This Row],[Non-EEA Total]]-Data2022[[#This Row],[EEA total]]&lt;1,"N/A", Data2022[[#This Row],[Number of members]]-Data2022[[#This Row],[Non-EEA Total]]-Data2022[[#This Row],[EEA total]]),"N/A")</f>
        <v>120</v>
      </c>
      <c r="M110">
        <f>VLOOKUP(A110,General2022[[organisation_name]:[number_of_international_committee_board_members_not_eea]],12,FALSE)</f>
        <v>0</v>
      </c>
      <c r="N110">
        <f>VLOOKUP(A110,General2022[[organisation_name]:[number_of_international_committee_board_members_not_eea]],11,FALSE)</f>
        <v>0</v>
      </c>
      <c r="O110" t="str">
        <f>IFERROR(IF(Data2022[[#This Row],[Number of active members]]-Data2022[[#This Row],[Non-EEA Active ]]-Data2022[[#This Row],[EEA Active]]&lt;1,"N/A", Data2022[[#This Row],[Number of active members]]-Data2022[[#This Row],[Non-EEA Active ]]-Data2022[[#This Row],[EEA Active]]),"N/A")</f>
        <v>N/A</v>
      </c>
      <c r="P110" t="str">
        <f>IFERROR(Data2022[[#This Row],[Non-EEA Active ]]/Data2022[[#This Row],[Number of active members]],"N/A")</f>
        <v>N/A</v>
      </c>
      <c r="Q110" t="str">
        <f>IFERROR(Data2022[[#This Row],[EEA Active]]/Data2022[[#This Row],[EEA total]], "N/A")</f>
        <v>N/A</v>
      </c>
      <c r="R110" t="str">
        <f>IFERROR(Data2022[[#This Row],[Dutch Active]]/Data2022[[#This Row],[Dutch total]],"N/A")</f>
        <v>N/A</v>
      </c>
      <c r="S110" t="str">
        <f>IFERROR(IF(Data2022[[#This Row],[Number of members]]=Data2022[[#This Row],[Non-EEA Total]]+Data2022[[#This Row],[EEA total]]+Data2022[[#This Row],[Dutch total]],"T","F"),"F")</f>
        <v>T</v>
      </c>
      <c r="T110" t="str">
        <f>IFERROR(IF(Data2022[[#This Row],[Number of active members]]=Data2022[[#This Row],[Non-EEA Active ]]+Data2022[[#This Row],[EEA Active]]+Data2022[[#This Row],[Dutch Active]],"T","F"),"F")</f>
        <v>F</v>
      </c>
      <c r="U110" t="str">
        <f>IFERROR(IF(Data2022[[#This Row],[Number of members]]-Data2022[[#This Row],[Non-EEA Active ]]-Data2022[[#This Row],[EEA Active]]-Data2022[[#This Row],[Dutch Active]]=Data2022[[#This Row],[Number of  inactive members]],"T","F"),"F")</f>
        <v>F</v>
      </c>
      <c r="V110" t="str">
        <f>IF(Data2022[[#This Row],[EEA Active]]&lt;=Data2022[[#This Row],[EEA total]],"T","F")</f>
        <v>T</v>
      </c>
      <c r="W110" t="str">
        <f>IF(Data2022[[#This Row],[Dutch Active]]&lt;=Data2022[[#This Row],[Dutch total]],"T","F")</f>
        <v>F</v>
      </c>
      <c r="X110" t="str">
        <f>IF(Data2022[[#This Row],[Non-EEA Active ]]&lt;=Data2022[[#This Row],[Non-EEA Total]],"T","F")</f>
        <v>T</v>
      </c>
      <c r="Y11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0">
        <f>IFERROR(VLOOKUP(Data2022[[#This Row],[organisation_name]],'Division Study Year Committees'!$A$1:$L$108,2,FALSE),"N/A")</f>
        <v>0</v>
      </c>
      <c r="AA110">
        <f>IFERROR(VLOOKUP(Data2022[[#This Row],[organisation_name]],'Division Study Year Committees'!$A$1:$L$108,3,FALSE),"N/A")</f>
        <v>2</v>
      </c>
      <c r="AB110">
        <f>IFERROR(VLOOKUP(Data2022[[#This Row],[organisation_name]],'Division Study Year Committees'!$A$1:$L$108,4,FALSE),"N/A")</f>
        <v>0</v>
      </c>
      <c r="AC110">
        <f>IFERROR(VLOOKUP(Data2022[[#This Row],[organisation_name]],'Division Study Year Committees'!$A$1:$L$108,5,FALSE), "N/A")</f>
        <v>1</v>
      </c>
      <c r="AD110">
        <f>IFERROR(VLOOKUP(Data2022[[#This Row],[organisation_name]],'Division Study Year Committees'!$A$1:$L$108,6,FALSE), "N/A")</f>
        <v>1</v>
      </c>
      <c r="AE110">
        <f>SUM(Data2022[[#This Row],[Number of first year comittee members]:[Number of 4+ year comittee members]])</f>
        <v>4</v>
      </c>
      <c r="AF110">
        <f>COUNTIF('Committee2022'!D:D,Data2022[[#This Row],[organisation_name]])</f>
        <v>16</v>
      </c>
      <c r="AG110">
        <v>2022</v>
      </c>
    </row>
    <row r="111" spans="1:33" x14ac:dyDescent="0.3">
      <c r="A111" t="str">
        <f>General2022[[#This Row],[organisation_name]]</f>
        <v>Stichting Solar Team Twente</v>
      </c>
      <c r="B111" t="str">
        <f>IF(General2022[[#This Row],[sector]]= "",VLOOKUP(Data2022[[#This Row],[organisation_name]],'Response Rate sheet'!A:D,3,FALSE),General2022[[#This Row],[sector]])</f>
        <v>Other</v>
      </c>
      <c r="C111" t="str">
        <f>General2022[[#This Row],[organisation_type]]</f>
        <v>foundation</v>
      </c>
      <c r="D111">
        <f>IF(ISBLANK(General2022[[#This Row],[number_of_members]]),"N/A",VLOOKUP(A111,General2022[[organisation_name]:[number_of_international_committee_board_members_not_eea]],6,FALSE))</f>
        <v>21</v>
      </c>
      <c r="E111">
        <f>IF(ISBLANK(General2022[[#This Row],[number_of_committee_board_members]]),"N/A",VLOOKUP(A111,General2022!B:M,10,FALSE))</f>
        <v>0</v>
      </c>
      <c r="F111">
        <f>IFERROR(Data2022[[#This Row],[Number of members]]-Data2022[[#This Row],[Number of active members]], "N/A")</f>
        <v>21</v>
      </c>
      <c r="G111">
        <f>IFERROR(Data2022[[#This Row],[Number of active members]]/Data2022[[#This Row],[Number of members]], "N/A")</f>
        <v>0</v>
      </c>
      <c r="H111">
        <f>IFERROR(1-Data2022[[#This Row],[Percentage active members]],"N/A")</f>
        <v>1</v>
      </c>
      <c r="I111"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11">
        <f>IF(ISBLANK(General2022[[#This Row],[number_of_international_members_not_eea]]),"N/A",VLOOKUP(A111,General2022[[organisation_name]:[number_of_international_committee_board_members_not_eea]],9,FALSE))</f>
        <v>0</v>
      </c>
      <c r="K111">
        <f>IF(ISBLANK(General2022[[#This Row],[number_of_international_members_eea]]),"N/A",VLOOKUP(A111,General2022[[organisation_name]:[number_of_international_committee_board_members_not_eea]],8,FALSE))</f>
        <v>0</v>
      </c>
      <c r="L111">
        <f>IFERROR(IF(Data2022[[#This Row],[Number of members]]-Data2022[[#This Row],[Non-EEA Total]]-Data2022[[#This Row],[EEA total]]&lt;1,"N/A", Data2022[[#This Row],[Number of members]]-Data2022[[#This Row],[Non-EEA Total]]-Data2022[[#This Row],[EEA total]]),"N/A")</f>
        <v>21</v>
      </c>
      <c r="M111">
        <f>VLOOKUP(A111,General2022[[organisation_name]:[number_of_international_committee_board_members_not_eea]],12,FALSE)</f>
        <v>0</v>
      </c>
      <c r="N111">
        <f>VLOOKUP(A111,General2022[[organisation_name]:[number_of_international_committee_board_members_not_eea]],11,FALSE)</f>
        <v>0</v>
      </c>
      <c r="O111" t="str">
        <f>IFERROR(IF(Data2022[[#This Row],[Number of active members]]-Data2022[[#This Row],[Non-EEA Active ]]-Data2022[[#This Row],[EEA Active]]&lt;1,"N/A", Data2022[[#This Row],[Number of active members]]-Data2022[[#This Row],[Non-EEA Active ]]-Data2022[[#This Row],[EEA Active]]),"N/A")</f>
        <v>N/A</v>
      </c>
      <c r="P111" t="str">
        <f>IFERROR(Data2022[[#This Row],[Non-EEA Active ]]/Data2022[[#This Row],[Number of active members]],"N/A")</f>
        <v>N/A</v>
      </c>
      <c r="Q111" t="str">
        <f>IFERROR(Data2022[[#This Row],[EEA Active]]/Data2022[[#This Row],[EEA total]], "N/A")</f>
        <v>N/A</v>
      </c>
      <c r="R111" t="str">
        <f>IFERROR(Data2022[[#This Row],[Dutch Active]]/Data2022[[#This Row],[Dutch total]],"N/A")</f>
        <v>N/A</v>
      </c>
      <c r="S111" t="str">
        <f>IFERROR(IF(Data2022[[#This Row],[Number of members]]=Data2022[[#This Row],[Non-EEA Total]]+Data2022[[#This Row],[EEA total]]+Data2022[[#This Row],[Dutch total]],"T","F"),"F")</f>
        <v>T</v>
      </c>
      <c r="T111" t="str">
        <f>IFERROR(IF(Data2022[[#This Row],[Number of active members]]=Data2022[[#This Row],[Non-EEA Active ]]+Data2022[[#This Row],[EEA Active]]+Data2022[[#This Row],[Dutch Active]],"T","F"),"F")</f>
        <v>F</v>
      </c>
      <c r="U111" t="str">
        <f>IFERROR(IF(Data2022[[#This Row],[Number of members]]-Data2022[[#This Row],[Non-EEA Active ]]-Data2022[[#This Row],[EEA Active]]-Data2022[[#This Row],[Dutch Active]]=Data2022[[#This Row],[Number of  inactive members]],"T","F"),"F")</f>
        <v>F</v>
      </c>
      <c r="V111" t="str">
        <f>IF(Data2022[[#This Row],[EEA Active]]&lt;=Data2022[[#This Row],[EEA total]],"T","F")</f>
        <v>T</v>
      </c>
      <c r="W111" t="str">
        <f>IF(Data2022[[#This Row],[Dutch Active]]&lt;=Data2022[[#This Row],[Dutch total]],"T","F")</f>
        <v>F</v>
      </c>
      <c r="X111" t="str">
        <f>IF(Data2022[[#This Row],[Non-EEA Active ]]&lt;=Data2022[[#This Row],[Non-EEA Total]],"T","F")</f>
        <v>T</v>
      </c>
      <c r="Y11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1">
        <f>IFERROR(VLOOKUP(Data2022[[#This Row],[organisation_name]],'Division Study Year Committees'!$A$1:$L$108,2,FALSE),"N/A")</f>
        <v>0</v>
      </c>
      <c r="AA111">
        <f>IFERROR(VLOOKUP(Data2022[[#This Row],[organisation_name]],'Division Study Year Committees'!$A$1:$L$108,3,FALSE),"N/A")</f>
        <v>0</v>
      </c>
      <c r="AB111">
        <f>IFERROR(VLOOKUP(Data2022[[#This Row],[organisation_name]],'Division Study Year Committees'!$A$1:$L$108,4,FALSE),"N/A")</f>
        <v>0</v>
      </c>
      <c r="AC111">
        <f>IFERROR(VLOOKUP(Data2022[[#This Row],[organisation_name]],'Division Study Year Committees'!$A$1:$L$108,5,FALSE), "N/A")</f>
        <v>0</v>
      </c>
      <c r="AD111">
        <f>IFERROR(VLOOKUP(Data2022[[#This Row],[organisation_name]],'Division Study Year Committees'!$A$1:$L$108,6,FALSE), "N/A")</f>
        <v>0</v>
      </c>
      <c r="AE111">
        <f>SUM(Data2022[[#This Row],[Number of first year comittee members]:[Number of 4+ year comittee members]])</f>
        <v>0</v>
      </c>
      <c r="AF111">
        <f>COUNTIF('Committee2022'!D:D,Data2022[[#This Row],[organisation_name]])</f>
        <v>3</v>
      </c>
      <c r="AG111">
        <v>2022</v>
      </c>
    </row>
    <row r="112" spans="1:33" x14ac:dyDescent="0.3">
      <c r="A112" t="str">
        <f>General2022[[#This Row],[organisation_name]]</f>
        <v>Studenten Net Twente</v>
      </c>
      <c r="B112" t="str">
        <f>IF(General2022[[#This Row],[sector]]= "",VLOOKUP(Data2022[[#This Row],[organisation_name]],'Response Rate sheet'!A:D,3,FALSE),General2022[[#This Row],[sector]])</f>
        <v>Other</v>
      </c>
      <c r="C112" t="str">
        <f>General2022[[#This Row],[organisation_type]]</f>
        <v>association</v>
      </c>
      <c r="D112" t="str">
        <f>IF(ISBLANK(General2022[[#This Row],[number_of_members]]),"N/A",VLOOKUP(A112,General2022[[organisation_name]:[number_of_international_committee_board_members_not_eea]],6,FALSE))</f>
        <v>N/A</v>
      </c>
      <c r="E112" t="str">
        <f>IF(ISBLANK(General2022[[#This Row],[number_of_committee_board_members]]),"N/A",VLOOKUP(A112,General2022!B:M,10,FALSE))</f>
        <v>N/A</v>
      </c>
      <c r="F112" t="str">
        <f>IFERROR(Data2022[[#This Row],[Number of members]]-Data2022[[#This Row],[Number of active members]], "N/A")</f>
        <v>N/A</v>
      </c>
      <c r="G112" t="str">
        <f>IFERROR(Data2022[[#This Row],[Number of active members]]/Data2022[[#This Row],[Number of members]], "N/A")</f>
        <v>N/A</v>
      </c>
      <c r="H112" t="str">
        <f>IFERROR(1-Data2022[[#This Row],[Percentage active members]],"N/A")</f>
        <v>N/A</v>
      </c>
      <c r="I112" t="str">
        <f>IF(Data2022[[#This Row],[Number of members]]=0,"N/A",IF(Data2022[[#This Row],[Number of members]]&lt;50," A. 1 - 50 ",IF(Data2022[[#This Row],[Number of members]]&lt;100, "B. 50 - 100", IF(Data2022[[#This Row],[Number of members]]&lt;400, "C. 100 - 400", IF(Data2022[[#This Row],[Number of members]]&lt;1000,"D. 400 - 1000", "E. 1000 +")))))</f>
        <v>E. 1000 +</v>
      </c>
      <c r="J112" t="str">
        <f>IF(ISBLANK(General2022[[#This Row],[number_of_international_members_not_eea]]),"N/A",VLOOKUP(A112,General2022[[organisation_name]:[number_of_international_committee_board_members_not_eea]],9,FALSE))</f>
        <v>N/A</v>
      </c>
      <c r="K112" t="str">
        <f>IF(ISBLANK(General2022[[#This Row],[number_of_international_members_eea]]),"N/A",VLOOKUP(A112,General2022[[organisation_name]:[number_of_international_committee_board_members_not_eea]],8,FALSE))</f>
        <v>N/A</v>
      </c>
      <c r="L112" t="str">
        <f>IFERROR(IF(Data2022[[#This Row],[Number of members]]-Data2022[[#This Row],[Non-EEA Total]]-Data2022[[#This Row],[EEA total]]&lt;1,"N/A", Data2022[[#This Row],[Number of members]]-Data2022[[#This Row],[Non-EEA Total]]-Data2022[[#This Row],[EEA total]]),"N/A")</f>
        <v>N/A</v>
      </c>
      <c r="M112">
        <f>VLOOKUP(A112,General2022[[organisation_name]:[number_of_international_committee_board_members_not_eea]],12,FALSE)</f>
        <v>0</v>
      </c>
      <c r="N112">
        <f>VLOOKUP(A112,General2022[[organisation_name]:[number_of_international_committee_board_members_not_eea]],11,FALSE)</f>
        <v>0</v>
      </c>
      <c r="O112" t="str">
        <f>IFERROR(IF(Data2022[[#This Row],[Number of active members]]-Data2022[[#This Row],[Non-EEA Active ]]-Data2022[[#This Row],[EEA Active]]&lt;1,"N/A", Data2022[[#This Row],[Number of active members]]-Data2022[[#This Row],[Non-EEA Active ]]-Data2022[[#This Row],[EEA Active]]),"N/A")</f>
        <v>N/A</v>
      </c>
      <c r="P112" t="str">
        <f>IFERROR(Data2022[[#This Row],[Non-EEA Active ]]/Data2022[[#This Row],[Number of active members]],"N/A")</f>
        <v>N/A</v>
      </c>
      <c r="Q112" t="str">
        <f>IFERROR(Data2022[[#This Row],[EEA Active]]/Data2022[[#This Row],[EEA total]], "N/A")</f>
        <v>N/A</v>
      </c>
      <c r="R112" t="str">
        <f>IFERROR(Data2022[[#This Row],[Dutch Active]]/Data2022[[#This Row],[Dutch total]],"N/A")</f>
        <v>N/A</v>
      </c>
      <c r="S112" t="str">
        <f>IFERROR(IF(Data2022[[#This Row],[Number of members]]=Data2022[[#This Row],[Non-EEA Total]]+Data2022[[#This Row],[EEA total]]+Data2022[[#This Row],[Dutch total]],"T","F"),"F")</f>
        <v>F</v>
      </c>
      <c r="T112" t="str">
        <f>IFERROR(IF(Data2022[[#This Row],[Number of active members]]=Data2022[[#This Row],[Non-EEA Active ]]+Data2022[[#This Row],[EEA Active]]+Data2022[[#This Row],[Dutch Active]],"T","F"),"F")</f>
        <v>F</v>
      </c>
      <c r="U112" t="str">
        <f>IFERROR(IF(Data2022[[#This Row],[Number of members]]-Data2022[[#This Row],[Non-EEA Active ]]-Data2022[[#This Row],[EEA Active]]-Data2022[[#This Row],[Dutch Active]]=Data2022[[#This Row],[Number of  inactive members]],"T","F"),"F")</f>
        <v>F</v>
      </c>
      <c r="V112" t="str">
        <f>IF(Data2022[[#This Row],[EEA Active]]&lt;=Data2022[[#This Row],[EEA total]],"T","F")</f>
        <v>T</v>
      </c>
      <c r="W112" t="str">
        <f>IF(Data2022[[#This Row],[Dutch Active]]&lt;=Data2022[[#This Row],[Dutch total]],"T","F")</f>
        <v>T</v>
      </c>
      <c r="X112" t="str">
        <f>IF(Data2022[[#This Row],[Non-EEA Active ]]&lt;=Data2022[[#This Row],[Non-EEA Total]],"T","F")</f>
        <v>T</v>
      </c>
      <c r="Y11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2" t="str">
        <f>IFERROR(VLOOKUP(Data2022[[#This Row],[organisation_name]],'Division Study Year Committees'!$A$1:$L$108,2,FALSE),"N/A")</f>
        <v>N/A</v>
      </c>
      <c r="AA112" t="str">
        <f>IFERROR(VLOOKUP(Data2022[[#This Row],[organisation_name]],'Division Study Year Committees'!$A$1:$L$108,3,FALSE),"N/A")</f>
        <v>N/A</v>
      </c>
      <c r="AB112" t="str">
        <f>IFERROR(VLOOKUP(Data2022[[#This Row],[organisation_name]],'Division Study Year Committees'!$A$1:$L$108,4,FALSE),"N/A")</f>
        <v>N/A</v>
      </c>
      <c r="AC112" t="str">
        <f>IFERROR(VLOOKUP(Data2022[[#This Row],[organisation_name]],'Division Study Year Committees'!$A$1:$L$108,5,FALSE), "N/A")</f>
        <v>N/A</v>
      </c>
      <c r="AD112" t="str">
        <f>IFERROR(VLOOKUP(Data2022[[#This Row],[organisation_name]],'Division Study Year Committees'!$A$1:$L$108,6,FALSE), "N/A")</f>
        <v>N/A</v>
      </c>
      <c r="AE112">
        <f>SUM(Data2022[[#This Row],[Number of first year comittee members]:[Number of 4+ year comittee members]])</f>
        <v>0</v>
      </c>
      <c r="AF112">
        <f>COUNTIF('Committee2022'!D:D,Data2022[[#This Row],[organisation_name]])</f>
        <v>0</v>
      </c>
      <c r="AG112">
        <v>2022</v>
      </c>
    </row>
    <row r="113" spans="1:33" x14ac:dyDescent="0.3">
      <c r="A113" t="str">
        <f>General2022[[#This Row],[organisation_name]]</f>
        <v>Vereniging Campus kabel</v>
      </c>
      <c r="B113" t="str">
        <f>IF(General2022[[#This Row],[sector]]= "",VLOOKUP(Data2022[[#This Row],[organisation_name]],'Response Rate sheet'!A:D,3,FALSE),General2022[[#This Row],[sector]])</f>
        <v>Other</v>
      </c>
      <c r="C113" t="str">
        <f>General2022[[#This Row],[organisation_type]]</f>
        <v>association</v>
      </c>
      <c r="D113" t="str">
        <f>IF(ISBLANK(General2022[[#This Row],[number_of_members]]),"N/A",VLOOKUP(A113,General2022[[organisation_name]:[number_of_international_committee_board_members_not_eea]],6,FALSE))</f>
        <v>N/A</v>
      </c>
      <c r="E113" t="str">
        <f>IF(ISBLANK(General2022[[#This Row],[number_of_committee_board_members]]),"N/A",VLOOKUP(A113,General2022!B:M,10,FALSE))</f>
        <v>N/A</v>
      </c>
      <c r="F113" t="str">
        <f>IFERROR(Data2022[[#This Row],[Number of members]]-Data2022[[#This Row],[Number of active members]], "N/A")</f>
        <v>N/A</v>
      </c>
      <c r="G113" t="str">
        <f>IFERROR(Data2022[[#This Row],[Number of active members]]/Data2022[[#This Row],[Number of members]], "N/A")</f>
        <v>N/A</v>
      </c>
      <c r="H113" t="str">
        <f>IFERROR(1-Data2022[[#This Row],[Percentage active members]],"N/A")</f>
        <v>N/A</v>
      </c>
      <c r="I113" t="str">
        <f>IF(Data2022[[#This Row],[Number of members]]=0,"N/A",IF(Data2022[[#This Row],[Number of members]]&lt;50," A. 1 - 50 ",IF(Data2022[[#This Row],[Number of members]]&lt;100, "B. 50 - 100", IF(Data2022[[#This Row],[Number of members]]&lt;400, "C. 100 - 400", IF(Data2022[[#This Row],[Number of members]]&lt;1000,"D. 400 - 1000", "E. 1000 +")))))</f>
        <v>E. 1000 +</v>
      </c>
      <c r="J113" t="str">
        <f>IF(ISBLANK(General2022[[#This Row],[number_of_international_members_not_eea]]),"N/A",VLOOKUP(A113,General2022[[organisation_name]:[number_of_international_committee_board_members_not_eea]],9,FALSE))</f>
        <v>N/A</v>
      </c>
      <c r="K113" t="str">
        <f>IF(ISBLANK(General2022[[#This Row],[number_of_international_members_eea]]),"N/A",VLOOKUP(A113,General2022[[organisation_name]:[number_of_international_committee_board_members_not_eea]],8,FALSE))</f>
        <v>N/A</v>
      </c>
      <c r="L113" t="str">
        <f>IFERROR(IF(Data2022[[#This Row],[Number of members]]-Data2022[[#This Row],[Non-EEA Total]]-Data2022[[#This Row],[EEA total]]&lt;1,"N/A", Data2022[[#This Row],[Number of members]]-Data2022[[#This Row],[Non-EEA Total]]-Data2022[[#This Row],[EEA total]]),"N/A")</f>
        <v>N/A</v>
      </c>
      <c r="M113">
        <f>VLOOKUP(A113,General2022[[organisation_name]:[number_of_international_committee_board_members_not_eea]],12,FALSE)</f>
        <v>0</v>
      </c>
      <c r="N113">
        <f>VLOOKUP(A113,General2022[[organisation_name]:[number_of_international_committee_board_members_not_eea]],11,FALSE)</f>
        <v>0</v>
      </c>
      <c r="O113" t="str">
        <f>IFERROR(IF(Data2022[[#This Row],[Number of active members]]-Data2022[[#This Row],[Non-EEA Active ]]-Data2022[[#This Row],[EEA Active]]&lt;1,"N/A", Data2022[[#This Row],[Number of active members]]-Data2022[[#This Row],[Non-EEA Active ]]-Data2022[[#This Row],[EEA Active]]),"N/A")</f>
        <v>N/A</v>
      </c>
      <c r="P113" t="str">
        <f>IFERROR(Data2022[[#This Row],[Non-EEA Active ]]/Data2022[[#This Row],[Number of active members]],"N/A")</f>
        <v>N/A</v>
      </c>
      <c r="Q113" t="str">
        <f>IFERROR(Data2022[[#This Row],[EEA Active]]/Data2022[[#This Row],[EEA total]], "N/A")</f>
        <v>N/A</v>
      </c>
      <c r="R113" t="str">
        <f>IFERROR(Data2022[[#This Row],[Dutch Active]]/Data2022[[#This Row],[Dutch total]],"N/A")</f>
        <v>N/A</v>
      </c>
      <c r="S113" t="str">
        <f>IFERROR(IF(Data2022[[#This Row],[Number of members]]=Data2022[[#This Row],[Non-EEA Total]]+Data2022[[#This Row],[EEA total]]+Data2022[[#This Row],[Dutch total]],"T","F"),"F")</f>
        <v>F</v>
      </c>
      <c r="T113" t="str">
        <f>IFERROR(IF(Data2022[[#This Row],[Number of active members]]=Data2022[[#This Row],[Non-EEA Active ]]+Data2022[[#This Row],[EEA Active]]+Data2022[[#This Row],[Dutch Active]],"T","F"),"F")</f>
        <v>F</v>
      </c>
      <c r="U113" t="str">
        <f>IFERROR(IF(Data2022[[#This Row],[Number of members]]-Data2022[[#This Row],[Non-EEA Active ]]-Data2022[[#This Row],[EEA Active]]-Data2022[[#This Row],[Dutch Active]]=Data2022[[#This Row],[Number of  inactive members]],"T","F"),"F")</f>
        <v>F</v>
      </c>
      <c r="V113" t="str">
        <f>IF(Data2022[[#This Row],[EEA Active]]&lt;=Data2022[[#This Row],[EEA total]],"T","F")</f>
        <v>T</v>
      </c>
      <c r="W113" t="str">
        <f>IF(Data2022[[#This Row],[Dutch Active]]&lt;=Data2022[[#This Row],[Dutch total]],"T","F")</f>
        <v>T</v>
      </c>
      <c r="X113" t="str">
        <f>IF(Data2022[[#This Row],[Non-EEA Active ]]&lt;=Data2022[[#This Row],[Non-EEA Total]],"T","F")</f>
        <v>T</v>
      </c>
      <c r="Y11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3" t="str">
        <f>IFERROR(VLOOKUP(Data2022[[#This Row],[organisation_name]],'Division Study Year Committees'!$A$1:$L$108,2,FALSE),"N/A")</f>
        <v>N/A</v>
      </c>
      <c r="AA113" t="str">
        <f>IFERROR(VLOOKUP(Data2022[[#This Row],[organisation_name]],'Division Study Year Committees'!$A$1:$L$108,3,FALSE),"N/A")</f>
        <v>N/A</v>
      </c>
      <c r="AB113" t="str">
        <f>IFERROR(VLOOKUP(Data2022[[#This Row],[organisation_name]],'Division Study Year Committees'!$A$1:$L$108,4,FALSE),"N/A")</f>
        <v>N/A</v>
      </c>
      <c r="AC113" t="str">
        <f>IFERROR(VLOOKUP(Data2022[[#This Row],[organisation_name]],'Division Study Year Committees'!$A$1:$L$108,5,FALSE), "N/A")</f>
        <v>N/A</v>
      </c>
      <c r="AD113" t="str">
        <f>IFERROR(VLOOKUP(Data2022[[#This Row],[organisation_name]],'Division Study Year Committees'!$A$1:$L$108,6,FALSE), "N/A")</f>
        <v>N/A</v>
      </c>
      <c r="AE113">
        <f>SUM(Data2022[[#This Row],[Number of first year comittee members]:[Number of 4+ year comittee members]])</f>
        <v>0</v>
      </c>
      <c r="AF113">
        <f>COUNTIF('Committee2022'!D:D,Data2022[[#This Row],[organisation_name]])</f>
        <v>0</v>
      </c>
      <c r="AG113">
        <v>2022</v>
      </c>
    </row>
    <row r="114" spans="1:33" x14ac:dyDescent="0.3">
      <c r="A114" t="str">
        <f>General2022[[#This Row],[organisation_name]]</f>
        <v>Werkgroep OntwikkelingsTechnieken</v>
      </c>
      <c r="B114" t="str">
        <f>IF(General2022[[#This Row],[sector]]= "",VLOOKUP(Data2022[[#This Row],[organisation_name]],'Response Rate sheet'!A:D,3,FALSE),General2022[[#This Row],[sector]])</f>
        <v>Other</v>
      </c>
      <c r="C114" t="str">
        <f>General2022[[#This Row],[organisation_type]]</f>
        <v>association</v>
      </c>
      <c r="D114" t="str">
        <f>IF(ISBLANK(General2022[[#This Row],[number_of_members]]),"N/A",VLOOKUP(A114,General2022[[organisation_name]:[number_of_international_committee_board_members_not_eea]],6,FALSE))</f>
        <v>N/A</v>
      </c>
      <c r="E114" t="str">
        <f>IF(ISBLANK(General2022[[#This Row],[number_of_committee_board_members]]),"N/A",VLOOKUP(A114,General2022!B:M,10,FALSE))</f>
        <v>N/A</v>
      </c>
      <c r="F114" t="str">
        <f>IFERROR(Data2022[[#This Row],[Number of members]]-Data2022[[#This Row],[Number of active members]], "N/A")</f>
        <v>N/A</v>
      </c>
      <c r="G114" t="str">
        <f>IFERROR(Data2022[[#This Row],[Number of active members]]/Data2022[[#This Row],[Number of members]], "N/A")</f>
        <v>N/A</v>
      </c>
      <c r="H114" t="str">
        <f>IFERROR(1-Data2022[[#This Row],[Percentage active members]],"N/A")</f>
        <v>N/A</v>
      </c>
      <c r="I114" t="str">
        <f>IF(Data2022[[#This Row],[Number of members]]=0,"N/A",IF(Data2022[[#This Row],[Number of members]]&lt;50," A. 1 - 50 ",IF(Data2022[[#This Row],[Number of members]]&lt;100, "B. 50 - 100", IF(Data2022[[#This Row],[Number of members]]&lt;400, "C. 100 - 400", IF(Data2022[[#This Row],[Number of members]]&lt;1000,"D. 400 - 1000", "E. 1000 +")))))</f>
        <v>E. 1000 +</v>
      </c>
      <c r="J114" t="str">
        <f>IF(ISBLANK(General2022[[#This Row],[number_of_international_members_not_eea]]),"N/A",VLOOKUP(A114,General2022[[organisation_name]:[number_of_international_committee_board_members_not_eea]],9,FALSE))</f>
        <v>N/A</v>
      </c>
      <c r="K114" t="str">
        <f>IF(ISBLANK(General2022[[#This Row],[number_of_international_members_eea]]),"N/A",VLOOKUP(A114,General2022[[organisation_name]:[number_of_international_committee_board_members_not_eea]],8,FALSE))</f>
        <v>N/A</v>
      </c>
      <c r="L114" t="str">
        <f>IFERROR(IF(Data2022[[#This Row],[Number of members]]-Data2022[[#This Row],[Non-EEA Total]]-Data2022[[#This Row],[EEA total]]&lt;1,"N/A", Data2022[[#This Row],[Number of members]]-Data2022[[#This Row],[Non-EEA Total]]-Data2022[[#This Row],[EEA total]]),"N/A")</f>
        <v>N/A</v>
      </c>
      <c r="M114">
        <f>VLOOKUP(A114,General2022[[organisation_name]:[number_of_international_committee_board_members_not_eea]],12,FALSE)</f>
        <v>0</v>
      </c>
      <c r="N114">
        <f>VLOOKUP(A114,General2022[[organisation_name]:[number_of_international_committee_board_members_not_eea]],11,FALSE)</f>
        <v>0</v>
      </c>
      <c r="O114" t="str">
        <f>IFERROR(IF(Data2022[[#This Row],[Number of active members]]-Data2022[[#This Row],[Non-EEA Active ]]-Data2022[[#This Row],[EEA Active]]&lt;1,"N/A", Data2022[[#This Row],[Number of active members]]-Data2022[[#This Row],[Non-EEA Active ]]-Data2022[[#This Row],[EEA Active]]),"N/A")</f>
        <v>N/A</v>
      </c>
      <c r="P114" t="str">
        <f>IFERROR(Data2022[[#This Row],[Non-EEA Active ]]/Data2022[[#This Row],[Number of active members]],"N/A")</f>
        <v>N/A</v>
      </c>
      <c r="Q114" t="str">
        <f>IFERROR(Data2022[[#This Row],[EEA Active]]/Data2022[[#This Row],[EEA total]], "N/A")</f>
        <v>N/A</v>
      </c>
      <c r="R114" t="str">
        <f>IFERROR(Data2022[[#This Row],[Dutch Active]]/Data2022[[#This Row],[Dutch total]],"N/A")</f>
        <v>N/A</v>
      </c>
      <c r="S114" t="str">
        <f>IFERROR(IF(Data2022[[#This Row],[Number of members]]=Data2022[[#This Row],[Non-EEA Total]]+Data2022[[#This Row],[EEA total]]+Data2022[[#This Row],[Dutch total]],"T","F"),"F")</f>
        <v>F</v>
      </c>
      <c r="T114" t="str">
        <f>IFERROR(IF(Data2022[[#This Row],[Number of active members]]=Data2022[[#This Row],[Non-EEA Active ]]+Data2022[[#This Row],[EEA Active]]+Data2022[[#This Row],[Dutch Active]],"T","F"),"F")</f>
        <v>F</v>
      </c>
      <c r="U114" t="str">
        <f>IFERROR(IF(Data2022[[#This Row],[Number of members]]-Data2022[[#This Row],[Non-EEA Active ]]-Data2022[[#This Row],[EEA Active]]-Data2022[[#This Row],[Dutch Active]]=Data2022[[#This Row],[Number of  inactive members]],"T","F"),"F")</f>
        <v>F</v>
      </c>
      <c r="V114" t="str">
        <f>IF(Data2022[[#This Row],[EEA Active]]&lt;=Data2022[[#This Row],[EEA total]],"T","F")</f>
        <v>T</v>
      </c>
      <c r="W114" t="str">
        <f>IF(Data2022[[#This Row],[Dutch Active]]&lt;=Data2022[[#This Row],[Dutch total]],"T","F")</f>
        <v>T</v>
      </c>
      <c r="X114" t="str">
        <f>IF(Data2022[[#This Row],[Non-EEA Active ]]&lt;=Data2022[[#This Row],[Non-EEA Total]],"T","F")</f>
        <v>T</v>
      </c>
      <c r="Y11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4" t="str">
        <f>IFERROR(VLOOKUP(Data2022[[#This Row],[organisation_name]],'Division Study Year Committees'!$A$1:$L$108,2,FALSE),"N/A")</f>
        <v>N/A</v>
      </c>
      <c r="AA114" t="str">
        <f>IFERROR(VLOOKUP(Data2022[[#This Row],[organisation_name]],'Division Study Year Committees'!$A$1:$L$108,3,FALSE),"N/A")</f>
        <v>N/A</v>
      </c>
      <c r="AB114" t="str">
        <f>IFERROR(VLOOKUP(Data2022[[#This Row],[organisation_name]],'Division Study Year Committees'!$A$1:$L$108,4,FALSE),"N/A")</f>
        <v>N/A</v>
      </c>
      <c r="AC114" t="str">
        <f>IFERROR(VLOOKUP(Data2022[[#This Row],[organisation_name]],'Division Study Year Committees'!$A$1:$L$108,5,FALSE), "N/A")</f>
        <v>N/A</v>
      </c>
      <c r="AD114" t="str">
        <f>IFERROR(VLOOKUP(Data2022[[#This Row],[organisation_name]],'Division Study Year Committees'!$A$1:$L$108,6,FALSE), "N/A")</f>
        <v>N/A</v>
      </c>
      <c r="AE114">
        <f>SUM(Data2022[[#This Row],[Number of first year comittee members]:[Number of 4+ year comittee members]])</f>
        <v>0</v>
      </c>
      <c r="AF114">
        <f>COUNTIF('Committee2022'!D:D,Data2022[[#This Row],[organisation_name]])</f>
        <v>0</v>
      </c>
      <c r="AG114">
        <v>2022</v>
      </c>
    </row>
    <row r="115" spans="1:33" x14ac:dyDescent="0.3">
      <c r="A115" t="str">
        <f>General2022[[#This Row],[organisation_name]]</f>
        <v>Borrelbeheer TAP</v>
      </c>
      <c r="B115" t="str">
        <f>IF(General2022[[#This Row],[sector]]= "",VLOOKUP(Data2022[[#This Row],[organisation_name]],'Response Rate sheet'!A:D,3,FALSE),General2022[[#This Row],[sector]])</f>
        <v>Social</v>
      </c>
      <c r="C115" t="str">
        <f>General2022[[#This Row],[organisation_type]]</f>
        <v>foundation</v>
      </c>
      <c r="D115">
        <f>IF(ISBLANK(General2022[[#This Row],[number_of_members]]),"N/A",VLOOKUP(A115,General2022[[organisation_name]:[number_of_international_committee_board_members_not_eea]],6,FALSE))</f>
        <v>300</v>
      </c>
      <c r="E115">
        <f>IF(ISBLANK(General2022[[#This Row],[number_of_committee_board_members]]),"N/A",VLOOKUP(A115,General2022!B:M,10,FALSE))</f>
        <v>0</v>
      </c>
      <c r="F115">
        <f>IFERROR(Data2022[[#This Row],[Number of members]]-Data2022[[#This Row],[Number of active members]], "N/A")</f>
        <v>300</v>
      </c>
      <c r="G115">
        <f>IFERROR(Data2022[[#This Row],[Number of active members]]/Data2022[[#This Row],[Number of members]], "N/A")</f>
        <v>0</v>
      </c>
      <c r="H115">
        <f>IFERROR(1-Data2022[[#This Row],[Percentage active members]],"N/A")</f>
        <v>1</v>
      </c>
      <c r="I115" t="str">
        <f>IF(Data2022[[#This Row],[Number of members]]=0,"N/A",IF(Data2022[[#This Row],[Number of members]]&lt;50," A. 1 - 50 ",IF(Data2022[[#This Row],[Number of members]]&lt;100, "B. 50 - 100", IF(Data2022[[#This Row],[Number of members]]&lt;400, "C. 100 - 400", IF(Data2022[[#This Row],[Number of members]]&lt;1000,"D. 400 - 1000", "E. 1000 +")))))</f>
        <v>C. 100 - 400</v>
      </c>
      <c r="J115">
        <f>IF(ISBLANK(General2022[[#This Row],[number_of_international_members_not_eea]]),"N/A",VLOOKUP(A115,General2022[[organisation_name]:[number_of_international_committee_board_members_not_eea]],9,FALSE))</f>
        <v>0</v>
      </c>
      <c r="K115">
        <f>IF(ISBLANK(General2022[[#This Row],[number_of_international_members_eea]]),"N/A",VLOOKUP(A115,General2022[[organisation_name]:[number_of_international_committee_board_members_not_eea]],8,FALSE))</f>
        <v>50</v>
      </c>
      <c r="L115">
        <f>IFERROR(IF(Data2022[[#This Row],[Number of members]]-Data2022[[#This Row],[Non-EEA Total]]-Data2022[[#This Row],[EEA total]]&lt;1,"N/A", Data2022[[#This Row],[Number of members]]-Data2022[[#This Row],[Non-EEA Total]]-Data2022[[#This Row],[EEA total]]),"N/A")</f>
        <v>250</v>
      </c>
      <c r="M115">
        <f>VLOOKUP(A115,General2022[[organisation_name]:[number_of_international_committee_board_members_not_eea]],12,FALSE)</f>
        <v>0</v>
      </c>
      <c r="N115">
        <f>VLOOKUP(A115,General2022[[organisation_name]:[number_of_international_committee_board_members_not_eea]],11,FALSE)</f>
        <v>0</v>
      </c>
      <c r="O115" t="str">
        <f>IFERROR(IF(Data2022[[#This Row],[Number of active members]]-Data2022[[#This Row],[Non-EEA Active ]]-Data2022[[#This Row],[EEA Active]]&lt;1,"N/A", Data2022[[#This Row],[Number of active members]]-Data2022[[#This Row],[Non-EEA Active ]]-Data2022[[#This Row],[EEA Active]]),"N/A")</f>
        <v>N/A</v>
      </c>
      <c r="P115" t="str">
        <f>IFERROR(Data2022[[#This Row],[Non-EEA Active ]]/Data2022[[#This Row],[Number of active members]],"N/A")</f>
        <v>N/A</v>
      </c>
      <c r="Q115">
        <f>IFERROR(Data2022[[#This Row],[EEA Active]]/Data2022[[#This Row],[EEA total]], "N/A")</f>
        <v>0</v>
      </c>
      <c r="R115" t="str">
        <f>IFERROR(Data2022[[#This Row],[Dutch Active]]/Data2022[[#This Row],[Dutch total]],"N/A")</f>
        <v>N/A</v>
      </c>
      <c r="S115" t="str">
        <f>IFERROR(IF(Data2022[[#This Row],[Number of members]]=Data2022[[#This Row],[Non-EEA Total]]+Data2022[[#This Row],[EEA total]]+Data2022[[#This Row],[Dutch total]],"T","F"),"F")</f>
        <v>T</v>
      </c>
      <c r="T115" t="str">
        <f>IFERROR(IF(Data2022[[#This Row],[Number of active members]]=Data2022[[#This Row],[Non-EEA Active ]]+Data2022[[#This Row],[EEA Active]]+Data2022[[#This Row],[Dutch Active]],"T","F"),"F")</f>
        <v>F</v>
      </c>
      <c r="U115" t="str">
        <f>IFERROR(IF(Data2022[[#This Row],[Number of members]]-Data2022[[#This Row],[Non-EEA Active ]]-Data2022[[#This Row],[EEA Active]]-Data2022[[#This Row],[Dutch Active]]=Data2022[[#This Row],[Number of  inactive members]],"T","F"),"F")</f>
        <v>F</v>
      </c>
      <c r="V115" t="str">
        <f>IF(Data2022[[#This Row],[EEA Active]]&lt;=Data2022[[#This Row],[EEA total]],"T","F")</f>
        <v>T</v>
      </c>
      <c r="W115" t="str">
        <f>IF(Data2022[[#This Row],[Dutch Active]]&lt;=Data2022[[#This Row],[Dutch total]],"T","F")</f>
        <v>F</v>
      </c>
      <c r="X115" t="str">
        <f>IF(Data2022[[#This Row],[Non-EEA Active ]]&lt;=Data2022[[#This Row],[Non-EEA Total]],"T","F")</f>
        <v>T</v>
      </c>
      <c r="Y11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5" t="str">
        <f>IFERROR(VLOOKUP(Data2022[[#This Row],[organisation_name]],'Division Study Year Committees'!$A$1:$L$108,2,FALSE),"N/A")</f>
        <v>N/A</v>
      </c>
      <c r="AA115" t="str">
        <f>IFERROR(VLOOKUP(Data2022[[#This Row],[organisation_name]],'Division Study Year Committees'!$A$1:$L$108,3,FALSE),"N/A")</f>
        <v>N/A</v>
      </c>
      <c r="AB115" t="str">
        <f>IFERROR(VLOOKUP(Data2022[[#This Row],[organisation_name]],'Division Study Year Committees'!$A$1:$L$108,4,FALSE),"N/A")</f>
        <v>N/A</v>
      </c>
      <c r="AC115" t="str">
        <f>IFERROR(VLOOKUP(Data2022[[#This Row],[organisation_name]],'Division Study Year Committees'!$A$1:$L$108,5,FALSE), "N/A")</f>
        <v>N/A</v>
      </c>
      <c r="AD115" t="str">
        <f>IFERROR(VLOOKUP(Data2022[[#This Row],[organisation_name]],'Division Study Year Committees'!$A$1:$L$108,6,FALSE), "N/A")</f>
        <v>N/A</v>
      </c>
      <c r="AE115">
        <f>SUM(Data2022[[#This Row],[Number of first year comittee members]:[Number of 4+ year comittee members]])</f>
        <v>0</v>
      </c>
      <c r="AF115">
        <f>COUNTIF('Committee2022'!D:D,Data2022[[#This Row],[organisation_name]])</f>
        <v>1</v>
      </c>
      <c r="AG115">
        <v>2022</v>
      </c>
    </row>
    <row r="116" spans="1:33" x14ac:dyDescent="0.3">
      <c r="A116" t="str">
        <f>General2022[[#This Row],[organisation_name]]</f>
        <v>Studentenstam Radix</v>
      </c>
      <c r="B116" t="str">
        <f>IF(General2022[[#This Row],[sector]]= "",VLOOKUP(Data2022[[#This Row],[organisation_name]],'Response Rate sheet'!A:D,3,FALSE),General2022[[#This Row],[sector]])</f>
        <v>Sports</v>
      </c>
      <c r="C116" t="str">
        <f>General2022[[#This Row],[organisation_type]]</f>
        <v>association</v>
      </c>
      <c r="D116">
        <f>IF(ISBLANK(General2022[[#This Row],[number_of_members]]),"N/A",VLOOKUP(A116,General2022[[organisation_name]:[number_of_international_committee_board_members_not_eea]],6,FALSE))</f>
        <v>38</v>
      </c>
      <c r="E116">
        <f>IF(ISBLANK(General2022[[#This Row],[number_of_committee_board_members]]),"N/A",VLOOKUP(A116,General2022!B:M,10,FALSE))</f>
        <v>3</v>
      </c>
      <c r="F116">
        <f>IFERROR(Data2022[[#This Row],[Number of members]]-Data2022[[#This Row],[Number of active members]], "N/A")</f>
        <v>35</v>
      </c>
      <c r="G116">
        <f>IFERROR(Data2022[[#This Row],[Number of active members]]/Data2022[[#This Row],[Number of members]], "N/A")</f>
        <v>7.8947368421052627E-2</v>
      </c>
      <c r="H116">
        <f>IFERROR(1-Data2022[[#This Row],[Percentage active members]],"N/A")</f>
        <v>0.92105263157894735</v>
      </c>
      <c r="I116"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16">
        <f>IF(ISBLANK(General2022[[#This Row],[number_of_international_members_not_eea]]),"N/A",VLOOKUP(A116,General2022[[organisation_name]:[number_of_international_committee_board_members_not_eea]],9,FALSE))</f>
        <v>20</v>
      </c>
      <c r="K116">
        <f>IF(ISBLANK(General2022[[#This Row],[number_of_international_members_eea]]),"N/A",VLOOKUP(A116,General2022[[organisation_name]:[number_of_international_committee_board_members_not_eea]],8,FALSE))</f>
        <v>0</v>
      </c>
      <c r="L116">
        <f>IFERROR(IF(Data2022[[#This Row],[Number of members]]-Data2022[[#This Row],[Non-EEA Total]]-Data2022[[#This Row],[EEA total]]&lt;1,"N/A", Data2022[[#This Row],[Number of members]]-Data2022[[#This Row],[Non-EEA Total]]-Data2022[[#This Row],[EEA total]]),"N/A")</f>
        <v>18</v>
      </c>
      <c r="M116">
        <f>VLOOKUP(A116,General2022[[organisation_name]:[number_of_international_committee_board_members_not_eea]],12,FALSE)</f>
        <v>0</v>
      </c>
      <c r="N116">
        <f>VLOOKUP(A116,General2022[[organisation_name]:[number_of_international_committee_board_members_not_eea]],11,FALSE)</f>
        <v>0</v>
      </c>
      <c r="O116">
        <f>IFERROR(IF(Data2022[[#This Row],[Number of active members]]-Data2022[[#This Row],[Non-EEA Active ]]-Data2022[[#This Row],[EEA Active]]&lt;1,"N/A", Data2022[[#This Row],[Number of active members]]-Data2022[[#This Row],[Non-EEA Active ]]-Data2022[[#This Row],[EEA Active]]),"N/A")</f>
        <v>3</v>
      </c>
      <c r="P116">
        <f>IFERROR(Data2022[[#This Row],[Non-EEA Active ]]/Data2022[[#This Row],[Number of active members]],"N/A")</f>
        <v>0</v>
      </c>
      <c r="Q116" t="str">
        <f>IFERROR(Data2022[[#This Row],[EEA Active]]/Data2022[[#This Row],[EEA total]], "N/A")</f>
        <v>N/A</v>
      </c>
      <c r="R116">
        <f>IFERROR(Data2022[[#This Row],[Dutch Active]]/Data2022[[#This Row],[Dutch total]],"N/A")</f>
        <v>0.16666666666666666</v>
      </c>
      <c r="S116" t="str">
        <f>IFERROR(IF(Data2022[[#This Row],[Number of members]]=Data2022[[#This Row],[Non-EEA Total]]+Data2022[[#This Row],[EEA total]]+Data2022[[#This Row],[Dutch total]],"T","F"),"F")</f>
        <v>T</v>
      </c>
      <c r="T116" t="str">
        <f>IFERROR(IF(Data2022[[#This Row],[Number of active members]]=Data2022[[#This Row],[Non-EEA Active ]]+Data2022[[#This Row],[EEA Active]]+Data2022[[#This Row],[Dutch Active]],"T","F"),"F")</f>
        <v>T</v>
      </c>
      <c r="U116" t="str">
        <f>IFERROR(IF(Data2022[[#This Row],[Number of members]]-Data2022[[#This Row],[Non-EEA Active ]]-Data2022[[#This Row],[EEA Active]]-Data2022[[#This Row],[Dutch Active]]=Data2022[[#This Row],[Number of  inactive members]],"T","F"),"F")</f>
        <v>T</v>
      </c>
      <c r="V116" t="str">
        <f>IF(Data2022[[#This Row],[EEA Active]]&lt;=Data2022[[#This Row],[EEA total]],"T","F")</f>
        <v>T</v>
      </c>
      <c r="W116" t="str">
        <f>IF(Data2022[[#This Row],[Dutch Active]]&lt;=Data2022[[#This Row],[Dutch total]],"T","F")</f>
        <v>T</v>
      </c>
      <c r="X116" t="str">
        <f>IF(Data2022[[#This Row],[Non-EEA Active ]]&lt;=Data2022[[#This Row],[Non-EEA Total]],"T","F")</f>
        <v>T</v>
      </c>
      <c r="Y116"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116">
        <f>IFERROR(VLOOKUP(Data2022[[#This Row],[organisation_name]],'Division Study Year Committees'!$A$1:$L$108,2,FALSE),"N/A")</f>
        <v>0</v>
      </c>
      <c r="AA116">
        <f>IFERROR(VLOOKUP(Data2022[[#This Row],[organisation_name]],'Division Study Year Committees'!$A$1:$L$108,3,FALSE),"N/A")</f>
        <v>0</v>
      </c>
      <c r="AB116">
        <f>IFERROR(VLOOKUP(Data2022[[#This Row],[organisation_name]],'Division Study Year Committees'!$A$1:$L$108,4,FALSE),"N/A")</f>
        <v>0</v>
      </c>
      <c r="AC116">
        <f>IFERROR(VLOOKUP(Data2022[[#This Row],[organisation_name]],'Division Study Year Committees'!$A$1:$L$108,5,FALSE), "N/A")</f>
        <v>0</v>
      </c>
      <c r="AD116">
        <f>IFERROR(VLOOKUP(Data2022[[#This Row],[organisation_name]],'Division Study Year Committees'!$A$1:$L$108,6,FALSE), "N/A")</f>
        <v>0</v>
      </c>
      <c r="AE116">
        <f>SUM(Data2022[[#This Row],[Number of first year comittee members]:[Number of 4+ year comittee members]])</f>
        <v>0</v>
      </c>
      <c r="AF116">
        <f>COUNTIF('Committee2022'!D:D,Data2022[[#This Row],[organisation_name]])</f>
        <v>5</v>
      </c>
      <c r="AG116">
        <v>2022</v>
      </c>
    </row>
    <row r="117" spans="1:33" x14ac:dyDescent="0.3">
      <c r="A117" t="str">
        <f>General2022[[#This Row],[organisation_name]]</f>
        <v>IEEE Student Branch</v>
      </c>
      <c r="B117" t="str">
        <f>IF(General2022[[#This Row],[sector]]= "",VLOOKUP(Data2022[[#This Row],[organisation_name]],'Response Rate sheet'!A:D,3,FALSE),General2022[[#This Row],[sector]])</f>
        <v>other</v>
      </c>
      <c r="C117" t="str">
        <f>General2022[[#This Row],[organisation_type]]</f>
        <v>foundation</v>
      </c>
      <c r="D117" t="str">
        <f>IF(ISBLANK(General2022[[#This Row],[number_of_members]]),"N/A",VLOOKUP(A117,General2022[[organisation_name]:[number_of_international_committee_board_members_not_eea]],6,FALSE))</f>
        <v>N/A</v>
      </c>
      <c r="E117" t="str">
        <f>IF(ISBLANK(General2022[[#This Row],[number_of_committee_board_members]]),"N/A",VLOOKUP(A117,General2022!B:M,10,FALSE))</f>
        <v>N/A</v>
      </c>
      <c r="F117" t="str">
        <f>IFERROR(Data2022[[#This Row],[Number of members]]-Data2022[[#This Row],[Number of active members]], "N/A")</f>
        <v>N/A</v>
      </c>
      <c r="G117" t="str">
        <f>IFERROR(Data2022[[#This Row],[Number of active members]]/Data2022[[#This Row],[Number of members]], "N/A")</f>
        <v>N/A</v>
      </c>
      <c r="H117" t="str">
        <f>IFERROR(1-Data2022[[#This Row],[Percentage active members]],"N/A")</f>
        <v>N/A</v>
      </c>
      <c r="I117" t="str">
        <f>IF(Data2022[[#This Row],[Number of members]]=0,"N/A",IF(Data2022[[#This Row],[Number of members]]&lt;50," A. 1 - 50 ",IF(Data2022[[#This Row],[Number of members]]&lt;100, "B. 50 - 100", IF(Data2022[[#This Row],[Number of members]]&lt;400, "C. 100 - 400", IF(Data2022[[#This Row],[Number of members]]&lt;1000,"D. 400 - 1000", "E. 1000 +")))))</f>
        <v>E. 1000 +</v>
      </c>
      <c r="J117" t="str">
        <f>IF(ISBLANK(General2022[[#This Row],[number_of_international_members_not_eea]]),"N/A",VLOOKUP(A117,General2022[[organisation_name]:[number_of_international_committee_board_members_not_eea]],9,FALSE))</f>
        <v>N/A</v>
      </c>
      <c r="K117" t="str">
        <f>IF(ISBLANK(General2022[[#This Row],[number_of_international_members_eea]]),"N/A",VLOOKUP(A117,General2022[[organisation_name]:[number_of_international_committee_board_members_not_eea]],8,FALSE))</f>
        <v>N/A</v>
      </c>
      <c r="L117" t="str">
        <f>IFERROR(IF(Data2022[[#This Row],[Number of members]]-Data2022[[#This Row],[Non-EEA Total]]-Data2022[[#This Row],[EEA total]]&lt;1,"N/A", Data2022[[#This Row],[Number of members]]-Data2022[[#This Row],[Non-EEA Total]]-Data2022[[#This Row],[EEA total]]),"N/A")</f>
        <v>N/A</v>
      </c>
      <c r="M117">
        <f>VLOOKUP(A117,General2022[[organisation_name]:[number_of_international_committee_board_members_not_eea]],12,FALSE)</f>
        <v>0</v>
      </c>
      <c r="N117">
        <f>VLOOKUP(A117,General2022[[organisation_name]:[number_of_international_committee_board_members_not_eea]],11,FALSE)</f>
        <v>0</v>
      </c>
      <c r="O117" t="str">
        <f>IFERROR(IF(Data2022[[#This Row],[Number of active members]]-Data2022[[#This Row],[Non-EEA Active ]]-Data2022[[#This Row],[EEA Active]]&lt;1,"N/A", Data2022[[#This Row],[Number of active members]]-Data2022[[#This Row],[Non-EEA Active ]]-Data2022[[#This Row],[EEA Active]]),"N/A")</f>
        <v>N/A</v>
      </c>
      <c r="P117" t="str">
        <f>IFERROR(Data2022[[#This Row],[Non-EEA Active ]]/Data2022[[#This Row],[Number of active members]],"N/A")</f>
        <v>N/A</v>
      </c>
      <c r="Q117" t="str">
        <f>IFERROR(Data2022[[#This Row],[EEA Active]]/Data2022[[#This Row],[EEA total]], "N/A")</f>
        <v>N/A</v>
      </c>
      <c r="R117" t="str">
        <f>IFERROR(Data2022[[#This Row],[Dutch Active]]/Data2022[[#This Row],[Dutch total]],"N/A")</f>
        <v>N/A</v>
      </c>
      <c r="S117" t="str">
        <f>IFERROR(IF(Data2022[[#This Row],[Number of members]]=Data2022[[#This Row],[Non-EEA Total]]+Data2022[[#This Row],[EEA total]]+Data2022[[#This Row],[Dutch total]],"T","F"),"F")</f>
        <v>F</v>
      </c>
      <c r="T117" t="str">
        <f>IFERROR(IF(Data2022[[#This Row],[Number of active members]]=Data2022[[#This Row],[Non-EEA Active ]]+Data2022[[#This Row],[EEA Active]]+Data2022[[#This Row],[Dutch Active]],"T","F"),"F")</f>
        <v>F</v>
      </c>
      <c r="U117" t="str">
        <f>IFERROR(IF(Data2022[[#This Row],[Number of members]]-Data2022[[#This Row],[Non-EEA Active ]]-Data2022[[#This Row],[EEA Active]]-Data2022[[#This Row],[Dutch Active]]=Data2022[[#This Row],[Number of  inactive members]],"T","F"),"F")</f>
        <v>F</v>
      </c>
      <c r="V117" t="str">
        <f>IF(Data2022[[#This Row],[EEA Active]]&lt;=Data2022[[#This Row],[EEA total]],"T","F")</f>
        <v>T</v>
      </c>
      <c r="W117" t="str">
        <f>IF(Data2022[[#This Row],[Dutch Active]]&lt;=Data2022[[#This Row],[Dutch total]],"T","F")</f>
        <v>T</v>
      </c>
      <c r="X117" t="str">
        <f>IF(Data2022[[#This Row],[Non-EEA Active ]]&lt;=Data2022[[#This Row],[Non-EEA Total]],"T","F")</f>
        <v>T</v>
      </c>
      <c r="Y11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7" t="str">
        <f>IFERROR(VLOOKUP(Data2022[[#This Row],[organisation_name]],'Division Study Year Committees'!$A$1:$L$108,2,FALSE),"N/A")</f>
        <v>N/A</v>
      </c>
      <c r="AA117" t="str">
        <f>IFERROR(VLOOKUP(Data2022[[#This Row],[organisation_name]],'Division Study Year Committees'!$A$1:$L$108,3,FALSE),"N/A")</f>
        <v>N/A</v>
      </c>
      <c r="AB117" t="str">
        <f>IFERROR(VLOOKUP(Data2022[[#This Row],[organisation_name]],'Division Study Year Committees'!$A$1:$L$108,4,FALSE),"N/A")</f>
        <v>N/A</v>
      </c>
      <c r="AC117" t="str">
        <f>IFERROR(VLOOKUP(Data2022[[#This Row],[organisation_name]],'Division Study Year Committees'!$A$1:$L$108,5,FALSE), "N/A")</f>
        <v>N/A</v>
      </c>
      <c r="AD117" t="str">
        <f>IFERROR(VLOOKUP(Data2022[[#This Row],[organisation_name]],'Division Study Year Committees'!$A$1:$L$108,6,FALSE), "N/A")</f>
        <v>N/A</v>
      </c>
      <c r="AE117">
        <f>SUM(Data2022[[#This Row],[Number of first year comittee members]:[Number of 4+ year comittee members]])</f>
        <v>0</v>
      </c>
      <c r="AF117">
        <f>COUNTIF('Committee2022'!D:D,Data2022[[#This Row],[organisation_name]])</f>
        <v>0</v>
      </c>
      <c r="AG117">
        <v>2022</v>
      </c>
    </row>
    <row r="118" spans="1:33" x14ac:dyDescent="0.3">
      <c r="A118" t="str">
        <f>General2022[[#This Row],[organisation_name]]</f>
        <v>Stichting Solar Boat Twente</v>
      </c>
      <c r="B118" t="str">
        <f>IF(General2022[[#This Row],[sector]]= "",VLOOKUP(Data2022[[#This Row],[organisation_name]],'Response Rate sheet'!A:D,3,FALSE),General2022[[#This Row],[sector]])</f>
        <v>Other</v>
      </c>
      <c r="C118" t="str">
        <f>General2022[[#This Row],[organisation_type]]</f>
        <v>foundation</v>
      </c>
      <c r="D118">
        <f>IF(ISBLANK(General2022[[#This Row],[number_of_members]]),"N/A",VLOOKUP(A118,General2022[[organisation_name]:[number_of_international_committee_board_members_not_eea]],6,FALSE))</f>
        <v>21</v>
      </c>
      <c r="E118">
        <f>IF(ISBLANK(General2022[[#This Row],[number_of_committee_board_members]]),"N/A",VLOOKUP(A118,General2022!B:M,10,FALSE))</f>
        <v>0</v>
      </c>
      <c r="F118">
        <f>IFERROR(Data2022[[#This Row],[Number of members]]-Data2022[[#This Row],[Number of active members]], "N/A")</f>
        <v>21</v>
      </c>
      <c r="G118">
        <f>IFERROR(Data2022[[#This Row],[Number of active members]]/Data2022[[#This Row],[Number of members]], "N/A")</f>
        <v>0</v>
      </c>
      <c r="H118">
        <f>IFERROR(1-Data2022[[#This Row],[Percentage active members]],"N/A")</f>
        <v>1</v>
      </c>
      <c r="I118"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18">
        <f>IF(ISBLANK(General2022[[#This Row],[number_of_international_members_not_eea]]),"N/A",VLOOKUP(A118,General2022[[organisation_name]:[number_of_international_committee_board_members_not_eea]],9,FALSE))</f>
        <v>0</v>
      </c>
      <c r="K118">
        <f>IF(ISBLANK(General2022[[#This Row],[number_of_international_members_eea]]),"N/A",VLOOKUP(A118,General2022[[organisation_name]:[number_of_international_committee_board_members_not_eea]],8,FALSE))</f>
        <v>0</v>
      </c>
      <c r="L118">
        <f>IFERROR(IF(Data2022[[#This Row],[Number of members]]-Data2022[[#This Row],[Non-EEA Total]]-Data2022[[#This Row],[EEA total]]&lt;1,"N/A", Data2022[[#This Row],[Number of members]]-Data2022[[#This Row],[Non-EEA Total]]-Data2022[[#This Row],[EEA total]]),"N/A")</f>
        <v>21</v>
      </c>
      <c r="M118">
        <f>VLOOKUP(A118,General2022[[organisation_name]:[number_of_international_committee_board_members_not_eea]],12,FALSE)</f>
        <v>0</v>
      </c>
      <c r="N118">
        <f>VLOOKUP(A118,General2022[[organisation_name]:[number_of_international_committee_board_members_not_eea]],11,FALSE)</f>
        <v>0</v>
      </c>
      <c r="O118" t="str">
        <f>IFERROR(IF(Data2022[[#This Row],[Number of active members]]-Data2022[[#This Row],[Non-EEA Active ]]-Data2022[[#This Row],[EEA Active]]&lt;1,"N/A", Data2022[[#This Row],[Number of active members]]-Data2022[[#This Row],[Non-EEA Active ]]-Data2022[[#This Row],[EEA Active]]),"N/A")</f>
        <v>N/A</v>
      </c>
      <c r="P118" t="str">
        <f>IFERROR(Data2022[[#This Row],[Non-EEA Active ]]/Data2022[[#This Row],[Number of active members]],"N/A")</f>
        <v>N/A</v>
      </c>
      <c r="Q118" t="str">
        <f>IFERROR(Data2022[[#This Row],[EEA Active]]/Data2022[[#This Row],[EEA total]], "N/A")</f>
        <v>N/A</v>
      </c>
      <c r="R118" t="str">
        <f>IFERROR(Data2022[[#This Row],[Dutch Active]]/Data2022[[#This Row],[Dutch total]],"N/A")</f>
        <v>N/A</v>
      </c>
      <c r="S118" t="str">
        <f>IFERROR(IF(Data2022[[#This Row],[Number of members]]=Data2022[[#This Row],[Non-EEA Total]]+Data2022[[#This Row],[EEA total]]+Data2022[[#This Row],[Dutch total]],"T","F"),"F")</f>
        <v>T</v>
      </c>
      <c r="T118" t="str">
        <f>IFERROR(IF(Data2022[[#This Row],[Number of active members]]=Data2022[[#This Row],[Non-EEA Active ]]+Data2022[[#This Row],[EEA Active]]+Data2022[[#This Row],[Dutch Active]],"T","F"),"F")</f>
        <v>F</v>
      </c>
      <c r="U118" t="str">
        <f>IFERROR(IF(Data2022[[#This Row],[Number of members]]-Data2022[[#This Row],[Non-EEA Active ]]-Data2022[[#This Row],[EEA Active]]-Data2022[[#This Row],[Dutch Active]]=Data2022[[#This Row],[Number of  inactive members]],"T","F"),"F")</f>
        <v>F</v>
      </c>
      <c r="V118" t="str">
        <f>IF(Data2022[[#This Row],[EEA Active]]&lt;=Data2022[[#This Row],[EEA total]],"T","F")</f>
        <v>T</v>
      </c>
      <c r="W118" t="str">
        <f>IF(Data2022[[#This Row],[Dutch Active]]&lt;=Data2022[[#This Row],[Dutch total]],"T","F")</f>
        <v>F</v>
      </c>
      <c r="X118" t="str">
        <f>IF(Data2022[[#This Row],[Non-EEA Active ]]&lt;=Data2022[[#This Row],[Non-EEA Total]],"T","F")</f>
        <v>T</v>
      </c>
      <c r="Y11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8" t="str">
        <f>IFERROR(VLOOKUP(Data2022[[#This Row],[organisation_name]],'Division Study Year Committees'!$A$1:$L$108,2,FALSE),"N/A")</f>
        <v>N/A</v>
      </c>
      <c r="AA118" t="str">
        <f>IFERROR(VLOOKUP(Data2022[[#This Row],[organisation_name]],'Division Study Year Committees'!$A$1:$L$108,3,FALSE),"N/A")</f>
        <v>N/A</v>
      </c>
      <c r="AB118" t="str">
        <f>IFERROR(VLOOKUP(Data2022[[#This Row],[organisation_name]],'Division Study Year Committees'!$A$1:$L$108,4,FALSE),"N/A")</f>
        <v>N/A</v>
      </c>
      <c r="AC118" t="str">
        <f>IFERROR(VLOOKUP(Data2022[[#This Row],[organisation_name]],'Division Study Year Committees'!$A$1:$L$108,5,FALSE), "N/A")</f>
        <v>N/A</v>
      </c>
      <c r="AD118" t="str">
        <f>IFERROR(VLOOKUP(Data2022[[#This Row],[organisation_name]],'Division Study Year Committees'!$A$1:$L$108,6,FALSE), "N/A")</f>
        <v>N/A</v>
      </c>
      <c r="AE118">
        <f>SUM(Data2022[[#This Row],[Number of first year comittee members]:[Number of 4+ year comittee members]])</f>
        <v>0</v>
      </c>
      <c r="AF118">
        <f>COUNTIF('Committee2022'!D:D,Data2022[[#This Row],[organisation_name]])</f>
        <v>1</v>
      </c>
      <c r="AG118">
        <v>2022</v>
      </c>
    </row>
    <row r="119" spans="1:33" x14ac:dyDescent="0.3">
      <c r="A119" t="str">
        <f>General2022[[#This Row],[organisation_name]]</f>
        <v>Stichting Robo Team Twente</v>
      </c>
      <c r="B119" t="str">
        <f>IF(General2022[[#This Row],[sector]]= "",VLOOKUP(Data2022[[#This Row],[organisation_name]],'Response Rate sheet'!A:D,3,FALSE),General2022[[#This Row],[sector]])</f>
        <v>Other</v>
      </c>
      <c r="C119" t="str">
        <f>General2022[[#This Row],[organisation_type]]</f>
        <v>foundation</v>
      </c>
      <c r="D119">
        <f>IF(ISBLANK(General2022[[#This Row],[number_of_members]]),"N/A",VLOOKUP(A119,General2022[[organisation_name]:[number_of_international_committee_board_members_not_eea]],6,FALSE))</f>
        <v>11</v>
      </c>
      <c r="E119">
        <f>IF(ISBLANK(General2022[[#This Row],[number_of_committee_board_members]]),"N/A",VLOOKUP(A119,General2022!B:M,10,FALSE))</f>
        <v>0</v>
      </c>
      <c r="F119">
        <f>IFERROR(Data2022[[#This Row],[Number of members]]-Data2022[[#This Row],[Number of active members]], "N/A")</f>
        <v>11</v>
      </c>
      <c r="G119">
        <f>IFERROR(Data2022[[#This Row],[Number of active members]]/Data2022[[#This Row],[Number of members]], "N/A")</f>
        <v>0</v>
      </c>
      <c r="H119">
        <f>IFERROR(1-Data2022[[#This Row],[Percentage active members]],"N/A")</f>
        <v>1</v>
      </c>
      <c r="I11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19">
        <f>IF(ISBLANK(General2022[[#This Row],[number_of_international_members_not_eea]]),"N/A",VLOOKUP(A119,General2022[[organisation_name]:[number_of_international_committee_board_members_not_eea]],9,FALSE))</f>
        <v>0</v>
      </c>
      <c r="K119">
        <f>IF(ISBLANK(General2022[[#This Row],[number_of_international_members_eea]]),"N/A",VLOOKUP(A119,General2022[[organisation_name]:[number_of_international_committee_board_members_not_eea]],8,FALSE))</f>
        <v>2</v>
      </c>
      <c r="L119">
        <f>IFERROR(IF(Data2022[[#This Row],[Number of members]]-Data2022[[#This Row],[Non-EEA Total]]-Data2022[[#This Row],[EEA total]]&lt;1,"N/A", Data2022[[#This Row],[Number of members]]-Data2022[[#This Row],[Non-EEA Total]]-Data2022[[#This Row],[EEA total]]),"N/A")</f>
        <v>9</v>
      </c>
      <c r="M119">
        <f>VLOOKUP(A119,General2022[[organisation_name]:[number_of_international_committee_board_members_not_eea]],12,FALSE)</f>
        <v>0</v>
      </c>
      <c r="N119">
        <f>VLOOKUP(A119,General2022[[organisation_name]:[number_of_international_committee_board_members_not_eea]],11,FALSE)</f>
        <v>0</v>
      </c>
      <c r="O119" t="str">
        <f>IFERROR(IF(Data2022[[#This Row],[Number of active members]]-Data2022[[#This Row],[Non-EEA Active ]]-Data2022[[#This Row],[EEA Active]]&lt;1,"N/A", Data2022[[#This Row],[Number of active members]]-Data2022[[#This Row],[Non-EEA Active ]]-Data2022[[#This Row],[EEA Active]]),"N/A")</f>
        <v>N/A</v>
      </c>
      <c r="P119" t="str">
        <f>IFERROR(Data2022[[#This Row],[Non-EEA Active ]]/Data2022[[#This Row],[Number of active members]],"N/A")</f>
        <v>N/A</v>
      </c>
      <c r="Q119">
        <f>IFERROR(Data2022[[#This Row],[EEA Active]]/Data2022[[#This Row],[EEA total]], "N/A")</f>
        <v>0</v>
      </c>
      <c r="R119" t="str">
        <f>IFERROR(Data2022[[#This Row],[Dutch Active]]/Data2022[[#This Row],[Dutch total]],"N/A")</f>
        <v>N/A</v>
      </c>
      <c r="S119" t="str">
        <f>IFERROR(IF(Data2022[[#This Row],[Number of members]]=Data2022[[#This Row],[Non-EEA Total]]+Data2022[[#This Row],[EEA total]]+Data2022[[#This Row],[Dutch total]],"T","F"),"F")</f>
        <v>T</v>
      </c>
      <c r="T119" t="str">
        <f>IFERROR(IF(Data2022[[#This Row],[Number of active members]]=Data2022[[#This Row],[Non-EEA Active ]]+Data2022[[#This Row],[EEA Active]]+Data2022[[#This Row],[Dutch Active]],"T","F"),"F")</f>
        <v>F</v>
      </c>
      <c r="U119" t="str">
        <f>IFERROR(IF(Data2022[[#This Row],[Number of members]]-Data2022[[#This Row],[Non-EEA Active ]]-Data2022[[#This Row],[EEA Active]]-Data2022[[#This Row],[Dutch Active]]=Data2022[[#This Row],[Number of  inactive members]],"T","F"),"F")</f>
        <v>F</v>
      </c>
      <c r="V119" t="str">
        <f>IF(Data2022[[#This Row],[EEA Active]]&lt;=Data2022[[#This Row],[EEA total]],"T","F")</f>
        <v>T</v>
      </c>
      <c r="W119" t="str">
        <f>IF(Data2022[[#This Row],[Dutch Active]]&lt;=Data2022[[#This Row],[Dutch total]],"T","F")</f>
        <v>F</v>
      </c>
      <c r="X119" t="str">
        <f>IF(Data2022[[#This Row],[Non-EEA Active ]]&lt;=Data2022[[#This Row],[Non-EEA Total]],"T","F")</f>
        <v>T</v>
      </c>
      <c r="Y11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19">
        <f>IFERROR(VLOOKUP(Data2022[[#This Row],[organisation_name]],'Division Study Year Committees'!$A$1:$L$108,2,FALSE),"N/A")</f>
        <v>0</v>
      </c>
      <c r="AA119">
        <f>IFERROR(VLOOKUP(Data2022[[#This Row],[organisation_name]],'Division Study Year Committees'!$A$1:$L$108,3,FALSE),"N/A")</f>
        <v>0</v>
      </c>
      <c r="AB119">
        <f>IFERROR(VLOOKUP(Data2022[[#This Row],[organisation_name]],'Division Study Year Committees'!$A$1:$L$108,4,FALSE),"N/A")</f>
        <v>0</v>
      </c>
      <c r="AC119">
        <f>IFERROR(VLOOKUP(Data2022[[#This Row],[organisation_name]],'Division Study Year Committees'!$A$1:$L$108,5,FALSE), "N/A")</f>
        <v>0</v>
      </c>
      <c r="AD119">
        <f>IFERROR(VLOOKUP(Data2022[[#This Row],[organisation_name]],'Division Study Year Committees'!$A$1:$L$108,6,FALSE), "N/A")</f>
        <v>0</v>
      </c>
      <c r="AE119">
        <f>SUM(Data2022[[#This Row],[Number of first year comittee members]:[Number of 4+ year comittee members]])</f>
        <v>0</v>
      </c>
      <c r="AF119">
        <f>COUNTIF('Committee2022'!D:D,Data2022[[#This Row],[organisation_name]])</f>
        <v>1</v>
      </c>
      <c r="AG119">
        <v>2022</v>
      </c>
    </row>
    <row r="120" spans="1:33" x14ac:dyDescent="0.3">
      <c r="A120" t="str">
        <f>General2022[[#This Row],[organisation_name]]</f>
        <v>Stichting Electric Superbike Twente</v>
      </c>
      <c r="B120" t="str">
        <f>IF(General2022[[#This Row],[sector]]= "",VLOOKUP(Data2022[[#This Row],[organisation_name]],'Response Rate sheet'!A:D,3,FALSE),General2022[[#This Row],[sector]])</f>
        <v>other</v>
      </c>
      <c r="C120" t="str">
        <f>General2022[[#This Row],[organisation_type]]</f>
        <v>foundation</v>
      </c>
      <c r="D120" t="str">
        <f>IF(ISBLANK(General2022[[#This Row],[number_of_members]]),"N/A",VLOOKUP(A120,General2022[[organisation_name]:[number_of_international_committee_board_members_not_eea]],6,FALSE))</f>
        <v>N/A</v>
      </c>
      <c r="E120" t="str">
        <f>IF(ISBLANK(General2022[[#This Row],[number_of_committee_board_members]]),"N/A",VLOOKUP(A120,General2022!B:M,10,FALSE))</f>
        <v>N/A</v>
      </c>
      <c r="F120" t="str">
        <f>IFERROR(Data2022[[#This Row],[Number of members]]-Data2022[[#This Row],[Number of active members]], "N/A")</f>
        <v>N/A</v>
      </c>
      <c r="G120" t="str">
        <f>IFERROR(Data2022[[#This Row],[Number of active members]]/Data2022[[#This Row],[Number of members]], "N/A")</f>
        <v>N/A</v>
      </c>
      <c r="H120" t="str">
        <f>IFERROR(1-Data2022[[#This Row],[Percentage active members]],"N/A")</f>
        <v>N/A</v>
      </c>
      <c r="I120" t="str">
        <f>IF(Data2022[[#This Row],[Number of members]]=0,"N/A",IF(Data2022[[#This Row],[Number of members]]&lt;50," A. 1 - 50 ",IF(Data2022[[#This Row],[Number of members]]&lt;100, "B. 50 - 100", IF(Data2022[[#This Row],[Number of members]]&lt;400, "C. 100 - 400", IF(Data2022[[#This Row],[Number of members]]&lt;1000,"D. 400 - 1000", "E. 1000 +")))))</f>
        <v>E. 1000 +</v>
      </c>
      <c r="J120" t="str">
        <f>IF(ISBLANK(General2022[[#This Row],[number_of_international_members_not_eea]]),"N/A",VLOOKUP(A120,General2022[[organisation_name]:[number_of_international_committee_board_members_not_eea]],9,FALSE))</f>
        <v>N/A</v>
      </c>
      <c r="K120" t="str">
        <f>IF(ISBLANK(General2022[[#This Row],[number_of_international_members_eea]]),"N/A",VLOOKUP(A120,General2022[[organisation_name]:[number_of_international_committee_board_members_not_eea]],8,FALSE))</f>
        <v>N/A</v>
      </c>
      <c r="L120" t="str">
        <f>IFERROR(IF(Data2022[[#This Row],[Number of members]]-Data2022[[#This Row],[Non-EEA Total]]-Data2022[[#This Row],[EEA total]]&lt;1,"N/A", Data2022[[#This Row],[Number of members]]-Data2022[[#This Row],[Non-EEA Total]]-Data2022[[#This Row],[EEA total]]),"N/A")</f>
        <v>N/A</v>
      </c>
      <c r="M120">
        <f>VLOOKUP(A120,General2022[[organisation_name]:[number_of_international_committee_board_members_not_eea]],12,FALSE)</f>
        <v>0</v>
      </c>
      <c r="N120">
        <f>VLOOKUP(A120,General2022[[organisation_name]:[number_of_international_committee_board_members_not_eea]],11,FALSE)</f>
        <v>0</v>
      </c>
      <c r="O120" t="str">
        <f>IFERROR(IF(Data2022[[#This Row],[Number of active members]]-Data2022[[#This Row],[Non-EEA Active ]]-Data2022[[#This Row],[EEA Active]]&lt;1,"N/A", Data2022[[#This Row],[Number of active members]]-Data2022[[#This Row],[Non-EEA Active ]]-Data2022[[#This Row],[EEA Active]]),"N/A")</f>
        <v>N/A</v>
      </c>
      <c r="P120" t="str">
        <f>IFERROR(Data2022[[#This Row],[Non-EEA Active ]]/Data2022[[#This Row],[Number of active members]],"N/A")</f>
        <v>N/A</v>
      </c>
      <c r="Q120" t="str">
        <f>IFERROR(Data2022[[#This Row],[EEA Active]]/Data2022[[#This Row],[EEA total]], "N/A")</f>
        <v>N/A</v>
      </c>
      <c r="R120" t="str">
        <f>IFERROR(Data2022[[#This Row],[Dutch Active]]/Data2022[[#This Row],[Dutch total]],"N/A")</f>
        <v>N/A</v>
      </c>
      <c r="S120" t="str">
        <f>IFERROR(IF(Data2022[[#This Row],[Number of members]]=Data2022[[#This Row],[Non-EEA Total]]+Data2022[[#This Row],[EEA total]]+Data2022[[#This Row],[Dutch total]],"T","F"),"F")</f>
        <v>F</v>
      </c>
      <c r="T120" t="str">
        <f>IFERROR(IF(Data2022[[#This Row],[Number of active members]]=Data2022[[#This Row],[Non-EEA Active ]]+Data2022[[#This Row],[EEA Active]]+Data2022[[#This Row],[Dutch Active]],"T","F"),"F")</f>
        <v>F</v>
      </c>
      <c r="U120" t="str">
        <f>IFERROR(IF(Data2022[[#This Row],[Number of members]]-Data2022[[#This Row],[Non-EEA Active ]]-Data2022[[#This Row],[EEA Active]]-Data2022[[#This Row],[Dutch Active]]=Data2022[[#This Row],[Number of  inactive members]],"T","F"),"F")</f>
        <v>F</v>
      </c>
      <c r="V120" t="str">
        <f>IF(Data2022[[#This Row],[EEA Active]]&lt;=Data2022[[#This Row],[EEA total]],"T","F")</f>
        <v>T</v>
      </c>
      <c r="W120" t="str">
        <f>IF(Data2022[[#This Row],[Dutch Active]]&lt;=Data2022[[#This Row],[Dutch total]],"T","F")</f>
        <v>T</v>
      </c>
      <c r="X120" t="str">
        <f>IF(Data2022[[#This Row],[Non-EEA Active ]]&lt;=Data2022[[#This Row],[Non-EEA Total]],"T","F")</f>
        <v>T</v>
      </c>
      <c r="Y12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0" t="str">
        <f>IFERROR(VLOOKUP(Data2022[[#This Row],[organisation_name]],'Division Study Year Committees'!$A$1:$L$108,2,FALSE),"N/A")</f>
        <v>N/A</v>
      </c>
      <c r="AA120" t="str">
        <f>IFERROR(VLOOKUP(Data2022[[#This Row],[organisation_name]],'Division Study Year Committees'!$A$1:$L$108,3,FALSE),"N/A")</f>
        <v>N/A</v>
      </c>
      <c r="AB120" t="str">
        <f>IFERROR(VLOOKUP(Data2022[[#This Row],[organisation_name]],'Division Study Year Committees'!$A$1:$L$108,4,FALSE),"N/A")</f>
        <v>N/A</v>
      </c>
      <c r="AC120" t="str">
        <f>IFERROR(VLOOKUP(Data2022[[#This Row],[organisation_name]],'Division Study Year Committees'!$A$1:$L$108,5,FALSE), "N/A")</f>
        <v>N/A</v>
      </c>
      <c r="AD120" t="str">
        <f>IFERROR(VLOOKUP(Data2022[[#This Row],[organisation_name]],'Division Study Year Committees'!$A$1:$L$108,6,FALSE), "N/A")</f>
        <v>N/A</v>
      </c>
      <c r="AE120">
        <f>SUM(Data2022[[#This Row],[Number of first year comittee members]:[Number of 4+ year comittee members]])</f>
        <v>0</v>
      </c>
      <c r="AF120">
        <f>COUNTIF('Committee2022'!D:D,Data2022[[#This Row],[organisation_name]])</f>
        <v>0</v>
      </c>
      <c r="AG120">
        <v>2022</v>
      </c>
    </row>
    <row r="121" spans="1:33" x14ac:dyDescent="0.3">
      <c r="A121" t="str">
        <f>General2022[[#This Row],[organisation_name]]</f>
        <v>De sevende camer</v>
      </c>
      <c r="B121" t="str">
        <f>IF(General2022[[#This Row],[sector]]= "",VLOOKUP(Data2022[[#This Row],[organisation_name]],'Response Rate sheet'!A:D,3,FALSE),General2022[[#This Row],[sector]])</f>
        <v>Sports</v>
      </c>
      <c r="C121" t="str">
        <f>General2022[[#This Row],[organisation_type]]</f>
        <v>foundation</v>
      </c>
      <c r="D121">
        <f>IF(ISBLANK(General2022[[#This Row],[number_of_members]]),"N/A",VLOOKUP(A121,General2022[[organisation_name]:[number_of_international_committee_board_members_not_eea]],6,FALSE))</f>
        <v>0</v>
      </c>
      <c r="E121">
        <f>IF(ISBLANK(General2022[[#This Row],[number_of_committee_board_members]]),"N/A",VLOOKUP(A121,General2022!B:M,10,FALSE))</f>
        <v>0</v>
      </c>
      <c r="F121">
        <f>IFERROR(Data2022[[#This Row],[Number of members]]-Data2022[[#This Row],[Number of active members]], "N/A")</f>
        <v>0</v>
      </c>
      <c r="G121" t="str">
        <f>IFERROR(Data2022[[#This Row],[Number of active members]]/Data2022[[#This Row],[Number of members]], "N/A")</f>
        <v>N/A</v>
      </c>
      <c r="H121" t="str">
        <f>IFERROR(1-Data2022[[#This Row],[Percentage active members]],"N/A")</f>
        <v>N/A</v>
      </c>
      <c r="I121" t="str">
        <f>IF(Data2022[[#This Row],[Number of members]]=0,"N/A",IF(Data2022[[#This Row],[Number of members]]&lt;50," A. 1 - 50 ",IF(Data2022[[#This Row],[Number of members]]&lt;100, "B. 50 - 100", IF(Data2022[[#This Row],[Number of members]]&lt;400, "C. 100 - 400", IF(Data2022[[#This Row],[Number of members]]&lt;1000,"D. 400 - 1000", "E. 1000 +")))))</f>
        <v>N/A</v>
      </c>
      <c r="J121">
        <f>IF(ISBLANK(General2022[[#This Row],[number_of_international_members_not_eea]]),"N/A",VLOOKUP(A121,General2022[[organisation_name]:[number_of_international_committee_board_members_not_eea]],9,FALSE))</f>
        <v>0</v>
      </c>
      <c r="K121">
        <f>IF(ISBLANK(General2022[[#This Row],[number_of_international_members_eea]]),"N/A",VLOOKUP(A121,General2022[[organisation_name]:[number_of_international_committee_board_members_not_eea]],8,FALSE))</f>
        <v>0</v>
      </c>
      <c r="L121" t="str">
        <f>IFERROR(IF(Data2022[[#This Row],[Number of members]]-Data2022[[#This Row],[Non-EEA Total]]-Data2022[[#This Row],[EEA total]]&lt;1,"N/A", Data2022[[#This Row],[Number of members]]-Data2022[[#This Row],[Non-EEA Total]]-Data2022[[#This Row],[EEA total]]),"N/A")</f>
        <v>N/A</v>
      </c>
      <c r="M121">
        <f>VLOOKUP(A121,General2022[[organisation_name]:[number_of_international_committee_board_members_not_eea]],12,FALSE)</f>
        <v>0</v>
      </c>
      <c r="N121">
        <f>VLOOKUP(A121,General2022[[organisation_name]:[number_of_international_committee_board_members_not_eea]],11,FALSE)</f>
        <v>0</v>
      </c>
      <c r="O121" t="str">
        <f>IFERROR(IF(Data2022[[#This Row],[Number of active members]]-Data2022[[#This Row],[Non-EEA Active ]]-Data2022[[#This Row],[EEA Active]]&lt;1,"N/A", Data2022[[#This Row],[Number of active members]]-Data2022[[#This Row],[Non-EEA Active ]]-Data2022[[#This Row],[EEA Active]]),"N/A")</f>
        <v>N/A</v>
      </c>
      <c r="P121" t="str">
        <f>IFERROR(Data2022[[#This Row],[Non-EEA Active ]]/Data2022[[#This Row],[Number of active members]],"N/A")</f>
        <v>N/A</v>
      </c>
      <c r="Q121" t="str">
        <f>IFERROR(Data2022[[#This Row],[EEA Active]]/Data2022[[#This Row],[EEA total]], "N/A")</f>
        <v>N/A</v>
      </c>
      <c r="R121" t="str">
        <f>IFERROR(Data2022[[#This Row],[Dutch Active]]/Data2022[[#This Row],[Dutch total]],"N/A")</f>
        <v>N/A</v>
      </c>
      <c r="S121" t="str">
        <f>IFERROR(IF(Data2022[[#This Row],[Number of members]]=Data2022[[#This Row],[Non-EEA Total]]+Data2022[[#This Row],[EEA total]]+Data2022[[#This Row],[Dutch total]],"T","F"),"F")</f>
        <v>F</v>
      </c>
      <c r="T121" t="str">
        <f>IFERROR(IF(Data2022[[#This Row],[Number of active members]]=Data2022[[#This Row],[Non-EEA Active ]]+Data2022[[#This Row],[EEA Active]]+Data2022[[#This Row],[Dutch Active]],"T","F"),"F")</f>
        <v>F</v>
      </c>
      <c r="U121" t="str">
        <f>IFERROR(IF(Data2022[[#This Row],[Number of members]]-Data2022[[#This Row],[Non-EEA Active ]]-Data2022[[#This Row],[EEA Active]]-Data2022[[#This Row],[Dutch Active]]=Data2022[[#This Row],[Number of  inactive members]],"T","F"),"F")</f>
        <v>F</v>
      </c>
      <c r="V121" t="str">
        <f>IF(Data2022[[#This Row],[EEA Active]]&lt;=Data2022[[#This Row],[EEA total]],"T","F")</f>
        <v>T</v>
      </c>
      <c r="W121" t="str">
        <f>IF(Data2022[[#This Row],[Dutch Active]]&lt;=Data2022[[#This Row],[Dutch total]],"T","F")</f>
        <v>T</v>
      </c>
      <c r="X121" t="str">
        <f>IF(Data2022[[#This Row],[Non-EEA Active ]]&lt;=Data2022[[#This Row],[Non-EEA Total]],"T","F")</f>
        <v>T</v>
      </c>
      <c r="Y12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1" t="str">
        <f>IFERROR(VLOOKUP(Data2022[[#This Row],[organisation_name]],'Division Study Year Committees'!$A$1:$L$108,2,FALSE),"N/A")</f>
        <v>N/A</v>
      </c>
      <c r="AA121" t="str">
        <f>IFERROR(VLOOKUP(Data2022[[#This Row],[organisation_name]],'Division Study Year Committees'!$A$1:$L$108,3,FALSE),"N/A")</f>
        <v>N/A</v>
      </c>
      <c r="AB121" t="str">
        <f>IFERROR(VLOOKUP(Data2022[[#This Row],[organisation_name]],'Division Study Year Committees'!$A$1:$L$108,4,FALSE),"N/A")</f>
        <v>N/A</v>
      </c>
      <c r="AC121" t="str">
        <f>IFERROR(VLOOKUP(Data2022[[#This Row],[organisation_name]],'Division Study Year Committees'!$A$1:$L$108,5,FALSE), "N/A")</f>
        <v>N/A</v>
      </c>
      <c r="AD121" t="str">
        <f>IFERROR(VLOOKUP(Data2022[[#This Row],[organisation_name]],'Division Study Year Committees'!$A$1:$L$108,6,FALSE), "N/A")</f>
        <v>N/A</v>
      </c>
      <c r="AE121">
        <f>SUM(Data2022[[#This Row],[Number of first year comittee members]:[Number of 4+ year comittee members]])</f>
        <v>0</v>
      </c>
      <c r="AF121">
        <f>COUNTIF('Committee2022'!D:D,Data2022[[#This Row],[organisation_name]])</f>
        <v>0</v>
      </c>
      <c r="AG121">
        <v>2022</v>
      </c>
    </row>
    <row r="122" spans="1:33" x14ac:dyDescent="0.3">
      <c r="A122" t="str">
        <f>General2022[[#This Row],[organisation_name]]</f>
        <v>The negotiation project</v>
      </c>
      <c r="B122" t="str">
        <f>IF(General2022[[#This Row],[sector]]= "",VLOOKUP(Data2022[[#This Row],[organisation_name]],'Response Rate sheet'!A:D,3,FALSE),General2022[[#This Row],[sector]])</f>
        <v>Social</v>
      </c>
      <c r="C122" t="str">
        <f>General2022[[#This Row],[organisation_type]]</f>
        <v>foundation</v>
      </c>
      <c r="D122">
        <f>IF(ISBLANK(General2022[[#This Row],[number_of_members]]),"N/A",VLOOKUP(A122,General2022[[organisation_name]:[number_of_international_committee_board_members_not_eea]],6,FALSE))</f>
        <v>25</v>
      </c>
      <c r="E122">
        <f>IF(ISBLANK(General2022[[#This Row],[number_of_committee_board_members]]),"N/A",VLOOKUP(A122,General2022!B:M,10,FALSE))</f>
        <v>0</v>
      </c>
      <c r="F122">
        <f>IFERROR(Data2022[[#This Row],[Number of members]]-Data2022[[#This Row],[Number of active members]], "N/A")</f>
        <v>25</v>
      </c>
      <c r="G122">
        <f>IFERROR(Data2022[[#This Row],[Number of active members]]/Data2022[[#This Row],[Number of members]], "N/A")</f>
        <v>0</v>
      </c>
      <c r="H122">
        <f>IFERROR(1-Data2022[[#This Row],[Percentage active members]],"N/A")</f>
        <v>1</v>
      </c>
      <c r="I122"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22">
        <f>IF(ISBLANK(General2022[[#This Row],[number_of_international_members_not_eea]]),"N/A",VLOOKUP(A122,General2022[[organisation_name]:[number_of_international_committee_board_members_not_eea]],9,FALSE))</f>
        <v>0</v>
      </c>
      <c r="K122">
        <f>IF(ISBLANK(General2022[[#This Row],[number_of_international_members_eea]]),"N/A",VLOOKUP(A122,General2022[[organisation_name]:[number_of_international_committee_board_members_not_eea]],8,FALSE))</f>
        <v>6</v>
      </c>
      <c r="L122">
        <f>IFERROR(IF(Data2022[[#This Row],[Number of members]]-Data2022[[#This Row],[Non-EEA Total]]-Data2022[[#This Row],[EEA total]]&lt;1,"N/A", Data2022[[#This Row],[Number of members]]-Data2022[[#This Row],[Non-EEA Total]]-Data2022[[#This Row],[EEA total]]),"N/A")</f>
        <v>19</v>
      </c>
      <c r="M122">
        <f>VLOOKUP(A122,General2022[[organisation_name]:[number_of_international_committee_board_members_not_eea]],12,FALSE)</f>
        <v>0</v>
      </c>
      <c r="N122">
        <f>VLOOKUP(A122,General2022[[organisation_name]:[number_of_international_committee_board_members_not_eea]],11,FALSE)</f>
        <v>0</v>
      </c>
      <c r="O122" t="str">
        <f>IFERROR(IF(Data2022[[#This Row],[Number of active members]]-Data2022[[#This Row],[Non-EEA Active ]]-Data2022[[#This Row],[EEA Active]]&lt;1,"N/A", Data2022[[#This Row],[Number of active members]]-Data2022[[#This Row],[Non-EEA Active ]]-Data2022[[#This Row],[EEA Active]]),"N/A")</f>
        <v>N/A</v>
      </c>
      <c r="P122" t="str">
        <f>IFERROR(Data2022[[#This Row],[Non-EEA Active ]]/Data2022[[#This Row],[Number of active members]],"N/A")</f>
        <v>N/A</v>
      </c>
      <c r="Q122">
        <f>IFERROR(Data2022[[#This Row],[EEA Active]]/Data2022[[#This Row],[EEA total]], "N/A")</f>
        <v>0</v>
      </c>
      <c r="R122" t="str">
        <f>IFERROR(Data2022[[#This Row],[Dutch Active]]/Data2022[[#This Row],[Dutch total]],"N/A")</f>
        <v>N/A</v>
      </c>
      <c r="S122" t="str">
        <f>IFERROR(IF(Data2022[[#This Row],[Number of members]]=Data2022[[#This Row],[Non-EEA Total]]+Data2022[[#This Row],[EEA total]]+Data2022[[#This Row],[Dutch total]],"T","F"),"F")</f>
        <v>T</v>
      </c>
      <c r="T122" t="str">
        <f>IFERROR(IF(Data2022[[#This Row],[Number of active members]]=Data2022[[#This Row],[Non-EEA Active ]]+Data2022[[#This Row],[EEA Active]]+Data2022[[#This Row],[Dutch Active]],"T","F"),"F")</f>
        <v>F</v>
      </c>
      <c r="U122" t="str">
        <f>IFERROR(IF(Data2022[[#This Row],[Number of members]]-Data2022[[#This Row],[Non-EEA Active ]]-Data2022[[#This Row],[EEA Active]]-Data2022[[#This Row],[Dutch Active]]=Data2022[[#This Row],[Number of  inactive members]],"T","F"),"F")</f>
        <v>F</v>
      </c>
      <c r="V122" t="str">
        <f>IF(Data2022[[#This Row],[EEA Active]]&lt;=Data2022[[#This Row],[EEA total]],"T","F")</f>
        <v>T</v>
      </c>
      <c r="W122" t="str">
        <f>IF(Data2022[[#This Row],[Dutch Active]]&lt;=Data2022[[#This Row],[Dutch total]],"T","F")</f>
        <v>F</v>
      </c>
      <c r="X122" t="str">
        <f>IF(Data2022[[#This Row],[Non-EEA Active ]]&lt;=Data2022[[#This Row],[Non-EEA Total]],"T","F")</f>
        <v>T</v>
      </c>
      <c r="Y12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2">
        <f>IFERROR(VLOOKUP(Data2022[[#This Row],[organisation_name]],'Division Study Year Committees'!$A$1:$L$108,2,FALSE),"N/A")</f>
        <v>0</v>
      </c>
      <c r="AA122">
        <f>IFERROR(VLOOKUP(Data2022[[#This Row],[organisation_name]],'Division Study Year Committees'!$A$1:$L$108,3,FALSE),"N/A")</f>
        <v>3</v>
      </c>
      <c r="AB122">
        <f>IFERROR(VLOOKUP(Data2022[[#This Row],[organisation_name]],'Division Study Year Committees'!$A$1:$L$108,4,FALSE),"N/A")</f>
        <v>2</v>
      </c>
      <c r="AC122">
        <f>IFERROR(VLOOKUP(Data2022[[#This Row],[organisation_name]],'Division Study Year Committees'!$A$1:$L$108,5,FALSE), "N/A")</f>
        <v>0</v>
      </c>
      <c r="AD122">
        <f>IFERROR(VLOOKUP(Data2022[[#This Row],[organisation_name]],'Division Study Year Committees'!$A$1:$L$108,6,FALSE), "N/A")</f>
        <v>0</v>
      </c>
      <c r="AE122">
        <f>SUM(Data2022[[#This Row],[Number of first year comittee members]:[Number of 4+ year comittee members]])</f>
        <v>5</v>
      </c>
      <c r="AF122">
        <f>COUNTIF('Committee2022'!D:D,Data2022[[#This Row],[organisation_name]])</f>
        <v>2</v>
      </c>
      <c r="AG122">
        <v>2022</v>
      </c>
    </row>
    <row r="123" spans="1:33" x14ac:dyDescent="0.3">
      <c r="A123" t="str">
        <f>General2022[[#This Row],[organisation_name]]</f>
        <v>Drone Team Twente</v>
      </c>
      <c r="B123" t="str">
        <f>IF(General2022[[#This Row],[sector]]= "",VLOOKUP(Data2022[[#This Row],[organisation_name]],'Response Rate sheet'!A:D,3,FALSE),General2022[[#This Row],[sector]])</f>
        <v>Other</v>
      </c>
      <c r="C123" t="str">
        <f>General2022[[#This Row],[organisation_type]]</f>
        <v>foundation</v>
      </c>
      <c r="D123">
        <f>IF(ISBLANK(General2022[[#This Row],[number_of_members]]),"N/A",VLOOKUP(A123,General2022[[organisation_name]:[number_of_international_committee_board_members_not_eea]],6,FALSE))</f>
        <v>26</v>
      </c>
      <c r="E123">
        <f>IF(ISBLANK(General2022[[#This Row],[number_of_committee_board_members]]),"N/A",VLOOKUP(A123,General2022!B:M,10,FALSE))</f>
        <v>0</v>
      </c>
      <c r="F123">
        <f>IFERROR(Data2022[[#This Row],[Number of members]]-Data2022[[#This Row],[Number of active members]], "N/A")</f>
        <v>26</v>
      </c>
      <c r="G123">
        <f>IFERROR(Data2022[[#This Row],[Number of active members]]/Data2022[[#This Row],[Number of members]], "N/A")</f>
        <v>0</v>
      </c>
      <c r="H123">
        <f>IFERROR(1-Data2022[[#This Row],[Percentage active members]],"N/A")</f>
        <v>1</v>
      </c>
      <c r="I123"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23">
        <f>IF(ISBLANK(General2022[[#This Row],[number_of_international_members_not_eea]]),"N/A",VLOOKUP(A123,General2022[[organisation_name]:[number_of_international_committee_board_members_not_eea]],9,FALSE))</f>
        <v>0</v>
      </c>
      <c r="K123">
        <f>IF(ISBLANK(General2022[[#This Row],[number_of_international_members_eea]]),"N/A",VLOOKUP(A123,General2022[[organisation_name]:[number_of_international_committee_board_members_not_eea]],8,FALSE))</f>
        <v>8</v>
      </c>
      <c r="L123">
        <f>IFERROR(IF(Data2022[[#This Row],[Number of members]]-Data2022[[#This Row],[Non-EEA Total]]-Data2022[[#This Row],[EEA total]]&lt;1,"N/A", Data2022[[#This Row],[Number of members]]-Data2022[[#This Row],[Non-EEA Total]]-Data2022[[#This Row],[EEA total]]),"N/A")</f>
        <v>18</v>
      </c>
      <c r="M123">
        <f>VLOOKUP(A123,General2022[[organisation_name]:[number_of_international_committee_board_members_not_eea]],12,FALSE)</f>
        <v>0</v>
      </c>
      <c r="N123">
        <f>VLOOKUP(A123,General2022[[organisation_name]:[number_of_international_committee_board_members_not_eea]],11,FALSE)</f>
        <v>0</v>
      </c>
      <c r="O123" t="str">
        <f>IFERROR(IF(Data2022[[#This Row],[Number of active members]]-Data2022[[#This Row],[Non-EEA Active ]]-Data2022[[#This Row],[EEA Active]]&lt;1,"N/A", Data2022[[#This Row],[Number of active members]]-Data2022[[#This Row],[Non-EEA Active ]]-Data2022[[#This Row],[EEA Active]]),"N/A")</f>
        <v>N/A</v>
      </c>
      <c r="P123" t="str">
        <f>IFERROR(Data2022[[#This Row],[Non-EEA Active ]]/Data2022[[#This Row],[Number of active members]],"N/A")</f>
        <v>N/A</v>
      </c>
      <c r="Q123">
        <f>IFERROR(Data2022[[#This Row],[EEA Active]]/Data2022[[#This Row],[EEA total]], "N/A")</f>
        <v>0</v>
      </c>
      <c r="R123" t="str">
        <f>IFERROR(Data2022[[#This Row],[Dutch Active]]/Data2022[[#This Row],[Dutch total]],"N/A")</f>
        <v>N/A</v>
      </c>
      <c r="S123" t="str">
        <f>IFERROR(IF(Data2022[[#This Row],[Number of members]]=Data2022[[#This Row],[Non-EEA Total]]+Data2022[[#This Row],[EEA total]]+Data2022[[#This Row],[Dutch total]],"T","F"),"F")</f>
        <v>T</v>
      </c>
      <c r="T123" t="str">
        <f>IFERROR(IF(Data2022[[#This Row],[Number of active members]]=Data2022[[#This Row],[Non-EEA Active ]]+Data2022[[#This Row],[EEA Active]]+Data2022[[#This Row],[Dutch Active]],"T","F"),"F")</f>
        <v>F</v>
      </c>
      <c r="U123" t="str">
        <f>IFERROR(IF(Data2022[[#This Row],[Number of members]]-Data2022[[#This Row],[Non-EEA Active ]]-Data2022[[#This Row],[EEA Active]]-Data2022[[#This Row],[Dutch Active]]=Data2022[[#This Row],[Number of  inactive members]],"T","F"),"F")</f>
        <v>F</v>
      </c>
      <c r="V123" t="str">
        <f>IF(Data2022[[#This Row],[EEA Active]]&lt;=Data2022[[#This Row],[EEA total]],"T","F")</f>
        <v>T</v>
      </c>
      <c r="W123" t="str">
        <f>IF(Data2022[[#This Row],[Dutch Active]]&lt;=Data2022[[#This Row],[Dutch total]],"T","F")</f>
        <v>F</v>
      </c>
      <c r="X123" t="str">
        <f>IF(Data2022[[#This Row],[Non-EEA Active ]]&lt;=Data2022[[#This Row],[Non-EEA Total]],"T","F")</f>
        <v>T</v>
      </c>
      <c r="Y12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3">
        <f>IFERROR(VLOOKUP(Data2022[[#This Row],[organisation_name]],'Division Study Year Committees'!$A$1:$L$108,2,FALSE),"N/A")</f>
        <v>2</v>
      </c>
      <c r="AA123">
        <f>IFERROR(VLOOKUP(Data2022[[#This Row],[organisation_name]],'Division Study Year Committees'!$A$1:$L$108,3,FALSE),"N/A")</f>
        <v>3</v>
      </c>
      <c r="AB123">
        <f>IFERROR(VLOOKUP(Data2022[[#This Row],[organisation_name]],'Division Study Year Committees'!$A$1:$L$108,4,FALSE),"N/A")</f>
        <v>3</v>
      </c>
      <c r="AC123">
        <f>IFERROR(VLOOKUP(Data2022[[#This Row],[organisation_name]],'Division Study Year Committees'!$A$1:$L$108,5,FALSE), "N/A")</f>
        <v>0</v>
      </c>
      <c r="AD123">
        <f>IFERROR(VLOOKUP(Data2022[[#This Row],[organisation_name]],'Division Study Year Committees'!$A$1:$L$108,6,FALSE), "N/A")</f>
        <v>2</v>
      </c>
      <c r="AE123">
        <f>SUM(Data2022[[#This Row],[Number of first year comittee members]:[Number of 4+ year comittee members]])</f>
        <v>10</v>
      </c>
      <c r="AF123">
        <f>COUNTIF('Committee2022'!D:D,Data2022[[#This Row],[organisation_name]])</f>
        <v>2</v>
      </c>
      <c r="AG123">
        <v>2022</v>
      </c>
    </row>
    <row r="124" spans="1:33" x14ac:dyDescent="0.3">
      <c r="A124" t="str">
        <f>General2022[[#This Row],[organisation_name]]</f>
        <v>Sustain</v>
      </c>
      <c r="B124" t="str">
        <f>IF(General2022[[#This Row],[sector]]= "",VLOOKUP(Data2022[[#This Row],[organisation_name]],'Response Rate sheet'!A:D,3,FALSE),General2022[[#This Row],[sector]])</f>
        <v>Other</v>
      </c>
      <c r="C124" t="str">
        <f>General2022[[#This Row],[organisation_type]]</f>
        <v>association</v>
      </c>
      <c r="D124" t="str">
        <f>IF(ISBLANK(General2022[[#This Row],[number_of_members]]),"N/A",VLOOKUP(A124,General2022[[organisation_name]:[number_of_international_committee_board_members_not_eea]],6,FALSE))</f>
        <v>N/A</v>
      </c>
      <c r="E124" t="str">
        <f>IF(ISBLANK(General2022[[#This Row],[number_of_committee_board_members]]),"N/A",VLOOKUP(A124,General2022!B:M,10,FALSE))</f>
        <v>N/A</v>
      </c>
      <c r="F124" t="str">
        <f>IFERROR(Data2022[[#This Row],[Number of members]]-Data2022[[#This Row],[Number of active members]], "N/A")</f>
        <v>N/A</v>
      </c>
      <c r="G124" t="str">
        <f>IFERROR(Data2022[[#This Row],[Number of active members]]/Data2022[[#This Row],[Number of members]], "N/A")</f>
        <v>N/A</v>
      </c>
      <c r="H124" t="str">
        <f>IFERROR(1-Data2022[[#This Row],[Percentage active members]],"N/A")</f>
        <v>N/A</v>
      </c>
      <c r="I124" t="str">
        <f>IF(Data2022[[#This Row],[Number of members]]=0,"N/A",IF(Data2022[[#This Row],[Number of members]]&lt;50," A. 1 - 50 ",IF(Data2022[[#This Row],[Number of members]]&lt;100, "B. 50 - 100", IF(Data2022[[#This Row],[Number of members]]&lt;400, "C. 100 - 400", IF(Data2022[[#This Row],[Number of members]]&lt;1000,"D. 400 - 1000", "E. 1000 +")))))</f>
        <v>E. 1000 +</v>
      </c>
      <c r="J124" t="str">
        <f>IF(ISBLANK(General2022[[#This Row],[number_of_international_members_not_eea]]),"N/A",VLOOKUP(A124,General2022[[organisation_name]:[number_of_international_committee_board_members_not_eea]],9,FALSE))</f>
        <v>N/A</v>
      </c>
      <c r="K124" t="str">
        <f>IF(ISBLANK(General2022[[#This Row],[number_of_international_members_eea]]),"N/A",VLOOKUP(A124,General2022[[organisation_name]:[number_of_international_committee_board_members_not_eea]],8,FALSE))</f>
        <v>N/A</v>
      </c>
      <c r="L124" t="str">
        <f>IFERROR(IF(Data2022[[#This Row],[Number of members]]-Data2022[[#This Row],[Non-EEA Total]]-Data2022[[#This Row],[EEA total]]&lt;1,"N/A", Data2022[[#This Row],[Number of members]]-Data2022[[#This Row],[Non-EEA Total]]-Data2022[[#This Row],[EEA total]]),"N/A")</f>
        <v>N/A</v>
      </c>
      <c r="M124">
        <f>VLOOKUP(A124,General2022[[organisation_name]:[number_of_international_committee_board_members_not_eea]],12,FALSE)</f>
        <v>0</v>
      </c>
      <c r="N124">
        <f>VLOOKUP(A124,General2022[[organisation_name]:[number_of_international_committee_board_members_not_eea]],11,FALSE)</f>
        <v>0</v>
      </c>
      <c r="O124" t="str">
        <f>IFERROR(IF(Data2022[[#This Row],[Number of active members]]-Data2022[[#This Row],[Non-EEA Active ]]-Data2022[[#This Row],[EEA Active]]&lt;1,"N/A", Data2022[[#This Row],[Number of active members]]-Data2022[[#This Row],[Non-EEA Active ]]-Data2022[[#This Row],[EEA Active]]),"N/A")</f>
        <v>N/A</v>
      </c>
      <c r="P124" t="str">
        <f>IFERROR(Data2022[[#This Row],[Non-EEA Active ]]/Data2022[[#This Row],[Number of active members]],"N/A")</f>
        <v>N/A</v>
      </c>
      <c r="Q124" t="str">
        <f>IFERROR(Data2022[[#This Row],[EEA Active]]/Data2022[[#This Row],[EEA total]], "N/A")</f>
        <v>N/A</v>
      </c>
      <c r="R124" t="str">
        <f>IFERROR(Data2022[[#This Row],[Dutch Active]]/Data2022[[#This Row],[Dutch total]],"N/A")</f>
        <v>N/A</v>
      </c>
      <c r="S124" t="str">
        <f>IFERROR(IF(Data2022[[#This Row],[Number of members]]=Data2022[[#This Row],[Non-EEA Total]]+Data2022[[#This Row],[EEA total]]+Data2022[[#This Row],[Dutch total]],"T","F"),"F")</f>
        <v>F</v>
      </c>
      <c r="T124" t="str">
        <f>IFERROR(IF(Data2022[[#This Row],[Number of active members]]=Data2022[[#This Row],[Non-EEA Active ]]+Data2022[[#This Row],[EEA Active]]+Data2022[[#This Row],[Dutch Active]],"T","F"),"F")</f>
        <v>F</v>
      </c>
      <c r="U124" t="str">
        <f>IFERROR(IF(Data2022[[#This Row],[Number of members]]-Data2022[[#This Row],[Non-EEA Active ]]-Data2022[[#This Row],[EEA Active]]-Data2022[[#This Row],[Dutch Active]]=Data2022[[#This Row],[Number of  inactive members]],"T","F"),"F")</f>
        <v>F</v>
      </c>
      <c r="V124" t="str">
        <f>IF(Data2022[[#This Row],[EEA Active]]&lt;=Data2022[[#This Row],[EEA total]],"T","F")</f>
        <v>T</v>
      </c>
      <c r="W124" t="str">
        <f>IF(Data2022[[#This Row],[Dutch Active]]&lt;=Data2022[[#This Row],[Dutch total]],"T","F")</f>
        <v>T</v>
      </c>
      <c r="X124" t="str">
        <f>IF(Data2022[[#This Row],[Non-EEA Active ]]&lt;=Data2022[[#This Row],[Non-EEA Total]],"T","F")</f>
        <v>T</v>
      </c>
      <c r="Y124"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4" t="str">
        <f>IFERROR(VLOOKUP(Data2022[[#This Row],[organisation_name]],'Division Study Year Committees'!$A$1:$L$108,2,FALSE),"N/A")</f>
        <v>N/A</v>
      </c>
      <c r="AA124" t="str">
        <f>IFERROR(VLOOKUP(Data2022[[#This Row],[organisation_name]],'Division Study Year Committees'!$A$1:$L$108,3,FALSE),"N/A")</f>
        <v>N/A</v>
      </c>
      <c r="AB124" t="str">
        <f>IFERROR(VLOOKUP(Data2022[[#This Row],[organisation_name]],'Division Study Year Committees'!$A$1:$L$108,4,FALSE),"N/A")</f>
        <v>N/A</v>
      </c>
      <c r="AC124" t="str">
        <f>IFERROR(VLOOKUP(Data2022[[#This Row],[organisation_name]],'Division Study Year Committees'!$A$1:$L$108,5,FALSE), "N/A")</f>
        <v>N/A</v>
      </c>
      <c r="AD124" t="str">
        <f>IFERROR(VLOOKUP(Data2022[[#This Row],[organisation_name]],'Division Study Year Committees'!$A$1:$L$108,6,FALSE), "N/A")</f>
        <v>N/A</v>
      </c>
      <c r="AE124">
        <f>SUM(Data2022[[#This Row],[Number of first year comittee members]:[Number of 4+ year comittee members]])</f>
        <v>0</v>
      </c>
      <c r="AF124">
        <f>COUNTIF('Committee2022'!D:D,Data2022[[#This Row],[organisation_name]])</f>
        <v>0</v>
      </c>
      <c r="AG124">
        <v>2022</v>
      </c>
    </row>
    <row r="125" spans="1:33" x14ac:dyDescent="0.3">
      <c r="A125" t="str">
        <f>General2022[[#This Row],[organisation_name]]</f>
        <v>Space Society</v>
      </c>
      <c r="B125" t="str">
        <f>IF(General2022[[#This Row],[sector]]= "",VLOOKUP(Data2022[[#This Row],[organisation_name]],'Response Rate sheet'!A:D,3,FALSE),General2022[[#This Row],[sector]])</f>
        <v>Other</v>
      </c>
      <c r="C125" t="str">
        <f>General2022[[#This Row],[organisation_type]]</f>
        <v>association</v>
      </c>
      <c r="D125">
        <f>IF(ISBLANK(General2022[[#This Row],[number_of_members]]),"N/A",VLOOKUP(A125,General2022[[organisation_name]:[number_of_international_committee_board_members_not_eea]],6,FALSE))</f>
        <v>43</v>
      </c>
      <c r="E125">
        <f>IF(ISBLANK(General2022[[#This Row],[number_of_committee_board_members]]),"N/A",VLOOKUP(A125,General2022!B:M,10,FALSE))</f>
        <v>5</v>
      </c>
      <c r="F125">
        <f>IFERROR(Data2022[[#This Row],[Number of members]]-Data2022[[#This Row],[Number of active members]], "N/A")</f>
        <v>38</v>
      </c>
      <c r="G125">
        <f>IFERROR(Data2022[[#This Row],[Number of active members]]/Data2022[[#This Row],[Number of members]], "N/A")</f>
        <v>0.11627906976744186</v>
      </c>
      <c r="H125">
        <f>IFERROR(1-Data2022[[#This Row],[Percentage active members]],"N/A")</f>
        <v>0.88372093023255816</v>
      </c>
      <c r="I125"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25">
        <f>IF(ISBLANK(General2022[[#This Row],[number_of_international_members_not_eea]]),"N/A",VLOOKUP(A125,General2022[[organisation_name]:[number_of_international_committee_board_members_not_eea]],9,FALSE))</f>
        <v>16</v>
      </c>
      <c r="K125">
        <f>IF(ISBLANK(General2022[[#This Row],[number_of_international_members_eea]]),"N/A",VLOOKUP(A125,General2022[[organisation_name]:[number_of_international_committee_board_members_not_eea]],8,FALSE))</f>
        <v>15</v>
      </c>
      <c r="L125">
        <f>IFERROR(IF(Data2022[[#This Row],[Number of members]]-Data2022[[#This Row],[Non-EEA Total]]-Data2022[[#This Row],[EEA total]]&lt;1,"N/A", Data2022[[#This Row],[Number of members]]-Data2022[[#This Row],[Non-EEA Total]]-Data2022[[#This Row],[EEA total]]),"N/A")</f>
        <v>12</v>
      </c>
      <c r="M125">
        <f>VLOOKUP(A125,General2022[[organisation_name]:[number_of_international_committee_board_members_not_eea]],12,FALSE)</f>
        <v>6</v>
      </c>
      <c r="N125">
        <f>VLOOKUP(A125,General2022[[organisation_name]:[number_of_international_committee_board_members_not_eea]],11,FALSE)</f>
        <v>4</v>
      </c>
      <c r="O125" t="str">
        <f>IFERROR(IF(Data2022[[#This Row],[Number of active members]]-Data2022[[#This Row],[Non-EEA Active ]]-Data2022[[#This Row],[EEA Active]]&lt;1,"N/A", Data2022[[#This Row],[Number of active members]]-Data2022[[#This Row],[Non-EEA Active ]]-Data2022[[#This Row],[EEA Active]]),"N/A")</f>
        <v>N/A</v>
      </c>
      <c r="P125">
        <f>IFERROR(Data2022[[#This Row],[Non-EEA Active ]]/Data2022[[#This Row],[Number of active members]],"N/A")</f>
        <v>1.2</v>
      </c>
      <c r="Q125">
        <f>IFERROR(Data2022[[#This Row],[EEA Active]]/Data2022[[#This Row],[EEA total]], "N/A")</f>
        <v>0.26666666666666666</v>
      </c>
      <c r="R125" t="str">
        <f>IFERROR(Data2022[[#This Row],[Dutch Active]]/Data2022[[#This Row],[Dutch total]],"N/A")</f>
        <v>N/A</v>
      </c>
      <c r="S125" t="str">
        <f>IFERROR(IF(Data2022[[#This Row],[Number of members]]=Data2022[[#This Row],[Non-EEA Total]]+Data2022[[#This Row],[EEA total]]+Data2022[[#This Row],[Dutch total]],"T","F"),"F")</f>
        <v>T</v>
      </c>
      <c r="T125" t="str">
        <f>IFERROR(IF(Data2022[[#This Row],[Number of active members]]=Data2022[[#This Row],[Non-EEA Active ]]+Data2022[[#This Row],[EEA Active]]+Data2022[[#This Row],[Dutch Active]],"T","F"),"F")</f>
        <v>F</v>
      </c>
      <c r="U125" t="str">
        <f>IFERROR(IF(Data2022[[#This Row],[Number of members]]-Data2022[[#This Row],[Non-EEA Active ]]-Data2022[[#This Row],[EEA Active]]-Data2022[[#This Row],[Dutch Active]]=Data2022[[#This Row],[Number of  inactive members]],"T","F"),"F")</f>
        <v>F</v>
      </c>
      <c r="V125" t="str">
        <f>IF(Data2022[[#This Row],[EEA Active]]&lt;=Data2022[[#This Row],[EEA total]],"T","F")</f>
        <v>T</v>
      </c>
      <c r="W125" t="str">
        <f>IF(Data2022[[#This Row],[Dutch Active]]&lt;=Data2022[[#This Row],[Dutch total]],"T","F")</f>
        <v>F</v>
      </c>
      <c r="X125" t="str">
        <f>IF(Data2022[[#This Row],[Non-EEA Active ]]&lt;=Data2022[[#This Row],[Non-EEA Total]],"T","F")</f>
        <v>T</v>
      </c>
      <c r="Y12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5" t="str">
        <f>IFERROR(VLOOKUP(Data2022[[#This Row],[organisation_name]],'Division Study Year Committees'!$A$1:$L$108,2,FALSE),"N/A")</f>
        <v>N/A</v>
      </c>
      <c r="AA125" t="str">
        <f>IFERROR(VLOOKUP(Data2022[[#This Row],[organisation_name]],'Division Study Year Committees'!$A$1:$L$108,3,FALSE),"N/A")</f>
        <v>N/A</v>
      </c>
      <c r="AB125" t="str">
        <f>IFERROR(VLOOKUP(Data2022[[#This Row],[organisation_name]],'Division Study Year Committees'!$A$1:$L$108,4,FALSE),"N/A")</f>
        <v>N/A</v>
      </c>
      <c r="AC125" t="str">
        <f>IFERROR(VLOOKUP(Data2022[[#This Row],[organisation_name]],'Division Study Year Committees'!$A$1:$L$108,5,FALSE), "N/A")</f>
        <v>N/A</v>
      </c>
      <c r="AD125" t="str">
        <f>IFERROR(VLOOKUP(Data2022[[#This Row],[organisation_name]],'Division Study Year Committees'!$A$1:$L$108,6,FALSE), "N/A")</f>
        <v>N/A</v>
      </c>
      <c r="AE125">
        <f>SUM(Data2022[[#This Row],[Number of first year comittee members]:[Number of 4+ year comittee members]])</f>
        <v>0</v>
      </c>
      <c r="AF125">
        <f>COUNTIF('Committee2022'!D:D,Data2022[[#This Row],[organisation_name]])</f>
        <v>4</v>
      </c>
      <c r="AG125">
        <v>2022</v>
      </c>
    </row>
    <row r="126" spans="1:33" x14ac:dyDescent="0.3">
      <c r="A126" t="str">
        <f>General2022[[#This Row],[organisation_name]]</f>
        <v>Drienerlose Stichting Torenhoog</v>
      </c>
      <c r="B126" t="str">
        <f>IF(General2022[[#This Row],[sector]]= "",VLOOKUP(Data2022[[#This Row],[organisation_name]],'Response Rate sheet'!A:D,3,FALSE),General2022[[#This Row],[sector]])</f>
        <v>other</v>
      </c>
      <c r="C126" t="str">
        <f>General2022[[#This Row],[organisation_type]]</f>
        <v>foundation</v>
      </c>
      <c r="D126" t="str">
        <f>IF(ISBLANK(General2022[[#This Row],[number_of_members]]),"N/A",VLOOKUP(A126,General2022[[organisation_name]:[number_of_international_committee_board_members_not_eea]],6,FALSE))</f>
        <v>N/A</v>
      </c>
      <c r="E126" t="str">
        <f>IF(ISBLANK(General2022[[#This Row],[number_of_committee_board_members]]),"N/A",VLOOKUP(A126,General2022!B:M,10,FALSE))</f>
        <v>N/A</v>
      </c>
      <c r="F126" t="str">
        <f>IFERROR(Data2022[[#This Row],[Number of members]]-Data2022[[#This Row],[Number of active members]], "N/A")</f>
        <v>N/A</v>
      </c>
      <c r="G126" t="str">
        <f>IFERROR(Data2022[[#This Row],[Number of active members]]/Data2022[[#This Row],[Number of members]], "N/A")</f>
        <v>N/A</v>
      </c>
      <c r="H126" t="str">
        <f>IFERROR(1-Data2022[[#This Row],[Percentage active members]],"N/A")</f>
        <v>N/A</v>
      </c>
      <c r="I126" t="str">
        <f>IF(Data2022[[#This Row],[Number of members]]=0,"N/A",IF(Data2022[[#This Row],[Number of members]]&lt;50," A. 1 - 50 ",IF(Data2022[[#This Row],[Number of members]]&lt;100, "B. 50 - 100", IF(Data2022[[#This Row],[Number of members]]&lt;400, "C. 100 - 400", IF(Data2022[[#This Row],[Number of members]]&lt;1000,"D. 400 - 1000", "E. 1000 +")))))</f>
        <v>E. 1000 +</v>
      </c>
      <c r="J126" t="str">
        <f>IF(ISBLANK(General2022[[#This Row],[number_of_international_members_not_eea]]),"N/A",VLOOKUP(A126,General2022[[organisation_name]:[number_of_international_committee_board_members_not_eea]],9,FALSE))</f>
        <v>N/A</v>
      </c>
      <c r="K126" t="str">
        <f>IF(ISBLANK(General2022[[#This Row],[number_of_international_members_eea]]),"N/A",VLOOKUP(A126,General2022[[organisation_name]:[number_of_international_committee_board_members_not_eea]],8,FALSE))</f>
        <v>N/A</v>
      </c>
      <c r="L126" t="str">
        <f>IFERROR(IF(Data2022[[#This Row],[Number of members]]-Data2022[[#This Row],[Non-EEA Total]]-Data2022[[#This Row],[EEA total]]&lt;1,"N/A", Data2022[[#This Row],[Number of members]]-Data2022[[#This Row],[Non-EEA Total]]-Data2022[[#This Row],[EEA total]]),"N/A")</f>
        <v>N/A</v>
      </c>
      <c r="M126">
        <f>VLOOKUP(A126,General2022[[organisation_name]:[number_of_international_committee_board_members_not_eea]],12,FALSE)</f>
        <v>0</v>
      </c>
      <c r="N126">
        <f>VLOOKUP(A126,General2022[[organisation_name]:[number_of_international_committee_board_members_not_eea]],11,FALSE)</f>
        <v>0</v>
      </c>
      <c r="O126" t="str">
        <f>IFERROR(IF(Data2022[[#This Row],[Number of active members]]-Data2022[[#This Row],[Non-EEA Active ]]-Data2022[[#This Row],[EEA Active]]&lt;1,"N/A", Data2022[[#This Row],[Number of active members]]-Data2022[[#This Row],[Non-EEA Active ]]-Data2022[[#This Row],[EEA Active]]),"N/A")</f>
        <v>N/A</v>
      </c>
      <c r="P126" t="str">
        <f>IFERROR(Data2022[[#This Row],[Non-EEA Active ]]/Data2022[[#This Row],[Number of active members]],"N/A")</f>
        <v>N/A</v>
      </c>
      <c r="Q126" t="str">
        <f>IFERROR(Data2022[[#This Row],[EEA Active]]/Data2022[[#This Row],[EEA total]], "N/A")</f>
        <v>N/A</v>
      </c>
      <c r="R126" t="str">
        <f>IFERROR(Data2022[[#This Row],[Dutch Active]]/Data2022[[#This Row],[Dutch total]],"N/A")</f>
        <v>N/A</v>
      </c>
      <c r="S126" t="str">
        <f>IFERROR(IF(Data2022[[#This Row],[Number of members]]=Data2022[[#This Row],[Non-EEA Total]]+Data2022[[#This Row],[EEA total]]+Data2022[[#This Row],[Dutch total]],"T","F"),"F")</f>
        <v>F</v>
      </c>
      <c r="T126" t="str">
        <f>IFERROR(IF(Data2022[[#This Row],[Number of active members]]=Data2022[[#This Row],[Non-EEA Active ]]+Data2022[[#This Row],[EEA Active]]+Data2022[[#This Row],[Dutch Active]],"T","F"),"F")</f>
        <v>F</v>
      </c>
      <c r="U126" t="str">
        <f>IFERROR(IF(Data2022[[#This Row],[Number of members]]-Data2022[[#This Row],[Non-EEA Active ]]-Data2022[[#This Row],[EEA Active]]-Data2022[[#This Row],[Dutch Active]]=Data2022[[#This Row],[Number of  inactive members]],"T","F"),"F")</f>
        <v>F</v>
      </c>
      <c r="V126" t="str">
        <f>IF(Data2022[[#This Row],[EEA Active]]&lt;=Data2022[[#This Row],[EEA total]],"T","F")</f>
        <v>T</v>
      </c>
      <c r="W126" t="str">
        <f>IF(Data2022[[#This Row],[Dutch Active]]&lt;=Data2022[[#This Row],[Dutch total]],"T","F")</f>
        <v>T</v>
      </c>
      <c r="X126" t="str">
        <f>IF(Data2022[[#This Row],[Non-EEA Active ]]&lt;=Data2022[[#This Row],[Non-EEA Total]],"T","F")</f>
        <v>T</v>
      </c>
      <c r="Y12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6" t="str">
        <f>IFERROR(VLOOKUP(Data2022[[#This Row],[organisation_name]],'Division Study Year Committees'!$A$1:$L$108,2,FALSE),"N/A")</f>
        <v>N/A</v>
      </c>
      <c r="AA126" t="str">
        <f>IFERROR(VLOOKUP(Data2022[[#This Row],[organisation_name]],'Division Study Year Committees'!$A$1:$L$108,3,FALSE),"N/A")</f>
        <v>N/A</v>
      </c>
      <c r="AB126" t="str">
        <f>IFERROR(VLOOKUP(Data2022[[#This Row],[organisation_name]],'Division Study Year Committees'!$A$1:$L$108,4,FALSE),"N/A")</f>
        <v>N/A</v>
      </c>
      <c r="AC126" t="str">
        <f>IFERROR(VLOOKUP(Data2022[[#This Row],[organisation_name]],'Division Study Year Committees'!$A$1:$L$108,5,FALSE), "N/A")</f>
        <v>N/A</v>
      </c>
      <c r="AD126" t="str">
        <f>IFERROR(VLOOKUP(Data2022[[#This Row],[organisation_name]],'Division Study Year Committees'!$A$1:$L$108,6,FALSE), "N/A")</f>
        <v>N/A</v>
      </c>
      <c r="AE126">
        <f>SUM(Data2022[[#This Row],[Number of first year comittee members]:[Number of 4+ year comittee members]])</f>
        <v>0</v>
      </c>
      <c r="AF126">
        <f>COUNTIF('Committee2022'!D:D,Data2022[[#This Row],[organisation_name]])</f>
        <v>0</v>
      </c>
      <c r="AG126">
        <v>2022</v>
      </c>
    </row>
    <row r="127" spans="1:33" x14ac:dyDescent="0.3">
      <c r="A127" t="str">
        <f>General2022[[#This Row],[organisation_name]]</f>
        <v>Vereniging Overleg Studieverenigingen</v>
      </c>
      <c r="B127" t="str">
        <f>IF(General2022[[#This Row],[sector]]= "",VLOOKUP(Data2022[[#This Row],[organisation_name]],'Response Rate sheet'!A:D,3,FALSE),General2022[[#This Row],[sector]])</f>
        <v>Study</v>
      </c>
      <c r="C127" t="str">
        <f>General2022[[#This Row],[organisation_type]]</f>
        <v>association</v>
      </c>
      <c r="D127">
        <f>IF(ISBLANK(General2022[[#This Row],[number_of_members]]),"N/A",VLOOKUP(A127,General2022[[organisation_name]:[number_of_international_committee_board_members_not_eea]],6,FALSE))</f>
        <v>20</v>
      </c>
      <c r="E127">
        <f>IF(ISBLANK(General2022[[#This Row],[number_of_committee_board_members]]),"N/A",VLOOKUP(A127,General2022!B:M,10,FALSE))</f>
        <v>0</v>
      </c>
      <c r="F127">
        <f>IFERROR(Data2022[[#This Row],[Number of members]]-Data2022[[#This Row],[Number of active members]], "N/A")</f>
        <v>20</v>
      </c>
      <c r="G127">
        <f>IFERROR(Data2022[[#This Row],[Number of active members]]/Data2022[[#This Row],[Number of members]], "N/A")</f>
        <v>0</v>
      </c>
      <c r="H127">
        <f>IFERROR(1-Data2022[[#This Row],[Percentage active members]],"N/A")</f>
        <v>1</v>
      </c>
      <c r="I127"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27">
        <f>IF(ISBLANK(General2022[[#This Row],[number_of_international_members_not_eea]]),"N/A",VLOOKUP(A127,General2022[[organisation_name]:[number_of_international_committee_board_members_not_eea]],9,FALSE))</f>
        <v>20</v>
      </c>
      <c r="K127">
        <f>IF(ISBLANK(General2022[[#This Row],[number_of_international_members_eea]]),"N/A",VLOOKUP(A127,General2022[[organisation_name]:[number_of_international_committee_board_members_not_eea]],8,FALSE))</f>
        <v>0</v>
      </c>
      <c r="L127" t="str">
        <f>IFERROR(IF(Data2022[[#This Row],[Number of members]]-Data2022[[#This Row],[Non-EEA Total]]-Data2022[[#This Row],[EEA total]]&lt;1,"N/A", Data2022[[#This Row],[Number of members]]-Data2022[[#This Row],[Non-EEA Total]]-Data2022[[#This Row],[EEA total]]),"N/A")</f>
        <v>N/A</v>
      </c>
      <c r="M127">
        <f>VLOOKUP(A127,General2022[[organisation_name]:[number_of_international_committee_board_members_not_eea]],12,FALSE)</f>
        <v>0</v>
      </c>
      <c r="N127">
        <f>VLOOKUP(A127,General2022[[organisation_name]:[number_of_international_committee_board_members_not_eea]],11,FALSE)</f>
        <v>0</v>
      </c>
      <c r="O127" t="str">
        <f>IFERROR(IF(Data2022[[#This Row],[Number of active members]]-Data2022[[#This Row],[Non-EEA Active ]]-Data2022[[#This Row],[EEA Active]]&lt;1,"N/A", Data2022[[#This Row],[Number of active members]]-Data2022[[#This Row],[Non-EEA Active ]]-Data2022[[#This Row],[EEA Active]]),"N/A")</f>
        <v>N/A</v>
      </c>
      <c r="P127" t="str">
        <f>IFERROR(Data2022[[#This Row],[Non-EEA Active ]]/Data2022[[#This Row],[Number of active members]],"N/A")</f>
        <v>N/A</v>
      </c>
      <c r="Q127" t="str">
        <f>IFERROR(Data2022[[#This Row],[EEA Active]]/Data2022[[#This Row],[EEA total]], "N/A")</f>
        <v>N/A</v>
      </c>
      <c r="R127" t="str">
        <f>IFERROR(Data2022[[#This Row],[Dutch Active]]/Data2022[[#This Row],[Dutch total]],"N/A")</f>
        <v>N/A</v>
      </c>
      <c r="S127" t="str">
        <f>IFERROR(IF(Data2022[[#This Row],[Number of members]]=Data2022[[#This Row],[Non-EEA Total]]+Data2022[[#This Row],[EEA total]]+Data2022[[#This Row],[Dutch total]],"T","F"),"F")</f>
        <v>F</v>
      </c>
      <c r="T127" t="str">
        <f>IFERROR(IF(Data2022[[#This Row],[Number of active members]]=Data2022[[#This Row],[Non-EEA Active ]]+Data2022[[#This Row],[EEA Active]]+Data2022[[#This Row],[Dutch Active]],"T","F"),"F")</f>
        <v>F</v>
      </c>
      <c r="U127" t="str">
        <f>IFERROR(IF(Data2022[[#This Row],[Number of members]]-Data2022[[#This Row],[Non-EEA Active ]]-Data2022[[#This Row],[EEA Active]]-Data2022[[#This Row],[Dutch Active]]=Data2022[[#This Row],[Number of  inactive members]],"T","F"),"F")</f>
        <v>F</v>
      </c>
      <c r="V127" t="str">
        <f>IF(Data2022[[#This Row],[EEA Active]]&lt;=Data2022[[#This Row],[EEA total]],"T","F")</f>
        <v>T</v>
      </c>
      <c r="W127" t="str">
        <f>IF(Data2022[[#This Row],[Dutch Active]]&lt;=Data2022[[#This Row],[Dutch total]],"T","F")</f>
        <v>T</v>
      </c>
      <c r="X127" t="str">
        <f>IF(Data2022[[#This Row],[Non-EEA Active ]]&lt;=Data2022[[#This Row],[Non-EEA Total]],"T","F")</f>
        <v>T</v>
      </c>
      <c r="Y12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7">
        <f>IFERROR(VLOOKUP(Data2022[[#This Row],[organisation_name]],'Division Study Year Committees'!$A$1:$L$108,2,FALSE),"N/A")</f>
        <v>0</v>
      </c>
      <c r="AA127">
        <f>IFERROR(VLOOKUP(Data2022[[#This Row],[organisation_name]],'Division Study Year Committees'!$A$1:$L$108,3,FALSE),"N/A")</f>
        <v>0</v>
      </c>
      <c r="AB127">
        <f>IFERROR(VLOOKUP(Data2022[[#This Row],[organisation_name]],'Division Study Year Committees'!$A$1:$L$108,4,FALSE),"N/A")</f>
        <v>14</v>
      </c>
      <c r="AC127">
        <f>IFERROR(VLOOKUP(Data2022[[#This Row],[organisation_name]],'Division Study Year Committees'!$A$1:$L$108,5,FALSE), "N/A")</f>
        <v>6</v>
      </c>
      <c r="AD127">
        <f>IFERROR(VLOOKUP(Data2022[[#This Row],[organisation_name]],'Division Study Year Committees'!$A$1:$L$108,6,FALSE), "N/A")</f>
        <v>0</v>
      </c>
      <c r="AE127">
        <f>SUM(Data2022[[#This Row],[Number of first year comittee members]:[Number of 4+ year comittee members]])</f>
        <v>20</v>
      </c>
      <c r="AF127">
        <f>COUNTIF('Committee2022'!D:D,Data2022[[#This Row],[organisation_name]])</f>
        <v>7</v>
      </c>
      <c r="AG127">
        <v>2022</v>
      </c>
    </row>
    <row r="128" spans="1:33" x14ac:dyDescent="0.3">
      <c r="A128" t="str">
        <f>General2022[[#This Row],[organisation_name]]</f>
        <v>IrNUT</v>
      </c>
      <c r="B128" t="str">
        <f>IF(General2022[[#This Row],[sector]]= "",VLOOKUP(Data2022[[#This Row],[organisation_name]],'Response Rate sheet'!A:D,3,FALSE),General2022[[#This Row],[sector]])</f>
        <v>other</v>
      </c>
      <c r="C128" t="str">
        <f>General2022[[#This Row],[organisation_type]]</f>
        <v>association</v>
      </c>
      <c r="D128" t="str">
        <f>IF(ISBLANK(General2022[[#This Row],[number_of_members]]),"N/A",VLOOKUP(A128,General2022[[organisation_name]:[number_of_international_committee_board_members_not_eea]],6,FALSE))</f>
        <v>N/A</v>
      </c>
      <c r="E128" t="str">
        <f>IF(ISBLANK(General2022[[#This Row],[number_of_committee_board_members]]),"N/A",VLOOKUP(A128,General2022!B:M,10,FALSE))</f>
        <v>N/A</v>
      </c>
      <c r="F128" t="str">
        <f>IFERROR(Data2022[[#This Row],[Number of members]]-Data2022[[#This Row],[Number of active members]], "N/A")</f>
        <v>N/A</v>
      </c>
      <c r="G128" t="str">
        <f>IFERROR(Data2022[[#This Row],[Number of active members]]/Data2022[[#This Row],[Number of members]], "N/A")</f>
        <v>N/A</v>
      </c>
      <c r="H128" t="str">
        <f>IFERROR(1-Data2022[[#This Row],[Percentage active members]],"N/A")</f>
        <v>N/A</v>
      </c>
      <c r="I128" t="str">
        <f>IF(Data2022[[#This Row],[Number of members]]=0,"N/A",IF(Data2022[[#This Row],[Number of members]]&lt;50," A. 1 - 50 ",IF(Data2022[[#This Row],[Number of members]]&lt;100, "B. 50 - 100", IF(Data2022[[#This Row],[Number of members]]&lt;400, "C. 100 - 400", IF(Data2022[[#This Row],[Number of members]]&lt;1000,"D. 400 - 1000", "E. 1000 +")))))</f>
        <v>E. 1000 +</v>
      </c>
      <c r="J128" t="str">
        <f>IF(ISBLANK(General2022[[#This Row],[number_of_international_members_not_eea]]),"N/A",VLOOKUP(A128,General2022[[organisation_name]:[number_of_international_committee_board_members_not_eea]],9,FALSE))</f>
        <v>N/A</v>
      </c>
      <c r="K128" t="str">
        <f>IF(ISBLANK(General2022[[#This Row],[number_of_international_members_eea]]),"N/A",VLOOKUP(A128,General2022[[organisation_name]:[number_of_international_committee_board_members_not_eea]],8,FALSE))</f>
        <v>N/A</v>
      </c>
      <c r="L128" t="str">
        <f>IFERROR(IF(Data2022[[#This Row],[Number of members]]-Data2022[[#This Row],[Non-EEA Total]]-Data2022[[#This Row],[EEA total]]&lt;1,"N/A", Data2022[[#This Row],[Number of members]]-Data2022[[#This Row],[Non-EEA Total]]-Data2022[[#This Row],[EEA total]]),"N/A")</f>
        <v>N/A</v>
      </c>
      <c r="M128">
        <f>VLOOKUP(A128,General2022[[organisation_name]:[number_of_international_committee_board_members_not_eea]],12,FALSE)</f>
        <v>0</v>
      </c>
      <c r="N128">
        <f>VLOOKUP(A128,General2022[[organisation_name]:[number_of_international_committee_board_members_not_eea]],11,FALSE)</f>
        <v>0</v>
      </c>
      <c r="O128" t="str">
        <f>IFERROR(IF(Data2022[[#This Row],[Number of active members]]-Data2022[[#This Row],[Non-EEA Active ]]-Data2022[[#This Row],[EEA Active]]&lt;1,"N/A", Data2022[[#This Row],[Number of active members]]-Data2022[[#This Row],[Non-EEA Active ]]-Data2022[[#This Row],[EEA Active]]),"N/A")</f>
        <v>N/A</v>
      </c>
      <c r="P128" t="str">
        <f>IFERROR(Data2022[[#This Row],[Non-EEA Active ]]/Data2022[[#This Row],[Number of active members]],"N/A")</f>
        <v>N/A</v>
      </c>
      <c r="Q128" t="str">
        <f>IFERROR(Data2022[[#This Row],[EEA Active]]/Data2022[[#This Row],[EEA total]], "N/A")</f>
        <v>N/A</v>
      </c>
      <c r="R128" t="str">
        <f>IFERROR(Data2022[[#This Row],[Dutch Active]]/Data2022[[#This Row],[Dutch total]],"N/A")</f>
        <v>N/A</v>
      </c>
      <c r="S128" t="str">
        <f>IFERROR(IF(Data2022[[#This Row],[Number of members]]=Data2022[[#This Row],[Non-EEA Total]]+Data2022[[#This Row],[EEA total]]+Data2022[[#This Row],[Dutch total]],"T","F"),"F")</f>
        <v>F</v>
      </c>
      <c r="T128" t="str">
        <f>IFERROR(IF(Data2022[[#This Row],[Number of active members]]=Data2022[[#This Row],[Non-EEA Active ]]+Data2022[[#This Row],[EEA Active]]+Data2022[[#This Row],[Dutch Active]],"T","F"),"F")</f>
        <v>F</v>
      </c>
      <c r="U128" t="str">
        <f>IFERROR(IF(Data2022[[#This Row],[Number of members]]-Data2022[[#This Row],[Non-EEA Active ]]-Data2022[[#This Row],[EEA Active]]-Data2022[[#This Row],[Dutch Active]]=Data2022[[#This Row],[Number of  inactive members]],"T","F"),"F")</f>
        <v>F</v>
      </c>
      <c r="V128" t="str">
        <f>IF(Data2022[[#This Row],[EEA Active]]&lt;=Data2022[[#This Row],[EEA total]],"T","F")</f>
        <v>T</v>
      </c>
      <c r="W128" t="str">
        <f>IF(Data2022[[#This Row],[Dutch Active]]&lt;=Data2022[[#This Row],[Dutch total]],"T","F")</f>
        <v>T</v>
      </c>
      <c r="X128" t="str">
        <f>IF(Data2022[[#This Row],[Non-EEA Active ]]&lt;=Data2022[[#This Row],[Non-EEA Total]],"T","F")</f>
        <v>T</v>
      </c>
      <c r="Y12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8" t="str">
        <f>IFERROR(VLOOKUP(Data2022[[#This Row],[organisation_name]],'Division Study Year Committees'!$A$1:$L$108,2,FALSE),"N/A")</f>
        <v>N/A</v>
      </c>
      <c r="AA128" t="str">
        <f>IFERROR(VLOOKUP(Data2022[[#This Row],[organisation_name]],'Division Study Year Committees'!$A$1:$L$108,3,FALSE),"N/A")</f>
        <v>N/A</v>
      </c>
      <c r="AB128" t="str">
        <f>IFERROR(VLOOKUP(Data2022[[#This Row],[organisation_name]],'Division Study Year Committees'!$A$1:$L$108,4,FALSE),"N/A")</f>
        <v>N/A</v>
      </c>
      <c r="AC128" t="str">
        <f>IFERROR(VLOOKUP(Data2022[[#This Row],[organisation_name]],'Division Study Year Committees'!$A$1:$L$108,5,FALSE), "N/A")</f>
        <v>N/A</v>
      </c>
      <c r="AD128" t="str">
        <f>IFERROR(VLOOKUP(Data2022[[#This Row],[organisation_name]],'Division Study Year Committees'!$A$1:$L$108,6,FALSE), "N/A")</f>
        <v>N/A</v>
      </c>
      <c r="AE128">
        <f>SUM(Data2022[[#This Row],[Number of first year comittee members]:[Number of 4+ year comittee members]])</f>
        <v>0</v>
      </c>
      <c r="AF128">
        <f>COUNTIF('Committee2022'!D:D,Data2022[[#This Row],[organisation_name]])</f>
        <v>0</v>
      </c>
      <c r="AG128">
        <v>2022</v>
      </c>
    </row>
    <row r="129" spans="1:33" x14ac:dyDescent="0.3">
      <c r="A129" t="str">
        <f>General2022[[#This Row],[organisation_name]]</f>
        <v>Stichting Societeit Antigoon</v>
      </c>
      <c r="B129" t="str">
        <f>IF(General2022[[#This Row],[sector]]= "",VLOOKUP(Data2022[[#This Row],[organisation_name]],'Response Rate sheet'!A:D,3,FALSE),General2022[[#This Row],[sector]])</f>
        <v>Other</v>
      </c>
      <c r="C129" t="str">
        <f>General2022[[#This Row],[organisation_type]]</f>
        <v>foundation</v>
      </c>
      <c r="D129">
        <f>IF(ISBLANK(General2022[[#This Row],[number_of_members]]),"N/A",VLOOKUP(A129,General2022[[organisation_name]:[number_of_international_committee_board_members_not_eea]],6,FALSE))</f>
        <v>0</v>
      </c>
      <c r="E129">
        <f>IF(ISBLANK(General2022[[#This Row],[number_of_committee_board_members]]),"N/A",VLOOKUP(A129,General2022!B:M,10,FALSE))</f>
        <v>0</v>
      </c>
      <c r="F129">
        <f>IFERROR(Data2022[[#This Row],[Number of members]]-Data2022[[#This Row],[Number of active members]], "N/A")</f>
        <v>0</v>
      </c>
      <c r="G129" t="str">
        <f>IFERROR(Data2022[[#This Row],[Number of active members]]/Data2022[[#This Row],[Number of members]], "N/A")</f>
        <v>N/A</v>
      </c>
      <c r="H129" t="str">
        <f>IFERROR(1-Data2022[[#This Row],[Percentage active members]],"N/A")</f>
        <v>N/A</v>
      </c>
      <c r="I129" t="str">
        <f>IF(Data2022[[#This Row],[Number of members]]=0,"N/A",IF(Data2022[[#This Row],[Number of members]]&lt;50," A. 1 - 50 ",IF(Data2022[[#This Row],[Number of members]]&lt;100, "B. 50 - 100", IF(Data2022[[#This Row],[Number of members]]&lt;400, "C. 100 - 400", IF(Data2022[[#This Row],[Number of members]]&lt;1000,"D. 400 - 1000", "E. 1000 +")))))</f>
        <v>N/A</v>
      </c>
      <c r="J129">
        <f>IF(ISBLANK(General2022[[#This Row],[number_of_international_members_not_eea]]),"N/A",VLOOKUP(A129,General2022[[organisation_name]:[number_of_international_committee_board_members_not_eea]],9,FALSE))</f>
        <v>0</v>
      </c>
      <c r="K129">
        <f>IF(ISBLANK(General2022[[#This Row],[number_of_international_members_eea]]),"N/A",VLOOKUP(A129,General2022[[organisation_name]:[number_of_international_committee_board_members_not_eea]],8,FALSE))</f>
        <v>0</v>
      </c>
      <c r="L129" t="str">
        <f>IFERROR(IF(Data2022[[#This Row],[Number of members]]-Data2022[[#This Row],[Non-EEA Total]]-Data2022[[#This Row],[EEA total]]&lt;1,"N/A", Data2022[[#This Row],[Number of members]]-Data2022[[#This Row],[Non-EEA Total]]-Data2022[[#This Row],[EEA total]]),"N/A")</f>
        <v>N/A</v>
      </c>
      <c r="M129">
        <f>VLOOKUP(A129,General2022[[organisation_name]:[number_of_international_committee_board_members_not_eea]],12,FALSE)</f>
        <v>0</v>
      </c>
      <c r="N129">
        <f>VLOOKUP(A129,General2022[[organisation_name]:[number_of_international_committee_board_members_not_eea]],11,FALSE)</f>
        <v>0</v>
      </c>
      <c r="O129" t="str">
        <f>IFERROR(IF(Data2022[[#This Row],[Number of active members]]-Data2022[[#This Row],[Non-EEA Active ]]-Data2022[[#This Row],[EEA Active]]&lt;1,"N/A", Data2022[[#This Row],[Number of active members]]-Data2022[[#This Row],[Non-EEA Active ]]-Data2022[[#This Row],[EEA Active]]),"N/A")</f>
        <v>N/A</v>
      </c>
      <c r="P129" t="str">
        <f>IFERROR(Data2022[[#This Row],[Non-EEA Active ]]/Data2022[[#This Row],[Number of active members]],"N/A")</f>
        <v>N/A</v>
      </c>
      <c r="Q129" t="str">
        <f>IFERROR(Data2022[[#This Row],[EEA Active]]/Data2022[[#This Row],[EEA total]], "N/A")</f>
        <v>N/A</v>
      </c>
      <c r="R129" t="str">
        <f>IFERROR(Data2022[[#This Row],[Dutch Active]]/Data2022[[#This Row],[Dutch total]],"N/A")</f>
        <v>N/A</v>
      </c>
      <c r="S129" t="str">
        <f>IFERROR(IF(Data2022[[#This Row],[Number of members]]=Data2022[[#This Row],[Non-EEA Total]]+Data2022[[#This Row],[EEA total]]+Data2022[[#This Row],[Dutch total]],"T","F"),"F")</f>
        <v>F</v>
      </c>
      <c r="T129" t="str">
        <f>IFERROR(IF(Data2022[[#This Row],[Number of active members]]=Data2022[[#This Row],[Non-EEA Active ]]+Data2022[[#This Row],[EEA Active]]+Data2022[[#This Row],[Dutch Active]],"T","F"),"F")</f>
        <v>F</v>
      </c>
      <c r="U129" t="str">
        <f>IFERROR(IF(Data2022[[#This Row],[Number of members]]-Data2022[[#This Row],[Non-EEA Active ]]-Data2022[[#This Row],[EEA Active]]-Data2022[[#This Row],[Dutch Active]]=Data2022[[#This Row],[Number of  inactive members]],"T","F"),"F")</f>
        <v>F</v>
      </c>
      <c r="V129" t="str">
        <f>IF(Data2022[[#This Row],[EEA Active]]&lt;=Data2022[[#This Row],[EEA total]],"T","F")</f>
        <v>T</v>
      </c>
      <c r="W129" t="str">
        <f>IF(Data2022[[#This Row],[Dutch Active]]&lt;=Data2022[[#This Row],[Dutch total]],"T","F")</f>
        <v>T</v>
      </c>
      <c r="X129" t="str">
        <f>IF(Data2022[[#This Row],[Non-EEA Active ]]&lt;=Data2022[[#This Row],[Non-EEA Total]],"T","F")</f>
        <v>T</v>
      </c>
      <c r="Y129"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29" t="str">
        <f>IFERROR(VLOOKUP(Data2022[[#This Row],[organisation_name]],'Division Study Year Committees'!$A$1:$L$108,2,FALSE),"N/A")</f>
        <v>N/A</v>
      </c>
      <c r="AA129" t="str">
        <f>IFERROR(VLOOKUP(Data2022[[#This Row],[organisation_name]],'Division Study Year Committees'!$A$1:$L$108,3,FALSE),"N/A")</f>
        <v>N/A</v>
      </c>
      <c r="AB129" t="str">
        <f>IFERROR(VLOOKUP(Data2022[[#This Row],[organisation_name]],'Division Study Year Committees'!$A$1:$L$108,4,FALSE),"N/A")</f>
        <v>N/A</v>
      </c>
      <c r="AC129" t="str">
        <f>IFERROR(VLOOKUP(Data2022[[#This Row],[organisation_name]],'Division Study Year Committees'!$A$1:$L$108,5,FALSE), "N/A")</f>
        <v>N/A</v>
      </c>
      <c r="AD129" t="str">
        <f>IFERROR(VLOOKUP(Data2022[[#This Row],[organisation_name]],'Division Study Year Committees'!$A$1:$L$108,6,FALSE), "N/A")</f>
        <v>N/A</v>
      </c>
      <c r="AE129">
        <f>SUM(Data2022[[#This Row],[Number of first year comittee members]:[Number of 4+ year comittee members]])</f>
        <v>0</v>
      </c>
      <c r="AF129">
        <f>COUNTIF('Committee2022'!D:D,Data2022[[#This Row],[organisation_name]])</f>
        <v>0</v>
      </c>
      <c r="AG129">
        <v>2022</v>
      </c>
    </row>
    <row r="130" spans="1:33" x14ac:dyDescent="0.3">
      <c r="A130" t="str">
        <f>General2022[[#This Row],[organisation_name]]</f>
        <v>Stichting Societeit TRAM</v>
      </c>
      <c r="B130" t="str">
        <f>IF(General2022[[#This Row],[sector]]= "",VLOOKUP(Data2022[[#This Row],[organisation_name]],'Response Rate sheet'!A:D,3,FALSE),General2022[[#This Row],[sector]])</f>
        <v>world</v>
      </c>
      <c r="C130" t="str">
        <f>General2022[[#This Row],[organisation_type]]</f>
        <v>foundation</v>
      </c>
      <c r="D130" t="str">
        <f>IF(ISBLANK(General2022[[#This Row],[number_of_members]]),"N/A",VLOOKUP(A130,General2022[[organisation_name]:[number_of_international_committee_board_members_not_eea]],6,FALSE))</f>
        <v>N/A</v>
      </c>
      <c r="E130" t="str">
        <f>IF(ISBLANK(General2022[[#This Row],[number_of_committee_board_members]]),"N/A",VLOOKUP(A130,General2022!B:M,10,FALSE))</f>
        <v>N/A</v>
      </c>
      <c r="F130" t="str">
        <f>IFERROR(Data2022[[#This Row],[Number of members]]-Data2022[[#This Row],[Number of active members]], "N/A")</f>
        <v>N/A</v>
      </c>
      <c r="G130" t="str">
        <f>IFERROR(Data2022[[#This Row],[Number of active members]]/Data2022[[#This Row],[Number of members]], "N/A")</f>
        <v>N/A</v>
      </c>
      <c r="H130" t="str">
        <f>IFERROR(1-Data2022[[#This Row],[Percentage active members]],"N/A")</f>
        <v>N/A</v>
      </c>
      <c r="I130" t="str">
        <f>IF(Data2022[[#This Row],[Number of members]]=0,"N/A",IF(Data2022[[#This Row],[Number of members]]&lt;50," A. 1 - 50 ",IF(Data2022[[#This Row],[Number of members]]&lt;100, "B. 50 - 100", IF(Data2022[[#This Row],[Number of members]]&lt;400, "C. 100 - 400", IF(Data2022[[#This Row],[Number of members]]&lt;1000,"D. 400 - 1000", "E. 1000 +")))))</f>
        <v>E. 1000 +</v>
      </c>
      <c r="J130" t="str">
        <f>IF(ISBLANK(General2022[[#This Row],[number_of_international_members_not_eea]]),"N/A",VLOOKUP(A130,General2022[[organisation_name]:[number_of_international_committee_board_members_not_eea]],9,FALSE))</f>
        <v>N/A</v>
      </c>
      <c r="K130" t="str">
        <f>IF(ISBLANK(General2022[[#This Row],[number_of_international_members_eea]]),"N/A",VLOOKUP(A130,General2022[[organisation_name]:[number_of_international_committee_board_members_not_eea]],8,FALSE))</f>
        <v>N/A</v>
      </c>
      <c r="L130" t="str">
        <f>IFERROR(IF(Data2022[[#This Row],[Number of members]]-Data2022[[#This Row],[Non-EEA Total]]-Data2022[[#This Row],[EEA total]]&lt;1,"N/A", Data2022[[#This Row],[Number of members]]-Data2022[[#This Row],[Non-EEA Total]]-Data2022[[#This Row],[EEA total]]),"N/A")</f>
        <v>N/A</v>
      </c>
      <c r="M130">
        <f>VLOOKUP(A130,General2022[[organisation_name]:[number_of_international_committee_board_members_not_eea]],12,FALSE)</f>
        <v>0</v>
      </c>
      <c r="N130">
        <f>VLOOKUP(A130,General2022[[organisation_name]:[number_of_international_committee_board_members_not_eea]],11,FALSE)</f>
        <v>0</v>
      </c>
      <c r="O130" t="str">
        <f>IFERROR(IF(Data2022[[#This Row],[Number of active members]]-Data2022[[#This Row],[Non-EEA Active ]]-Data2022[[#This Row],[EEA Active]]&lt;1,"N/A", Data2022[[#This Row],[Number of active members]]-Data2022[[#This Row],[Non-EEA Active ]]-Data2022[[#This Row],[EEA Active]]),"N/A")</f>
        <v>N/A</v>
      </c>
      <c r="P130" t="str">
        <f>IFERROR(Data2022[[#This Row],[Non-EEA Active ]]/Data2022[[#This Row],[Number of active members]],"N/A")</f>
        <v>N/A</v>
      </c>
      <c r="Q130" t="str">
        <f>IFERROR(Data2022[[#This Row],[EEA Active]]/Data2022[[#This Row],[EEA total]], "N/A")</f>
        <v>N/A</v>
      </c>
      <c r="R130" t="str">
        <f>IFERROR(Data2022[[#This Row],[Dutch Active]]/Data2022[[#This Row],[Dutch total]],"N/A")</f>
        <v>N/A</v>
      </c>
      <c r="S130" t="str">
        <f>IFERROR(IF(Data2022[[#This Row],[Number of members]]=Data2022[[#This Row],[Non-EEA Total]]+Data2022[[#This Row],[EEA total]]+Data2022[[#This Row],[Dutch total]],"T","F"),"F")</f>
        <v>F</v>
      </c>
      <c r="T130" t="str">
        <f>IFERROR(IF(Data2022[[#This Row],[Number of active members]]=Data2022[[#This Row],[Non-EEA Active ]]+Data2022[[#This Row],[EEA Active]]+Data2022[[#This Row],[Dutch Active]],"T","F"),"F")</f>
        <v>F</v>
      </c>
      <c r="U130" t="str">
        <f>IFERROR(IF(Data2022[[#This Row],[Number of members]]-Data2022[[#This Row],[Non-EEA Active ]]-Data2022[[#This Row],[EEA Active]]-Data2022[[#This Row],[Dutch Active]]=Data2022[[#This Row],[Number of  inactive members]],"T","F"),"F")</f>
        <v>F</v>
      </c>
      <c r="V130" t="str">
        <f>IF(Data2022[[#This Row],[EEA Active]]&lt;=Data2022[[#This Row],[EEA total]],"T","F")</f>
        <v>T</v>
      </c>
      <c r="W130" t="str">
        <f>IF(Data2022[[#This Row],[Dutch Active]]&lt;=Data2022[[#This Row],[Dutch total]],"T","F")</f>
        <v>T</v>
      </c>
      <c r="X130" t="str">
        <f>IF(Data2022[[#This Row],[Non-EEA Active ]]&lt;=Data2022[[#This Row],[Non-EEA Total]],"T","F")</f>
        <v>T</v>
      </c>
      <c r="Y130"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0" t="str">
        <f>IFERROR(VLOOKUP(Data2022[[#This Row],[organisation_name]],'Division Study Year Committees'!$A$1:$L$108,2,FALSE),"N/A")</f>
        <v>N/A</v>
      </c>
      <c r="AA130" t="str">
        <f>IFERROR(VLOOKUP(Data2022[[#This Row],[organisation_name]],'Division Study Year Committees'!$A$1:$L$108,3,FALSE),"N/A")</f>
        <v>N/A</v>
      </c>
      <c r="AB130" t="str">
        <f>IFERROR(VLOOKUP(Data2022[[#This Row],[organisation_name]],'Division Study Year Committees'!$A$1:$L$108,4,FALSE),"N/A")</f>
        <v>N/A</v>
      </c>
      <c r="AC130" t="str">
        <f>IFERROR(VLOOKUP(Data2022[[#This Row],[organisation_name]],'Division Study Year Committees'!$A$1:$L$108,5,FALSE), "N/A")</f>
        <v>N/A</v>
      </c>
      <c r="AD130" t="str">
        <f>IFERROR(VLOOKUP(Data2022[[#This Row],[organisation_name]],'Division Study Year Committees'!$A$1:$L$108,6,FALSE), "N/A")</f>
        <v>N/A</v>
      </c>
      <c r="AE130">
        <f>SUM(Data2022[[#This Row],[Number of first year comittee members]:[Number of 4+ year comittee members]])</f>
        <v>0</v>
      </c>
      <c r="AF130">
        <f>COUNTIF('Committee2022'!D:D,Data2022[[#This Row],[organisation_name]])</f>
        <v>0</v>
      </c>
      <c r="AG130">
        <v>2022</v>
      </c>
    </row>
    <row r="131" spans="1:33" x14ac:dyDescent="0.3">
      <c r="A131" t="str">
        <f>General2022[[#This Row],[organisation_name]]</f>
        <v>Stichting Societeit Flux</v>
      </c>
      <c r="B131" t="str">
        <f>IF(General2022[[#This Row],[sector]]= "",VLOOKUP(Data2022[[#This Row],[organisation_name]],'Response Rate sheet'!A:D,3,FALSE),General2022[[#This Row],[sector]])</f>
        <v>Social</v>
      </c>
      <c r="C131" t="str">
        <f>General2022[[#This Row],[organisation_type]]</f>
        <v>foundation</v>
      </c>
      <c r="D131">
        <f>IF(ISBLANK(General2022[[#This Row],[number_of_members]]),"N/A",VLOOKUP(A131,General2022[[organisation_name]:[number_of_international_committee_board_members_not_eea]],6,FALSE))</f>
        <v>0</v>
      </c>
      <c r="E131">
        <f>IF(ISBLANK(General2022[[#This Row],[number_of_committee_board_members]]),"N/A",VLOOKUP(A131,General2022!B:M,10,FALSE))</f>
        <v>0</v>
      </c>
      <c r="F131">
        <f>IFERROR(Data2022[[#This Row],[Number of members]]-Data2022[[#This Row],[Number of active members]], "N/A")</f>
        <v>0</v>
      </c>
      <c r="G131" t="str">
        <f>IFERROR(Data2022[[#This Row],[Number of active members]]/Data2022[[#This Row],[Number of members]], "N/A")</f>
        <v>N/A</v>
      </c>
      <c r="H131" t="str">
        <f>IFERROR(1-Data2022[[#This Row],[Percentage active members]],"N/A")</f>
        <v>N/A</v>
      </c>
      <c r="I131" t="str">
        <f>IF(Data2022[[#This Row],[Number of members]]=0,"N/A",IF(Data2022[[#This Row],[Number of members]]&lt;50," A. 1 - 50 ",IF(Data2022[[#This Row],[Number of members]]&lt;100, "B. 50 - 100", IF(Data2022[[#This Row],[Number of members]]&lt;400, "C. 100 - 400", IF(Data2022[[#This Row],[Number of members]]&lt;1000,"D. 400 - 1000", "E. 1000 +")))))</f>
        <v>N/A</v>
      </c>
      <c r="J131">
        <f>IF(ISBLANK(General2022[[#This Row],[number_of_international_members_not_eea]]),"N/A",VLOOKUP(A131,General2022[[organisation_name]:[number_of_international_committee_board_members_not_eea]],9,FALSE))</f>
        <v>0</v>
      </c>
      <c r="K131">
        <f>IF(ISBLANK(General2022[[#This Row],[number_of_international_members_eea]]),"N/A",VLOOKUP(A131,General2022[[organisation_name]:[number_of_international_committee_board_members_not_eea]],8,FALSE))</f>
        <v>0</v>
      </c>
      <c r="L131" t="str">
        <f>IFERROR(IF(Data2022[[#This Row],[Number of members]]-Data2022[[#This Row],[Non-EEA Total]]-Data2022[[#This Row],[EEA total]]&lt;1,"N/A", Data2022[[#This Row],[Number of members]]-Data2022[[#This Row],[Non-EEA Total]]-Data2022[[#This Row],[EEA total]]),"N/A")</f>
        <v>N/A</v>
      </c>
      <c r="M131">
        <f>VLOOKUP(A131,General2022[[organisation_name]:[number_of_international_committee_board_members_not_eea]],12,FALSE)</f>
        <v>0</v>
      </c>
      <c r="N131">
        <f>VLOOKUP(A131,General2022[[organisation_name]:[number_of_international_committee_board_members_not_eea]],11,FALSE)</f>
        <v>0</v>
      </c>
      <c r="O131" t="str">
        <f>IFERROR(IF(Data2022[[#This Row],[Number of active members]]-Data2022[[#This Row],[Non-EEA Active ]]-Data2022[[#This Row],[EEA Active]]&lt;1,"N/A", Data2022[[#This Row],[Number of active members]]-Data2022[[#This Row],[Non-EEA Active ]]-Data2022[[#This Row],[EEA Active]]),"N/A")</f>
        <v>N/A</v>
      </c>
      <c r="P131" t="str">
        <f>IFERROR(Data2022[[#This Row],[Non-EEA Active ]]/Data2022[[#This Row],[Number of active members]],"N/A")</f>
        <v>N/A</v>
      </c>
      <c r="Q131" t="str">
        <f>IFERROR(Data2022[[#This Row],[EEA Active]]/Data2022[[#This Row],[EEA total]], "N/A")</f>
        <v>N/A</v>
      </c>
      <c r="R131" t="str">
        <f>IFERROR(Data2022[[#This Row],[Dutch Active]]/Data2022[[#This Row],[Dutch total]],"N/A")</f>
        <v>N/A</v>
      </c>
      <c r="S131" t="str">
        <f>IFERROR(IF(Data2022[[#This Row],[Number of members]]=Data2022[[#This Row],[Non-EEA Total]]+Data2022[[#This Row],[EEA total]]+Data2022[[#This Row],[Dutch total]],"T","F"),"F")</f>
        <v>F</v>
      </c>
      <c r="T131" t="str">
        <f>IFERROR(IF(Data2022[[#This Row],[Number of active members]]=Data2022[[#This Row],[Non-EEA Active ]]+Data2022[[#This Row],[EEA Active]]+Data2022[[#This Row],[Dutch Active]],"T","F"),"F")</f>
        <v>F</v>
      </c>
      <c r="U131" t="str">
        <f>IFERROR(IF(Data2022[[#This Row],[Number of members]]-Data2022[[#This Row],[Non-EEA Active ]]-Data2022[[#This Row],[EEA Active]]-Data2022[[#This Row],[Dutch Active]]=Data2022[[#This Row],[Number of  inactive members]],"T","F"),"F")</f>
        <v>F</v>
      </c>
      <c r="V131" t="str">
        <f>IF(Data2022[[#This Row],[EEA Active]]&lt;=Data2022[[#This Row],[EEA total]],"T","F")</f>
        <v>T</v>
      </c>
      <c r="W131" t="str">
        <f>IF(Data2022[[#This Row],[Dutch Active]]&lt;=Data2022[[#This Row],[Dutch total]],"T","F")</f>
        <v>T</v>
      </c>
      <c r="X131" t="str">
        <f>IF(Data2022[[#This Row],[Non-EEA Active ]]&lt;=Data2022[[#This Row],[Non-EEA Total]],"T","F")</f>
        <v>T</v>
      </c>
      <c r="Y131"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1" t="str">
        <f>IFERROR(VLOOKUP(Data2022[[#This Row],[organisation_name]],'Division Study Year Committees'!$A$1:$L$108,2,FALSE),"N/A")</f>
        <v>N/A</v>
      </c>
      <c r="AA131" t="str">
        <f>IFERROR(VLOOKUP(Data2022[[#This Row],[organisation_name]],'Division Study Year Committees'!$A$1:$L$108,3,FALSE),"N/A")</f>
        <v>N/A</v>
      </c>
      <c r="AB131" t="str">
        <f>IFERROR(VLOOKUP(Data2022[[#This Row],[organisation_name]],'Division Study Year Committees'!$A$1:$L$108,4,FALSE),"N/A")</f>
        <v>N/A</v>
      </c>
      <c r="AC131" t="str">
        <f>IFERROR(VLOOKUP(Data2022[[#This Row],[organisation_name]],'Division Study Year Committees'!$A$1:$L$108,5,FALSE), "N/A")</f>
        <v>N/A</v>
      </c>
      <c r="AD131" t="str">
        <f>IFERROR(VLOOKUP(Data2022[[#This Row],[organisation_name]],'Division Study Year Committees'!$A$1:$L$108,6,FALSE), "N/A")</f>
        <v>N/A</v>
      </c>
      <c r="AE131">
        <f>SUM(Data2022[[#This Row],[Number of first year comittee members]:[Number of 4+ year comittee members]])</f>
        <v>0</v>
      </c>
      <c r="AF131">
        <f>COUNTIF('Committee2022'!D:D,Data2022[[#This Row],[organisation_name]])</f>
        <v>3</v>
      </c>
      <c r="AG131">
        <v>2022</v>
      </c>
    </row>
    <row r="132" spans="1:33" x14ac:dyDescent="0.3">
      <c r="A132" t="str">
        <f>General2022[[#This Row],[organisation_name]]</f>
        <v>Stichting Societeit Asterion</v>
      </c>
      <c r="B132" t="str">
        <f>IF(General2022[[#This Row],[sector]]= "",VLOOKUP(Data2022[[#This Row],[organisation_name]],'Response Rate sheet'!A:D,3,FALSE),General2022[[#This Row],[sector]])</f>
        <v>Social</v>
      </c>
      <c r="C132" t="str">
        <f>General2022[[#This Row],[organisation_type]]</f>
        <v>foundation</v>
      </c>
      <c r="D132">
        <f>IF(ISBLANK(General2022[[#This Row],[number_of_members]]),"N/A",VLOOKUP(A132,General2022[[organisation_name]:[number_of_international_committee_board_members_not_eea]],6,FALSE))</f>
        <v>0</v>
      </c>
      <c r="E132">
        <f>IF(ISBLANK(General2022[[#This Row],[number_of_committee_board_members]]),"N/A",VLOOKUP(A132,General2022!B:M,10,FALSE))</f>
        <v>0</v>
      </c>
      <c r="F132">
        <f>IFERROR(Data2022[[#This Row],[Number of members]]-Data2022[[#This Row],[Number of active members]], "N/A")</f>
        <v>0</v>
      </c>
      <c r="G132" t="str">
        <f>IFERROR(Data2022[[#This Row],[Number of active members]]/Data2022[[#This Row],[Number of members]], "N/A")</f>
        <v>N/A</v>
      </c>
      <c r="H132" t="str">
        <f>IFERROR(1-Data2022[[#This Row],[Percentage active members]],"N/A")</f>
        <v>N/A</v>
      </c>
      <c r="I132" t="str">
        <f>IF(Data2022[[#This Row],[Number of members]]=0,"N/A",IF(Data2022[[#This Row],[Number of members]]&lt;50," A. 1 - 50 ",IF(Data2022[[#This Row],[Number of members]]&lt;100, "B. 50 - 100", IF(Data2022[[#This Row],[Number of members]]&lt;400, "C. 100 - 400", IF(Data2022[[#This Row],[Number of members]]&lt;1000,"D. 400 - 1000", "E. 1000 +")))))</f>
        <v>N/A</v>
      </c>
      <c r="J132">
        <f>IF(ISBLANK(General2022[[#This Row],[number_of_international_members_not_eea]]),"N/A",VLOOKUP(A132,General2022[[organisation_name]:[number_of_international_committee_board_members_not_eea]],9,FALSE))</f>
        <v>0</v>
      </c>
      <c r="K132">
        <f>IF(ISBLANK(General2022[[#This Row],[number_of_international_members_eea]]),"N/A",VLOOKUP(A132,General2022[[organisation_name]:[number_of_international_committee_board_members_not_eea]],8,FALSE))</f>
        <v>0</v>
      </c>
      <c r="L132" t="str">
        <f>IFERROR(IF(Data2022[[#This Row],[Number of members]]-Data2022[[#This Row],[Non-EEA Total]]-Data2022[[#This Row],[EEA total]]&lt;1,"N/A", Data2022[[#This Row],[Number of members]]-Data2022[[#This Row],[Non-EEA Total]]-Data2022[[#This Row],[EEA total]]),"N/A")</f>
        <v>N/A</v>
      </c>
      <c r="M132">
        <f>VLOOKUP(A132,General2022[[organisation_name]:[number_of_international_committee_board_members_not_eea]],12,FALSE)</f>
        <v>0</v>
      </c>
      <c r="N132">
        <f>VLOOKUP(A132,General2022[[organisation_name]:[number_of_international_committee_board_members_not_eea]],11,FALSE)</f>
        <v>0</v>
      </c>
      <c r="O132" t="str">
        <f>IFERROR(IF(Data2022[[#This Row],[Number of active members]]-Data2022[[#This Row],[Non-EEA Active ]]-Data2022[[#This Row],[EEA Active]]&lt;1,"N/A", Data2022[[#This Row],[Number of active members]]-Data2022[[#This Row],[Non-EEA Active ]]-Data2022[[#This Row],[EEA Active]]),"N/A")</f>
        <v>N/A</v>
      </c>
      <c r="P132" t="str">
        <f>IFERROR(Data2022[[#This Row],[Non-EEA Active ]]/Data2022[[#This Row],[Number of active members]],"N/A")</f>
        <v>N/A</v>
      </c>
      <c r="Q132" t="str">
        <f>IFERROR(Data2022[[#This Row],[EEA Active]]/Data2022[[#This Row],[EEA total]], "N/A")</f>
        <v>N/A</v>
      </c>
      <c r="R132" t="str">
        <f>IFERROR(Data2022[[#This Row],[Dutch Active]]/Data2022[[#This Row],[Dutch total]],"N/A")</f>
        <v>N/A</v>
      </c>
      <c r="S132" t="str">
        <f>IFERROR(IF(Data2022[[#This Row],[Number of members]]=Data2022[[#This Row],[Non-EEA Total]]+Data2022[[#This Row],[EEA total]]+Data2022[[#This Row],[Dutch total]],"T","F"),"F")</f>
        <v>F</v>
      </c>
      <c r="T132" t="str">
        <f>IFERROR(IF(Data2022[[#This Row],[Number of active members]]=Data2022[[#This Row],[Non-EEA Active ]]+Data2022[[#This Row],[EEA Active]]+Data2022[[#This Row],[Dutch Active]],"T","F"),"F")</f>
        <v>F</v>
      </c>
      <c r="U132" t="str">
        <f>IFERROR(IF(Data2022[[#This Row],[Number of members]]-Data2022[[#This Row],[Non-EEA Active ]]-Data2022[[#This Row],[EEA Active]]-Data2022[[#This Row],[Dutch Active]]=Data2022[[#This Row],[Number of  inactive members]],"T","F"),"F")</f>
        <v>F</v>
      </c>
      <c r="V132" t="str">
        <f>IF(Data2022[[#This Row],[EEA Active]]&lt;=Data2022[[#This Row],[EEA total]],"T","F")</f>
        <v>T</v>
      </c>
      <c r="W132" t="str">
        <f>IF(Data2022[[#This Row],[Dutch Active]]&lt;=Data2022[[#This Row],[Dutch total]],"T","F")</f>
        <v>T</v>
      </c>
      <c r="X132" t="str">
        <f>IF(Data2022[[#This Row],[Non-EEA Active ]]&lt;=Data2022[[#This Row],[Non-EEA Total]],"T","F")</f>
        <v>T</v>
      </c>
      <c r="Y132"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2" t="str">
        <f>IFERROR(VLOOKUP(Data2022[[#This Row],[organisation_name]],'Division Study Year Committees'!$A$1:$L$108,2,FALSE),"N/A")</f>
        <v>N/A</v>
      </c>
      <c r="AA132" t="str">
        <f>IFERROR(VLOOKUP(Data2022[[#This Row],[organisation_name]],'Division Study Year Committees'!$A$1:$L$108,3,FALSE),"N/A")</f>
        <v>N/A</v>
      </c>
      <c r="AB132" t="str">
        <f>IFERROR(VLOOKUP(Data2022[[#This Row],[organisation_name]],'Division Study Year Committees'!$A$1:$L$108,4,FALSE),"N/A")</f>
        <v>N/A</v>
      </c>
      <c r="AC132" t="str">
        <f>IFERROR(VLOOKUP(Data2022[[#This Row],[organisation_name]],'Division Study Year Committees'!$A$1:$L$108,5,FALSE), "N/A")</f>
        <v>N/A</v>
      </c>
      <c r="AD132" t="str">
        <f>IFERROR(VLOOKUP(Data2022[[#This Row],[organisation_name]],'Division Study Year Committees'!$A$1:$L$108,6,FALSE), "N/A")</f>
        <v>N/A</v>
      </c>
      <c r="AE132">
        <f>SUM(Data2022[[#This Row],[Number of first year comittee members]:[Number of 4+ year comittee members]])</f>
        <v>0</v>
      </c>
      <c r="AF132">
        <f>COUNTIF('Committee2022'!D:D,Data2022[[#This Row],[organisation_name]])</f>
        <v>5</v>
      </c>
      <c r="AG132">
        <v>2022</v>
      </c>
    </row>
    <row r="133" spans="1:33" x14ac:dyDescent="0.3">
      <c r="A133" t="str">
        <f>General2022[[#This Row],[organisation_name]]</f>
        <v>Stichting Kantine Sportcentrum</v>
      </c>
      <c r="B133" t="str">
        <f>IF(General2022[[#This Row],[sector]]= "",VLOOKUP(Data2022[[#This Row],[organisation_name]],'Response Rate sheet'!A:D,3,FALSE),General2022[[#This Row],[sector]])</f>
        <v>other</v>
      </c>
      <c r="C133" t="str">
        <f>General2022[[#This Row],[organisation_type]]</f>
        <v>foundation</v>
      </c>
      <c r="D133" t="str">
        <f>IF(ISBLANK(General2022[[#This Row],[number_of_members]]),"N/A",VLOOKUP(A133,General2022[[organisation_name]:[number_of_international_committee_board_members_not_eea]],6,FALSE))</f>
        <v>N/A</v>
      </c>
      <c r="E133" t="str">
        <f>IF(ISBLANK(General2022[[#This Row],[number_of_committee_board_members]]),"N/A",VLOOKUP(A133,General2022!B:M,10,FALSE))</f>
        <v>N/A</v>
      </c>
      <c r="F133" t="str">
        <f>IFERROR(Data2022[[#This Row],[Number of members]]-Data2022[[#This Row],[Number of active members]], "N/A")</f>
        <v>N/A</v>
      </c>
      <c r="G133" t="str">
        <f>IFERROR(Data2022[[#This Row],[Number of active members]]/Data2022[[#This Row],[Number of members]], "N/A")</f>
        <v>N/A</v>
      </c>
      <c r="H133" t="str">
        <f>IFERROR(1-Data2022[[#This Row],[Percentage active members]],"N/A")</f>
        <v>N/A</v>
      </c>
      <c r="I133" t="str">
        <f>IF(Data2022[[#This Row],[Number of members]]=0,"N/A",IF(Data2022[[#This Row],[Number of members]]&lt;50," A. 1 - 50 ",IF(Data2022[[#This Row],[Number of members]]&lt;100, "B. 50 - 100", IF(Data2022[[#This Row],[Number of members]]&lt;400, "C. 100 - 400", IF(Data2022[[#This Row],[Number of members]]&lt;1000,"D. 400 - 1000", "E. 1000 +")))))</f>
        <v>E. 1000 +</v>
      </c>
      <c r="J133" t="str">
        <f>IF(ISBLANK(General2022[[#This Row],[number_of_international_members_not_eea]]),"N/A",VLOOKUP(A133,General2022[[organisation_name]:[number_of_international_committee_board_members_not_eea]],9,FALSE))</f>
        <v>N/A</v>
      </c>
      <c r="K133" t="str">
        <f>IF(ISBLANK(General2022[[#This Row],[number_of_international_members_eea]]),"N/A",VLOOKUP(A133,General2022[[organisation_name]:[number_of_international_committee_board_members_not_eea]],8,FALSE))</f>
        <v>N/A</v>
      </c>
      <c r="L133" t="str">
        <f>IFERROR(IF(Data2022[[#This Row],[Number of members]]-Data2022[[#This Row],[Non-EEA Total]]-Data2022[[#This Row],[EEA total]]&lt;1,"N/A", Data2022[[#This Row],[Number of members]]-Data2022[[#This Row],[Non-EEA Total]]-Data2022[[#This Row],[EEA total]]),"N/A")</f>
        <v>N/A</v>
      </c>
      <c r="M133">
        <f>VLOOKUP(A133,General2022[[organisation_name]:[number_of_international_committee_board_members_not_eea]],12,FALSE)</f>
        <v>0</v>
      </c>
      <c r="N133">
        <f>VLOOKUP(A133,General2022[[organisation_name]:[number_of_international_committee_board_members_not_eea]],11,FALSE)</f>
        <v>0</v>
      </c>
      <c r="O133" t="str">
        <f>IFERROR(IF(Data2022[[#This Row],[Number of active members]]-Data2022[[#This Row],[Non-EEA Active ]]-Data2022[[#This Row],[EEA Active]]&lt;1,"N/A", Data2022[[#This Row],[Number of active members]]-Data2022[[#This Row],[Non-EEA Active ]]-Data2022[[#This Row],[EEA Active]]),"N/A")</f>
        <v>N/A</v>
      </c>
      <c r="P133" t="str">
        <f>IFERROR(Data2022[[#This Row],[Non-EEA Active ]]/Data2022[[#This Row],[Number of active members]],"N/A")</f>
        <v>N/A</v>
      </c>
      <c r="Q133" t="str">
        <f>IFERROR(Data2022[[#This Row],[EEA Active]]/Data2022[[#This Row],[EEA total]], "N/A")</f>
        <v>N/A</v>
      </c>
      <c r="R133" t="str">
        <f>IFERROR(Data2022[[#This Row],[Dutch Active]]/Data2022[[#This Row],[Dutch total]],"N/A")</f>
        <v>N/A</v>
      </c>
      <c r="S133" t="str">
        <f>IFERROR(IF(Data2022[[#This Row],[Number of members]]=Data2022[[#This Row],[Non-EEA Total]]+Data2022[[#This Row],[EEA total]]+Data2022[[#This Row],[Dutch total]],"T","F"),"F")</f>
        <v>F</v>
      </c>
      <c r="T133" t="str">
        <f>IFERROR(IF(Data2022[[#This Row],[Number of active members]]=Data2022[[#This Row],[Non-EEA Active ]]+Data2022[[#This Row],[EEA Active]]+Data2022[[#This Row],[Dutch Active]],"T","F"),"F")</f>
        <v>F</v>
      </c>
      <c r="U133" t="str">
        <f>IFERROR(IF(Data2022[[#This Row],[Number of members]]-Data2022[[#This Row],[Non-EEA Active ]]-Data2022[[#This Row],[EEA Active]]-Data2022[[#This Row],[Dutch Active]]=Data2022[[#This Row],[Number of  inactive members]],"T","F"),"F")</f>
        <v>F</v>
      </c>
      <c r="V133" t="str">
        <f>IF(Data2022[[#This Row],[EEA Active]]&lt;=Data2022[[#This Row],[EEA total]],"T","F")</f>
        <v>T</v>
      </c>
      <c r="W133" t="str">
        <f>IF(Data2022[[#This Row],[Dutch Active]]&lt;=Data2022[[#This Row],[Dutch total]],"T","F")</f>
        <v>T</v>
      </c>
      <c r="X133" t="str">
        <f>IF(Data2022[[#This Row],[Non-EEA Active ]]&lt;=Data2022[[#This Row],[Non-EEA Total]],"T","F")</f>
        <v>T</v>
      </c>
      <c r="Y133"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3" t="str">
        <f>IFERROR(VLOOKUP(Data2022[[#This Row],[organisation_name]],'Division Study Year Committees'!$A$1:$L$108,2,FALSE),"N/A")</f>
        <v>N/A</v>
      </c>
      <c r="AA133" t="str">
        <f>IFERROR(VLOOKUP(Data2022[[#This Row],[organisation_name]],'Division Study Year Committees'!$A$1:$L$108,3,FALSE),"N/A")</f>
        <v>N/A</v>
      </c>
      <c r="AB133" t="str">
        <f>IFERROR(VLOOKUP(Data2022[[#This Row],[organisation_name]],'Division Study Year Committees'!$A$1:$L$108,4,FALSE),"N/A")</f>
        <v>N/A</v>
      </c>
      <c r="AC133" t="str">
        <f>IFERROR(VLOOKUP(Data2022[[#This Row],[organisation_name]],'Division Study Year Committees'!$A$1:$L$108,5,FALSE), "N/A")</f>
        <v>N/A</v>
      </c>
      <c r="AD133" t="str">
        <f>IFERROR(VLOOKUP(Data2022[[#This Row],[organisation_name]],'Division Study Year Committees'!$A$1:$L$108,6,FALSE), "N/A")</f>
        <v>N/A</v>
      </c>
      <c r="AE133">
        <f>SUM(Data2022[[#This Row],[Number of first year comittee members]:[Number of 4+ year comittee members]])</f>
        <v>0</v>
      </c>
      <c r="AF133">
        <f>COUNTIF('Committee2022'!D:D,Data2022[[#This Row],[organisation_name]])</f>
        <v>0</v>
      </c>
      <c r="AG133">
        <v>2022</v>
      </c>
    </row>
    <row r="134" spans="1:33" x14ac:dyDescent="0.3">
      <c r="A134" t="str">
        <f>General2022[[#This Row],[organisation_name]]</f>
        <v>VGST</v>
      </c>
      <c r="B134" t="str">
        <f>IF(General2022[[#This Row],[sector]]= "",VLOOKUP(Data2022[[#This Row],[organisation_name]],'Response Rate sheet'!A:D,3,FALSE),General2022[[#This Row],[sector]])</f>
        <v>Other</v>
      </c>
      <c r="C134" t="str">
        <f>General2022[[#This Row],[organisation_type]]</f>
        <v>association</v>
      </c>
      <c r="D134">
        <f>IF(ISBLANK(General2022[[#This Row],[number_of_members]]),"N/A",VLOOKUP(A134,General2022[[organisation_name]:[number_of_international_committee_board_members_not_eea]],6,FALSE))</f>
        <v>79</v>
      </c>
      <c r="E134">
        <f>IF(ISBLANK(General2022[[#This Row],[number_of_committee_board_members]]),"N/A",VLOOKUP(A134,General2022!B:M,10,FALSE))</f>
        <v>1</v>
      </c>
      <c r="F134">
        <f>IFERROR(Data2022[[#This Row],[Number of members]]-Data2022[[#This Row],[Number of active members]], "N/A")</f>
        <v>78</v>
      </c>
      <c r="G134">
        <f>IFERROR(Data2022[[#This Row],[Number of active members]]/Data2022[[#This Row],[Number of members]], "N/A")</f>
        <v>1.2658227848101266E-2</v>
      </c>
      <c r="H134">
        <f>IFERROR(1-Data2022[[#This Row],[Percentage active members]],"N/A")</f>
        <v>0.98734177215189878</v>
      </c>
      <c r="I134" t="str">
        <f>IF(Data2022[[#This Row],[Number of members]]=0,"N/A",IF(Data2022[[#This Row],[Number of members]]&lt;50," A. 1 - 50 ",IF(Data2022[[#This Row],[Number of members]]&lt;100, "B. 50 - 100", IF(Data2022[[#This Row],[Number of members]]&lt;400, "C. 100 - 400", IF(Data2022[[#This Row],[Number of members]]&lt;1000,"D. 400 - 1000", "E. 1000 +")))))</f>
        <v>B. 50 - 100</v>
      </c>
      <c r="J134">
        <f>IF(ISBLANK(General2022[[#This Row],[number_of_international_members_not_eea]]),"N/A",VLOOKUP(A134,General2022[[organisation_name]:[number_of_international_committee_board_members_not_eea]],9,FALSE))</f>
        <v>65</v>
      </c>
      <c r="K134">
        <f>IF(ISBLANK(General2022[[#This Row],[number_of_international_members_eea]]),"N/A",VLOOKUP(A134,General2022[[organisation_name]:[number_of_international_committee_board_members_not_eea]],8,FALSE))</f>
        <v>0</v>
      </c>
      <c r="L134">
        <f>IFERROR(IF(Data2022[[#This Row],[Number of members]]-Data2022[[#This Row],[Non-EEA Total]]-Data2022[[#This Row],[EEA total]]&lt;1,"N/A", Data2022[[#This Row],[Number of members]]-Data2022[[#This Row],[Non-EEA Total]]-Data2022[[#This Row],[EEA total]]),"N/A")</f>
        <v>14</v>
      </c>
      <c r="M134">
        <f>VLOOKUP(A134,General2022[[organisation_name]:[number_of_international_committee_board_members_not_eea]],12,FALSE)</f>
        <v>0</v>
      </c>
      <c r="N134">
        <f>VLOOKUP(A134,General2022[[organisation_name]:[number_of_international_committee_board_members_not_eea]],11,FALSE)</f>
        <v>0</v>
      </c>
      <c r="O134">
        <f>IFERROR(IF(Data2022[[#This Row],[Number of active members]]-Data2022[[#This Row],[Non-EEA Active ]]-Data2022[[#This Row],[EEA Active]]&lt;1,"N/A", Data2022[[#This Row],[Number of active members]]-Data2022[[#This Row],[Non-EEA Active ]]-Data2022[[#This Row],[EEA Active]]),"N/A")</f>
        <v>1</v>
      </c>
      <c r="P134">
        <f>IFERROR(Data2022[[#This Row],[Non-EEA Active ]]/Data2022[[#This Row],[Number of active members]],"N/A")</f>
        <v>0</v>
      </c>
      <c r="Q134" t="str">
        <f>IFERROR(Data2022[[#This Row],[EEA Active]]/Data2022[[#This Row],[EEA total]], "N/A")</f>
        <v>N/A</v>
      </c>
      <c r="R134">
        <f>IFERROR(Data2022[[#This Row],[Dutch Active]]/Data2022[[#This Row],[Dutch total]],"N/A")</f>
        <v>7.1428571428571425E-2</v>
      </c>
      <c r="S134" t="str">
        <f>IFERROR(IF(Data2022[[#This Row],[Number of members]]=Data2022[[#This Row],[Non-EEA Total]]+Data2022[[#This Row],[EEA total]]+Data2022[[#This Row],[Dutch total]],"T","F"),"F")</f>
        <v>T</v>
      </c>
      <c r="T134" t="str">
        <f>IFERROR(IF(Data2022[[#This Row],[Number of active members]]=Data2022[[#This Row],[Non-EEA Active ]]+Data2022[[#This Row],[EEA Active]]+Data2022[[#This Row],[Dutch Active]],"T","F"),"F")</f>
        <v>T</v>
      </c>
      <c r="U134" t="str">
        <f>IFERROR(IF(Data2022[[#This Row],[Number of members]]-Data2022[[#This Row],[Non-EEA Active ]]-Data2022[[#This Row],[EEA Active]]-Data2022[[#This Row],[Dutch Active]]=Data2022[[#This Row],[Number of  inactive members]],"T","F"),"F")</f>
        <v>T</v>
      </c>
      <c r="V134" t="str">
        <f>IF(Data2022[[#This Row],[EEA Active]]&lt;=Data2022[[#This Row],[EEA total]],"T","F")</f>
        <v>T</v>
      </c>
      <c r="W134" t="str">
        <f>IF(Data2022[[#This Row],[Dutch Active]]&lt;=Data2022[[#This Row],[Dutch total]],"T","F")</f>
        <v>T</v>
      </c>
      <c r="X134" t="str">
        <f>IF(Data2022[[#This Row],[Non-EEA Active ]]&lt;=Data2022[[#This Row],[Non-EEA Total]],"T","F")</f>
        <v>T</v>
      </c>
      <c r="Y134" t="str">
        <f>IF(OR(Data2022[[#This Row],[Test total number of members]]="F",Data2022[[#This Row],[Test total number of active members]]="F",Data2022[[#This Row],[Test total number inactive members]]="F",Data2022[[#This Row],[Test max EEA active]]="F",Data2022[[#This Row],[Test max Dutch active]]="F",Data2022[[#This Row],[Test max non-EEA active]]="F"),"F","T")</f>
        <v>T</v>
      </c>
      <c r="Z134" t="str">
        <f>IFERROR(VLOOKUP(Data2022[[#This Row],[organisation_name]],'Division Study Year Committees'!$A$1:$L$108,2,FALSE),"N/A")</f>
        <v>N/A</v>
      </c>
      <c r="AA134" t="str">
        <f>IFERROR(VLOOKUP(Data2022[[#This Row],[organisation_name]],'Division Study Year Committees'!$A$1:$L$108,3,FALSE),"N/A")</f>
        <v>N/A</v>
      </c>
      <c r="AB134" t="str">
        <f>IFERROR(VLOOKUP(Data2022[[#This Row],[organisation_name]],'Division Study Year Committees'!$A$1:$L$108,4,FALSE),"N/A")</f>
        <v>N/A</v>
      </c>
      <c r="AC134" t="str">
        <f>IFERROR(VLOOKUP(Data2022[[#This Row],[organisation_name]],'Division Study Year Committees'!$A$1:$L$108,5,FALSE), "N/A")</f>
        <v>N/A</v>
      </c>
      <c r="AD134" t="str">
        <f>IFERROR(VLOOKUP(Data2022[[#This Row],[organisation_name]],'Division Study Year Committees'!$A$1:$L$108,6,FALSE), "N/A")</f>
        <v>N/A</v>
      </c>
      <c r="AE134">
        <f>SUM(Data2022[[#This Row],[Number of first year comittee members]:[Number of 4+ year comittee members]])</f>
        <v>0</v>
      </c>
      <c r="AF134">
        <f>COUNTIF('Committee2022'!D:D,Data2022[[#This Row],[organisation_name]])</f>
        <v>0</v>
      </c>
      <c r="AG134">
        <v>2022</v>
      </c>
    </row>
    <row r="135" spans="1:33" x14ac:dyDescent="0.3">
      <c r="A135" t="str">
        <f>General2022[[#This Row],[organisation_name]]</f>
        <v>Stichting t Fluitje</v>
      </c>
      <c r="B135" t="str">
        <f>IF(General2022[[#This Row],[sector]]= "",VLOOKUP(Data2022[[#This Row],[organisation_name]],'Response Rate sheet'!A:D,3,FALSE),General2022[[#This Row],[sector]])</f>
        <v>Other</v>
      </c>
      <c r="C135" t="str">
        <f>General2022[[#This Row],[organisation_type]]</f>
        <v>foundation</v>
      </c>
      <c r="D135">
        <f>IF(ISBLANK(General2022[[#This Row],[number_of_members]]),"N/A",VLOOKUP(A135,General2022[[organisation_name]:[number_of_international_committee_board_members_not_eea]],6,FALSE))</f>
        <v>4</v>
      </c>
      <c r="E135">
        <f>IF(ISBLANK(General2022[[#This Row],[number_of_committee_board_members]]),"N/A",VLOOKUP(A135,General2022!B:M,10,FALSE))</f>
        <v>0</v>
      </c>
      <c r="F135">
        <f>IFERROR(Data2022[[#This Row],[Number of members]]-Data2022[[#This Row],[Number of active members]], "N/A")</f>
        <v>4</v>
      </c>
      <c r="G135">
        <f>IFERROR(Data2022[[#This Row],[Number of active members]]/Data2022[[#This Row],[Number of members]], "N/A")</f>
        <v>0</v>
      </c>
      <c r="H135">
        <f>IFERROR(1-Data2022[[#This Row],[Percentage active members]],"N/A")</f>
        <v>1</v>
      </c>
      <c r="I135"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35">
        <f>IF(ISBLANK(General2022[[#This Row],[number_of_international_members_not_eea]]),"N/A",VLOOKUP(A135,General2022[[organisation_name]:[number_of_international_committee_board_members_not_eea]],9,FALSE))</f>
        <v>0</v>
      </c>
      <c r="K135">
        <f>IF(ISBLANK(General2022[[#This Row],[number_of_international_members_eea]]),"N/A",VLOOKUP(A135,General2022[[organisation_name]:[number_of_international_committee_board_members_not_eea]],8,FALSE))</f>
        <v>0</v>
      </c>
      <c r="L135">
        <f>IFERROR(IF(Data2022[[#This Row],[Number of members]]-Data2022[[#This Row],[Non-EEA Total]]-Data2022[[#This Row],[EEA total]]&lt;1,"N/A", Data2022[[#This Row],[Number of members]]-Data2022[[#This Row],[Non-EEA Total]]-Data2022[[#This Row],[EEA total]]),"N/A")</f>
        <v>4</v>
      </c>
      <c r="M135">
        <f>VLOOKUP(A135,General2022[[organisation_name]:[number_of_international_committee_board_members_not_eea]],12,FALSE)</f>
        <v>0</v>
      </c>
      <c r="N135">
        <f>VLOOKUP(A135,General2022[[organisation_name]:[number_of_international_committee_board_members_not_eea]],11,FALSE)</f>
        <v>0</v>
      </c>
      <c r="O135" t="str">
        <f>IFERROR(IF(Data2022[[#This Row],[Number of active members]]-Data2022[[#This Row],[Non-EEA Active ]]-Data2022[[#This Row],[EEA Active]]&lt;1,"N/A", Data2022[[#This Row],[Number of active members]]-Data2022[[#This Row],[Non-EEA Active ]]-Data2022[[#This Row],[EEA Active]]),"N/A")</f>
        <v>N/A</v>
      </c>
      <c r="P135" t="str">
        <f>IFERROR(Data2022[[#This Row],[Non-EEA Active ]]/Data2022[[#This Row],[Number of active members]],"N/A")</f>
        <v>N/A</v>
      </c>
      <c r="Q135" t="str">
        <f>IFERROR(Data2022[[#This Row],[EEA Active]]/Data2022[[#This Row],[EEA total]], "N/A")</f>
        <v>N/A</v>
      </c>
      <c r="R135" t="str">
        <f>IFERROR(Data2022[[#This Row],[Dutch Active]]/Data2022[[#This Row],[Dutch total]],"N/A")</f>
        <v>N/A</v>
      </c>
      <c r="S135" t="str">
        <f>IFERROR(IF(Data2022[[#This Row],[Number of members]]=Data2022[[#This Row],[Non-EEA Total]]+Data2022[[#This Row],[EEA total]]+Data2022[[#This Row],[Dutch total]],"T","F"),"F")</f>
        <v>T</v>
      </c>
      <c r="T135" t="str">
        <f>IFERROR(IF(Data2022[[#This Row],[Number of active members]]=Data2022[[#This Row],[Non-EEA Active ]]+Data2022[[#This Row],[EEA Active]]+Data2022[[#This Row],[Dutch Active]],"T","F"),"F")</f>
        <v>F</v>
      </c>
      <c r="U135" t="str">
        <f>IFERROR(IF(Data2022[[#This Row],[Number of members]]-Data2022[[#This Row],[Non-EEA Active ]]-Data2022[[#This Row],[EEA Active]]-Data2022[[#This Row],[Dutch Active]]=Data2022[[#This Row],[Number of  inactive members]],"T","F"),"F")</f>
        <v>F</v>
      </c>
      <c r="V135" t="str">
        <f>IF(Data2022[[#This Row],[EEA Active]]&lt;=Data2022[[#This Row],[EEA total]],"T","F")</f>
        <v>T</v>
      </c>
      <c r="W135" t="str">
        <f>IF(Data2022[[#This Row],[Dutch Active]]&lt;=Data2022[[#This Row],[Dutch total]],"T","F")</f>
        <v>F</v>
      </c>
      <c r="X135" t="str">
        <f>IF(Data2022[[#This Row],[Non-EEA Active ]]&lt;=Data2022[[#This Row],[Non-EEA Total]],"T","F")</f>
        <v>T</v>
      </c>
      <c r="Y135"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5">
        <f>IFERROR(VLOOKUP(Data2022[[#This Row],[organisation_name]],'Division Study Year Committees'!$A$1:$L$108,2,FALSE),"N/A")</f>
        <v>0</v>
      </c>
      <c r="AA135">
        <f>IFERROR(VLOOKUP(Data2022[[#This Row],[organisation_name]],'Division Study Year Committees'!$A$1:$L$108,3,FALSE),"N/A")</f>
        <v>0</v>
      </c>
      <c r="AB135">
        <f>IFERROR(VLOOKUP(Data2022[[#This Row],[organisation_name]],'Division Study Year Committees'!$A$1:$L$108,4,FALSE),"N/A")</f>
        <v>1</v>
      </c>
      <c r="AC135">
        <f>IFERROR(VLOOKUP(Data2022[[#This Row],[organisation_name]],'Division Study Year Committees'!$A$1:$L$108,5,FALSE), "N/A")</f>
        <v>3</v>
      </c>
      <c r="AD135">
        <f>IFERROR(VLOOKUP(Data2022[[#This Row],[organisation_name]],'Division Study Year Committees'!$A$1:$L$108,6,FALSE), "N/A")</f>
        <v>2</v>
      </c>
      <c r="AE135">
        <f>SUM(Data2022[[#This Row],[Number of first year comittee members]:[Number of 4+ year comittee members]])</f>
        <v>6</v>
      </c>
      <c r="AF135">
        <f>COUNTIF('Committee2022'!D:D,Data2022[[#This Row],[organisation_name]])</f>
        <v>3</v>
      </c>
      <c r="AG135">
        <v>2022</v>
      </c>
    </row>
    <row r="136" spans="1:33" x14ac:dyDescent="0.3">
      <c r="A136" t="str">
        <f>General2022[[#This Row],[organisation_name]]</f>
        <v>Enactus Twente</v>
      </c>
      <c r="B136" t="str">
        <f>IF(General2022[[#This Row],[sector]]= "",VLOOKUP(Data2022[[#This Row],[organisation_name]],'Response Rate sheet'!A:D,3,FALSE),General2022[[#This Row],[sector]])</f>
        <v>Social</v>
      </c>
      <c r="C136" t="str">
        <f>General2022[[#This Row],[organisation_type]]</f>
        <v>foundation</v>
      </c>
      <c r="D136" t="str">
        <f>IF(ISBLANK(General2022[[#This Row],[number_of_members]]),"N/A",VLOOKUP(A136,General2022[[organisation_name]:[number_of_international_committee_board_members_not_eea]],6,FALSE))</f>
        <v>N/A</v>
      </c>
      <c r="E136" t="str">
        <f>IF(ISBLANK(General2022[[#This Row],[number_of_committee_board_members]]),"N/A",VLOOKUP(A136,General2022!B:M,10,FALSE))</f>
        <v>N/A</v>
      </c>
      <c r="F136" t="str">
        <f>IFERROR(Data2022[[#This Row],[Number of members]]-Data2022[[#This Row],[Number of active members]], "N/A")</f>
        <v>N/A</v>
      </c>
      <c r="G136" t="str">
        <f>IFERROR(Data2022[[#This Row],[Number of active members]]/Data2022[[#This Row],[Number of members]], "N/A")</f>
        <v>N/A</v>
      </c>
      <c r="H136" t="str">
        <f>IFERROR(1-Data2022[[#This Row],[Percentage active members]],"N/A")</f>
        <v>N/A</v>
      </c>
      <c r="I136" t="str">
        <f>IF(Data2022[[#This Row],[Number of members]]=0,"N/A",IF(Data2022[[#This Row],[Number of members]]&lt;50," A. 1 - 50 ",IF(Data2022[[#This Row],[Number of members]]&lt;100, "B. 50 - 100", IF(Data2022[[#This Row],[Number of members]]&lt;400, "C. 100 - 400", IF(Data2022[[#This Row],[Number of members]]&lt;1000,"D. 400 - 1000", "E. 1000 +")))))</f>
        <v>E. 1000 +</v>
      </c>
      <c r="J136" t="str">
        <f>IF(ISBLANK(General2022[[#This Row],[number_of_international_members_not_eea]]),"N/A",VLOOKUP(A136,General2022[[organisation_name]:[number_of_international_committee_board_members_not_eea]],9,FALSE))</f>
        <v>N/A</v>
      </c>
      <c r="K136" t="str">
        <f>IF(ISBLANK(General2022[[#This Row],[number_of_international_members_eea]]),"N/A",VLOOKUP(A136,General2022[[organisation_name]:[number_of_international_committee_board_members_not_eea]],8,FALSE))</f>
        <v>N/A</v>
      </c>
      <c r="L136" t="str">
        <f>IFERROR(IF(Data2022[[#This Row],[Number of members]]-Data2022[[#This Row],[Non-EEA Total]]-Data2022[[#This Row],[EEA total]]&lt;1,"N/A", Data2022[[#This Row],[Number of members]]-Data2022[[#This Row],[Non-EEA Total]]-Data2022[[#This Row],[EEA total]]),"N/A")</f>
        <v>N/A</v>
      </c>
      <c r="M136">
        <f>VLOOKUP(A136,General2022[[organisation_name]:[number_of_international_committee_board_members_not_eea]],12,FALSE)</f>
        <v>0</v>
      </c>
      <c r="N136">
        <f>VLOOKUP(A136,General2022[[organisation_name]:[number_of_international_committee_board_members_not_eea]],11,FALSE)</f>
        <v>0</v>
      </c>
      <c r="O136" t="str">
        <f>IFERROR(IF(Data2022[[#This Row],[Number of active members]]-Data2022[[#This Row],[Non-EEA Active ]]-Data2022[[#This Row],[EEA Active]]&lt;1,"N/A", Data2022[[#This Row],[Number of active members]]-Data2022[[#This Row],[Non-EEA Active ]]-Data2022[[#This Row],[EEA Active]]),"N/A")</f>
        <v>N/A</v>
      </c>
      <c r="P136" t="str">
        <f>IFERROR(Data2022[[#This Row],[Non-EEA Active ]]/Data2022[[#This Row],[Number of active members]],"N/A")</f>
        <v>N/A</v>
      </c>
      <c r="Q136" t="str">
        <f>IFERROR(Data2022[[#This Row],[EEA Active]]/Data2022[[#This Row],[EEA total]], "N/A")</f>
        <v>N/A</v>
      </c>
      <c r="R136" t="str">
        <f>IFERROR(Data2022[[#This Row],[Dutch Active]]/Data2022[[#This Row],[Dutch total]],"N/A")</f>
        <v>N/A</v>
      </c>
      <c r="S136" t="str">
        <f>IFERROR(IF(Data2022[[#This Row],[Number of members]]=Data2022[[#This Row],[Non-EEA Total]]+Data2022[[#This Row],[EEA total]]+Data2022[[#This Row],[Dutch total]],"T","F"),"F")</f>
        <v>F</v>
      </c>
      <c r="T136" t="str">
        <f>IFERROR(IF(Data2022[[#This Row],[Number of active members]]=Data2022[[#This Row],[Non-EEA Active ]]+Data2022[[#This Row],[EEA Active]]+Data2022[[#This Row],[Dutch Active]],"T","F"),"F")</f>
        <v>F</v>
      </c>
      <c r="U136" t="str">
        <f>IFERROR(IF(Data2022[[#This Row],[Number of members]]-Data2022[[#This Row],[Non-EEA Active ]]-Data2022[[#This Row],[EEA Active]]-Data2022[[#This Row],[Dutch Active]]=Data2022[[#This Row],[Number of  inactive members]],"T","F"),"F")</f>
        <v>F</v>
      </c>
      <c r="V136" t="str">
        <f>IF(Data2022[[#This Row],[EEA Active]]&lt;=Data2022[[#This Row],[EEA total]],"T","F")</f>
        <v>T</v>
      </c>
      <c r="W136" t="str">
        <f>IF(Data2022[[#This Row],[Dutch Active]]&lt;=Data2022[[#This Row],[Dutch total]],"T","F")</f>
        <v>T</v>
      </c>
      <c r="X136" t="str">
        <f>IF(Data2022[[#This Row],[Non-EEA Active ]]&lt;=Data2022[[#This Row],[Non-EEA Total]],"T","F")</f>
        <v>T</v>
      </c>
      <c r="Y136"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6" t="str">
        <f>IFERROR(VLOOKUP(Data2022[[#This Row],[organisation_name]],'Division Study Year Committees'!$A$1:$L$108,2,FALSE),"N/A")</f>
        <v>N/A</v>
      </c>
      <c r="AA136" t="str">
        <f>IFERROR(VLOOKUP(Data2022[[#This Row],[organisation_name]],'Division Study Year Committees'!$A$1:$L$108,3,FALSE),"N/A")</f>
        <v>N/A</v>
      </c>
      <c r="AB136" t="str">
        <f>IFERROR(VLOOKUP(Data2022[[#This Row],[organisation_name]],'Division Study Year Committees'!$A$1:$L$108,4,FALSE),"N/A")</f>
        <v>N/A</v>
      </c>
      <c r="AC136" t="str">
        <f>IFERROR(VLOOKUP(Data2022[[#This Row],[organisation_name]],'Division Study Year Committees'!$A$1:$L$108,5,FALSE), "N/A")</f>
        <v>N/A</v>
      </c>
      <c r="AD136" t="str">
        <f>IFERROR(VLOOKUP(Data2022[[#This Row],[organisation_name]],'Division Study Year Committees'!$A$1:$L$108,6,FALSE), "N/A")</f>
        <v>N/A</v>
      </c>
      <c r="AE136">
        <f>SUM(Data2022[[#This Row],[Number of first year comittee members]:[Number of 4+ year comittee members]])</f>
        <v>0</v>
      </c>
      <c r="AF136">
        <f>COUNTIF('Committee2022'!D:D,Data2022[[#This Row],[organisation_name]])</f>
        <v>0</v>
      </c>
      <c r="AG136">
        <v>2022</v>
      </c>
    </row>
    <row r="137" spans="1:33" x14ac:dyDescent="0.3">
      <c r="A137" t="str">
        <f>General2022[[#This Row],[organisation_name]]</f>
        <v>Eurasian Student Organisation</v>
      </c>
      <c r="B137" t="str">
        <f>IF(General2022[[#This Row],[sector]]= "",VLOOKUP(Data2022[[#This Row],[organisation_name]],'Response Rate sheet'!A:D,3,FALSE),General2022[[#This Row],[sector]])</f>
        <v>World</v>
      </c>
      <c r="C137" t="str">
        <f>General2022[[#This Row],[organisation_type]]</f>
        <v>association</v>
      </c>
      <c r="D137">
        <f>IF(ISBLANK(General2022[[#This Row],[number_of_members]]),"N/A",VLOOKUP(A137,General2022[[organisation_name]:[number_of_international_committee_board_members_not_eea]],6,FALSE))</f>
        <v>200</v>
      </c>
      <c r="E137">
        <f>IF(ISBLANK(General2022[[#This Row],[number_of_committee_board_members]]),"N/A",VLOOKUP(A137,General2022!B:M,10,FALSE))</f>
        <v>15</v>
      </c>
      <c r="F137">
        <f>IFERROR(Data2022[[#This Row],[Number of members]]-Data2022[[#This Row],[Number of active members]], "N/A")</f>
        <v>185</v>
      </c>
      <c r="G137">
        <f>IFERROR(Data2022[[#This Row],[Number of active members]]/Data2022[[#This Row],[Number of members]], "N/A")</f>
        <v>7.4999999999999997E-2</v>
      </c>
      <c r="H137">
        <f>IFERROR(1-Data2022[[#This Row],[Percentage active members]],"N/A")</f>
        <v>0.92500000000000004</v>
      </c>
      <c r="I137" t="str">
        <f>IF(Data2022[[#This Row],[Number of members]]=0,"N/A",IF(Data2022[[#This Row],[Number of members]]&lt;50," A. 1 - 50 ",IF(Data2022[[#This Row],[Number of members]]&lt;100, "B. 50 - 100", IF(Data2022[[#This Row],[Number of members]]&lt;400, "C. 100 - 400", IF(Data2022[[#This Row],[Number of members]]&lt;1000,"D. 400 - 1000", "E. 1000 +")))))</f>
        <v>C. 100 - 400</v>
      </c>
      <c r="J137">
        <f>IF(ISBLANK(General2022[[#This Row],[number_of_international_members_not_eea]]),"N/A",VLOOKUP(A137,General2022[[organisation_name]:[number_of_international_committee_board_members_not_eea]],9,FALSE))</f>
        <v>20</v>
      </c>
      <c r="K137">
        <f>IF(ISBLANK(General2022[[#This Row],[number_of_international_members_eea]]),"N/A",VLOOKUP(A137,General2022[[organisation_name]:[number_of_international_committee_board_members_not_eea]],8,FALSE))</f>
        <v>200</v>
      </c>
      <c r="L137" t="str">
        <f>IFERROR(IF(Data2022[[#This Row],[Number of members]]-Data2022[[#This Row],[Non-EEA Total]]-Data2022[[#This Row],[EEA total]]&lt;1,"N/A", Data2022[[#This Row],[Number of members]]-Data2022[[#This Row],[Non-EEA Total]]-Data2022[[#This Row],[EEA total]]),"N/A")</f>
        <v>N/A</v>
      </c>
      <c r="M137">
        <f>VLOOKUP(A137,General2022[[organisation_name]:[number_of_international_committee_board_members_not_eea]],12,FALSE)</f>
        <v>20</v>
      </c>
      <c r="N137">
        <f>VLOOKUP(A137,General2022[[organisation_name]:[number_of_international_committee_board_members_not_eea]],11,FALSE)</f>
        <v>5</v>
      </c>
      <c r="O137" t="str">
        <f>IFERROR(IF(Data2022[[#This Row],[Number of active members]]-Data2022[[#This Row],[Non-EEA Active ]]-Data2022[[#This Row],[EEA Active]]&lt;1,"N/A", Data2022[[#This Row],[Number of active members]]-Data2022[[#This Row],[Non-EEA Active ]]-Data2022[[#This Row],[EEA Active]]),"N/A")</f>
        <v>N/A</v>
      </c>
      <c r="P137">
        <f>IFERROR(Data2022[[#This Row],[Non-EEA Active ]]/Data2022[[#This Row],[Number of active members]],"N/A")</f>
        <v>1.3333333333333333</v>
      </c>
      <c r="Q137">
        <f>IFERROR(Data2022[[#This Row],[EEA Active]]/Data2022[[#This Row],[EEA total]], "N/A")</f>
        <v>2.5000000000000001E-2</v>
      </c>
      <c r="R137" t="str">
        <f>IFERROR(Data2022[[#This Row],[Dutch Active]]/Data2022[[#This Row],[Dutch total]],"N/A")</f>
        <v>N/A</v>
      </c>
      <c r="S137" t="str">
        <f>IFERROR(IF(Data2022[[#This Row],[Number of members]]=Data2022[[#This Row],[Non-EEA Total]]+Data2022[[#This Row],[EEA total]]+Data2022[[#This Row],[Dutch total]],"T","F"),"F")</f>
        <v>F</v>
      </c>
      <c r="T137" t="str">
        <f>IFERROR(IF(Data2022[[#This Row],[Number of active members]]=Data2022[[#This Row],[Non-EEA Active ]]+Data2022[[#This Row],[EEA Active]]+Data2022[[#This Row],[Dutch Active]],"T","F"),"F")</f>
        <v>F</v>
      </c>
      <c r="U137" t="str">
        <f>IFERROR(IF(Data2022[[#This Row],[Number of members]]-Data2022[[#This Row],[Non-EEA Active ]]-Data2022[[#This Row],[EEA Active]]-Data2022[[#This Row],[Dutch Active]]=Data2022[[#This Row],[Number of  inactive members]],"T","F"),"F")</f>
        <v>F</v>
      </c>
      <c r="V137" t="str">
        <f>IF(Data2022[[#This Row],[EEA Active]]&lt;=Data2022[[#This Row],[EEA total]],"T","F")</f>
        <v>T</v>
      </c>
      <c r="W137" t="str">
        <f>IF(Data2022[[#This Row],[Dutch Active]]&lt;=Data2022[[#This Row],[Dutch total]],"T","F")</f>
        <v>T</v>
      </c>
      <c r="X137" t="str">
        <f>IF(Data2022[[#This Row],[Non-EEA Active ]]&lt;=Data2022[[#This Row],[Non-EEA Total]],"T","F")</f>
        <v>T</v>
      </c>
      <c r="Y137"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7">
        <f>IFERROR(VLOOKUP(Data2022[[#This Row],[organisation_name]],'Division Study Year Committees'!$A$1:$L$108,2,FALSE),"N/A")</f>
        <v>5</v>
      </c>
      <c r="AA137">
        <f>IFERROR(VLOOKUP(Data2022[[#This Row],[organisation_name]],'Division Study Year Committees'!$A$1:$L$108,3,FALSE),"N/A")</f>
        <v>1</v>
      </c>
      <c r="AB137">
        <f>IFERROR(VLOOKUP(Data2022[[#This Row],[organisation_name]],'Division Study Year Committees'!$A$1:$L$108,4,FALSE),"N/A")</f>
        <v>2</v>
      </c>
      <c r="AC137">
        <f>IFERROR(VLOOKUP(Data2022[[#This Row],[organisation_name]],'Division Study Year Committees'!$A$1:$L$108,5,FALSE), "N/A")</f>
        <v>0</v>
      </c>
      <c r="AD137">
        <f>IFERROR(VLOOKUP(Data2022[[#This Row],[organisation_name]],'Division Study Year Committees'!$A$1:$L$108,6,FALSE), "N/A")</f>
        <v>0</v>
      </c>
      <c r="AE137">
        <f>SUM(Data2022[[#This Row],[Number of first year comittee members]:[Number of 4+ year comittee members]])</f>
        <v>8</v>
      </c>
      <c r="AF137">
        <f>COUNTIF('Committee2022'!D:D,Data2022[[#This Row],[organisation_name]])</f>
        <v>3</v>
      </c>
      <c r="AG137">
        <v>2022</v>
      </c>
    </row>
    <row r="138" spans="1:33" x14ac:dyDescent="0.3">
      <c r="A138" t="str">
        <f>General2022[[#This Row],[organisation_name]]</f>
        <v>Ultimate Frisbee Twente</v>
      </c>
      <c r="B138" t="str">
        <f>IF(General2022[[#This Row],[sector]]= "",VLOOKUP(Data2022[[#This Row],[organisation_name]],'Response Rate sheet'!A:D,3,FALSE),General2022[[#This Row],[sector]])</f>
        <v>Sports</v>
      </c>
      <c r="C138" t="str">
        <f>General2022[[#This Row],[organisation_type]]</f>
        <v>association</v>
      </c>
      <c r="D138" t="str">
        <f>IF(ISBLANK(General2022[[#This Row],[number_of_members]]),"N/A",VLOOKUP(A138,General2022[[organisation_name]:[number_of_international_committee_board_members_not_eea]],6,FALSE))</f>
        <v>N/A</v>
      </c>
      <c r="E138" t="str">
        <f>IF(ISBLANK(General2022[[#This Row],[number_of_committee_board_members]]),"N/A",VLOOKUP(A138,General2022!B:M,10,FALSE))</f>
        <v>N/A</v>
      </c>
      <c r="F138" t="str">
        <f>IFERROR(Data2022[[#This Row],[Number of members]]-Data2022[[#This Row],[Number of active members]], "N/A")</f>
        <v>N/A</v>
      </c>
      <c r="G138" t="str">
        <f>IFERROR(Data2022[[#This Row],[Number of active members]]/Data2022[[#This Row],[Number of members]], "N/A")</f>
        <v>N/A</v>
      </c>
      <c r="H138" t="str">
        <f>IFERROR(1-Data2022[[#This Row],[Percentage active members]],"N/A")</f>
        <v>N/A</v>
      </c>
      <c r="I138" t="str">
        <f>IF(Data2022[[#This Row],[Number of members]]=0,"N/A",IF(Data2022[[#This Row],[Number of members]]&lt;50," A. 1 - 50 ",IF(Data2022[[#This Row],[Number of members]]&lt;100, "B. 50 - 100", IF(Data2022[[#This Row],[Number of members]]&lt;400, "C. 100 - 400", IF(Data2022[[#This Row],[Number of members]]&lt;1000,"D. 400 - 1000", "E. 1000 +")))))</f>
        <v>E. 1000 +</v>
      </c>
      <c r="J138" t="str">
        <f>IF(ISBLANK(General2022[[#This Row],[number_of_international_members_not_eea]]),"N/A",VLOOKUP(A138,General2022[[organisation_name]:[number_of_international_committee_board_members_not_eea]],9,FALSE))</f>
        <v>N/A</v>
      </c>
      <c r="K138" t="str">
        <f>IF(ISBLANK(General2022[[#This Row],[number_of_international_members_eea]]),"N/A",VLOOKUP(A138,General2022[[organisation_name]:[number_of_international_committee_board_members_not_eea]],8,FALSE))</f>
        <v>N/A</v>
      </c>
      <c r="L138" t="str">
        <f>IFERROR(IF(Data2022[[#This Row],[Number of members]]-Data2022[[#This Row],[Non-EEA Total]]-Data2022[[#This Row],[EEA total]]&lt;1,"N/A", Data2022[[#This Row],[Number of members]]-Data2022[[#This Row],[Non-EEA Total]]-Data2022[[#This Row],[EEA total]]),"N/A")</f>
        <v>N/A</v>
      </c>
      <c r="M138">
        <f>VLOOKUP(A138,General2022[[organisation_name]:[number_of_international_committee_board_members_not_eea]],12,FALSE)</f>
        <v>0</v>
      </c>
      <c r="N138">
        <f>VLOOKUP(A138,General2022[[organisation_name]:[number_of_international_committee_board_members_not_eea]],11,FALSE)</f>
        <v>0</v>
      </c>
      <c r="O138" t="str">
        <f>IFERROR(IF(Data2022[[#This Row],[Number of active members]]-Data2022[[#This Row],[Non-EEA Active ]]-Data2022[[#This Row],[EEA Active]]&lt;1,"N/A", Data2022[[#This Row],[Number of active members]]-Data2022[[#This Row],[Non-EEA Active ]]-Data2022[[#This Row],[EEA Active]]),"N/A")</f>
        <v>N/A</v>
      </c>
      <c r="P138" t="str">
        <f>IFERROR(Data2022[[#This Row],[Non-EEA Active ]]/Data2022[[#This Row],[Number of active members]],"N/A")</f>
        <v>N/A</v>
      </c>
      <c r="Q138" t="str">
        <f>IFERROR(Data2022[[#This Row],[EEA Active]]/Data2022[[#This Row],[EEA total]], "N/A")</f>
        <v>N/A</v>
      </c>
      <c r="R138" t="str">
        <f>IFERROR(Data2022[[#This Row],[Dutch Active]]/Data2022[[#This Row],[Dutch total]],"N/A")</f>
        <v>N/A</v>
      </c>
      <c r="S138" t="str">
        <f>IFERROR(IF(Data2022[[#This Row],[Number of members]]=Data2022[[#This Row],[Non-EEA Total]]+Data2022[[#This Row],[EEA total]]+Data2022[[#This Row],[Dutch total]],"T","F"),"F")</f>
        <v>F</v>
      </c>
      <c r="T138" t="str">
        <f>IFERROR(IF(Data2022[[#This Row],[Number of active members]]=Data2022[[#This Row],[Non-EEA Active ]]+Data2022[[#This Row],[EEA Active]]+Data2022[[#This Row],[Dutch Active]],"T","F"),"F")</f>
        <v>F</v>
      </c>
      <c r="U138" t="str">
        <f>IFERROR(IF(Data2022[[#This Row],[Number of members]]-Data2022[[#This Row],[Non-EEA Active ]]-Data2022[[#This Row],[EEA Active]]-Data2022[[#This Row],[Dutch Active]]=Data2022[[#This Row],[Number of  inactive members]],"T","F"),"F")</f>
        <v>F</v>
      </c>
      <c r="V138" t="str">
        <f>IF(Data2022[[#This Row],[EEA Active]]&lt;=Data2022[[#This Row],[EEA total]],"T","F")</f>
        <v>T</v>
      </c>
      <c r="W138" t="str">
        <f>IF(Data2022[[#This Row],[Dutch Active]]&lt;=Data2022[[#This Row],[Dutch total]],"T","F")</f>
        <v>T</v>
      </c>
      <c r="X138" t="str">
        <f>IF(Data2022[[#This Row],[Non-EEA Active ]]&lt;=Data2022[[#This Row],[Non-EEA Total]],"T","F")</f>
        <v>T</v>
      </c>
      <c r="Y138" t="str">
        <f>IF(OR(Data2022[[#This Row],[Test total number of members]]="F",Data2022[[#This Row],[Test total number of active members]]="F",Data2022[[#This Row],[Test total number inactive members]]="F",Data2022[[#This Row],[Test max EEA active]]="F",Data2022[[#This Row],[Test max Dutch active]]="F",Data2022[[#This Row],[Test max non-EEA active]]="F"),"F","T")</f>
        <v>F</v>
      </c>
      <c r="Z138" t="str">
        <f>IFERROR(VLOOKUP(Data2022[[#This Row],[organisation_name]],'Division Study Year Committees'!$A$1:$L$108,2,FALSE),"N/A")</f>
        <v>N/A</v>
      </c>
      <c r="AA138" t="str">
        <f>IFERROR(VLOOKUP(Data2022[[#This Row],[organisation_name]],'Division Study Year Committees'!$A$1:$L$108,3,FALSE),"N/A")</f>
        <v>N/A</v>
      </c>
      <c r="AB138" t="str">
        <f>IFERROR(VLOOKUP(Data2022[[#This Row],[organisation_name]],'Division Study Year Committees'!$A$1:$L$108,4,FALSE),"N/A")</f>
        <v>N/A</v>
      </c>
      <c r="AC138" t="str">
        <f>IFERROR(VLOOKUP(Data2022[[#This Row],[organisation_name]],'Division Study Year Committees'!$A$1:$L$108,5,FALSE), "N/A")</f>
        <v>N/A</v>
      </c>
      <c r="AD138" t="str">
        <f>IFERROR(VLOOKUP(Data2022[[#This Row],[organisation_name]],'Division Study Year Committees'!$A$1:$L$108,6,FALSE), "N/A")</f>
        <v>N/A</v>
      </c>
      <c r="AE138">
        <f>SUM(Data2022[[#This Row],[Number of first year comittee members]:[Number of 4+ year comittee members]])</f>
        <v>0</v>
      </c>
      <c r="AF138">
        <f>COUNTIF('Committee2022'!D:D,Data2022[[#This Row],[organisation_name]])</f>
        <v>0</v>
      </c>
      <c r="AG138">
        <v>2022</v>
      </c>
    </row>
    <row r="139" spans="1:33" x14ac:dyDescent="0.3">
      <c r="A139" t="str">
        <f>General2022[[#This Row],[organisation_name]]</f>
        <v>Ambitious Women UT</v>
      </c>
      <c r="B139" t="str">
        <f>IF(General2022[[#This Row],[sector]]= "",VLOOKUP(Data2022[[#This Row],[organisation_name]],'Response Rate sheet'!A:D,3,FALSE),General2022[[#This Row],[sector]])</f>
        <v>Other</v>
      </c>
      <c r="C139" t="str">
        <f>General2022[[#This Row],[organisation_type]]</f>
        <v>association</v>
      </c>
      <c r="D139">
        <f>IF(ISBLANK(General2022[[#This Row],[number_of_members]]),"N/A",VLOOKUP(A139,General2022[[organisation_name]:[number_of_international_committee_board_members_not_eea]],6,FALSE))</f>
        <v>28</v>
      </c>
      <c r="E139">
        <f>IF(ISBLANK(General2022[[#This Row],[number_of_committee_board_members]]),"N/A",VLOOKUP(A139,General2022!B:M,10,FALSE))</f>
        <v>7</v>
      </c>
      <c r="F139">
        <f>IFERROR(Data2022[[#This Row],[Number of members]]-Data2022[[#This Row],[Number of active members]], "N/A")</f>
        <v>21</v>
      </c>
      <c r="G139">
        <f>IFERROR(Data2022[[#This Row],[Number of active members]]/Data2022[[#This Row],[Number of members]], "N/A")</f>
        <v>0.25</v>
      </c>
      <c r="H139">
        <f>IFERROR(1-Data2022[[#This Row],[Percentage active members]],"N/A")</f>
        <v>0.75</v>
      </c>
      <c r="I139" t="str">
        <f>IF(Data2022[[#This Row],[Number of members]]=0,"N/A",IF(Data2022[[#This Row],[Number of members]]&lt;50," A. 1 - 50 ",IF(Data2022[[#This Row],[Number of members]]&lt;100, "B. 50 - 100", IF(Data2022[[#This Row],[Number of members]]&lt;400, "C. 100 - 400", IF(Data2022[[#This Row],[Number of members]]&lt;1000,"D. 400 - 1000", "E. 1000 +")))))</f>
        <v xml:space="preserve"> A. 1 - 50 </v>
      </c>
      <c r="J139">
        <f>IF(ISBLANK(General2022[[#This Row],[number_of_international_members_not_eea]]),"N/A",VLOOKUP(A139,General2022[[organisation_name]:[number_of_international_committee_board_members_not_eea]],9,FALSE))</f>
        <v>4</v>
      </c>
      <c r="K139">
        <f>IF(ISBLANK(General2022[[#This Row],[number_of_international_members_eea]]),"N/A",VLOOKUP(A139,General2022[[organisation_name]:[number_of_international_committee_board_members_not_eea]],8,FALSE))</f>
        <v>17</v>
      </c>
      <c r="L139">
        <f>IFERROR(IF(Data2022[[#This Row],[Number of members]]-Data2022[[#This Row],[Non-EEA Total]]-Data2022[[#This Row],[EEA total]]&lt;1,"N/A", Data2022[[#This Row],[Number of members]]-Data2022[[#This Row],[Non-EEA Total]]-Data2022[[#This Row],[EEA total]]),"N/A")</f>
        <v>7</v>
      </c>
      <c r="M139">
        <f>VLOOKUP(A139,General2022[[organisation_name]:[number_of_international_committee_board_members_not_eea]],12,FALSE)</f>
        <v>9</v>
      </c>
      <c r="N139">
        <f>VLOOKUP(A139,General2022[[organisation_name]:[number_of_international_committee_board_members_not_eea]],11,FALSE)</f>
        <v>7</v>
      </c>
      <c r="O139" t="str">
        <f>IFERROR(IF(Data2022[[#This Row],[Number of active members]]-Data2022[[#This Row],[Non-EEA Active ]]-Data2022[[#This Row],[EEA Active]]&lt;1,"N/A", Data2022[[#This Row],[Number of active members]]-Data2022[[#This Row],[Non-EEA Active ]]-Data2022[[#This Row],[EEA Active]]),"N/A")</f>
        <v>N/A</v>
      </c>
      <c r="P139">
        <f>IFERROR(Data2022[[#This Row],[Non-EEA Active ]]/Data2022[[#This Row],[Number of active members]],"N/A")</f>
        <v>1.2857142857142858</v>
      </c>
      <c r="Q139">
        <f>IFERROR(Data2022[[#This Row],[EEA Active]]/Data2022[[#This Row],[EEA total]], "N/A")</f>
        <v>0.41176470588235292</v>
      </c>
      <c r="R139" t="str">
        <f>IFERROR(Data2022[[#This Row],[Dutch Active]]/Data2022[[#This Row],[Dutch total]],"N/A")</f>
        <v>N/A</v>
      </c>
      <c r="S139" t="str">
        <f>IFERROR(IF(Data2022[[#This Row],[Number of members]]=Data2022[[#This Row],[Non-EEA Total]]+Data2022[[#This Row],[EEA total]]+Data2022[[#This Row],[Dutch total]],"T","F"),"F")</f>
        <v>T</v>
      </c>
      <c r="T139" t="str">
        <f>IFERROR(IF(Data2022[[#This Row],[Number of active members]]=Data2022[[#This Row],[Non-EEA Active ]]+Data2022[[#This Row],[EEA Active]]+Data2022[[#This Row],[Dutch Active]],"T","F"),"F")</f>
        <v>F</v>
      </c>
      <c r="U139" t="str">
        <f>IFERROR(IF(Data2022[[#This Row],[Number of members]]-Data2022[[#This Row],[Non-EEA Active ]]-Data2022[[#This Row],[EEA Active]]-Data2022[[#This Row],[Dutch Active]]=Data2022[[#This Row],[Number of  inactive members]],"T","F"),"F")</f>
        <v>F</v>
      </c>
      <c r="V139" t="str">
        <f>IF(Data2022[[#This Row],[EEA Active]]&lt;=Data2022[[#This Row],[EEA total]],"T","F")</f>
        <v>T</v>
      </c>
      <c r="W139" t="str">
        <f>IF(Data2022[[#This Row],[Dutch Active]]&lt;=Data2022[[#This Row],[Dutch total]],"T","F")</f>
        <v>F</v>
      </c>
      <c r="X139" t="str">
        <f>IF(Data2022[[#This Row],[Non-EEA Active ]]&lt;=Data2022[[#This Row],[Non-EEA Total]],"T","F")</f>
        <v>F</v>
      </c>
      <c r="Z139" t="str">
        <f>IFERROR(VLOOKUP(Data2022[[#This Row],[organisation_name]],'Division Study Year Committees'!$A$1:$L$108,2,FALSE),"N/A")</f>
        <v>N/A</v>
      </c>
      <c r="AA139" t="str">
        <f>IFERROR(VLOOKUP(Data2022[[#This Row],[organisation_name]],'Division Study Year Committees'!$A$1:$L$108,3,FALSE),"N/A")</f>
        <v>N/A</v>
      </c>
      <c r="AB139" t="str">
        <f>IFERROR(VLOOKUP(Data2022[[#This Row],[organisation_name]],'Division Study Year Committees'!$A$1:$L$108,4,FALSE),"N/A")</f>
        <v>N/A</v>
      </c>
      <c r="AC139" t="str">
        <f>IFERROR(VLOOKUP(Data2022[[#This Row],[organisation_name]],'Division Study Year Committees'!$A$1:$L$108,5,FALSE), "N/A")</f>
        <v>N/A</v>
      </c>
      <c r="AD139" t="str">
        <f>IFERROR(VLOOKUP(Data2022[[#This Row],[organisation_name]],'Division Study Year Committees'!$A$1:$L$108,6,FALSE), "N/A")</f>
        <v>N/A</v>
      </c>
      <c r="AE139">
        <f>SUM(Data2022[[#This Row],[Number of first year comittee members]:[Number of 4+ year comittee members]])</f>
        <v>0</v>
      </c>
      <c r="AF139">
        <f>COUNTIF('Committee2022'!D:D,Data2022[[#This Row],[organisation_name]])</f>
        <v>5</v>
      </c>
      <c r="AG139">
        <v>2022</v>
      </c>
    </row>
    <row r="140" spans="1:33" x14ac:dyDescent="0.3">
      <c r="A140" t="str">
        <f>General2022[[#This Row],[organisation_name]]</f>
        <v>IAESTE Twente</v>
      </c>
      <c r="B140" t="str">
        <f>IF(General2022[[#This Row],[sector]]= "",VLOOKUP(Data2022[[#This Row],[organisation_name]],'Response Rate sheet'!A:D,3,FALSE),General2022[[#This Row],[sector]])</f>
        <v>Sports</v>
      </c>
      <c r="C140" t="str">
        <f>General2022[[#This Row],[organisation_type]]</f>
        <v>foundation</v>
      </c>
      <c r="D140" t="str">
        <f>IF(ISBLANK(General2022[[#This Row],[number_of_members]]),"N/A",VLOOKUP(A140,General2022[[organisation_name]:[number_of_international_committee_board_members_not_eea]],6,FALSE))</f>
        <v>N/A</v>
      </c>
      <c r="E140" t="str">
        <f>IF(ISBLANK(General2022[[#This Row],[number_of_committee_board_members]]),"N/A",VLOOKUP(A140,General2022!B:M,10,FALSE))</f>
        <v>N/A</v>
      </c>
      <c r="F140" t="str">
        <f>IFERROR(Data2022[[#This Row],[Number of members]]-Data2022[[#This Row],[Number of active members]], "N/A")</f>
        <v>N/A</v>
      </c>
      <c r="G140" t="str">
        <f>IFERROR(Data2022[[#This Row],[Number of active members]]/Data2022[[#This Row],[Number of members]], "N/A")</f>
        <v>N/A</v>
      </c>
      <c r="H140" t="str">
        <f>IFERROR(1-Data2022[[#This Row],[Percentage active members]],"N/A")</f>
        <v>N/A</v>
      </c>
      <c r="I140" t="str">
        <f>IF(Data2022[[#This Row],[Number of members]]=0,"N/A",IF(Data2022[[#This Row],[Number of members]]&lt;50," A. 1 - 50 ",IF(Data2022[[#This Row],[Number of members]]&lt;100, "B. 50 - 100", IF(Data2022[[#This Row],[Number of members]]&lt;400, "C. 100 - 400", IF(Data2022[[#This Row],[Number of members]]&lt;1000,"D. 400 - 1000", "E. 1000 +")))))</f>
        <v>E. 1000 +</v>
      </c>
      <c r="J140" t="str">
        <f>IF(ISBLANK(General2022[[#This Row],[number_of_international_members_not_eea]]),"N/A",VLOOKUP(A140,General2022[[organisation_name]:[number_of_international_committee_board_members_not_eea]],9,FALSE))</f>
        <v>N/A</v>
      </c>
      <c r="K140" t="str">
        <f>IF(ISBLANK(General2022[[#This Row],[number_of_international_members_eea]]),"N/A",VLOOKUP(A140,General2022[[organisation_name]:[number_of_international_committee_board_members_not_eea]],8,FALSE))</f>
        <v>N/A</v>
      </c>
      <c r="L140" t="str">
        <f>IFERROR(IF(Data2022[[#This Row],[Number of members]]-Data2022[[#This Row],[Non-EEA Total]]-Data2022[[#This Row],[EEA total]]&lt;1,"N/A", Data2022[[#This Row],[Number of members]]-Data2022[[#This Row],[Non-EEA Total]]-Data2022[[#This Row],[EEA total]]),"N/A")</f>
        <v>N/A</v>
      </c>
      <c r="M140">
        <f>VLOOKUP(A140,General2022[[organisation_name]:[number_of_international_committee_board_members_not_eea]],12,FALSE)</f>
        <v>0</v>
      </c>
      <c r="N140">
        <f>VLOOKUP(A140,General2022[[organisation_name]:[number_of_international_committee_board_members_not_eea]],11,FALSE)</f>
        <v>0</v>
      </c>
      <c r="O140" t="str">
        <f>IFERROR(IF(Data2022[[#This Row],[Number of active members]]-Data2022[[#This Row],[Non-EEA Active ]]-Data2022[[#This Row],[EEA Active]]&lt;1,"N/A", Data2022[[#This Row],[Number of active members]]-Data2022[[#This Row],[Non-EEA Active ]]-Data2022[[#This Row],[EEA Active]]),"N/A")</f>
        <v>N/A</v>
      </c>
      <c r="P140" t="str">
        <f>IFERROR(Data2022[[#This Row],[Non-EEA Active ]]/Data2022[[#This Row],[Number of active members]],"N/A")</f>
        <v>N/A</v>
      </c>
      <c r="Q140" t="str">
        <f>IFERROR(Data2022[[#This Row],[EEA Active]]/Data2022[[#This Row],[EEA total]], "N/A")</f>
        <v>N/A</v>
      </c>
      <c r="R140" t="str">
        <f>IFERROR(Data2022[[#This Row],[Dutch Active]]/Data2022[[#This Row],[Dutch total]],"N/A")</f>
        <v>N/A</v>
      </c>
      <c r="S140" t="str">
        <f>IFERROR(IF(Data2022[[#This Row],[Number of members]]=Data2022[[#This Row],[Non-EEA Total]]+Data2022[[#This Row],[EEA total]]+Data2022[[#This Row],[Dutch total]],"T","F"),"F")</f>
        <v>F</v>
      </c>
      <c r="T140" t="str">
        <f>IFERROR(IF(Data2022[[#This Row],[Number of active members]]=Data2022[[#This Row],[Non-EEA Active ]]+Data2022[[#This Row],[EEA Active]]+Data2022[[#This Row],[Dutch Active]],"T","F"),"F")</f>
        <v>F</v>
      </c>
      <c r="U140" t="str">
        <f>IFERROR(IF(Data2022[[#This Row],[Number of members]]-Data2022[[#This Row],[Non-EEA Active ]]-Data2022[[#This Row],[EEA Active]]-Data2022[[#This Row],[Dutch Active]]=Data2022[[#This Row],[Number of  inactive members]],"T","F"),"F")</f>
        <v>F</v>
      </c>
      <c r="V140" t="str">
        <f>IF(Data2022[[#This Row],[EEA Active]]&lt;=Data2022[[#This Row],[EEA total]],"T","F")</f>
        <v>T</v>
      </c>
      <c r="W140" t="str">
        <f>IF(Data2022[[#This Row],[Dutch Active]]&lt;=Data2022[[#This Row],[Dutch total]],"T","F")</f>
        <v>T</v>
      </c>
      <c r="X140" t="str">
        <f>IF(Data2022[[#This Row],[Non-EEA Active ]]&lt;=Data2022[[#This Row],[Non-EEA Total]],"T","F")</f>
        <v>T</v>
      </c>
      <c r="Y140" t="e">
        <f>IF(OR(Data2022[[#This Row],[Test total number of members]],Data2022[[#This Row],[Test total number of active members]],Data2022[[#This Row],[Test total number inactive members]],Data2022[[#This Row],[Test max EEA active]],Data2022[[#This Row],[Test max Dutch active]],Data2022[[#This Row],[Test max non-EEA active]])="F",0,1)</f>
        <v>#VALUE!</v>
      </c>
      <c r="Z140" t="str">
        <f>IFERROR(VLOOKUP(Data2022[[#This Row],[organisation_name]],'Division Study Year Committees'!$A$1:$L$108,2,FALSE),"N/A")</f>
        <v>N/A</v>
      </c>
      <c r="AA140" t="str">
        <f>IFERROR(VLOOKUP(Data2022[[#This Row],[organisation_name]],'Division Study Year Committees'!$A$1:$L$108,3,FALSE),"N/A")</f>
        <v>N/A</v>
      </c>
      <c r="AB140" t="str">
        <f>IFERROR(VLOOKUP(Data2022[[#This Row],[organisation_name]],'Division Study Year Committees'!$A$1:$L$108,4,FALSE),"N/A")</f>
        <v>N/A</v>
      </c>
      <c r="AC140" t="str">
        <f>IFERROR(VLOOKUP(Data2022[[#This Row],[organisation_name]],'Division Study Year Committees'!$A$1:$L$108,5,FALSE), "N/A")</f>
        <v>N/A</v>
      </c>
      <c r="AD140" t="str">
        <f>IFERROR(VLOOKUP(Data2022[[#This Row],[organisation_name]],'Division Study Year Committees'!$A$1:$L$108,6,FALSE), "N/A")</f>
        <v>N/A</v>
      </c>
      <c r="AE140">
        <f>SUM(Data2022[[#This Row],[Number of first year comittee members]:[Number of 4+ year comittee members]])</f>
        <v>0</v>
      </c>
      <c r="AF140">
        <f>COUNTIF('Committee2022'!D:D,Data2022[[#This Row],[organisation_name]])</f>
        <v>0</v>
      </c>
      <c r="AG140">
        <v>2022</v>
      </c>
    </row>
  </sheetData>
  <sheetProtection selectLockedCells="1" autoFilter="0" pivotTables="0" selectUnlockedCells="1"/>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497CA-9B5A-4B39-8AE2-BCE3A38969AD}">
  <sheetPr codeName="Sheet26">
    <tabColor rgb="FFF2F0F5"/>
  </sheetPr>
  <dimension ref="A1:M143"/>
  <sheetViews>
    <sheetView workbookViewId="0">
      <selection activeCell="I166" sqref="I166"/>
    </sheetView>
  </sheetViews>
  <sheetFormatPr defaultRowHeight="14.4" x14ac:dyDescent="0.3"/>
  <cols>
    <col min="1" max="1" width="16.88671875" customWidth="1"/>
    <col min="2" max="2" width="20.109375" customWidth="1"/>
    <col min="3" max="3" width="19.109375" customWidth="1"/>
    <col min="4" max="4" width="20.109375" customWidth="1"/>
    <col min="5" max="5" width="20.44140625" customWidth="1"/>
    <col min="7" max="7" width="22.44140625" customWidth="1"/>
    <col min="8" max="8" width="47.109375" customWidth="1"/>
    <col min="9" max="9" width="39.33203125" customWidth="1"/>
    <col min="10" max="10" width="43.33203125" customWidth="1"/>
    <col min="11" max="11" width="39.33203125" customWidth="1"/>
    <col min="12" max="12" width="56.109375" customWidth="1"/>
    <col min="13" max="13" width="60.109375" customWidth="1"/>
  </cols>
  <sheetData>
    <row r="1" spans="1:13" x14ac:dyDescent="0.3">
      <c r="A1" t="s">
        <v>0</v>
      </c>
      <c r="B1" t="s">
        <v>1</v>
      </c>
      <c r="C1" t="s">
        <v>2</v>
      </c>
      <c r="D1" t="s">
        <v>3</v>
      </c>
      <c r="E1" t="s">
        <v>4</v>
      </c>
      <c r="F1" t="s">
        <v>5</v>
      </c>
      <c r="G1" t="s">
        <v>6</v>
      </c>
      <c r="H1" t="s">
        <v>7</v>
      </c>
      <c r="I1" t="s">
        <v>8</v>
      </c>
      <c r="J1" t="s">
        <v>9</v>
      </c>
      <c r="K1" t="s">
        <v>10</v>
      </c>
      <c r="L1" t="s">
        <v>11</v>
      </c>
      <c r="M1" t="s">
        <v>12</v>
      </c>
    </row>
    <row r="2" spans="1:13" x14ac:dyDescent="0.3">
      <c r="A2">
        <v>107</v>
      </c>
      <c r="B2" t="s">
        <v>13</v>
      </c>
      <c r="C2" t="s">
        <v>14</v>
      </c>
      <c r="D2" t="s">
        <v>15</v>
      </c>
      <c r="E2" t="s">
        <v>16</v>
      </c>
      <c r="F2" t="s">
        <v>17</v>
      </c>
      <c r="G2">
        <v>85</v>
      </c>
      <c r="H2">
        <v>60</v>
      </c>
      <c r="I2">
        <v>10</v>
      </c>
      <c r="J2">
        <v>20</v>
      </c>
      <c r="K2">
        <v>10</v>
      </c>
      <c r="L2">
        <v>12</v>
      </c>
      <c r="M2">
        <v>8</v>
      </c>
    </row>
    <row r="3" spans="1:13" x14ac:dyDescent="0.3">
      <c r="A3">
        <v>108</v>
      </c>
      <c r="B3" t="s">
        <v>18</v>
      </c>
      <c r="C3" t="s">
        <v>14</v>
      </c>
      <c r="D3" t="s">
        <v>19</v>
      </c>
      <c r="E3" t="s">
        <v>16</v>
      </c>
      <c r="F3" t="s">
        <v>20</v>
      </c>
      <c r="G3">
        <v>99</v>
      </c>
      <c r="H3">
        <v>6</v>
      </c>
      <c r="I3">
        <v>1</v>
      </c>
      <c r="J3">
        <v>40</v>
      </c>
      <c r="K3">
        <v>10</v>
      </c>
      <c r="L3">
        <v>0</v>
      </c>
      <c r="M3">
        <v>1</v>
      </c>
    </row>
    <row r="4" spans="1:13" x14ac:dyDescent="0.3">
      <c r="A4">
        <v>110</v>
      </c>
      <c r="B4" t="s">
        <v>21</v>
      </c>
      <c r="C4" t="s">
        <v>14</v>
      </c>
      <c r="D4" t="s">
        <v>22</v>
      </c>
      <c r="E4" t="s">
        <v>16</v>
      </c>
      <c r="F4" t="s">
        <v>20</v>
      </c>
      <c r="G4">
        <v>5</v>
      </c>
      <c r="H4">
        <v>5</v>
      </c>
      <c r="I4">
        <v>5</v>
      </c>
      <c r="J4">
        <v>5</v>
      </c>
      <c r="K4">
        <v>5</v>
      </c>
      <c r="L4">
        <v>5</v>
      </c>
      <c r="M4">
        <v>5</v>
      </c>
    </row>
    <row r="5" spans="1:13" x14ac:dyDescent="0.3">
      <c r="A5">
        <v>111</v>
      </c>
      <c r="B5" t="s">
        <v>23</v>
      </c>
      <c r="C5" t="s">
        <v>14</v>
      </c>
      <c r="D5" t="s">
        <v>24</v>
      </c>
      <c r="E5" t="s">
        <v>16</v>
      </c>
      <c r="F5" t="s">
        <v>20</v>
      </c>
      <c r="G5">
        <v>72</v>
      </c>
      <c r="H5">
        <v>70</v>
      </c>
      <c r="I5">
        <v>2</v>
      </c>
      <c r="J5">
        <v>29</v>
      </c>
      <c r="K5">
        <v>10</v>
      </c>
      <c r="L5">
        <v>2</v>
      </c>
      <c r="M5">
        <v>0</v>
      </c>
    </row>
    <row r="6" spans="1:13" x14ac:dyDescent="0.3">
      <c r="A6">
        <v>112</v>
      </c>
      <c r="B6" t="s">
        <v>25</v>
      </c>
      <c r="C6" t="s">
        <v>14</v>
      </c>
      <c r="D6" t="s">
        <v>26</v>
      </c>
      <c r="E6" t="s">
        <v>16</v>
      </c>
      <c r="F6" t="s">
        <v>20</v>
      </c>
      <c r="G6">
        <v>240</v>
      </c>
      <c r="H6">
        <v>5</v>
      </c>
      <c r="I6">
        <v>5</v>
      </c>
      <c r="J6">
        <v>75</v>
      </c>
      <c r="K6">
        <v>75</v>
      </c>
      <c r="L6">
        <v>1</v>
      </c>
      <c r="M6">
        <v>0</v>
      </c>
    </row>
    <row r="7" spans="1:13" x14ac:dyDescent="0.3">
      <c r="A7">
        <v>113</v>
      </c>
      <c r="B7" t="s">
        <v>27</v>
      </c>
      <c r="C7" t="s">
        <v>14</v>
      </c>
      <c r="D7" t="s">
        <v>28</v>
      </c>
      <c r="E7" t="s">
        <v>16</v>
      </c>
      <c r="F7" t="s">
        <v>20</v>
      </c>
      <c r="G7">
        <v>29</v>
      </c>
      <c r="H7">
        <v>23</v>
      </c>
      <c r="I7">
        <v>6</v>
      </c>
      <c r="J7">
        <v>10</v>
      </c>
      <c r="K7">
        <v>5</v>
      </c>
      <c r="L7">
        <v>12</v>
      </c>
      <c r="M7">
        <v>0</v>
      </c>
    </row>
    <row r="8" spans="1:13" x14ac:dyDescent="0.3">
      <c r="A8">
        <v>114</v>
      </c>
      <c r="B8" t="s">
        <v>29</v>
      </c>
      <c r="C8" t="s">
        <v>14</v>
      </c>
      <c r="D8" t="s">
        <v>30</v>
      </c>
      <c r="E8" t="s">
        <v>16</v>
      </c>
      <c r="F8" t="s">
        <v>20</v>
      </c>
      <c r="G8">
        <v>170</v>
      </c>
      <c r="H8">
        <v>15</v>
      </c>
      <c r="I8">
        <v>4</v>
      </c>
      <c r="J8">
        <v>35</v>
      </c>
      <c r="K8">
        <v>50</v>
      </c>
      <c r="L8">
        <v>7</v>
      </c>
      <c r="M8">
        <v>3</v>
      </c>
    </row>
    <row r="9" spans="1:13" x14ac:dyDescent="0.3">
      <c r="A9">
        <v>115</v>
      </c>
      <c r="B9" t="s">
        <v>31</v>
      </c>
      <c r="C9" t="s">
        <v>14</v>
      </c>
      <c r="D9" t="s">
        <v>32</v>
      </c>
      <c r="E9" t="s">
        <v>16</v>
      </c>
      <c r="F9" t="s">
        <v>20</v>
      </c>
      <c r="G9">
        <v>85</v>
      </c>
      <c r="H9">
        <v>6</v>
      </c>
      <c r="I9">
        <v>0</v>
      </c>
      <c r="J9">
        <v>32</v>
      </c>
      <c r="K9">
        <v>10</v>
      </c>
      <c r="L9">
        <v>1</v>
      </c>
      <c r="M9">
        <v>0</v>
      </c>
    </row>
    <row r="10" spans="1:13" x14ac:dyDescent="0.3">
      <c r="A10">
        <v>116</v>
      </c>
      <c r="B10" t="s">
        <v>33</v>
      </c>
      <c r="C10" t="s">
        <v>14</v>
      </c>
      <c r="D10" t="s">
        <v>34</v>
      </c>
      <c r="E10" t="s">
        <v>16</v>
      </c>
    </row>
    <row r="11" spans="1:13" x14ac:dyDescent="0.3">
      <c r="A11">
        <v>117</v>
      </c>
      <c r="B11" t="s">
        <v>35</v>
      </c>
      <c r="C11" t="s">
        <v>14</v>
      </c>
      <c r="D11" t="s">
        <v>36</v>
      </c>
      <c r="E11" t="s">
        <v>16</v>
      </c>
      <c r="F11" t="s">
        <v>20</v>
      </c>
      <c r="G11">
        <v>42</v>
      </c>
      <c r="H11">
        <v>6</v>
      </c>
      <c r="I11">
        <v>0</v>
      </c>
      <c r="J11">
        <v>14</v>
      </c>
      <c r="K11">
        <v>8</v>
      </c>
      <c r="L11">
        <v>1</v>
      </c>
      <c r="M11">
        <v>0</v>
      </c>
    </row>
    <row r="12" spans="1:13" x14ac:dyDescent="0.3">
      <c r="A12">
        <v>118</v>
      </c>
      <c r="B12" t="s">
        <v>37</v>
      </c>
      <c r="C12" t="s">
        <v>14</v>
      </c>
      <c r="D12" t="s">
        <v>38</v>
      </c>
      <c r="E12" t="s">
        <v>16</v>
      </c>
      <c r="F12" t="s">
        <v>20</v>
      </c>
      <c r="G12">
        <v>290</v>
      </c>
      <c r="H12">
        <v>8</v>
      </c>
      <c r="I12">
        <v>1</v>
      </c>
      <c r="J12">
        <v>0</v>
      </c>
      <c r="K12">
        <v>175</v>
      </c>
      <c r="L12">
        <v>0</v>
      </c>
      <c r="M12">
        <v>0</v>
      </c>
    </row>
    <row r="13" spans="1:13" x14ac:dyDescent="0.3">
      <c r="A13">
        <v>119</v>
      </c>
      <c r="B13" t="s">
        <v>39</v>
      </c>
      <c r="C13" t="s">
        <v>14</v>
      </c>
      <c r="D13" t="s">
        <v>40</v>
      </c>
      <c r="E13" t="s">
        <v>16</v>
      </c>
    </row>
    <row r="14" spans="1:13" x14ac:dyDescent="0.3">
      <c r="A14">
        <v>120</v>
      </c>
      <c r="B14" t="s">
        <v>41</v>
      </c>
      <c r="C14" t="s">
        <v>14</v>
      </c>
      <c r="D14" t="s">
        <v>42</v>
      </c>
      <c r="E14" t="s">
        <v>16</v>
      </c>
      <c r="F14" t="s">
        <v>20</v>
      </c>
      <c r="G14">
        <v>390</v>
      </c>
      <c r="H14">
        <v>5</v>
      </c>
      <c r="I14">
        <v>0</v>
      </c>
      <c r="J14">
        <v>170</v>
      </c>
      <c r="K14">
        <v>10</v>
      </c>
      <c r="L14">
        <v>3</v>
      </c>
      <c r="M14">
        <v>0</v>
      </c>
    </row>
    <row r="15" spans="1:13" x14ac:dyDescent="0.3">
      <c r="A15">
        <v>121</v>
      </c>
      <c r="B15" t="s">
        <v>43</v>
      </c>
      <c r="C15" t="s">
        <v>14</v>
      </c>
      <c r="D15" t="s">
        <v>44</v>
      </c>
      <c r="E15" t="s">
        <v>16</v>
      </c>
      <c r="F15" t="s">
        <v>20</v>
      </c>
      <c r="G15">
        <v>65</v>
      </c>
      <c r="H15">
        <v>58</v>
      </c>
      <c r="I15">
        <v>7</v>
      </c>
      <c r="J15">
        <v>25</v>
      </c>
      <c r="K15">
        <v>13</v>
      </c>
      <c r="L15">
        <v>20</v>
      </c>
      <c r="M15">
        <v>5</v>
      </c>
    </row>
    <row r="16" spans="1:13" x14ac:dyDescent="0.3">
      <c r="A16">
        <v>122</v>
      </c>
      <c r="B16" t="s">
        <v>45</v>
      </c>
      <c r="C16" t="s">
        <v>14</v>
      </c>
      <c r="D16" t="s">
        <v>46</v>
      </c>
      <c r="E16" t="s">
        <v>16</v>
      </c>
      <c r="F16" t="s">
        <v>20</v>
      </c>
      <c r="G16">
        <v>77</v>
      </c>
      <c r="H16">
        <v>2</v>
      </c>
      <c r="I16">
        <v>0</v>
      </c>
      <c r="J16">
        <v>40</v>
      </c>
      <c r="K16">
        <v>20</v>
      </c>
      <c r="L16">
        <v>0</v>
      </c>
      <c r="M16">
        <v>0</v>
      </c>
    </row>
    <row r="17" spans="1:13" x14ac:dyDescent="0.3">
      <c r="A17">
        <v>123</v>
      </c>
      <c r="B17" t="s">
        <v>47</v>
      </c>
      <c r="C17" t="s">
        <v>14</v>
      </c>
      <c r="D17" t="s">
        <v>48</v>
      </c>
      <c r="E17" t="s">
        <v>16</v>
      </c>
      <c r="F17" t="s">
        <v>20</v>
      </c>
      <c r="G17">
        <v>70</v>
      </c>
      <c r="H17">
        <v>6</v>
      </c>
      <c r="I17">
        <v>3</v>
      </c>
      <c r="J17">
        <v>25</v>
      </c>
      <c r="K17">
        <v>0</v>
      </c>
      <c r="L17">
        <v>4</v>
      </c>
      <c r="M17">
        <v>0</v>
      </c>
    </row>
    <row r="18" spans="1:13" x14ac:dyDescent="0.3">
      <c r="A18">
        <v>124</v>
      </c>
      <c r="B18" t="s">
        <v>49</v>
      </c>
      <c r="C18" t="s">
        <v>14</v>
      </c>
      <c r="D18" t="s">
        <v>50</v>
      </c>
      <c r="E18" t="s">
        <v>16</v>
      </c>
      <c r="F18" t="s">
        <v>20</v>
      </c>
      <c r="G18">
        <v>50</v>
      </c>
      <c r="H18">
        <v>8</v>
      </c>
      <c r="I18">
        <v>0</v>
      </c>
      <c r="J18">
        <v>25</v>
      </c>
      <c r="K18">
        <v>10</v>
      </c>
      <c r="L18">
        <v>4</v>
      </c>
      <c r="M18">
        <v>0</v>
      </c>
    </row>
    <row r="19" spans="1:13" x14ac:dyDescent="0.3">
      <c r="A19">
        <v>125</v>
      </c>
      <c r="B19" t="s">
        <v>51</v>
      </c>
      <c r="C19" t="s">
        <v>14</v>
      </c>
      <c r="D19" t="s">
        <v>52</v>
      </c>
      <c r="E19" t="s">
        <v>16</v>
      </c>
      <c r="F19" t="s">
        <v>20</v>
      </c>
      <c r="G19">
        <v>100</v>
      </c>
      <c r="H19">
        <v>70</v>
      </c>
      <c r="I19">
        <v>10</v>
      </c>
      <c r="J19">
        <v>15</v>
      </c>
      <c r="K19">
        <v>30</v>
      </c>
      <c r="L19">
        <v>8</v>
      </c>
      <c r="M19">
        <v>2</v>
      </c>
    </row>
    <row r="20" spans="1:13" x14ac:dyDescent="0.3">
      <c r="A20">
        <v>126</v>
      </c>
      <c r="B20" t="s">
        <v>53</v>
      </c>
      <c r="C20" t="s">
        <v>14</v>
      </c>
      <c r="D20" t="s">
        <v>54</v>
      </c>
      <c r="E20" t="s">
        <v>16</v>
      </c>
      <c r="F20" t="s">
        <v>20</v>
      </c>
      <c r="G20">
        <v>43</v>
      </c>
      <c r="H20">
        <v>4</v>
      </c>
      <c r="I20">
        <v>2</v>
      </c>
      <c r="J20">
        <v>10</v>
      </c>
      <c r="K20">
        <v>3</v>
      </c>
      <c r="L20">
        <v>1</v>
      </c>
      <c r="M20">
        <v>0</v>
      </c>
    </row>
    <row r="21" spans="1:13" x14ac:dyDescent="0.3">
      <c r="A21">
        <v>127</v>
      </c>
      <c r="B21" t="s">
        <v>55</v>
      </c>
      <c r="C21" t="s">
        <v>14</v>
      </c>
      <c r="D21" t="s">
        <v>56</v>
      </c>
      <c r="E21" t="s">
        <v>16</v>
      </c>
      <c r="F21" t="s">
        <v>20</v>
      </c>
      <c r="G21">
        <v>68</v>
      </c>
      <c r="H21">
        <v>14</v>
      </c>
      <c r="I21">
        <v>1</v>
      </c>
      <c r="J21">
        <v>40</v>
      </c>
      <c r="K21">
        <v>5</v>
      </c>
      <c r="L21">
        <v>7</v>
      </c>
      <c r="M21">
        <v>1</v>
      </c>
    </row>
    <row r="22" spans="1:13" x14ac:dyDescent="0.3">
      <c r="A22">
        <v>128</v>
      </c>
      <c r="B22" t="s">
        <v>57</v>
      </c>
      <c r="C22" t="s">
        <v>14</v>
      </c>
      <c r="D22" t="s">
        <v>58</v>
      </c>
      <c r="E22" t="s">
        <v>16</v>
      </c>
      <c r="F22" t="s">
        <v>20</v>
      </c>
      <c r="G22">
        <v>35</v>
      </c>
      <c r="H22">
        <v>8</v>
      </c>
      <c r="I22">
        <v>3</v>
      </c>
      <c r="J22">
        <v>17</v>
      </c>
      <c r="K22">
        <v>5</v>
      </c>
      <c r="L22">
        <v>4</v>
      </c>
      <c r="M22">
        <v>1</v>
      </c>
    </row>
    <row r="23" spans="1:13" x14ac:dyDescent="0.3">
      <c r="A23">
        <v>129</v>
      </c>
      <c r="B23" t="s">
        <v>59</v>
      </c>
      <c r="C23" t="s">
        <v>14</v>
      </c>
      <c r="D23" t="s">
        <v>60</v>
      </c>
      <c r="E23" t="s">
        <v>16</v>
      </c>
      <c r="F23" t="s">
        <v>20</v>
      </c>
      <c r="G23">
        <v>74</v>
      </c>
      <c r="H23">
        <v>10</v>
      </c>
      <c r="I23">
        <v>1</v>
      </c>
      <c r="J23">
        <v>15</v>
      </c>
      <c r="K23">
        <v>20</v>
      </c>
      <c r="L23">
        <v>2</v>
      </c>
      <c r="M23">
        <v>0</v>
      </c>
    </row>
    <row r="24" spans="1:13" x14ac:dyDescent="0.3">
      <c r="A24">
        <v>130</v>
      </c>
      <c r="B24" t="s">
        <v>61</v>
      </c>
      <c r="C24" t="s">
        <v>14</v>
      </c>
      <c r="D24" t="s">
        <v>62</v>
      </c>
      <c r="E24" t="s">
        <v>16</v>
      </c>
      <c r="F24" t="s">
        <v>20</v>
      </c>
      <c r="G24">
        <v>57</v>
      </c>
      <c r="H24">
        <v>0</v>
      </c>
      <c r="I24">
        <v>0</v>
      </c>
      <c r="J24">
        <v>40</v>
      </c>
      <c r="K24">
        <v>5</v>
      </c>
      <c r="L24">
        <v>0</v>
      </c>
      <c r="M24">
        <v>0</v>
      </c>
    </row>
    <row r="25" spans="1:13" x14ac:dyDescent="0.3">
      <c r="A25">
        <v>131</v>
      </c>
      <c r="B25" t="s">
        <v>63</v>
      </c>
      <c r="C25" t="s">
        <v>14</v>
      </c>
      <c r="D25" t="s">
        <v>64</v>
      </c>
      <c r="E25" t="s">
        <v>16</v>
      </c>
      <c r="F25" t="s">
        <v>20</v>
      </c>
      <c r="G25">
        <v>51</v>
      </c>
      <c r="H25">
        <v>35</v>
      </c>
      <c r="I25">
        <v>16</v>
      </c>
      <c r="J25">
        <v>16</v>
      </c>
      <c r="K25">
        <v>25</v>
      </c>
      <c r="L25">
        <v>0</v>
      </c>
      <c r="M25">
        <v>1</v>
      </c>
    </row>
    <row r="26" spans="1:13" x14ac:dyDescent="0.3">
      <c r="A26">
        <v>132</v>
      </c>
      <c r="B26" t="s">
        <v>65</v>
      </c>
      <c r="C26" t="s">
        <v>14</v>
      </c>
      <c r="D26" t="s">
        <v>66</v>
      </c>
      <c r="E26" t="s">
        <v>16</v>
      </c>
    </row>
    <row r="27" spans="1:13" x14ac:dyDescent="0.3">
      <c r="A27">
        <v>133</v>
      </c>
      <c r="B27" t="s">
        <v>1199</v>
      </c>
      <c r="C27" t="s">
        <v>14</v>
      </c>
      <c r="D27" t="s">
        <v>68</v>
      </c>
      <c r="E27" t="s">
        <v>16</v>
      </c>
      <c r="F27" t="s">
        <v>20</v>
      </c>
      <c r="G27">
        <v>55</v>
      </c>
      <c r="H27">
        <v>10</v>
      </c>
      <c r="I27">
        <v>5</v>
      </c>
      <c r="J27">
        <v>10</v>
      </c>
      <c r="K27">
        <v>5</v>
      </c>
      <c r="L27">
        <v>2</v>
      </c>
      <c r="M27">
        <v>2</v>
      </c>
    </row>
    <row r="28" spans="1:13" x14ac:dyDescent="0.3">
      <c r="A28">
        <v>134</v>
      </c>
      <c r="B28" t="s">
        <v>69</v>
      </c>
      <c r="C28" t="s">
        <v>14</v>
      </c>
      <c r="D28" t="s">
        <v>70</v>
      </c>
      <c r="E28" t="s">
        <v>16</v>
      </c>
      <c r="F28" t="s">
        <v>20</v>
      </c>
      <c r="G28">
        <v>610</v>
      </c>
      <c r="H28">
        <v>90</v>
      </c>
      <c r="I28">
        <v>30</v>
      </c>
      <c r="J28">
        <v>120</v>
      </c>
      <c r="K28">
        <v>250</v>
      </c>
      <c r="L28">
        <v>10</v>
      </c>
      <c r="M28">
        <v>3</v>
      </c>
    </row>
    <row r="29" spans="1:13" x14ac:dyDescent="0.3">
      <c r="A29">
        <v>135</v>
      </c>
      <c r="B29" t="s">
        <v>71</v>
      </c>
      <c r="C29" t="s">
        <v>14</v>
      </c>
      <c r="D29" t="s">
        <v>72</v>
      </c>
      <c r="E29" t="s">
        <v>16</v>
      </c>
      <c r="F29" t="s">
        <v>20</v>
      </c>
      <c r="G29">
        <v>175</v>
      </c>
      <c r="H29">
        <v>0</v>
      </c>
      <c r="I29">
        <v>0</v>
      </c>
      <c r="J29">
        <v>40</v>
      </c>
      <c r="K29">
        <v>11</v>
      </c>
      <c r="L29">
        <v>0</v>
      </c>
      <c r="M29">
        <v>0</v>
      </c>
    </row>
    <row r="30" spans="1:13" x14ac:dyDescent="0.3">
      <c r="A30">
        <v>136</v>
      </c>
      <c r="B30" t="s">
        <v>73</v>
      </c>
      <c r="C30" t="s">
        <v>14</v>
      </c>
      <c r="D30" t="s">
        <v>74</v>
      </c>
      <c r="E30" t="s">
        <v>16</v>
      </c>
      <c r="F30" t="s">
        <v>20</v>
      </c>
      <c r="G30">
        <v>122</v>
      </c>
      <c r="H30">
        <v>120</v>
      </c>
      <c r="I30">
        <v>2</v>
      </c>
      <c r="J30">
        <v>30</v>
      </c>
      <c r="K30">
        <v>20</v>
      </c>
      <c r="L30">
        <v>10</v>
      </c>
      <c r="M30">
        <v>0</v>
      </c>
    </row>
    <row r="31" spans="1:13" x14ac:dyDescent="0.3">
      <c r="A31">
        <v>137</v>
      </c>
      <c r="B31" t="s">
        <v>75</v>
      </c>
      <c r="C31" t="s">
        <v>14</v>
      </c>
      <c r="D31" t="s">
        <v>76</v>
      </c>
      <c r="E31" t="s">
        <v>16</v>
      </c>
      <c r="F31" t="s">
        <v>20</v>
      </c>
      <c r="G31">
        <v>380</v>
      </c>
      <c r="H31">
        <v>70</v>
      </c>
      <c r="I31">
        <v>30</v>
      </c>
      <c r="J31">
        <v>50</v>
      </c>
      <c r="K31">
        <v>100</v>
      </c>
      <c r="L31">
        <v>10</v>
      </c>
      <c r="M31">
        <v>0</v>
      </c>
    </row>
    <row r="32" spans="1:13" x14ac:dyDescent="0.3">
      <c r="A32">
        <v>138</v>
      </c>
      <c r="B32" t="s">
        <v>77</v>
      </c>
      <c r="C32" t="s">
        <v>14</v>
      </c>
      <c r="D32" t="s">
        <v>78</v>
      </c>
      <c r="E32" t="s">
        <v>16</v>
      </c>
      <c r="F32" t="s">
        <v>20</v>
      </c>
      <c r="G32">
        <v>420</v>
      </c>
      <c r="J32">
        <v>100</v>
      </c>
      <c r="K32">
        <v>100</v>
      </c>
    </row>
    <row r="33" spans="1:13" x14ac:dyDescent="0.3">
      <c r="A33">
        <v>139</v>
      </c>
      <c r="B33" t="s">
        <v>79</v>
      </c>
      <c r="C33" t="s">
        <v>14</v>
      </c>
      <c r="D33" t="s">
        <v>80</v>
      </c>
      <c r="E33" t="s">
        <v>16</v>
      </c>
      <c r="F33" t="s">
        <v>20</v>
      </c>
      <c r="G33">
        <v>250</v>
      </c>
      <c r="H33">
        <v>24</v>
      </c>
      <c r="I33">
        <v>0</v>
      </c>
      <c r="J33">
        <v>80</v>
      </c>
      <c r="K33">
        <v>40</v>
      </c>
      <c r="L33">
        <v>5</v>
      </c>
      <c r="M33">
        <v>0</v>
      </c>
    </row>
    <row r="34" spans="1:13" x14ac:dyDescent="0.3">
      <c r="A34">
        <v>140</v>
      </c>
      <c r="B34" t="s">
        <v>81</v>
      </c>
      <c r="C34" t="s">
        <v>14</v>
      </c>
      <c r="D34" t="s">
        <v>82</v>
      </c>
      <c r="E34" t="s">
        <v>16</v>
      </c>
    </row>
    <row r="35" spans="1:13" x14ac:dyDescent="0.3">
      <c r="A35">
        <v>141</v>
      </c>
      <c r="B35" t="s">
        <v>83</v>
      </c>
      <c r="C35" t="s">
        <v>14</v>
      </c>
      <c r="D35" t="s">
        <v>84</v>
      </c>
      <c r="E35" t="s">
        <v>16</v>
      </c>
      <c r="F35" t="s">
        <v>17</v>
      </c>
      <c r="G35">
        <v>44</v>
      </c>
      <c r="H35">
        <v>13</v>
      </c>
      <c r="I35">
        <v>5</v>
      </c>
      <c r="J35">
        <v>15</v>
      </c>
      <c r="K35">
        <v>20</v>
      </c>
      <c r="L35">
        <v>13</v>
      </c>
      <c r="M35">
        <v>2</v>
      </c>
    </row>
    <row r="36" spans="1:13" x14ac:dyDescent="0.3">
      <c r="A36">
        <v>142</v>
      </c>
      <c r="B36" t="s">
        <v>85</v>
      </c>
      <c r="C36" t="s">
        <v>14</v>
      </c>
      <c r="D36" t="s">
        <v>86</v>
      </c>
      <c r="E36" t="s">
        <v>16</v>
      </c>
    </row>
    <row r="37" spans="1:13" x14ac:dyDescent="0.3">
      <c r="A37">
        <v>143</v>
      </c>
      <c r="B37" t="s">
        <v>87</v>
      </c>
      <c r="C37" t="s">
        <v>14</v>
      </c>
      <c r="D37" t="s">
        <v>88</v>
      </c>
      <c r="E37" t="s">
        <v>16</v>
      </c>
      <c r="F37" t="s">
        <v>20</v>
      </c>
      <c r="G37">
        <v>65</v>
      </c>
      <c r="H37">
        <v>62</v>
      </c>
      <c r="I37">
        <v>3</v>
      </c>
      <c r="J37">
        <v>10</v>
      </c>
      <c r="K37">
        <v>0</v>
      </c>
      <c r="L37">
        <v>9</v>
      </c>
      <c r="M37">
        <v>1</v>
      </c>
    </row>
    <row r="38" spans="1:13" x14ac:dyDescent="0.3">
      <c r="A38">
        <v>144</v>
      </c>
      <c r="B38" t="s">
        <v>89</v>
      </c>
      <c r="C38" t="s">
        <v>14</v>
      </c>
      <c r="D38" t="s">
        <v>90</v>
      </c>
      <c r="E38" t="s">
        <v>16</v>
      </c>
    </row>
    <row r="39" spans="1:13" x14ac:dyDescent="0.3">
      <c r="A39">
        <v>145</v>
      </c>
      <c r="B39" t="s">
        <v>91</v>
      </c>
      <c r="C39" t="s">
        <v>14</v>
      </c>
      <c r="D39" t="s">
        <v>92</v>
      </c>
      <c r="E39" t="s">
        <v>16</v>
      </c>
    </row>
    <row r="40" spans="1:13" x14ac:dyDescent="0.3">
      <c r="A40">
        <v>146</v>
      </c>
      <c r="B40" t="s">
        <v>93</v>
      </c>
      <c r="C40" t="s">
        <v>14</v>
      </c>
      <c r="D40" t="s">
        <v>94</v>
      </c>
      <c r="E40" t="s">
        <v>16</v>
      </c>
    </row>
    <row r="41" spans="1:13" x14ac:dyDescent="0.3">
      <c r="A41">
        <v>147</v>
      </c>
      <c r="B41" t="s">
        <v>95</v>
      </c>
      <c r="C41" t="s">
        <v>14</v>
      </c>
      <c r="D41" t="s">
        <v>96</v>
      </c>
      <c r="E41" t="s">
        <v>16</v>
      </c>
    </row>
    <row r="42" spans="1:13" x14ac:dyDescent="0.3">
      <c r="A42">
        <v>148</v>
      </c>
      <c r="B42" t="s">
        <v>97</v>
      </c>
      <c r="C42" t="s">
        <v>14</v>
      </c>
      <c r="D42" t="s">
        <v>98</v>
      </c>
      <c r="E42" t="s">
        <v>16</v>
      </c>
      <c r="F42" t="s">
        <v>20</v>
      </c>
      <c r="G42">
        <v>180</v>
      </c>
      <c r="H42">
        <v>30</v>
      </c>
      <c r="I42">
        <v>30</v>
      </c>
      <c r="J42">
        <v>60</v>
      </c>
      <c r="K42">
        <v>30</v>
      </c>
      <c r="L42">
        <v>25</v>
      </c>
      <c r="M42">
        <v>25</v>
      </c>
    </row>
    <row r="43" spans="1:13" x14ac:dyDescent="0.3">
      <c r="A43">
        <v>149</v>
      </c>
      <c r="B43" t="s">
        <v>99</v>
      </c>
      <c r="C43" t="s">
        <v>14</v>
      </c>
      <c r="D43" t="s">
        <v>100</v>
      </c>
      <c r="E43" t="s">
        <v>16</v>
      </c>
      <c r="F43" t="s">
        <v>17</v>
      </c>
      <c r="G43">
        <v>190</v>
      </c>
      <c r="H43">
        <v>140</v>
      </c>
      <c r="I43">
        <v>50</v>
      </c>
      <c r="J43">
        <v>40</v>
      </c>
      <c r="K43">
        <v>0</v>
      </c>
    </row>
    <row r="44" spans="1:13" x14ac:dyDescent="0.3">
      <c r="A44">
        <v>151</v>
      </c>
      <c r="B44" t="s">
        <v>101</v>
      </c>
      <c r="C44" t="s">
        <v>14</v>
      </c>
      <c r="D44" t="s">
        <v>102</v>
      </c>
      <c r="E44" t="s">
        <v>16</v>
      </c>
    </row>
    <row r="45" spans="1:13" x14ac:dyDescent="0.3">
      <c r="A45">
        <v>152</v>
      </c>
      <c r="B45" t="s">
        <v>103</v>
      </c>
      <c r="C45" t="s">
        <v>14</v>
      </c>
      <c r="D45" t="s">
        <v>104</v>
      </c>
      <c r="E45" t="s">
        <v>16</v>
      </c>
      <c r="F45" t="s">
        <v>17</v>
      </c>
      <c r="G45">
        <v>28</v>
      </c>
      <c r="H45">
        <v>10</v>
      </c>
      <c r="I45">
        <v>4</v>
      </c>
      <c r="J45">
        <v>6</v>
      </c>
      <c r="K45">
        <v>6</v>
      </c>
      <c r="L45">
        <v>3</v>
      </c>
      <c r="M45">
        <v>1</v>
      </c>
    </row>
    <row r="46" spans="1:13" x14ac:dyDescent="0.3">
      <c r="A46">
        <v>153</v>
      </c>
      <c r="B46" t="s">
        <v>105</v>
      </c>
      <c r="C46" t="s">
        <v>14</v>
      </c>
      <c r="D46" t="s">
        <v>106</v>
      </c>
      <c r="E46" t="s">
        <v>16</v>
      </c>
      <c r="F46" t="s">
        <v>17</v>
      </c>
      <c r="G46">
        <v>155</v>
      </c>
      <c r="H46">
        <v>95</v>
      </c>
      <c r="I46">
        <v>60</v>
      </c>
      <c r="J46">
        <v>24</v>
      </c>
      <c r="K46">
        <v>35</v>
      </c>
      <c r="L46">
        <v>24</v>
      </c>
      <c r="M46">
        <v>0</v>
      </c>
    </row>
    <row r="47" spans="1:13" x14ac:dyDescent="0.3">
      <c r="A47">
        <v>154</v>
      </c>
      <c r="B47" t="s">
        <v>107</v>
      </c>
      <c r="C47" t="s">
        <v>14</v>
      </c>
      <c r="D47" t="s">
        <v>108</v>
      </c>
      <c r="E47" t="s">
        <v>16</v>
      </c>
    </row>
    <row r="48" spans="1:13" x14ac:dyDescent="0.3">
      <c r="A48">
        <v>155</v>
      </c>
      <c r="B48" t="s">
        <v>109</v>
      </c>
      <c r="C48" t="s">
        <v>14</v>
      </c>
      <c r="D48" t="s">
        <v>110</v>
      </c>
      <c r="E48" t="s">
        <v>16</v>
      </c>
      <c r="F48" t="s">
        <v>17</v>
      </c>
      <c r="G48">
        <v>88</v>
      </c>
      <c r="H48">
        <v>8</v>
      </c>
      <c r="I48">
        <v>1</v>
      </c>
      <c r="J48">
        <v>12</v>
      </c>
      <c r="K48">
        <v>15</v>
      </c>
      <c r="L48">
        <v>0</v>
      </c>
      <c r="M48">
        <v>0</v>
      </c>
    </row>
    <row r="49" spans="1:13" x14ac:dyDescent="0.3">
      <c r="A49">
        <v>156</v>
      </c>
      <c r="B49" t="s">
        <v>111</v>
      </c>
      <c r="C49" t="s">
        <v>14</v>
      </c>
      <c r="D49" t="s">
        <v>112</v>
      </c>
      <c r="E49" t="s">
        <v>16</v>
      </c>
      <c r="F49" t="s">
        <v>17</v>
      </c>
      <c r="G49">
        <v>18</v>
      </c>
      <c r="H49">
        <v>1</v>
      </c>
      <c r="I49">
        <v>2</v>
      </c>
      <c r="J49">
        <v>11</v>
      </c>
      <c r="K49">
        <v>4</v>
      </c>
      <c r="L49">
        <v>0</v>
      </c>
      <c r="M49">
        <v>0</v>
      </c>
    </row>
    <row r="50" spans="1:13" x14ac:dyDescent="0.3">
      <c r="A50">
        <v>157</v>
      </c>
      <c r="B50" t="s">
        <v>113</v>
      </c>
      <c r="C50" t="s">
        <v>14</v>
      </c>
      <c r="D50" t="s">
        <v>114</v>
      </c>
      <c r="E50" t="s">
        <v>16</v>
      </c>
      <c r="F50" t="s">
        <v>17</v>
      </c>
      <c r="G50">
        <v>43</v>
      </c>
      <c r="H50">
        <v>10</v>
      </c>
      <c r="I50">
        <v>5</v>
      </c>
      <c r="J50">
        <v>25</v>
      </c>
      <c r="K50">
        <v>15</v>
      </c>
      <c r="L50">
        <v>8</v>
      </c>
      <c r="M50">
        <v>4</v>
      </c>
    </row>
    <row r="51" spans="1:13" x14ac:dyDescent="0.3">
      <c r="A51">
        <v>158</v>
      </c>
      <c r="B51" t="s">
        <v>115</v>
      </c>
      <c r="C51" t="s">
        <v>14</v>
      </c>
      <c r="D51" t="s">
        <v>116</v>
      </c>
      <c r="E51" t="s">
        <v>16</v>
      </c>
      <c r="F51" t="s">
        <v>17</v>
      </c>
      <c r="G51">
        <v>70</v>
      </c>
      <c r="H51">
        <v>17</v>
      </c>
      <c r="I51">
        <v>0</v>
      </c>
      <c r="J51">
        <v>28</v>
      </c>
      <c r="K51">
        <v>10</v>
      </c>
      <c r="L51">
        <v>8</v>
      </c>
      <c r="M51">
        <v>0</v>
      </c>
    </row>
    <row r="52" spans="1:13" x14ac:dyDescent="0.3">
      <c r="A52">
        <v>159</v>
      </c>
      <c r="B52" t="s">
        <v>117</v>
      </c>
      <c r="C52" t="s">
        <v>14</v>
      </c>
      <c r="D52" t="s">
        <v>118</v>
      </c>
      <c r="E52" t="s">
        <v>16</v>
      </c>
      <c r="F52" t="s">
        <v>17</v>
      </c>
      <c r="G52">
        <v>48</v>
      </c>
      <c r="H52">
        <v>12</v>
      </c>
      <c r="I52">
        <v>2</v>
      </c>
      <c r="J52">
        <v>15</v>
      </c>
      <c r="K52">
        <v>6</v>
      </c>
      <c r="L52">
        <v>2</v>
      </c>
      <c r="M52">
        <v>0</v>
      </c>
    </row>
    <row r="53" spans="1:13" x14ac:dyDescent="0.3">
      <c r="A53">
        <v>160</v>
      </c>
      <c r="B53" t="s">
        <v>119</v>
      </c>
      <c r="C53" t="s">
        <v>14</v>
      </c>
      <c r="D53" t="s">
        <v>120</v>
      </c>
      <c r="E53" t="s">
        <v>16</v>
      </c>
      <c r="F53" t="s">
        <v>17</v>
      </c>
      <c r="G53">
        <v>48</v>
      </c>
      <c r="H53">
        <v>5</v>
      </c>
      <c r="I53">
        <v>3</v>
      </c>
      <c r="J53">
        <v>26</v>
      </c>
      <c r="K53">
        <v>8</v>
      </c>
      <c r="L53">
        <v>3</v>
      </c>
      <c r="M53">
        <v>3</v>
      </c>
    </row>
    <row r="54" spans="1:13" x14ac:dyDescent="0.3">
      <c r="A54">
        <v>161</v>
      </c>
      <c r="B54" t="s">
        <v>121</v>
      </c>
      <c r="C54" t="s">
        <v>14</v>
      </c>
      <c r="D54" t="s">
        <v>122</v>
      </c>
      <c r="E54" t="s">
        <v>16</v>
      </c>
      <c r="F54" t="s">
        <v>17</v>
      </c>
      <c r="G54">
        <v>60</v>
      </c>
      <c r="H54">
        <v>3</v>
      </c>
      <c r="I54">
        <v>0</v>
      </c>
      <c r="J54">
        <v>20</v>
      </c>
      <c r="K54">
        <v>10</v>
      </c>
      <c r="L54">
        <v>0</v>
      </c>
      <c r="M54">
        <v>0</v>
      </c>
    </row>
    <row r="55" spans="1:13" x14ac:dyDescent="0.3">
      <c r="A55">
        <v>162</v>
      </c>
      <c r="B55" t="s">
        <v>123</v>
      </c>
      <c r="C55" t="s">
        <v>14</v>
      </c>
      <c r="D55" t="s">
        <v>124</v>
      </c>
      <c r="E55" t="s">
        <v>16</v>
      </c>
      <c r="F55" t="s">
        <v>17</v>
      </c>
      <c r="G55">
        <v>20</v>
      </c>
      <c r="H55">
        <v>4</v>
      </c>
      <c r="I55">
        <v>1</v>
      </c>
      <c r="J55">
        <v>3</v>
      </c>
      <c r="K55">
        <v>6</v>
      </c>
      <c r="L55">
        <v>1</v>
      </c>
      <c r="M55">
        <v>0</v>
      </c>
    </row>
    <row r="56" spans="1:13" x14ac:dyDescent="0.3">
      <c r="A56">
        <v>163</v>
      </c>
      <c r="B56" t="s">
        <v>125</v>
      </c>
      <c r="C56" t="s">
        <v>126</v>
      </c>
      <c r="D56" t="s">
        <v>127</v>
      </c>
      <c r="E56" t="s">
        <v>16</v>
      </c>
      <c r="F56" t="s">
        <v>17</v>
      </c>
      <c r="G56">
        <v>50</v>
      </c>
      <c r="H56">
        <v>2</v>
      </c>
      <c r="I56">
        <v>2</v>
      </c>
      <c r="J56">
        <v>0</v>
      </c>
      <c r="K56">
        <v>0</v>
      </c>
    </row>
    <row r="57" spans="1:13" x14ac:dyDescent="0.3">
      <c r="A57">
        <v>164</v>
      </c>
      <c r="B57" t="s">
        <v>128</v>
      </c>
      <c r="C57" t="s">
        <v>14</v>
      </c>
      <c r="D57" t="s">
        <v>129</v>
      </c>
      <c r="E57" t="s">
        <v>16</v>
      </c>
    </row>
    <row r="58" spans="1:13" x14ac:dyDescent="0.3">
      <c r="A58">
        <v>165</v>
      </c>
      <c r="B58" t="s">
        <v>130</v>
      </c>
      <c r="C58" t="s">
        <v>14</v>
      </c>
      <c r="D58" t="s">
        <v>131</v>
      </c>
      <c r="E58" t="s">
        <v>16</v>
      </c>
      <c r="F58" t="s">
        <v>132</v>
      </c>
      <c r="G58">
        <v>458</v>
      </c>
      <c r="H58">
        <v>40</v>
      </c>
      <c r="I58">
        <v>15</v>
      </c>
      <c r="J58">
        <v>110</v>
      </c>
      <c r="K58">
        <v>40</v>
      </c>
      <c r="L58">
        <v>15</v>
      </c>
      <c r="M58">
        <v>5</v>
      </c>
    </row>
    <row r="59" spans="1:13" x14ac:dyDescent="0.3">
      <c r="A59">
        <v>166</v>
      </c>
      <c r="B59" t="s">
        <v>133</v>
      </c>
      <c r="C59" t="s">
        <v>14</v>
      </c>
      <c r="D59" t="s">
        <v>134</v>
      </c>
      <c r="E59" t="s">
        <v>16</v>
      </c>
      <c r="F59" t="s">
        <v>132</v>
      </c>
      <c r="G59">
        <v>346</v>
      </c>
      <c r="H59">
        <v>37</v>
      </c>
      <c r="I59">
        <v>36</v>
      </c>
      <c r="J59">
        <v>100</v>
      </c>
      <c r="K59">
        <v>30</v>
      </c>
      <c r="L59">
        <v>25</v>
      </c>
      <c r="M59">
        <v>10</v>
      </c>
    </row>
    <row r="60" spans="1:13" x14ac:dyDescent="0.3">
      <c r="A60">
        <v>167</v>
      </c>
      <c r="B60" t="s">
        <v>135</v>
      </c>
      <c r="C60" t="s">
        <v>14</v>
      </c>
      <c r="D60" t="s">
        <v>136</v>
      </c>
      <c r="E60" t="s">
        <v>16</v>
      </c>
      <c r="F60" t="s">
        <v>132</v>
      </c>
      <c r="G60">
        <v>593</v>
      </c>
      <c r="H60">
        <v>3</v>
      </c>
      <c r="I60">
        <v>1</v>
      </c>
      <c r="J60">
        <v>217</v>
      </c>
      <c r="K60">
        <v>50</v>
      </c>
      <c r="L60">
        <v>0</v>
      </c>
      <c r="M60">
        <v>0</v>
      </c>
    </row>
    <row r="61" spans="1:13" x14ac:dyDescent="0.3">
      <c r="A61">
        <v>168</v>
      </c>
      <c r="B61" t="s">
        <v>137</v>
      </c>
      <c r="C61" t="s">
        <v>14</v>
      </c>
      <c r="D61" t="s">
        <v>138</v>
      </c>
      <c r="E61" t="s">
        <v>16</v>
      </c>
      <c r="F61" t="s">
        <v>132</v>
      </c>
      <c r="G61">
        <v>442</v>
      </c>
      <c r="H61">
        <v>52</v>
      </c>
      <c r="I61">
        <v>36</v>
      </c>
      <c r="J61">
        <v>108</v>
      </c>
      <c r="K61">
        <v>0</v>
      </c>
      <c r="L61">
        <v>10</v>
      </c>
      <c r="M61">
        <v>5</v>
      </c>
    </row>
    <row r="62" spans="1:13" x14ac:dyDescent="0.3">
      <c r="A62">
        <v>169</v>
      </c>
      <c r="B62" t="s">
        <v>139</v>
      </c>
      <c r="C62" t="s">
        <v>14</v>
      </c>
      <c r="D62" t="s">
        <v>140</v>
      </c>
      <c r="E62" t="s">
        <v>16</v>
      </c>
      <c r="F62" t="s">
        <v>132</v>
      </c>
      <c r="G62">
        <v>189</v>
      </c>
      <c r="H62">
        <v>160</v>
      </c>
      <c r="I62">
        <v>29</v>
      </c>
      <c r="J62">
        <v>75</v>
      </c>
      <c r="K62">
        <v>30</v>
      </c>
      <c r="L62">
        <v>20</v>
      </c>
      <c r="M62">
        <v>10</v>
      </c>
    </row>
    <row r="63" spans="1:13" x14ac:dyDescent="0.3">
      <c r="A63">
        <v>170</v>
      </c>
      <c r="B63" t="s">
        <v>141</v>
      </c>
      <c r="C63" t="s">
        <v>14</v>
      </c>
      <c r="D63" t="s">
        <v>142</v>
      </c>
      <c r="E63" t="s">
        <v>16</v>
      </c>
      <c r="F63" t="s">
        <v>132</v>
      </c>
      <c r="G63">
        <v>311</v>
      </c>
      <c r="H63">
        <v>180</v>
      </c>
      <c r="I63">
        <v>30</v>
      </c>
      <c r="J63">
        <v>55</v>
      </c>
      <c r="K63">
        <v>50</v>
      </c>
      <c r="L63">
        <v>23</v>
      </c>
      <c r="M63">
        <v>4</v>
      </c>
    </row>
    <row r="64" spans="1:13" x14ac:dyDescent="0.3">
      <c r="A64">
        <v>171</v>
      </c>
      <c r="B64" t="s">
        <v>143</v>
      </c>
      <c r="C64" t="s">
        <v>14</v>
      </c>
      <c r="D64" t="s">
        <v>144</v>
      </c>
      <c r="E64" t="s">
        <v>16</v>
      </c>
      <c r="F64" t="s">
        <v>132</v>
      </c>
      <c r="G64">
        <v>670</v>
      </c>
      <c r="H64">
        <v>80</v>
      </c>
      <c r="I64">
        <v>40</v>
      </c>
      <c r="J64">
        <v>146</v>
      </c>
      <c r="K64">
        <v>100</v>
      </c>
      <c r="L64">
        <v>7</v>
      </c>
      <c r="M64">
        <v>4</v>
      </c>
    </row>
    <row r="65" spans="1:13" x14ac:dyDescent="0.3">
      <c r="A65">
        <v>172</v>
      </c>
      <c r="B65" t="s">
        <v>145</v>
      </c>
      <c r="C65" t="s">
        <v>14</v>
      </c>
      <c r="D65" t="s">
        <v>146</v>
      </c>
      <c r="E65" t="s">
        <v>16</v>
      </c>
      <c r="F65" t="s">
        <v>132</v>
      </c>
      <c r="G65">
        <v>785</v>
      </c>
      <c r="H65">
        <v>240</v>
      </c>
      <c r="I65">
        <v>80</v>
      </c>
      <c r="J65">
        <v>150</v>
      </c>
      <c r="K65">
        <v>100</v>
      </c>
      <c r="L65">
        <v>15</v>
      </c>
      <c r="M65">
        <v>5</v>
      </c>
    </row>
    <row r="66" spans="1:13" x14ac:dyDescent="0.3">
      <c r="A66">
        <v>173</v>
      </c>
      <c r="B66" t="s">
        <v>147</v>
      </c>
      <c r="C66" t="s">
        <v>14</v>
      </c>
      <c r="D66" t="s">
        <v>148</v>
      </c>
      <c r="E66" t="s">
        <v>16</v>
      </c>
      <c r="F66" t="s">
        <v>132</v>
      </c>
      <c r="G66">
        <v>780</v>
      </c>
      <c r="H66">
        <v>730</v>
      </c>
      <c r="I66">
        <v>50</v>
      </c>
      <c r="J66">
        <v>74</v>
      </c>
      <c r="K66">
        <v>150</v>
      </c>
      <c r="L66">
        <v>73</v>
      </c>
      <c r="M66">
        <v>1</v>
      </c>
    </row>
    <row r="67" spans="1:13" x14ac:dyDescent="0.3">
      <c r="A67">
        <v>174</v>
      </c>
      <c r="B67" t="s">
        <v>149</v>
      </c>
      <c r="C67" t="s">
        <v>14</v>
      </c>
      <c r="D67" t="s">
        <v>150</v>
      </c>
      <c r="E67" t="s">
        <v>16</v>
      </c>
      <c r="F67" t="s">
        <v>132</v>
      </c>
      <c r="G67">
        <v>66</v>
      </c>
      <c r="H67">
        <v>55</v>
      </c>
      <c r="I67">
        <v>11</v>
      </c>
      <c r="J67">
        <v>10</v>
      </c>
      <c r="K67">
        <v>12</v>
      </c>
      <c r="L67">
        <v>45</v>
      </c>
      <c r="M67">
        <v>11</v>
      </c>
    </row>
    <row r="68" spans="1:13" x14ac:dyDescent="0.3">
      <c r="A68">
        <v>175</v>
      </c>
      <c r="B68" t="s">
        <v>151</v>
      </c>
      <c r="C68" t="s">
        <v>14</v>
      </c>
      <c r="D68" t="s">
        <v>152</v>
      </c>
      <c r="E68" t="s">
        <v>16</v>
      </c>
      <c r="F68" t="s">
        <v>132</v>
      </c>
      <c r="G68">
        <v>1300</v>
      </c>
      <c r="H68">
        <v>180</v>
      </c>
      <c r="I68">
        <v>220</v>
      </c>
      <c r="J68">
        <v>190</v>
      </c>
      <c r="K68">
        <v>100</v>
      </c>
      <c r="L68">
        <v>10</v>
      </c>
      <c r="M68">
        <v>6</v>
      </c>
    </row>
    <row r="69" spans="1:13" x14ac:dyDescent="0.3">
      <c r="A69">
        <v>176</v>
      </c>
      <c r="B69" t="s">
        <v>153</v>
      </c>
      <c r="C69" t="s">
        <v>14</v>
      </c>
      <c r="D69" t="s">
        <v>154</v>
      </c>
      <c r="E69" t="s">
        <v>16</v>
      </c>
      <c r="F69" t="s">
        <v>132</v>
      </c>
      <c r="G69">
        <v>1309</v>
      </c>
      <c r="H69">
        <v>150</v>
      </c>
      <c r="I69">
        <v>150</v>
      </c>
      <c r="J69">
        <v>120</v>
      </c>
      <c r="K69">
        <v>400</v>
      </c>
      <c r="L69">
        <v>15</v>
      </c>
      <c r="M69">
        <v>7</v>
      </c>
    </row>
    <row r="70" spans="1:13" x14ac:dyDescent="0.3">
      <c r="A70">
        <v>177</v>
      </c>
      <c r="B70" t="s">
        <v>155</v>
      </c>
      <c r="C70" t="s">
        <v>14</v>
      </c>
      <c r="D70" t="s">
        <v>156</v>
      </c>
      <c r="E70" t="s">
        <v>16</v>
      </c>
      <c r="F70" t="s">
        <v>132</v>
      </c>
      <c r="G70">
        <v>185</v>
      </c>
      <c r="H70">
        <v>100</v>
      </c>
      <c r="I70">
        <v>85</v>
      </c>
      <c r="J70">
        <v>10</v>
      </c>
      <c r="K70">
        <v>40</v>
      </c>
      <c r="L70">
        <v>3</v>
      </c>
      <c r="M70">
        <v>7</v>
      </c>
    </row>
    <row r="71" spans="1:13" x14ac:dyDescent="0.3">
      <c r="A71">
        <v>178</v>
      </c>
      <c r="B71" t="s">
        <v>157</v>
      </c>
      <c r="C71" t="s">
        <v>14</v>
      </c>
      <c r="D71" t="s">
        <v>158</v>
      </c>
      <c r="E71" t="s">
        <v>16</v>
      </c>
    </row>
    <row r="72" spans="1:13" x14ac:dyDescent="0.3">
      <c r="A72">
        <v>179</v>
      </c>
      <c r="B72" t="s">
        <v>159</v>
      </c>
      <c r="C72" t="s">
        <v>14</v>
      </c>
      <c r="D72" t="s">
        <v>160</v>
      </c>
      <c r="E72" t="s">
        <v>16</v>
      </c>
      <c r="F72" t="s">
        <v>132</v>
      </c>
      <c r="G72">
        <v>932</v>
      </c>
      <c r="J72">
        <v>122</v>
      </c>
      <c r="K72">
        <v>0</v>
      </c>
    </row>
    <row r="73" spans="1:13" x14ac:dyDescent="0.3">
      <c r="A73">
        <v>180</v>
      </c>
      <c r="B73" t="s">
        <v>161</v>
      </c>
      <c r="C73" t="s">
        <v>14</v>
      </c>
      <c r="D73" t="s">
        <v>162</v>
      </c>
      <c r="E73" t="s">
        <v>16</v>
      </c>
      <c r="F73" t="s">
        <v>132</v>
      </c>
      <c r="G73">
        <v>675</v>
      </c>
      <c r="H73">
        <v>150</v>
      </c>
      <c r="I73">
        <v>150</v>
      </c>
      <c r="J73">
        <v>145</v>
      </c>
      <c r="K73">
        <v>50</v>
      </c>
      <c r="L73">
        <v>5</v>
      </c>
      <c r="M73">
        <v>5</v>
      </c>
    </row>
    <row r="74" spans="1:13" x14ac:dyDescent="0.3">
      <c r="A74">
        <v>181</v>
      </c>
      <c r="B74" t="s">
        <v>163</v>
      </c>
      <c r="C74" t="s">
        <v>14</v>
      </c>
      <c r="D74" t="s">
        <v>164</v>
      </c>
      <c r="E74" t="s">
        <v>16</v>
      </c>
      <c r="F74" t="s">
        <v>132</v>
      </c>
      <c r="G74">
        <v>770</v>
      </c>
      <c r="H74">
        <v>200</v>
      </c>
      <c r="I74">
        <v>10</v>
      </c>
      <c r="J74">
        <v>94</v>
      </c>
      <c r="K74">
        <v>200</v>
      </c>
      <c r="L74">
        <v>10</v>
      </c>
    </row>
    <row r="75" spans="1:13" x14ac:dyDescent="0.3">
      <c r="A75">
        <v>182</v>
      </c>
      <c r="B75" t="s">
        <v>165</v>
      </c>
      <c r="C75" t="s">
        <v>14</v>
      </c>
      <c r="D75" t="s">
        <v>166</v>
      </c>
      <c r="E75" t="s">
        <v>16</v>
      </c>
      <c r="F75" t="s">
        <v>132</v>
      </c>
      <c r="G75">
        <v>1923</v>
      </c>
      <c r="H75">
        <v>410</v>
      </c>
      <c r="I75">
        <v>100</v>
      </c>
      <c r="J75">
        <v>155</v>
      </c>
      <c r="K75">
        <v>200</v>
      </c>
      <c r="L75">
        <v>30</v>
      </c>
      <c r="M75">
        <v>12</v>
      </c>
    </row>
    <row r="76" spans="1:13" x14ac:dyDescent="0.3">
      <c r="A76">
        <v>183</v>
      </c>
      <c r="B76" t="s">
        <v>167</v>
      </c>
      <c r="C76" t="s">
        <v>14</v>
      </c>
      <c r="D76" t="s">
        <v>168</v>
      </c>
      <c r="E76" t="s">
        <v>16</v>
      </c>
      <c r="F76" t="s">
        <v>132</v>
      </c>
      <c r="G76">
        <v>80</v>
      </c>
      <c r="J76">
        <v>8</v>
      </c>
      <c r="K76">
        <v>40</v>
      </c>
    </row>
    <row r="77" spans="1:13" x14ac:dyDescent="0.3">
      <c r="A77">
        <v>184</v>
      </c>
      <c r="B77" t="s">
        <v>169</v>
      </c>
      <c r="C77" t="s">
        <v>14</v>
      </c>
      <c r="D77" t="s">
        <v>170</v>
      </c>
      <c r="E77" t="s">
        <v>16</v>
      </c>
    </row>
    <row r="78" spans="1:13" x14ac:dyDescent="0.3">
      <c r="A78">
        <v>185</v>
      </c>
      <c r="B78" t="s">
        <v>171</v>
      </c>
      <c r="C78" t="s">
        <v>14</v>
      </c>
      <c r="D78" t="s">
        <v>172</v>
      </c>
      <c r="E78" t="s">
        <v>16</v>
      </c>
      <c r="F78" t="s">
        <v>132</v>
      </c>
      <c r="G78">
        <v>150</v>
      </c>
      <c r="H78">
        <v>150</v>
      </c>
      <c r="I78">
        <v>100</v>
      </c>
      <c r="J78">
        <v>40</v>
      </c>
      <c r="K78">
        <v>60</v>
      </c>
      <c r="L78">
        <v>10</v>
      </c>
      <c r="M78">
        <v>4</v>
      </c>
    </row>
    <row r="79" spans="1:13" x14ac:dyDescent="0.3">
      <c r="A79">
        <v>186</v>
      </c>
      <c r="B79" t="s">
        <v>173</v>
      </c>
      <c r="C79" t="s">
        <v>14</v>
      </c>
      <c r="D79" t="s">
        <v>174</v>
      </c>
      <c r="E79" t="s">
        <v>16</v>
      </c>
      <c r="F79" t="s">
        <v>175</v>
      </c>
      <c r="G79">
        <v>285</v>
      </c>
      <c r="H79">
        <v>35</v>
      </c>
      <c r="I79">
        <v>5</v>
      </c>
      <c r="J79">
        <v>100</v>
      </c>
      <c r="K79">
        <v>95</v>
      </c>
      <c r="L79">
        <v>5</v>
      </c>
      <c r="M79">
        <v>0</v>
      </c>
    </row>
    <row r="80" spans="1:13" x14ac:dyDescent="0.3">
      <c r="A80">
        <v>187</v>
      </c>
      <c r="B80" t="s">
        <v>176</v>
      </c>
      <c r="C80" t="s">
        <v>14</v>
      </c>
      <c r="D80" t="s">
        <v>177</v>
      </c>
      <c r="E80" t="s">
        <v>16</v>
      </c>
      <c r="F80" t="s">
        <v>175</v>
      </c>
      <c r="G80">
        <v>525</v>
      </c>
      <c r="H80">
        <v>5</v>
      </c>
      <c r="I80">
        <v>0</v>
      </c>
      <c r="J80">
        <v>100</v>
      </c>
      <c r="K80">
        <v>70</v>
      </c>
      <c r="L80">
        <v>1</v>
      </c>
      <c r="M80">
        <v>0</v>
      </c>
    </row>
    <row r="81" spans="1:13" x14ac:dyDescent="0.3">
      <c r="A81">
        <v>188</v>
      </c>
      <c r="B81" t="s">
        <v>178</v>
      </c>
      <c r="C81" t="s">
        <v>14</v>
      </c>
      <c r="D81" t="s">
        <v>179</v>
      </c>
      <c r="E81" t="s">
        <v>16</v>
      </c>
      <c r="F81" t="s">
        <v>175</v>
      </c>
      <c r="G81">
        <v>530</v>
      </c>
      <c r="H81">
        <v>0</v>
      </c>
      <c r="I81">
        <v>0</v>
      </c>
      <c r="J81">
        <v>200</v>
      </c>
      <c r="K81">
        <v>15</v>
      </c>
      <c r="L81">
        <v>0</v>
      </c>
      <c r="M81">
        <v>0</v>
      </c>
    </row>
    <row r="82" spans="1:13" x14ac:dyDescent="0.3">
      <c r="A82">
        <v>189</v>
      </c>
      <c r="B82" t="s">
        <v>180</v>
      </c>
      <c r="C82" t="s">
        <v>14</v>
      </c>
      <c r="D82" t="s">
        <v>181</v>
      </c>
      <c r="E82" t="s">
        <v>16</v>
      </c>
      <c r="F82" t="s">
        <v>175</v>
      </c>
      <c r="G82">
        <v>108</v>
      </c>
      <c r="H82">
        <v>0</v>
      </c>
      <c r="I82">
        <v>0</v>
      </c>
      <c r="J82">
        <v>80</v>
      </c>
      <c r="K82">
        <v>15</v>
      </c>
      <c r="L82">
        <v>0</v>
      </c>
      <c r="M82">
        <v>0</v>
      </c>
    </row>
    <row r="83" spans="1:13" x14ac:dyDescent="0.3">
      <c r="A83">
        <v>190</v>
      </c>
      <c r="B83" t="s">
        <v>182</v>
      </c>
      <c r="C83" t="s">
        <v>14</v>
      </c>
      <c r="D83" t="s">
        <v>183</v>
      </c>
      <c r="E83" t="s">
        <v>16</v>
      </c>
      <c r="F83" t="s">
        <v>194</v>
      </c>
      <c r="G83">
        <v>53</v>
      </c>
      <c r="H83">
        <v>1</v>
      </c>
      <c r="I83">
        <v>0</v>
      </c>
      <c r="J83">
        <v>40</v>
      </c>
      <c r="K83">
        <v>1</v>
      </c>
      <c r="L83">
        <v>1</v>
      </c>
      <c r="M83">
        <v>0</v>
      </c>
    </row>
    <row r="84" spans="1:13" x14ac:dyDescent="0.3">
      <c r="A84">
        <v>191</v>
      </c>
      <c r="B84" t="s">
        <v>184</v>
      </c>
      <c r="C84" t="s">
        <v>14</v>
      </c>
      <c r="D84" t="s">
        <v>185</v>
      </c>
      <c r="E84" t="s">
        <v>16</v>
      </c>
    </row>
    <row r="85" spans="1:13" x14ac:dyDescent="0.3">
      <c r="A85">
        <v>192</v>
      </c>
      <c r="B85" t="s">
        <v>186</v>
      </c>
      <c r="C85" t="s">
        <v>14</v>
      </c>
      <c r="D85" t="s">
        <v>187</v>
      </c>
      <c r="E85" t="s">
        <v>16</v>
      </c>
      <c r="F85" t="s">
        <v>175</v>
      </c>
      <c r="G85">
        <v>96</v>
      </c>
      <c r="H85">
        <v>0</v>
      </c>
      <c r="I85">
        <v>0</v>
      </c>
      <c r="J85">
        <v>80</v>
      </c>
      <c r="K85">
        <v>5</v>
      </c>
      <c r="L85">
        <v>0</v>
      </c>
      <c r="M85">
        <v>0</v>
      </c>
    </row>
    <row r="86" spans="1:13" x14ac:dyDescent="0.3">
      <c r="A86">
        <v>193</v>
      </c>
      <c r="B86" t="s">
        <v>188</v>
      </c>
      <c r="C86" t="s">
        <v>14</v>
      </c>
      <c r="D86" t="s">
        <v>189</v>
      </c>
      <c r="E86" t="s">
        <v>16</v>
      </c>
    </row>
    <row r="87" spans="1:13" x14ac:dyDescent="0.3">
      <c r="A87">
        <v>194</v>
      </c>
      <c r="B87" t="s">
        <v>190</v>
      </c>
      <c r="C87" t="s">
        <v>14</v>
      </c>
      <c r="D87" t="s">
        <v>191</v>
      </c>
      <c r="E87" t="s">
        <v>16</v>
      </c>
    </row>
    <row r="88" spans="1:13" x14ac:dyDescent="0.3">
      <c r="A88">
        <v>195</v>
      </c>
      <c r="B88" t="s">
        <v>192</v>
      </c>
      <c r="C88" t="s">
        <v>126</v>
      </c>
      <c r="D88" t="s">
        <v>193</v>
      </c>
      <c r="E88" t="s">
        <v>16</v>
      </c>
      <c r="F88" t="s">
        <v>194</v>
      </c>
      <c r="G88">
        <v>6</v>
      </c>
      <c r="H88">
        <v>0</v>
      </c>
      <c r="I88">
        <v>0</v>
      </c>
      <c r="J88">
        <v>0</v>
      </c>
      <c r="K88">
        <v>0</v>
      </c>
    </row>
    <row r="89" spans="1:13" x14ac:dyDescent="0.3">
      <c r="A89">
        <v>196</v>
      </c>
      <c r="B89" t="s">
        <v>195</v>
      </c>
      <c r="C89" t="s">
        <v>14</v>
      </c>
      <c r="D89" t="s">
        <v>196</v>
      </c>
      <c r="E89" t="s">
        <v>16</v>
      </c>
      <c r="F89" t="s">
        <v>17</v>
      </c>
      <c r="G89">
        <v>5</v>
      </c>
      <c r="H89">
        <v>1</v>
      </c>
      <c r="I89">
        <v>4</v>
      </c>
      <c r="J89">
        <v>5</v>
      </c>
      <c r="K89">
        <v>2</v>
      </c>
      <c r="L89">
        <v>1</v>
      </c>
      <c r="M89">
        <v>4</v>
      </c>
    </row>
    <row r="90" spans="1:13" x14ac:dyDescent="0.3">
      <c r="A90">
        <v>197</v>
      </c>
      <c r="B90" t="s">
        <v>197</v>
      </c>
      <c r="C90" t="s">
        <v>126</v>
      </c>
      <c r="D90" t="s">
        <v>198</v>
      </c>
      <c r="E90" t="s">
        <v>16</v>
      </c>
      <c r="F90" t="s">
        <v>199</v>
      </c>
      <c r="G90">
        <v>800</v>
      </c>
      <c r="H90">
        <v>550</v>
      </c>
      <c r="I90">
        <v>350</v>
      </c>
      <c r="J90">
        <v>0</v>
      </c>
      <c r="K90">
        <v>0</v>
      </c>
    </row>
    <row r="91" spans="1:13" x14ac:dyDescent="0.3">
      <c r="A91">
        <v>198</v>
      </c>
      <c r="B91" t="s">
        <v>200</v>
      </c>
      <c r="C91" t="s">
        <v>126</v>
      </c>
      <c r="D91" t="s">
        <v>201</v>
      </c>
      <c r="E91" t="s">
        <v>16</v>
      </c>
      <c r="F91" t="s">
        <v>199</v>
      </c>
      <c r="G91">
        <v>100</v>
      </c>
      <c r="H91">
        <v>60</v>
      </c>
      <c r="I91">
        <v>40</v>
      </c>
      <c r="J91">
        <v>0</v>
      </c>
      <c r="K91">
        <v>0</v>
      </c>
    </row>
    <row r="92" spans="1:13" x14ac:dyDescent="0.3">
      <c r="A92">
        <v>199</v>
      </c>
      <c r="B92" t="s">
        <v>202</v>
      </c>
      <c r="C92" t="s">
        <v>14</v>
      </c>
      <c r="D92" t="s">
        <v>203</v>
      </c>
      <c r="E92" t="s">
        <v>16</v>
      </c>
    </row>
    <row r="93" spans="1:13" x14ac:dyDescent="0.3">
      <c r="A93">
        <v>200</v>
      </c>
      <c r="B93" t="s">
        <v>204</v>
      </c>
      <c r="C93" t="s">
        <v>14</v>
      </c>
      <c r="D93" t="s">
        <v>205</v>
      </c>
      <c r="E93" t="s">
        <v>16</v>
      </c>
    </row>
    <row r="94" spans="1:13" x14ac:dyDescent="0.3">
      <c r="A94">
        <v>201</v>
      </c>
      <c r="B94" t="s">
        <v>206</v>
      </c>
      <c r="C94" t="s">
        <v>14</v>
      </c>
      <c r="D94" t="s">
        <v>207</v>
      </c>
      <c r="E94" t="s">
        <v>16</v>
      </c>
    </row>
    <row r="95" spans="1:13" x14ac:dyDescent="0.3">
      <c r="A95">
        <v>202</v>
      </c>
      <c r="B95" t="s">
        <v>208</v>
      </c>
      <c r="C95" t="s">
        <v>14</v>
      </c>
      <c r="D95" t="s">
        <v>209</v>
      </c>
      <c r="E95" t="s">
        <v>16</v>
      </c>
      <c r="F95" t="s">
        <v>199</v>
      </c>
      <c r="G95">
        <v>57</v>
      </c>
      <c r="H95">
        <v>4</v>
      </c>
      <c r="I95">
        <v>36</v>
      </c>
      <c r="J95">
        <v>15</v>
      </c>
      <c r="K95">
        <v>5</v>
      </c>
      <c r="L95">
        <v>1</v>
      </c>
      <c r="M95">
        <v>6</v>
      </c>
    </row>
    <row r="96" spans="1:13" x14ac:dyDescent="0.3">
      <c r="A96">
        <v>203</v>
      </c>
      <c r="B96" t="s">
        <v>210</v>
      </c>
      <c r="C96" t="s">
        <v>126</v>
      </c>
      <c r="D96" t="s">
        <v>211</v>
      </c>
      <c r="E96" t="s">
        <v>16</v>
      </c>
      <c r="F96" t="s">
        <v>20</v>
      </c>
      <c r="G96">
        <v>3</v>
      </c>
      <c r="H96">
        <v>2</v>
      </c>
      <c r="J96">
        <v>0</v>
      </c>
      <c r="K96">
        <v>0</v>
      </c>
    </row>
    <row r="97" spans="1:11" x14ac:dyDescent="0.3">
      <c r="A97">
        <v>204</v>
      </c>
      <c r="B97" t="s">
        <v>212</v>
      </c>
      <c r="C97" t="s">
        <v>126</v>
      </c>
      <c r="D97" t="s">
        <v>213</v>
      </c>
      <c r="E97" t="s">
        <v>16</v>
      </c>
      <c r="F97" t="s">
        <v>17</v>
      </c>
      <c r="G97">
        <v>3</v>
      </c>
      <c r="H97">
        <v>1</v>
      </c>
      <c r="I97">
        <v>0</v>
      </c>
      <c r="J97">
        <v>0</v>
      </c>
      <c r="K97">
        <v>0</v>
      </c>
    </row>
    <row r="98" spans="1:11" x14ac:dyDescent="0.3">
      <c r="A98">
        <v>206</v>
      </c>
      <c r="B98" t="s">
        <v>214</v>
      </c>
      <c r="C98" t="s">
        <v>126</v>
      </c>
      <c r="D98" t="s">
        <v>215</v>
      </c>
      <c r="E98" t="s">
        <v>16</v>
      </c>
      <c r="F98" t="s">
        <v>175</v>
      </c>
      <c r="G98">
        <v>5</v>
      </c>
      <c r="H98">
        <v>0</v>
      </c>
      <c r="I98">
        <v>0</v>
      </c>
      <c r="J98">
        <v>0</v>
      </c>
      <c r="K98">
        <v>0</v>
      </c>
    </row>
    <row r="99" spans="1:11" x14ac:dyDescent="0.3">
      <c r="A99">
        <v>207</v>
      </c>
      <c r="B99" t="s">
        <v>216</v>
      </c>
      <c r="C99" t="s">
        <v>126</v>
      </c>
      <c r="D99" t="s">
        <v>217</v>
      </c>
      <c r="E99" t="s">
        <v>16</v>
      </c>
      <c r="F99" t="s">
        <v>199</v>
      </c>
      <c r="G99">
        <v>7</v>
      </c>
      <c r="H99">
        <v>0</v>
      </c>
      <c r="I99">
        <v>6</v>
      </c>
      <c r="J99">
        <v>0</v>
      </c>
      <c r="K99">
        <v>0</v>
      </c>
    </row>
    <row r="100" spans="1:11" x14ac:dyDescent="0.3">
      <c r="A100">
        <v>209</v>
      </c>
      <c r="B100" t="s">
        <v>220</v>
      </c>
      <c r="C100" t="s">
        <v>126</v>
      </c>
      <c r="D100" t="s">
        <v>221</v>
      </c>
      <c r="E100" t="s">
        <v>16</v>
      </c>
      <c r="F100" t="s">
        <v>194</v>
      </c>
      <c r="G100">
        <v>0</v>
      </c>
      <c r="J100">
        <v>0</v>
      </c>
      <c r="K100">
        <v>0</v>
      </c>
    </row>
    <row r="101" spans="1:11" x14ac:dyDescent="0.3">
      <c r="A101">
        <v>210</v>
      </c>
      <c r="B101" t="s">
        <v>222</v>
      </c>
      <c r="C101" t="s">
        <v>14</v>
      </c>
      <c r="D101" t="s">
        <v>223</v>
      </c>
      <c r="E101" t="s">
        <v>16</v>
      </c>
    </row>
    <row r="102" spans="1:11" x14ac:dyDescent="0.3">
      <c r="A102">
        <v>212</v>
      </c>
      <c r="B102" t="s">
        <v>226</v>
      </c>
      <c r="C102" t="s">
        <v>126</v>
      </c>
      <c r="D102" t="s">
        <v>227</v>
      </c>
      <c r="E102" t="s">
        <v>16</v>
      </c>
      <c r="F102" t="s">
        <v>194</v>
      </c>
      <c r="G102">
        <v>9</v>
      </c>
      <c r="H102">
        <v>0</v>
      </c>
      <c r="I102">
        <v>0</v>
      </c>
      <c r="J102">
        <v>0</v>
      </c>
      <c r="K102">
        <v>0</v>
      </c>
    </row>
    <row r="103" spans="1:11" x14ac:dyDescent="0.3">
      <c r="A103">
        <v>213</v>
      </c>
      <c r="B103" t="s">
        <v>228</v>
      </c>
      <c r="C103" t="s">
        <v>126</v>
      </c>
      <c r="D103" t="s">
        <v>229</v>
      </c>
      <c r="E103" t="s">
        <v>16</v>
      </c>
      <c r="F103" t="s">
        <v>132</v>
      </c>
      <c r="G103">
        <v>7</v>
      </c>
      <c r="H103">
        <v>6</v>
      </c>
      <c r="I103">
        <v>0</v>
      </c>
      <c r="J103">
        <v>0</v>
      </c>
      <c r="K103">
        <v>0</v>
      </c>
    </row>
    <row r="104" spans="1:11" x14ac:dyDescent="0.3">
      <c r="A104">
        <v>214</v>
      </c>
      <c r="B104" t="s">
        <v>230</v>
      </c>
      <c r="C104" t="s">
        <v>126</v>
      </c>
      <c r="D104" t="s">
        <v>231</v>
      </c>
      <c r="E104" t="s">
        <v>16</v>
      </c>
    </row>
    <row r="105" spans="1:11" x14ac:dyDescent="0.3">
      <c r="A105">
        <v>215</v>
      </c>
      <c r="B105" t="s">
        <v>232</v>
      </c>
      <c r="C105" t="s">
        <v>126</v>
      </c>
      <c r="D105" t="s">
        <v>233</v>
      </c>
      <c r="E105" t="s">
        <v>16</v>
      </c>
    </row>
    <row r="106" spans="1:11" x14ac:dyDescent="0.3">
      <c r="A106">
        <v>216</v>
      </c>
      <c r="B106" t="s">
        <v>234</v>
      </c>
      <c r="C106" t="s">
        <v>126</v>
      </c>
      <c r="D106" t="s">
        <v>235</v>
      </c>
      <c r="E106" t="s">
        <v>16</v>
      </c>
      <c r="F106" t="s">
        <v>194</v>
      </c>
      <c r="G106">
        <v>5</v>
      </c>
      <c r="H106">
        <v>4</v>
      </c>
      <c r="I106">
        <v>1</v>
      </c>
      <c r="J106">
        <v>0</v>
      </c>
      <c r="K106">
        <v>0</v>
      </c>
    </row>
    <row r="107" spans="1:11" x14ac:dyDescent="0.3">
      <c r="A107">
        <v>218</v>
      </c>
      <c r="B107" t="s">
        <v>236</v>
      </c>
      <c r="C107" t="s">
        <v>126</v>
      </c>
      <c r="D107" t="s">
        <v>237</v>
      </c>
      <c r="E107" t="s">
        <v>16</v>
      </c>
      <c r="F107" t="s">
        <v>194</v>
      </c>
      <c r="G107">
        <v>28</v>
      </c>
      <c r="H107">
        <v>5</v>
      </c>
      <c r="I107">
        <v>1</v>
      </c>
      <c r="J107">
        <v>0</v>
      </c>
      <c r="K107">
        <v>0</v>
      </c>
    </row>
    <row r="108" spans="1:11" x14ac:dyDescent="0.3">
      <c r="A108">
        <v>219</v>
      </c>
      <c r="B108" t="s">
        <v>238</v>
      </c>
      <c r="C108" t="s">
        <v>126</v>
      </c>
      <c r="D108" t="s">
        <v>239</v>
      </c>
      <c r="E108" t="s">
        <v>16</v>
      </c>
      <c r="F108" t="s">
        <v>194</v>
      </c>
      <c r="G108">
        <v>92</v>
      </c>
      <c r="H108">
        <v>92</v>
      </c>
      <c r="I108">
        <v>0</v>
      </c>
      <c r="J108">
        <v>0</v>
      </c>
      <c r="K108">
        <v>0</v>
      </c>
    </row>
    <row r="109" spans="1:11" x14ac:dyDescent="0.3">
      <c r="A109">
        <v>220</v>
      </c>
      <c r="B109" t="s">
        <v>240</v>
      </c>
      <c r="C109" t="s">
        <v>126</v>
      </c>
      <c r="D109" t="s">
        <v>241</v>
      </c>
      <c r="E109" t="s">
        <v>16</v>
      </c>
      <c r="F109" t="s">
        <v>175</v>
      </c>
      <c r="G109">
        <v>17</v>
      </c>
      <c r="H109">
        <v>0</v>
      </c>
      <c r="I109">
        <v>0</v>
      </c>
      <c r="J109">
        <v>0</v>
      </c>
      <c r="K109">
        <v>0</v>
      </c>
    </row>
    <row r="110" spans="1:11" x14ac:dyDescent="0.3">
      <c r="A110">
        <v>221</v>
      </c>
      <c r="B110" t="s">
        <v>242</v>
      </c>
      <c r="C110" t="s">
        <v>126</v>
      </c>
      <c r="D110" t="s">
        <v>243</v>
      </c>
      <c r="E110" t="s">
        <v>16</v>
      </c>
      <c r="F110" t="s">
        <v>20</v>
      </c>
      <c r="G110">
        <v>120</v>
      </c>
      <c r="H110">
        <v>0</v>
      </c>
      <c r="I110">
        <v>0</v>
      </c>
      <c r="J110">
        <v>0</v>
      </c>
      <c r="K110">
        <v>0</v>
      </c>
    </row>
    <row r="111" spans="1:11" x14ac:dyDescent="0.3">
      <c r="A111">
        <v>222</v>
      </c>
      <c r="B111" t="s">
        <v>244</v>
      </c>
      <c r="C111" t="s">
        <v>126</v>
      </c>
      <c r="D111" t="s">
        <v>245</v>
      </c>
      <c r="E111" t="s">
        <v>16</v>
      </c>
      <c r="F111" t="s">
        <v>194</v>
      </c>
      <c r="G111">
        <v>21</v>
      </c>
      <c r="H111">
        <v>21</v>
      </c>
      <c r="I111">
        <v>0</v>
      </c>
      <c r="J111">
        <v>0</v>
      </c>
      <c r="K111">
        <v>0</v>
      </c>
    </row>
    <row r="112" spans="1:11" x14ac:dyDescent="0.3">
      <c r="A112">
        <v>223</v>
      </c>
      <c r="B112" t="s">
        <v>246</v>
      </c>
      <c r="C112" t="s">
        <v>14</v>
      </c>
      <c r="D112" t="s">
        <v>247</v>
      </c>
      <c r="E112" t="s">
        <v>16</v>
      </c>
    </row>
    <row r="113" spans="1:13" x14ac:dyDescent="0.3">
      <c r="A113">
        <v>224</v>
      </c>
      <c r="B113" t="s">
        <v>248</v>
      </c>
      <c r="C113" t="s">
        <v>14</v>
      </c>
      <c r="D113" t="s">
        <v>249</v>
      </c>
      <c r="E113" t="s">
        <v>16</v>
      </c>
    </row>
    <row r="114" spans="1:13" x14ac:dyDescent="0.3">
      <c r="A114">
        <v>225</v>
      </c>
      <c r="B114" t="s">
        <v>250</v>
      </c>
      <c r="C114" t="s">
        <v>14</v>
      </c>
      <c r="D114" t="s">
        <v>251</v>
      </c>
      <c r="E114" t="s">
        <v>16</v>
      </c>
    </row>
    <row r="115" spans="1:13" x14ac:dyDescent="0.3">
      <c r="A115">
        <v>226</v>
      </c>
      <c r="B115" t="s">
        <v>252</v>
      </c>
      <c r="C115" t="s">
        <v>126</v>
      </c>
      <c r="D115" t="s">
        <v>253</v>
      </c>
      <c r="E115" t="s">
        <v>16</v>
      </c>
      <c r="F115" t="s">
        <v>175</v>
      </c>
      <c r="G115">
        <v>300</v>
      </c>
      <c r="H115">
        <v>50</v>
      </c>
      <c r="I115">
        <v>50</v>
      </c>
      <c r="J115">
        <v>0</v>
      </c>
      <c r="K115">
        <v>0</v>
      </c>
    </row>
    <row r="116" spans="1:13" x14ac:dyDescent="0.3">
      <c r="A116">
        <v>227</v>
      </c>
      <c r="B116" t="s">
        <v>254</v>
      </c>
      <c r="C116" t="s">
        <v>14</v>
      </c>
      <c r="D116" t="s">
        <v>255</v>
      </c>
      <c r="E116" t="s">
        <v>16</v>
      </c>
      <c r="F116" t="s">
        <v>20</v>
      </c>
      <c r="G116">
        <v>38</v>
      </c>
      <c r="H116">
        <v>0</v>
      </c>
      <c r="I116">
        <v>0</v>
      </c>
      <c r="J116">
        <v>20</v>
      </c>
      <c r="K116">
        <v>3</v>
      </c>
      <c r="L116">
        <v>0</v>
      </c>
      <c r="M116">
        <v>0</v>
      </c>
    </row>
    <row r="117" spans="1:13" x14ac:dyDescent="0.3">
      <c r="A117">
        <v>228</v>
      </c>
      <c r="B117" t="s">
        <v>256</v>
      </c>
      <c r="C117" t="s">
        <v>126</v>
      </c>
      <c r="D117" t="s">
        <v>257</v>
      </c>
      <c r="E117" t="s">
        <v>16</v>
      </c>
    </row>
    <row r="118" spans="1:13" x14ac:dyDescent="0.3">
      <c r="A118">
        <v>230</v>
      </c>
      <c r="B118" t="s">
        <v>258</v>
      </c>
      <c r="C118" t="s">
        <v>126</v>
      </c>
      <c r="D118" t="s">
        <v>259</v>
      </c>
      <c r="E118" t="s">
        <v>16</v>
      </c>
      <c r="F118" t="s">
        <v>194</v>
      </c>
      <c r="G118">
        <v>21</v>
      </c>
      <c r="H118">
        <v>1</v>
      </c>
      <c r="I118">
        <v>0</v>
      </c>
      <c r="J118">
        <v>0</v>
      </c>
      <c r="K118">
        <v>0</v>
      </c>
    </row>
    <row r="119" spans="1:13" x14ac:dyDescent="0.3">
      <c r="A119">
        <v>231</v>
      </c>
      <c r="B119" t="s">
        <v>260</v>
      </c>
      <c r="C119" t="s">
        <v>126</v>
      </c>
      <c r="D119" t="s">
        <v>261</v>
      </c>
      <c r="E119" t="s">
        <v>16</v>
      </c>
      <c r="F119" t="s">
        <v>194</v>
      </c>
      <c r="G119">
        <v>11</v>
      </c>
      <c r="H119">
        <v>5</v>
      </c>
      <c r="I119">
        <v>2</v>
      </c>
      <c r="J119">
        <v>0</v>
      </c>
      <c r="K119">
        <v>0</v>
      </c>
    </row>
    <row r="120" spans="1:13" x14ac:dyDescent="0.3">
      <c r="A120">
        <v>232</v>
      </c>
      <c r="B120" t="s">
        <v>262</v>
      </c>
      <c r="C120" t="s">
        <v>126</v>
      </c>
      <c r="D120" t="s">
        <v>263</v>
      </c>
      <c r="E120" t="s">
        <v>16</v>
      </c>
    </row>
    <row r="121" spans="1:13" x14ac:dyDescent="0.3">
      <c r="A121">
        <v>233</v>
      </c>
      <c r="B121" t="s">
        <v>264</v>
      </c>
      <c r="C121" t="s">
        <v>126</v>
      </c>
      <c r="D121" t="s">
        <v>265</v>
      </c>
      <c r="E121" t="s">
        <v>16</v>
      </c>
      <c r="F121" t="s">
        <v>20</v>
      </c>
      <c r="G121">
        <v>0</v>
      </c>
      <c r="H121">
        <v>0</v>
      </c>
      <c r="I121">
        <v>0</v>
      </c>
      <c r="J121">
        <v>0</v>
      </c>
      <c r="K121">
        <v>0</v>
      </c>
    </row>
    <row r="122" spans="1:13" x14ac:dyDescent="0.3">
      <c r="A122">
        <v>234</v>
      </c>
      <c r="B122" t="s">
        <v>266</v>
      </c>
      <c r="C122" t="s">
        <v>126</v>
      </c>
      <c r="D122" t="s">
        <v>267</v>
      </c>
      <c r="E122" t="s">
        <v>16</v>
      </c>
      <c r="F122" t="s">
        <v>175</v>
      </c>
      <c r="G122">
        <v>25</v>
      </c>
      <c r="H122">
        <v>9</v>
      </c>
      <c r="I122">
        <v>6</v>
      </c>
      <c r="J122">
        <v>0</v>
      </c>
      <c r="K122">
        <v>0</v>
      </c>
    </row>
    <row r="123" spans="1:13" x14ac:dyDescent="0.3">
      <c r="A123">
        <v>235</v>
      </c>
      <c r="B123" t="s">
        <v>268</v>
      </c>
      <c r="C123" t="s">
        <v>126</v>
      </c>
      <c r="D123" t="s">
        <v>269</v>
      </c>
      <c r="E123" t="s">
        <v>16</v>
      </c>
      <c r="F123" t="s">
        <v>194</v>
      </c>
      <c r="G123">
        <v>26</v>
      </c>
      <c r="H123">
        <v>11</v>
      </c>
      <c r="I123">
        <v>8</v>
      </c>
      <c r="J123">
        <v>0</v>
      </c>
      <c r="K123">
        <v>0</v>
      </c>
    </row>
    <row r="124" spans="1:13" x14ac:dyDescent="0.3">
      <c r="A124">
        <v>236</v>
      </c>
      <c r="B124" t="s">
        <v>270</v>
      </c>
      <c r="C124" t="s">
        <v>14</v>
      </c>
      <c r="D124" t="s">
        <v>271</v>
      </c>
      <c r="E124" t="s">
        <v>16</v>
      </c>
    </row>
    <row r="125" spans="1:13" x14ac:dyDescent="0.3">
      <c r="A125">
        <v>237</v>
      </c>
      <c r="B125" t="s">
        <v>272</v>
      </c>
      <c r="C125" t="s">
        <v>14</v>
      </c>
      <c r="D125" t="s">
        <v>273</v>
      </c>
      <c r="E125" t="s">
        <v>16</v>
      </c>
      <c r="F125" t="s">
        <v>194</v>
      </c>
      <c r="G125">
        <v>43</v>
      </c>
      <c r="H125">
        <v>7</v>
      </c>
      <c r="I125">
        <v>15</v>
      </c>
      <c r="J125">
        <v>16</v>
      </c>
      <c r="K125">
        <v>5</v>
      </c>
      <c r="L125">
        <v>4</v>
      </c>
      <c r="M125">
        <v>6</v>
      </c>
    </row>
    <row r="126" spans="1:13" x14ac:dyDescent="0.3">
      <c r="A126">
        <v>238</v>
      </c>
      <c r="B126" t="s">
        <v>274</v>
      </c>
      <c r="C126" t="s">
        <v>126</v>
      </c>
      <c r="D126" t="s">
        <v>275</v>
      </c>
      <c r="E126" t="s">
        <v>16</v>
      </c>
    </row>
    <row r="127" spans="1:13" x14ac:dyDescent="0.3">
      <c r="A127">
        <v>239</v>
      </c>
      <c r="B127" t="s">
        <v>276</v>
      </c>
      <c r="C127" t="s">
        <v>14</v>
      </c>
      <c r="D127" t="s">
        <v>277</v>
      </c>
      <c r="E127" t="s">
        <v>16</v>
      </c>
      <c r="F127" t="s">
        <v>132</v>
      </c>
      <c r="G127">
        <v>20</v>
      </c>
      <c r="H127">
        <v>18</v>
      </c>
      <c r="I127">
        <v>0</v>
      </c>
      <c r="J127">
        <v>20</v>
      </c>
      <c r="K127">
        <v>0</v>
      </c>
      <c r="L127">
        <v>0</v>
      </c>
      <c r="M127">
        <v>0</v>
      </c>
    </row>
    <row r="128" spans="1:13" x14ac:dyDescent="0.3">
      <c r="A128">
        <v>240</v>
      </c>
      <c r="B128" t="s">
        <v>278</v>
      </c>
      <c r="C128" t="s">
        <v>14</v>
      </c>
      <c r="D128" t="s">
        <v>279</v>
      </c>
      <c r="E128" t="s">
        <v>16</v>
      </c>
    </row>
    <row r="129" spans="1:13" x14ac:dyDescent="0.3">
      <c r="A129">
        <v>241</v>
      </c>
      <c r="B129" t="s">
        <v>280</v>
      </c>
      <c r="C129" t="s">
        <v>126</v>
      </c>
      <c r="D129" t="s">
        <v>281</v>
      </c>
      <c r="E129" t="s">
        <v>16</v>
      </c>
      <c r="F129" t="s">
        <v>194</v>
      </c>
      <c r="G129">
        <v>0</v>
      </c>
      <c r="H129">
        <v>0</v>
      </c>
      <c r="I129">
        <v>0</v>
      </c>
      <c r="J129">
        <v>0</v>
      </c>
      <c r="K129">
        <v>0</v>
      </c>
    </row>
    <row r="130" spans="1:13" x14ac:dyDescent="0.3">
      <c r="A130">
        <v>242</v>
      </c>
      <c r="B130" t="s">
        <v>282</v>
      </c>
      <c r="C130" t="s">
        <v>126</v>
      </c>
      <c r="D130" t="s">
        <v>283</v>
      </c>
      <c r="E130" t="s">
        <v>16</v>
      </c>
    </row>
    <row r="131" spans="1:13" x14ac:dyDescent="0.3">
      <c r="A131">
        <v>243</v>
      </c>
      <c r="B131" t="s">
        <v>284</v>
      </c>
      <c r="C131" t="s">
        <v>126</v>
      </c>
      <c r="D131" t="s">
        <v>285</v>
      </c>
      <c r="E131" t="s">
        <v>16</v>
      </c>
      <c r="F131" t="s">
        <v>175</v>
      </c>
      <c r="G131">
        <v>0</v>
      </c>
      <c r="H131">
        <v>0</v>
      </c>
      <c r="I131">
        <v>0</v>
      </c>
      <c r="J131">
        <v>0</v>
      </c>
      <c r="K131">
        <v>0</v>
      </c>
    </row>
    <row r="132" spans="1:13" x14ac:dyDescent="0.3">
      <c r="A132">
        <v>244</v>
      </c>
      <c r="B132" t="s">
        <v>286</v>
      </c>
      <c r="C132" t="s">
        <v>126</v>
      </c>
      <c r="D132" t="s">
        <v>287</v>
      </c>
      <c r="E132" t="s">
        <v>16</v>
      </c>
      <c r="F132" t="s">
        <v>175</v>
      </c>
      <c r="G132">
        <v>0</v>
      </c>
      <c r="H132">
        <v>0</v>
      </c>
      <c r="I132">
        <v>0</v>
      </c>
      <c r="J132">
        <v>0</v>
      </c>
      <c r="K132">
        <v>0</v>
      </c>
    </row>
    <row r="133" spans="1:13" x14ac:dyDescent="0.3">
      <c r="A133">
        <v>245</v>
      </c>
      <c r="B133" t="s">
        <v>288</v>
      </c>
      <c r="C133" t="s">
        <v>126</v>
      </c>
      <c r="D133" t="s">
        <v>289</v>
      </c>
      <c r="E133" t="s">
        <v>16</v>
      </c>
    </row>
    <row r="134" spans="1:13" x14ac:dyDescent="0.3">
      <c r="A134">
        <v>246</v>
      </c>
      <c r="B134" t="s">
        <v>290</v>
      </c>
      <c r="C134" t="s">
        <v>14</v>
      </c>
      <c r="D134" t="s">
        <v>291</v>
      </c>
      <c r="E134" t="s">
        <v>16</v>
      </c>
      <c r="F134" t="s">
        <v>194</v>
      </c>
      <c r="G134">
        <v>79</v>
      </c>
      <c r="H134">
        <v>79</v>
      </c>
      <c r="I134">
        <v>0</v>
      </c>
      <c r="J134">
        <v>65</v>
      </c>
      <c r="K134">
        <v>1</v>
      </c>
      <c r="L134">
        <v>0</v>
      </c>
      <c r="M134">
        <v>0</v>
      </c>
    </row>
    <row r="135" spans="1:13" x14ac:dyDescent="0.3">
      <c r="A135">
        <v>247</v>
      </c>
      <c r="B135" t="s">
        <v>292</v>
      </c>
      <c r="C135" t="s">
        <v>126</v>
      </c>
      <c r="D135" t="s">
        <v>293</v>
      </c>
      <c r="E135" t="s">
        <v>16</v>
      </c>
      <c r="F135" t="s">
        <v>194</v>
      </c>
      <c r="G135">
        <v>4</v>
      </c>
      <c r="H135">
        <v>0</v>
      </c>
      <c r="I135">
        <v>0</v>
      </c>
      <c r="J135">
        <v>0</v>
      </c>
      <c r="K135">
        <v>0</v>
      </c>
    </row>
    <row r="136" spans="1:13" x14ac:dyDescent="0.3">
      <c r="A136">
        <v>248</v>
      </c>
      <c r="B136" t="s">
        <v>294</v>
      </c>
      <c r="C136" t="s">
        <v>126</v>
      </c>
      <c r="D136" t="s">
        <v>295</v>
      </c>
      <c r="E136" t="s">
        <v>16</v>
      </c>
    </row>
    <row r="137" spans="1:13" x14ac:dyDescent="0.3">
      <c r="A137">
        <v>249</v>
      </c>
      <c r="B137" t="s">
        <v>296</v>
      </c>
      <c r="C137" t="s">
        <v>14</v>
      </c>
      <c r="D137" t="s">
        <v>297</v>
      </c>
      <c r="E137" t="s">
        <v>16</v>
      </c>
      <c r="F137" t="s">
        <v>199</v>
      </c>
      <c r="G137">
        <v>200</v>
      </c>
      <c r="H137">
        <v>10</v>
      </c>
      <c r="I137">
        <v>200</v>
      </c>
      <c r="J137">
        <v>20</v>
      </c>
      <c r="K137">
        <v>15</v>
      </c>
      <c r="L137">
        <v>5</v>
      </c>
      <c r="M137">
        <v>20</v>
      </c>
    </row>
    <row r="138" spans="1:13" x14ac:dyDescent="0.3">
      <c r="A138">
        <v>250</v>
      </c>
      <c r="B138" t="s">
        <v>298</v>
      </c>
      <c r="C138" t="s">
        <v>14</v>
      </c>
      <c r="D138" t="s">
        <v>299</v>
      </c>
      <c r="E138" t="s">
        <v>16</v>
      </c>
    </row>
    <row r="139" spans="1:13" x14ac:dyDescent="0.3">
      <c r="A139">
        <v>252</v>
      </c>
      <c r="B139" t="s">
        <v>1200</v>
      </c>
      <c r="C139" t="s">
        <v>14</v>
      </c>
      <c r="D139" t="s">
        <v>1201</v>
      </c>
      <c r="E139" t="s">
        <v>16</v>
      </c>
      <c r="F139" t="s">
        <v>194</v>
      </c>
      <c r="G139">
        <v>28</v>
      </c>
      <c r="H139">
        <v>11</v>
      </c>
      <c r="I139">
        <v>17</v>
      </c>
      <c r="J139">
        <v>4</v>
      </c>
      <c r="K139">
        <v>7</v>
      </c>
      <c r="L139">
        <v>7</v>
      </c>
      <c r="M139">
        <v>9</v>
      </c>
    </row>
    <row r="140" spans="1:13" x14ac:dyDescent="0.3">
      <c r="A140">
        <v>253</v>
      </c>
      <c r="B140" t="s">
        <v>224</v>
      </c>
      <c r="C140" t="s">
        <v>126</v>
      </c>
      <c r="D140" t="s">
        <v>225</v>
      </c>
      <c r="E140" t="s">
        <v>16</v>
      </c>
    </row>
    <row r="141" spans="1:13" x14ac:dyDescent="0.3">
      <c r="A141">
        <v>254</v>
      </c>
      <c r="B141" t="s">
        <v>1202</v>
      </c>
      <c r="C141" t="s">
        <v>14</v>
      </c>
      <c r="D141" t="s">
        <v>1203</v>
      </c>
      <c r="E141" t="s">
        <v>16</v>
      </c>
      <c r="F141" t="s">
        <v>199</v>
      </c>
      <c r="G141">
        <v>50</v>
      </c>
      <c r="H141">
        <v>13</v>
      </c>
      <c r="I141">
        <v>37</v>
      </c>
      <c r="J141">
        <v>12</v>
      </c>
      <c r="K141">
        <v>38</v>
      </c>
      <c r="L141">
        <v>3</v>
      </c>
      <c r="M141">
        <v>10</v>
      </c>
    </row>
    <row r="142" spans="1:13" x14ac:dyDescent="0.3">
      <c r="A142">
        <v>255</v>
      </c>
      <c r="B142" t="s">
        <v>1204</v>
      </c>
      <c r="C142" t="s">
        <v>14</v>
      </c>
      <c r="D142" t="s">
        <v>1205</v>
      </c>
      <c r="E142" t="s">
        <v>16</v>
      </c>
      <c r="F142" t="s">
        <v>20</v>
      </c>
      <c r="G142">
        <v>215</v>
      </c>
      <c r="H142">
        <v>25</v>
      </c>
      <c r="I142">
        <v>5</v>
      </c>
      <c r="J142">
        <v>20</v>
      </c>
      <c r="K142">
        <v>150</v>
      </c>
      <c r="L142">
        <v>5</v>
      </c>
      <c r="M142">
        <v>4</v>
      </c>
    </row>
    <row r="143" spans="1:13" x14ac:dyDescent="0.3">
      <c r="A143">
        <v>256</v>
      </c>
      <c r="B143" t="s">
        <v>1206</v>
      </c>
      <c r="C143" t="s">
        <v>14</v>
      </c>
      <c r="D143" t="s">
        <v>1207</v>
      </c>
      <c r="E143" t="s">
        <v>16</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E3644-EB30-4BE0-B6F7-B4F49CE87284}">
  <sheetPr codeName="Sheet27"/>
  <dimension ref="A1:XFD1192"/>
  <sheetViews>
    <sheetView workbookViewId="0">
      <selection activeCell="F15" sqref="F15:G15"/>
    </sheetView>
  </sheetViews>
  <sheetFormatPr defaultRowHeight="14.4" x14ac:dyDescent="0.3"/>
  <cols>
    <col min="1" max="1" width="15.88671875" customWidth="1"/>
    <col min="2" max="2" width="19.44140625" customWidth="1"/>
    <col min="3" max="3" width="16.88671875" customWidth="1"/>
    <col min="4" max="4" width="20.109375" customWidth="1"/>
    <col min="5" max="5" width="15.5546875" customWidth="1"/>
    <col min="6" max="6" width="18.88671875" customWidth="1"/>
    <col min="7" max="7" width="11.44140625" customWidth="1"/>
    <col min="8" max="8" width="12.109375" customWidth="1"/>
    <col min="9" max="10" width="11.6640625" customWidth="1"/>
    <col min="11" max="11" width="16.44140625" customWidth="1"/>
    <col min="12" max="12" width="11.44140625" customWidth="1"/>
    <col min="13" max="13" width="33.88671875" customWidth="1"/>
    <col min="14" max="14" width="33.6640625" customWidth="1"/>
    <col min="15" max="23" width="11" customWidth="1"/>
    <col min="24" max="113" width="12" customWidth="1"/>
    <col min="114" max="1013" width="13" customWidth="1"/>
    <col min="1014" max="10013" width="14" customWidth="1"/>
    <col min="10014" max="16384" width="15" customWidth="1"/>
  </cols>
  <sheetData>
    <row r="1" spans="1:16384" x14ac:dyDescent="0.3">
      <c r="A1" t="s">
        <v>300</v>
      </c>
      <c r="B1" t="s">
        <v>301</v>
      </c>
      <c r="C1" t="s">
        <v>0</v>
      </c>
      <c r="D1" t="s">
        <v>1</v>
      </c>
      <c r="E1" t="s">
        <v>302</v>
      </c>
      <c r="F1" t="s">
        <v>303</v>
      </c>
      <c r="G1" t="s">
        <v>304</v>
      </c>
      <c r="H1" t="s">
        <v>305</v>
      </c>
      <c r="I1" t="s">
        <v>306</v>
      </c>
      <c r="J1" t="s">
        <v>307</v>
      </c>
      <c r="K1" t="s">
        <v>308</v>
      </c>
      <c r="L1" t="s">
        <v>309</v>
      </c>
      <c r="M1" t="s">
        <v>310</v>
      </c>
      <c r="N1" t="s">
        <v>311</v>
      </c>
      <c r="O1" t="s">
        <v>1188</v>
      </c>
      <c r="P1" t="s">
        <v>1189</v>
      </c>
      <c r="Q1" t="s">
        <v>1190</v>
      </c>
      <c r="R1" t="s">
        <v>1585</v>
      </c>
      <c r="S1" t="s">
        <v>1586</v>
      </c>
      <c r="T1" t="s">
        <v>1587</v>
      </c>
      <c r="U1" t="s">
        <v>1588</v>
      </c>
      <c r="V1" t="s">
        <v>1589</v>
      </c>
      <c r="W1" t="s">
        <v>1590</v>
      </c>
      <c r="X1" t="s">
        <v>1591</v>
      </c>
      <c r="Y1" t="s">
        <v>1592</v>
      </c>
      <c r="Z1" t="s">
        <v>1593</v>
      </c>
      <c r="AA1" t="s">
        <v>1594</v>
      </c>
      <c r="AB1" t="s">
        <v>1595</v>
      </c>
      <c r="AC1" t="s">
        <v>1596</v>
      </c>
      <c r="AD1" t="s">
        <v>1597</v>
      </c>
      <c r="AE1" t="s">
        <v>1598</v>
      </c>
      <c r="AF1" t="s">
        <v>1599</v>
      </c>
      <c r="AG1" t="s">
        <v>1600</v>
      </c>
      <c r="AH1" t="s">
        <v>1601</v>
      </c>
      <c r="AI1" t="s">
        <v>1602</v>
      </c>
      <c r="AJ1" t="s">
        <v>1603</v>
      </c>
      <c r="AK1" t="s">
        <v>1604</v>
      </c>
      <c r="AL1" t="s">
        <v>1605</v>
      </c>
      <c r="AM1" t="s">
        <v>1606</v>
      </c>
      <c r="AN1" t="s">
        <v>1607</v>
      </c>
      <c r="AO1" t="s">
        <v>1608</v>
      </c>
      <c r="AP1" t="s">
        <v>1609</v>
      </c>
      <c r="AQ1" t="s">
        <v>1610</v>
      </c>
      <c r="AR1" t="s">
        <v>1611</v>
      </c>
      <c r="AS1" t="s">
        <v>1612</v>
      </c>
      <c r="AT1" t="s">
        <v>1613</v>
      </c>
      <c r="AU1" t="s">
        <v>1614</v>
      </c>
      <c r="AV1" t="s">
        <v>1615</v>
      </c>
      <c r="AW1" t="s">
        <v>1616</v>
      </c>
      <c r="AX1" t="s">
        <v>1617</v>
      </c>
      <c r="AY1" t="s">
        <v>1618</v>
      </c>
      <c r="AZ1" t="s">
        <v>1619</v>
      </c>
      <c r="BA1" t="s">
        <v>1620</v>
      </c>
      <c r="BB1" t="s">
        <v>1621</v>
      </c>
      <c r="BC1" t="s">
        <v>1622</v>
      </c>
      <c r="BD1" t="s">
        <v>1623</v>
      </c>
      <c r="BE1" t="s">
        <v>1624</v>
      </c>
      <c r="BF1" t="s">
        <v>1625</v>
      </c>
      <c r="BG1" t="s">
        <v>1626</v>
      </c>
      <c r="BH1" t="s">
        <v>1627</v>
      </c>
      <c r="BI1" t="s">
        <v>1628</v>
      </c>
      <c r="BJ1" t="s">
        <v>1629</v>
      </c>
      <c r="BK1" t="s">
        <v>1630</v>
      </c>
      <c r="BL1" t="s">
        <v>1631</v>
      </c>
      <c r="BM1" t="s">
        <v>1632</v>
      </c>
      <c r="BN1" t="s">
        <v>1633</v>
      </c>
      <c r="BO1" t="s">
        <v>1634</v>
      </c>
      <c r="BP1" t="s">
        <v>1635</v>
      </c>
      <c r="BQ1" t="s">
        <v>1636</v>
      </c>
      <c r="BR1" t="s">
        <v>1637</v>
      </c>
      <c r="BS1" t="s">
        <v>1638</v>
      </c>
      <c r="BT1" t="s">
        <v>1639</v>
      </c>
      <c r="BU1" t="s">
        <v>1640</v>
      </c>
      <c r="BV1" t="s">
        <v>1641</v>
      </c>
      <c r="BW1" t="s">
        <v>1642</v>
      </c>
      <c r="BX1" t="s">
        <v>1643</v>
      </c>
      <c r="BY1" t="s">
        <v>1644</v>
      </c>
      <c r="BZ1" t="s">
        <v>1645</v>
      </c>
      <c r="CA1" t="s">
        <v>1646</v>
      </c>
      <c r="CB1" t="s">
        <v>1647</v>
      </c>
      <c r="CC1" t="s">
        <v>1648</v>
      </c>
      <c r="CD1" t="s">
        <v>1649</v>
      </c>
      <c r="CE1" t="s">
        <v>1650</v>
      </c>
      <c r="CF1" t="s">
        <v>1651</v>
      </c>
      <c r="CG1" t="s">
        <v>1652</v>
      </c>
      <c r="CH1" t="s">
        <v>1653</v>
      </c>
      <c r="CI1" t="s">
        <v>1654</v>
      </c>
      <c r="CJ1" t="s">
        <v>1655</v>
      </c>
      <c r="CK1" t="s">
        <v>1656</v>
      </c>
      <c r="CL1" t="s">
        <v>1657</v>
      </c>
      <c r="CM1" t="s">
        <v>1658</v>
      </c>
      <c r="CN1" t="s">
        <v>1659</v>
      </c>
      <c r="CO1" t="s">
        <v>1660</v>
      </c>
      <c r="CP1" t="s">
        <v>1661</v>
      </c>
      <c r="CQ1" t="s">
        <v>1662</v>
      </c>
      <c r="CR1" t="s">
        <v>1663</v>
      </c>
      <c r="CS1" t="s">
        <v>1664</v>
      </c>
      <c r="CT1" t="s">
        <v>1665</v>
      </c>
      <c r="CU1" t="s">
        <v>1666</v>
      </c>
      <c r="CV1" t="s">
        <v>1667</v>
      </c>
      <c r="CW1" t="s">
        <v>1668</v>
      </c>
      <c r="CX1" t="s">
        <v>1669</v>
      </c>
      <c r="CY1" t="s">
        <v>1670</v>
      </c>
      <c r="CZ1" t="s">
        <v>1671</v>
      </c>
      <c r="DA1" t="s">
        <v>1672</v>
      </c>
      <c r="DB1" t="s">
        <v>1673</v>
      </c>
      <c r="DC1" t="s">
        <v>1674</v>
      </c>
      <c r="DD1" t="s">
        <v>1675</v>
      </c>
      <c r="DE1" t="s">
        <v>1676</v>
      </c>
      <c r="DF1" t="s">
        <v>1677</v>
      </c>
      <c r="DG1" t="s">
        <v>1678</v>
      </c>
      <c r="DH1" t="s">
        <v>1679</v>
      </c>
      <c r="DI1" t="s">
        <v>1680</v>
      </c>
      <c r="DJ1" t="s">
        <v>1681</v>
      </c>
      <c r="DK1" t="s">
        <v>1682</v>
      </c>
      <c r="DL1" t="s">
        <v>1683</v>
      </c>
      <c r="DM1" t="s">
        <v>1684</v>
      </c>
      <c r="DN1" t="s">
        <v>1685</v>
      </c>
      <c r="DO1" t="s">
        <v>1686</v>
      </c>
      <c r="DP1" t="s">
        <v>1687</v>
      </c>
      <c r="DQ1" t="s">
        <v>1688</v>
      </c>
      <c r="DR1" t="s">
        <v>1689</v>
      </c>
      <c r="DS1" t="s">
        <v>1690</v>
      </c>
      <c r="DT1" t="s">
        <v>1691</v>
      </c>
      <c r="DU1" t="s">
        <v>1692</v>
      </c>
      <c r="DV1" t="s">
        <v>1693</v>
      </c>
      <c r="DW1" t="s">
        <v>1694</v>
      </c>
      <c r="DX1" t="s">
        <v>1695</v>
      </c>
      <c r="DY1" t="s">
        <v>1696</v>
      </c>
      <c r="DZ1" t="s">
        <v>1697</v>
      </c>
      <c r="EA1" t="s">
        <v>1698</v>
      </c>
      <c r="EB1" t="s">
        <v>1699</v>
      </c>
      <c r="EC1" t="s">
        <v>1700</v>
      </c>
      <c r="ED1" t="s">
        <v>1701</v>
      </c>
      <c r="EE1" t="s">
        <v>1702</v>
      </c>
      <c r="EF1" t="s">
        <v>1703</v>
      </c>
      <c r="EG1" t="s">
        <v>1704</v>
      </c>
      <c r="EH1" t="s">
        <v>1705</v>
      </c>
      <c r="EI1" t="s">
        <v>1706</v>
      </c>
      <c r="EJ1" t="s">
        <v>1707</v>
      </c>
      <c r="EK1" t="s">
        <v>1708</v>
      </c>
      <c r="EL1" t="s">
        <v>1709</v>
      </c>
      <c r="EM1" t="s">
        <v>1710</v>
      </c>
      <c r="EN1" t="s">
        <v>1711</v>
      </c>
      <c r="EO1" t="s">
        <v>1712</v>
      </c>
      <c r="EP1" t="s">
        <v>1713</v>
      </c>
      <c r="EQ1" t="s">
        <v>1714</v>
      </c>
      <c r="ER1" t="s">
        <v>1715</v>
      </c>
      <c r="ES1" t="s">
        <v>1716</v>
      </c>
      <c r="ET1" t="s">
        <v>1717</v>
      </c>
      <c r="EU1" t="s">
        <v>1718</v>
      </c>
      <c r="EV1" t="s">
        <v>1719</v>
      </c>
      <c r="EW1" t="s">
        <v>1720</v>
      </c>
      <c r="EX1" t="s">
        <v>1721</v>
      </c>
      <c r="EY1" t="s">
        <v>1722</v>
      </c>
      <c r="EZ1" t="s">
        <v>1723</v>
      </c>
      <c r="FA1" t="s">
        <v>1724</v>
      </c>
      <c r="FB1" t="s">
        <v>1725</v>
      </c>
      <c r="FC1" t="s">
        <v>1726</v>
      </c>
      <c r="FD1" t="s">
        <v>1727</v>
      </c>
      <c r="FE1" t="s">
        <v>1728</v>
      </c>
      <c r="FF1" t="s">
        <v>1729</v>
      </c>
      <c r="FG1" t="s">
        <v>1730</v>
      </c>
      <c r="FH1" t="s">
        <v>1731</v>
      </c>
      <c r="FI1" t="s">
        <v>1732</v>
      </c>
      <c r="FJ1" t="s">
        <v>1733</v>
      </c>
      <c r="FK1" t="s">
        <v>1734</v>
      </c>
      <c r="FL1" t="s">
        <v>1735</v>
      </c>
      <c r="FM1" t="s">
        <v>1736</v>
      </c>
      <c r="FN1" t="s">
        <v>1737</v>
      </c>
      <c r="FO1" t="s">
        <v>1738</v>
      </c>
      <c r="FP1" t="s">
        <v>1739</v>
      </c>
      <c r="FQ1" t="s">
        <v>1740</v>
      </c>
      <c r="FR1" t="s">
        <v>1741</v>
      </c>
      <c r="FS1" t="s">
        <v>1742</v>
      </c>
      <c r="FT1" t="s">
        <v>1743</v>
      </c>
      <c r="FU1" t="s">
        <v>1744</v>
      </c>
      <c r="FV1" t="s">
        <v>1745</v>
      </c>
      <c r="FW1" t="s">
        <v>1746</v>
      </c>
      <c r="FX1" t="s">
        <v>1747</v>
      </c>
      <c r="FY1" t="s">
        <v>1748</v>
      </c>
      <c r="FZ1" t="s">
        <v>1749</v>
      </c>
      <c r="GA1" t="s">
        <v>1750</v>
      </c>
      <c r="GB1" t="s">
        <v>1751</v>
      </c>
      <c r="GC1" t="s">
        <v>1752</v>
      </c>
      <c r="GD1" t="s">
        <v>1753</v>
      </c>
      <c r="GE1" t="s">
        <v>1754</v>
      </c>
      <c r="GF1" t="s">
        <v>1755</v>
      </c>
      <c r="GG1" t="s">
        <v>1756</v>
      </c>
      <c r="GH1" t="s">
        <v>1757</v>
      </c>
      <c r="GI1" t="s">
        <v>1758</v>
      </c>
      <c r="GJ1" t="s">
        <v>1759</v>
      </c>
      <c r="GK1" t="s">
        <v>1760</v>
      </c>
      <c r="GL1" t="s">
        <v>1761</v>
      </c>
      <c r="GM1" t="s">
        <v>1762</v>
      </c>
      <c r="GN1" t="s">
        <v>1763</v>
      </c>
      <c r="GO1" t="s">
        <v>1764</v>
      </c>
      <c r="GP1" t="s">
        <v>1765</v>
      </c>
      <c r="GQ1" t="s">
        <v>1766</v>
      </c>
      <c r="GR1" t="s">
        <v>1767</v>
      </c>
      <c r="GS1" t="s">
        <v>1768</v>
      </c>
      <c r="GT1" t="s">
        <v>1769</v>
      </c>
      <c r="GU1" t="s">
        <v>1770</v>
      </c>
      <c r="GV1" t="s">
        <v>1771</v>
      </c>
      <c r="GW1" t="s">
        <v>1772</v>
      </c>
      <c r="GX1" t="s">
        <v>1773</v>
      </c>
      <c r="GY1" t="s">
        <v>1774</v>
      </c>
      <c r="GZ1" t="s">
        <v>1775</v>
      </c>
      <c r="HA1" t="s">
        <v>1776</v>
      </c>
      <c r="HB1" t="s">
        <v>1777</v>
      </c>
      <c r="HC1" t="s">
        <v>1778</v>
      </c>
      <c r="HD1" t="s">
        <v>1779</v>
      </c>
      <c r="HE1" t="s">
        <v>1780</v>
      </c>
      <c r="HF1" t="s">
        <v>1781</v>
      </c>
      <c r="HG1" t="s">
        <v>1782</v>
      </c>
      <c r="HH1" t="s">
        <v>1783</v>
      </c>
      <c r="HI1" t="s">
        <v>1784</v>
      </c>
      <c r="HJ1" t="s">
        <v>1785</v>
      </c>
      <c r="HK1" t="s">
        <v>1786</v>
      </c>
      <c r="HL1" t="s">
        <v>1787</v>
      </c>
      <c r="HM1" t="s">
        <v>1788</v>
      </c>
      <c r="HN1" t="s">
        <v>1789</v>
      </c>
      <c r="HO1" t="s">
        <v>1790</v>
      </c>
      <c r="HP1" t="s">
        <v>1791</v>
      </c>
      <c r="HQ1" t="s">
        <v>1792</v>
      </c>
      <c r="HR1" t="s">
        <v>1793</v>
      </c>
      <c r="HS1" t="s">
        <v>1794</v>
      </c>
      <c r="HT1" t="s">
        <v>1795</v>
      </c>
      <c r="HU1" t="s">
        <v>1796</v>
      </c>
      <c r="HV1" t="s">
        <v>1797</v>
      </c>
      <c r="HW1" t="s">
        <v>1798</v>
      </c>
      <c r="HX1" t="s">
        <v>1799</v>
      </c>
      <c r="HY1" t="s">
        <v>1800</v>
      </c>
      <c r="HZ1" t="s">
        <v>1801</v>
      </c>
      <c r="IA1" t="s">
        <v>1802</v>
      </c>
      <c r="IB1" t="s">
        <v>1803</v>
      </c>
      <c r="IC1" t="s">
        <v>1804</v>
      </c>
      <c r="ID1" t="s">
        <v>1805</v>
      </c>
      <c r="IE1" t="s">
        <v>1806</v>
      </c>
      <c r="IF1" t="s">
        <v>1807</v>
      </c>
      <c r="IG1" t="s">
        <v>1808</v>
      </c>
      <c r="IH1" t="s">
        <v>1809</v>
      </c>
      <c r="II1" t="s">
        <v>1810</v>
      </c>
      <c r="IJ1" t="s">
        <v>1811</v>
      </c>
      <c r="IK1" t="s">
        <v>1812</v>
      </c>
      <c r="IL1" t="s">
        <v>1813</v>
      </c>
      <c r="IM1" t="s">
        <v>1814</v>
      </c>
      <c r="IN1" t="s">
        <v>1815</v>
      </c>
      <c r="IO1" t="s">
        <v>1816</v>
      </c>
      <c r="IP1" t="s">
        <v>1817</v>
      </c>
      <c r="IQ1" t="s">
        <v>1818</v>
      </c>
      <c r="IR1" t="s">
        <v>1819</v>
      </c>
      <c r="IS1" t="s">
        <v>1820</v>
      </c>
      <c r="IT1" t="s">
        <v>1821</v>
      </c>
      <c r="IU1" t="s">
        <v>1822</v>
      </c>
      <c r="IV1" t="s">
        <v>1823</v>
      </c>
      <c r="IW1" t="s">
        <v>1824</v>
      </c>
      <c r="IX1" t="s">
        <v>1825</v>
      </c>
      <c r="IY1" t="s">
        <v>1826</v>
      </c>
      <c r="IZ1" t="s">
        <v>1827</v>
      </c>
      <c r="JA1" t="s">
        <v>1828</v>
      </c>
      <c r="JB1" t="s">
        <v>1829</v>
      </c>
      <c r="JC1" t="s">
        <v>1830</v>
      </c>
      <c r="JD1" t="s">
        <v>1831</v>
      </c>
      <c r="JE1" t="s">
        <v>1832</v>
      </c>
      <c r="JF1" t="s">
        <v>1833</v>
      </c>
      <c r="JG1" t="s">
        <v>1834</v>
      </c>
      <c r="JH1" t="s">
        <v>1835</v>
      </c>
      <c r="JI1" t="s">
        <v>1836</v>
      </c>
      <c r="JJ1" t="s">
        <v>1837</v>
      </c>
      <c r="JK1" t="s">
        <v>1838</v>
      </c>
      <c r="JL1" t="s">
        <v>1839</v>
      </c>
      <c r="JM1" t="s">
        <v>1840</v>
      </c>
      <c r="JN1" t="s">
        <v>1841</v>
      </c>
      <c r="JO1" t="s">
        <v>1842</v>
      </c>
      <c r="JP1" t="s">
        <v>1843</v>
      </c>
      <c r="JQ1" t="s">
        <v>1844</v>
      </c>
      <c r="JR1" t="s">
        <v>1845</v>
      </c>
      <c r="JS1" t="s">
        <v>1846</v>
      </c>
      <c r="JT1" t="s">
        <v>1847</v>
      </c>
      <c r="JU1" t="s">
        <v>1848</v>
      </c>
      <c r="JV1" t="s">
        <v>1849</v>
      </c>
      <c r="JW1" t="s">
        <v>1850</v>
      </c>
      <c r="JX1" t="s">
        <v>1851</v>
      </c>
      <c r="JY1" t="s">
        <v>1852</v>
      </c>
      <c r="JZ1" t="s">
        <v>1853</v>
      </c>
      <c r="KA1" t="s">
        <v>1854</v>
      </c>
      <c r="KB1" t="s">
        <v>1855</v>
      </c>
      <c r="KC1" t="s">
        <v>1856</v>
      </c>
      <c r="KD1" t="s">
        <v>1857</v>
      </c>
      <c r="KE1" t="s">
        <v>1858</v>
      </c>
      <c r="KF1" t="s">
        <v>1859</v>
      </c>
      <c r="KG1" t="s">
        <v>1860</v>
      </c>
      <c r="KH1" t="s">
        <v>1861</v>
      </c>
      <c r="KI1" t="s">
        <v>1862</v>
      </c>
      <c r="KJ1" t="s">
        <v>1863</v>
      </c>
      <c r="KK1" t="s">
        <v>1864</v>
      </c>
      <c r="KL1" t="s">
        <v>1865</v>
      </c>
      <c r="KM1" t="s">
        <v>1866</v>
      </c>
      <c r="KN1" t="s">
        <v>1867</v>
      </c>
      <c r="KO1" t="s">
        <v>1868</v>
      </c>
      <c r="KP1" t="s">
        <v>1869</v>
      </c>
      <c r="KQ1" t="s">
        <v>1870</v>
      </c>
      <c r="KR1" t="s">
        <v>1871</v>
      </c>
      <c r="KS1" t="s">
        <v>1872</v>
      </c>
      <c r="KT1" t="s">
        <v>1873</v>
      </c>
      <c r="KU1" t="s">
        <v>1874</v>
      </c>
      <c r="KV1" t="s">
        <v>1875</v>
      </c>
      <c r="KW1" t="s">
        <v>1876</v>
      </c>
      <c r="KX1" t="s">
        <v>1877</v>
      </c>
      <c r="KY1" t="s">
        <v>1878</v>
      </c>
      <c r="KZ1" t="s">
        <v>1879</v>
      </c>
      <c r="LA1" t="s">
        <v>1880</v>
      </c>
      <c r="LB1" t="s">
        <v>1881</v>
      </c>
      <c r="LC1" t="s">
        <v>1882</v>
      </c>
      <c r="LD1" t="s">
        <v>1883</v>
      </c>
      <c r="LE1" t="s">
        <v>1884</v>
      </c>
      <c r="LF1" t="s">
        <v>1885</v>
      </c>
      <c r="LG1" t="s">
        <v>1886</v>
      </c>
      <c r="LH1" t="s">
        <v>1887</v>
      </c>
      <c r="LI1" t="s">
        <v>1888</v>
      </c>
      <c r="LJ1" t="s">
        <v>1889</v>
      </c>
      <c r="LK1" t="s">
        <v>1890</v>
      </c>
      <c r="LL1" t="s">
        <v>1891</v>
      </c>
      <c r="LM1" t="s">
        <v>1892</v>
      </c>
      <c r="LN1" t="s">
        <v>1893</v>
      </c>
      <c r="LO1" t="s">
        <v>1894</v>
      </c>
      <c r="LP1" t="s">
        <v>1895</v>
      </c>
      <c r="LQ1" t="s">
        <v>1896</v>
      </c>
      <c r="LR1" t="s">
        <v>1897</v>
      </c>
      <c r="LS1" t="s">
        <v>1898</v>
      </c>
      <c r="LT1" t="s">
        <v>1899</v>
      </c>
      <c r="LU1" t="s">
        <v>1900</v>
      </c>
      <c r="LV1" t="s">
        <v>1901</v>
      </c>
      <c r="LW1" t="s">
        <v>1902</v>
      </c>
      <c r="LX1" t="s">
        <v>1903</v>
      </c>
      <c r="LY1" t="s">
        <v>1904</v>
      </c>
      <c r="LZ1" t="s">
        <v>1905</v>
      </c>
      <c r="MA1" t="s">
        <v>1906</v>
      </c>
      <c r="MB1" t="s">
        <v>1907</v>
      </c>
      <c r="MC1" t="s">
        <v>1908</v>
      </c>
      <c r="MD1" t="s">
        <v>1909</v>
      </c>
      <c r="ME1" t="s">
        <v>1910</v>
      </c>
      <c r="MF1" t="s">
        <v>1911</v>
      </c>
      <c r="MG1" t="s">
        <v>1912</v>
      </c>
      <c r="MH1" t="s">
        <v>1913</v>
      </c>
      <c r="MI1" t="s">
        <v>1914</v>
      </c>
      <c r="MJ1" t="s">
        <v>1915</v>
      </c>
      <c r="MK1" t="s">
        <v>1916</v>
      </c>
      <c r="ML1" t="s">
        <v>1917</v>
      </c>
      <c r="MM1" t="s">
        <v>1918</v>
      </c>
      <c r="MN1" t="s">
        <v>1919</v>
      </c>
      <c r="MO1" t="s">
        <v>1920</v>
      </c>
      <c r="MP1" t="s">
        <v>1921</v>
      </c>
      <c r="MQ1" t="s">
        <v>1922</v>
      </c>
      <c r="MR1" t="s">
        <v>1923</v>
      </c>
      <c r="MS1" t="s">
        <v>1924</v>
      </c>
      <c r="MT1" t="s">
        <v>1925</v>
      </c>
      <c r="MU1" t="s">
        <v>1926</v>
      </c>
      <c r="MV1" t="s">
        <v>1927</v>
      </c>
      <c r="MW1" t="s">
        <v>1928</v>
      </c>
      <c r="MX1" t="s">
        <v>1929</v>
      </c>
      <c r="MY1" t="s">
        <v>1930</v>
      </c>
      <c r="MZ1" t="s">
        <v>1931</v>
      </c>
      <c r="NA1" t="s">
        <v>1932</v>
      </c>
      <c r="NB1" t="s">
        <v>1933</v>
      </c>
      <c r="NC1" t="s">
        <v>1934</v>
      </c>
      <c r="ND1" t="s">
        <v>1935</v>
      </c>
      <c r="NE1" t="s">
        <v>1936</v>
      </c>
      <c r="NF1" t="s">
        <v>1937</v>
      </c>
      <c r="NG1" t="s">
        <v>1938</v>
      </c>
      <c r="NH1" t="s">
        <v>1939</v>
      </c>
      <c r="NI1" t="s">
        <v>1940</v>
      </c>
      <c r="NJ1" t="s">
        <v>1941</v>
      </c>
      <c r="NK1" t="s">
        <v>1942</v>
      </c>
      <c r="NL1" t="s">
        <v>1943</v>
      </c>
      <c r="NM1" t="s">
        <v>1944</v>
      </c>
      <c r="NN1" t="s">
        <v>1945</v>
      </c>
      <c r="NO1" t="s">
        <v>1946</v>
      </c>
      <c r="NP1" t="s">
        <v>1947</v>
      </c>
      <c r="NQ1" t="s">
        <v>1948</v>
      </c>
      <c r="NR1" t="s">
        <v>1949</v>
      </c>
      <c r="NS1" t="s">
        <v>1950</v>
      </c>
      <c r="NT1" t="s">
        <v>1951</v>
      </c>
      <c r="NU1" t="s">
        <v>1952</v>
      </c>
      <c r="NV1" t="s">
        <v>1953</v>
      </c>
      <c r="NW1" t="s">
        <v>1954</v>
      </c>
      <c r="NX1" t="s">
        <v>1955</v>
      </c>
      <c r="NY1" t="s">
        <v>1956</v>
      </c>
      <c r="NZ1" t="s">
        <v>1957</v>
      </c>
      <c r="OA1" t="s">
        <v>1958</v>
      </c>
      <c r="OB1" t="s">
        <v>1959</v>
      </c>
      <c r="OC1" t="s">
        <v>1960</v>
      </c>
      <c r="OD1" t="s">
        <v>1961</v>
      </c>
      <c r="OE1" t="s">
        <v>1962</v>
      </c>
      <c r="OF1" t="s">
        <v>1963</v>
      </c>
      <c r="OG1" t="s">
        <v>1964</v>
      </c>
      <c r="OH1" t="s">
        <v>1965</v>
      </c>
      <c r="OI1" t="s">
        <v>1966</v>
      </c>
      <c r="OJ1" t="s">
        <v>1967</v>
      </c>
      <c r="OK1" t="s">
        <v>1968</v>
      </c>
      <c r="OL1" t="s">
        <v>1969</v>
      </c>
      <c r="OM1" t="s">
        <v>1970</v>
      </c>
      <c r="ON1" t="s">
        <v>1971</v>
      </c>
      <c r="OO1" t="s">
        <v>1972</v>
      </c>
      <c r="OP1" t="s">
        <v>1973</v>
      </c>
      <c r="OQ1" t="s">
        <v>1974</v>
      </c>
      <c r="OR1" t="s">
        <v>1975</v>
      </c>
      <c r="OS1" t="s">
        <v>1976</v>
      </c>
      <c r="OT1" t="s">
        <v>1977</v>
      </c>
      <c r="OU1" t="s">
        <v>1978</v>
      </c>
      <c r="OV1" t="s">
        <v>1979</v>
      </c>
      <c r="OW1" t="s">
        <v>1980</v>
      </c>
      <c r="OX1" t="s">
        <v>1981</v>
      </c>
      <c r="OY1" t="s">
        <v>1982</v>
      </c>
      <c r="OZ1" t="s">
        <v>1983</v>
      </c>
      <c r="PA1" t="s">
        <v>1984</v>
      </c>
      <c r="PB1" t="s">
        <v>1985</v>
      </c>
      <c r="PC1" t="s">
        <v>1986</v>
      </c>
      <c r="PD1" t="s">
        <v>1987</v>
      </c>
      <c r="PE1" t="s">
        <v>1988</v>
      </c>
      <c r="PF1" t="s">
        <v>1989</v>
      </c>
      <c r="PG1" t="s">
        <v>1990</v>
      </c>
      <c r="PH1" t="s">
        <v>1991</v>
      </c>
      <c r="PI1" t="s">
        <v>1992</v>
      </c>
      <c r="PJ1" t="s">
        <v>1993</v>
      </c>
      <c r="PK1" t="s">
        <v>1994</v>
      </c>
      <c r="PL1" t="s">
        <v>1995</v>
      </c>
      <c r="PM1" t="s">
        <v>1996</v>
      </c>
      <c r="PN1" t="s">
        <v>1997</v>
      </c>
      <c r="PO1" t="s">
        <v>1998</v>
      </c>
      <c r="PP1" t="s">
        <v>1999</v>
      </c>
      <c r="PQ1" t="s">
        <v>2000</v>
      </c>
      <c r="PR1" t="s">
        <v>2001</v>
      </c>
      <c r="PS1" t="s">
        <v>2002</v>
      </c>
      <c r="PT1" t="s">
        <v>2003</v>
      </c>
      <c r="PU1" t="s">
        <v>2004</v>
      </c>
      <c r="PV1" t="s">
        <v>2005</v>
      </c>
      <c r="PW1" t="s">
        <v>2006</v>
      </c>
      <c r="PX1" t="s">
        <v>2007</v>
      </c>
      <c r="PY1" t="s">
        <v>2008</v>
      </c>
      <c r="PZ1" t="s">
        <v>2009</v>
      </c>
      <c r="QA1" t="s">
        <v>2010</v>
      </c>
      <c r="QB1" t="s">
        <v>2011</v>
      </c>
      <c r="QC1" t="s">
        <v>2012</v>
      </c>
      <c r="QD1" t="s">
        <v>2013</v>
      </c>
      <c r="QE1" t="s">
        <v>2014</v>
      </c>
      <c r="QF1" t="s">
        <v>2015</v>
      </c>
      <c r="QG1" t="s">
        <v>2016</v>
      </c>
      <c r="QH1" t="s">
        <v>2017</v>
      </c>
      <c r="QI1" t="s">
        <v>2018</v>
      </c>
      <c r="QJ1" t="s">
        <v>2019</v>
      </c>
      <c r="QK1" t="s">
        <v>2020</v>
      </c>
      <c r="QL1" t="s">
        <v>2021</v>
      </c>
      <c r="QM1" t="s">
        <v>2022</v>
      </c>
      <c r="QN1" t="s">
        <v>2023</v>
      </c>
      <c r="QO1" t="s">
        <v>2024</v>
      </c>
      <c r="QP1" t="s">
        <v>2025</v>
      </c>
      <c r="QQ1" t="s">
        <v>2026</v>
      </c>
      <c r="QR1" t="s">
        <v>2027</v>
      </c>
      <c r="QS1" t="s">
        <v>2028</v>
      </c>
      <c r="QT1" t="s">
        <v>2029</v>
      </c>
      <c r="QU1" t="s">
        <v>2030</v>
      </c>
      <c r="QV1" t="s">
        <v>2031</v>
      </c>
      <c r="QW1" t="s">
        <v>2032</v>
      </c>
      <c r="QX1" t="s">
        <v>2033</v>
      </c>
      <c r="QY1" t="s">
        <v>2034</v>
      </c>
      <c r="QZ1" t="s">
        <v>2035</v>
      </c>
      <c r="RA1" t="s">
        <v>2036</v>
      </c>
      <c r="RB1" t="s">
        <v>2037</v>
      </c>
      <c r="RC1" t="s">
        <v>2038</v>
      </c>
      <c r="RD1" t="s">
        <v>2039</v>
      </c>
      <c r="RE1" t="s">
        <v>2040</v>
      </c>
      <c r="RF1" t="s">
        <v>2041</v>
      </c>
      <c r="RG1" t="s">
        <v>2042</v>
      </c>
      <c r="RH1" t="s">
        <v>2043</v>
      </c>
      <c r="RI1" t="s">
        <v>2044</v>
      </c>
      <c r="RJ1" t="s">
        <v>2045</v>
      </c>
      <c r="RK1" t="s">
        <v>2046</v>
      </c>
      <c r="RL1" t="s">
        <v>2047</v>
      </c>
      <c r="RM1" t="s">
        <v>2048</v>
      </c>
      <c r="RN1" t="s">
        <v>2049</v>
      </c>
      <c r="RO1" t="s">
        <v>2050</v>
      </c>
      <c r="RP1" t="s">
        <v>2051</v>
      </c>
      <c r="RQ1" t="s">
        <v>2052</v>
      </c>
      <c r="RR1" t="s">
        <v>2053</v>
      </c>
      <c r="RS1" t="s">
        <v>2054</v>
      </c>
      <c r="RT1" t="s">
        <v>2055</v>
      </c>
      <c r="RU1" t="s">
        <v>2056</v>
      </c>
      <c r="RV1" t="s">
        <v>2057</v>
      </c>
      <c r="RW1" t="s">
        <v>2058</v>
      </c>
      <c r="RX1" t="s">
        <v>2059</v>
      </c>
      <c r="RY1" t="s">
        <v>2060</v>
      </c>
      <c r="RZ1" t="s">
        <v>2061</v>
      </c>
      <c r="SA1" t="s">
        <v>2062</v>
      </c>
      <c r="SB1" t="s">
        <v>2063</v>
      </c>
      <c r="SC1" t="s">
        <v>2064</v>
      </c>
      <c r="SD1" t="s">
        <v>2065</v>
      </c>
      <c r="SE1" t="s">
        <v>2066</v>
      </c>
      <c r="SF1" t="s">
        <v>2067</v>
      </c>
      <c r="SG1" t="s">
        <v>2068</v>
      </c>
      <c r="SH1" t="s">
        <v>2069</v>
      </c>
      <c r="SI1" t="s">
        <v>2070</v>
      </c>
      <c r="SJ1" t="s">
        <v>2071</v>
      </c>
      <c r="SK1" t="s">
        <v>2072</v>
      </c>
      <c r="SL1" t="s">
        <v>2073</v>
      </c>
      <c r="SM1" t="s">
        <v>2074</v>
      </c>
      <c r="SN1" t="s">
        <v>2075</v>
      </c>
      <c r="SO1" t="s">
        <v>2076</v>
      </c>
      <c r="SP1" t="s">
        <v>2077</v>
      </c>
      <c r="SQ1" t="s">
        <v>2078</v>
      </c>
      <c r="SR1" t="s">
        <v>2079</v>
      </c>
      <c r="SS1" t="s">
        <v>2080</v>
      </c>
      <c r="ST1" t="s">
        <v>2081</v>
      </c>
      <c r="SU1" t="s">
        <v>2082</v>
      </c>
      <c r="SV1" t="s">
        <v>2083</v>
      </c>
      <c r="SW1" t="s">
        <v>2084</v>
      </c>
      <c r="SX1" t="s">
        <v>2085</v>
      </c>
      <c r="SY1" t="s">
        <v>2086</v>
      </c>
      <c r="SZ1" t="s">
        <v>2087</v>
      </c>
      <c r="TA1" t="s">
        <v>2088</v>
      </c>
      <c r="TB1" t="s">
        <v>2089</v>
      </c>
      <c r="TC1" t="s">
        <v>2090</v>
      </c>
      <c r="TD1" t="s">
        <v>2091</v>
      </c>
      <c r="TE1" t="s">
        <v>2092</v>
      </c>
      <c r="TF1" t="s">
        <v>2093</v>
      </c>
      <c r="TG1" t="s">
        <v>2094</v>
      </c>
      <c r="TH1" t="s">
        <v>2095</v>
      </c>
      <c r="TI1" t="s">
        <v>2096</v>
      </c>
      <c r="TJ1" t="s">
        <v>2097</v>
      </c>
      <c r="TK1" t="s">
        <v>2098</v>
      </c>
      <c r="TL1" t="s">
        <v>2099</v>
      </c>
      <c r="TM1" t="s">
        <v>2100</v>
      </c>
      <c r="TN1" t="s">
        <v>2101</v>
      </c>
      <c r="TO1" t="s">
        <v>2102</v>
      </c>
      <c r="TP1" t="s">
        <v>2103</v>
      </c>
      <c r="TQ1" t="s">
        <v>2104</v>
      </c>
      <c r="TR1" t="s">
        <v>2105</v>
      </c>
      <c r="TS1" t="s">
        <v>2106</v>
      </c>
      <c r="TT1" t="s">
        <v>2107</v>
      </c>
      <c r="TU1" t="s">
        <v>2108</v>
      </c>
      <c r="TV1" t="s">
        <v>2109</v>
      </c>
      <c r="TW1" t="s">
        <v>2110</v>
      </c>
      <c r="TX1" t="s">
        <v>2111</v>
      </c>
      <c r="TY1" t="s">
        <v>2112</v>
      </c>
      <c r="TZ1" t="s">
        <v>2113</v>
      </c>
      <c r="UA1" t="s">
        <v>2114</v>
      </c>
      <c r="UB1" t="s">
        <v>2115</v>
      </c>
      <c r="UC1" t="s">
        <v>2116</v>
      </c>
      <c r="UD1" t="s">
        <v>2117</v>
      </c>
      <c r="UE1" t="s">
        <v>2118</v>
      </c>
      <c r="UF1" t="s">
        <v>2119</v>
      </c>
      <c r="UG1" t="s">
        <v>2120</v>
      </c>
      <c r="UH1" t="s">
        <v>2121</v>
      </c>
      <c r="UI1" t="s">
        <v>2122</v>
      </c>
      <c r="UJ1" t="s">
        <v>2123</v>
      </c>
      <c r="UK1" t="s">
        <v>2124</v>
      </c>
      <c r="UL1" t="s">
        <v>2125</v>
      </c>
      <c r="UM1" t="s">
        <v>2126</v>
      </c>
      <c r="UN1" t="s">
        <v>2127</v>
      </c>
      <c r="UO1" t="s">
        <v>2128</v>
      </c>
      <c r="UP1" t="s">
        <v>2129</v>
      </c>
      <c r="UQ1" t="s">
        <v>2130</v>
      </c>
      <c r="UR1" t="s">
        <v>2131</v>
      </c>
      <c r="US1" t="s">
        <v>2132</v>
      </c>
      <c r="UT1" t="s">
        <v>2133</v>
      </c>
      <c r="UU1" t="s">
        <v>2134</v>
      </c>
      <c r="UV1" t="s">
        <v>2135</v>
      </c>
      <c r="UW1" t="s">
        <v>2136</v>
      </c>
      <c r="UX1" t="s">
        <v>2137</v>
      </c>
      <c r="UY1" t="s">
        <v>2138</v>
      </c>
      <c r="UZ1" t="s">
        <v>2139</v>
      </c>
      <c r="VA1" t="s">
        <v>2140</v>
      </c>
      <c r="VB1" t="s">
        <v>2141</v>
      </c>
      <c r="VC1" t="s">
        <v>2142</v>
      </c>
      <c r="VD1" t="s">
        <v>2143</v>
      </c>
      <c r="VE1" t="s">
        <v>2144</v>
      </c>
      <c r="VF1" t="s">
        <v>2145</v>
      </c>
      <c r="VG1" t="s">
        <v>2146</v>
      </c>
      <c r="VH1" t="s">
        <v>2147</v>
      </c>
      <c r="VI1" t="s">
        <v>2148</v>
      </c>
      <c r="VJ1" t="s">
        <v>2149</v>
      </c>
      <c r="VK1" t="s">
        <v>2150</v>
      </c>
      <c r="VL1" t="s">
        <v>2151</v>
      </c>
      <c r="VM1" t="s">
        <v>2152</v>
      </c>
      <c r="VN1" t="s">
        <v>2153</v>
      </c>
      <c r="VO1" t="s">
        <v>2154</v>
      </c>
      <c r="VP1" t="s">
        <v>2155</v>
      </c>
      <c r="VQ1" t="s">
        <v>2156</v>
      </c>
      <c r="VR1" t="s">
        <v>2157</v>
      </c>
      <c r="VS1" t="s">
        <v>2158</v>
      </c>
      <c r="VT1" t="s">
        <v>2159</v>
      </c>
      <c r="VU1" t="s">
        <v>2160</v>
      </c>
      <c r="VV1" t="s">
        <v>2161</v>
      </c>
      <c r="VW1" t="s">
        <v>2162</v>
      </c>
      <c r="VX1" t="s">
        <v>2163</v>
      </c>
      <c r="VY1" t="s">
        <v>2164</v>
      </c>
      <c r="VZ1" t="s">
        <v>2165</v>
      </c>
      <c r="WA1" t="s">
        <v>2166</v>
      </c>
      <c r="WB1" t="s">
        <v>2167</v>
      </c>
      <c r="WC1" t="s">
        <v>2168</v>
      </c>
      <c r="WD1" t="s">
        <v>2169</v>
      </c>
      <c r="WE1" t="s">
        <v>2170</v>
      </c>
      <c r="WF1" t="s">
        <v>2171</v>
      </c>
      <c r="WG1" t="s">
        <v>2172</v>
      </c>
      <c r="WH1" t="s">
        <v>2173</v>
      </c>
      <c r="WI1" t="s">
        <v>2174</v>
      </c>
      <c r="WJ1" t="s">
        <v>2175</v>
      </c>
      <c r="WK1" t="s">
        <v>2176</v>
      </c>
      <c r="WL1" t="s">
        <v>2177</v>
      </c>
      <c r="WM1" t="s">
        <v>2178</v>
      </c>
      <c r="WN1" t="s">
        <v>2179</v>
      </c>
      <c r="WO1" t="s">
        <v>2180</v>
      </c>
      <c r="WP1" t="s">
        <v>2181</v>
      </c>
      <c r="WQ1" t="s">
        <v>2182</v>
      </c>
      <c r="WR1" t="s">
        <v>2183</v>
      </c>
      <c r="WS1" t="s">
        <v>2184</v>
      </c>
      <c r="WT1" t="s">
        <v>2185</v>
      </c>
      <c r="WU1" t="s">
        <v>2186</v>
      </c>
      <c r="WV1" t="s">
        <v>2187</v>
      </c>
      <c r="WW1" t="s">
        <v>2188</v>
      </c>
      <c r="WX1" t="s">
        <v>2189</v>
      </c>
      <c r="WY1" t="s">
        <v>2190</v>
      </c>
      <c r="WZ1" t="s">
        <v>2191</v>
      </c>
      <c r="XA1" t="s">
        <v>2192</v>
      </c>
      <c r="XB1" t="s">
        <v>2193</v>
      </c>
      <c r="XC1" t="s">
        <v>2194</v>
      </c>
      <c r="XD1" t="s">
        <v>2195</v>
      </c>
      <c r="XE1" t="s">
        <v>2196</v>
      </c>
      <c r="XF1" t="s">
        <v>2197</v>
      </c>
      <c r="XG1" t="s">
        <v>2198</v>
      </c>
      <c r="XH1" t="s">
        <v>2199</v>
      </c>
      <c r="XI1" t="s">
        <v>2200</v>
      </c>
      <c r="XJ1" t="s">
        <v>2201</v>
      </c>
      <c r="XK1" t="s">
        <v>2202</v>
      </c>
      <c r="XL1" t="s">
        <v>2203</v>
      </c>
      <c r="XM1" t="s">
        <v>2204</v>
      </c>
      <c r="XN1" t="s">
        <v>2205</v>
      </c>
      <c r="XO1" t="s">
        <v>2206</v>
      </c>
      <c r="XP1" t="s">
        <v>2207</v>
      </c>
      <c r="XQ1" t="s">
        <v>2208</v>
      </c>
      <c r="XR1" t="s">
        <v>2209</v>
      </c>
      <c r="XS1" t="s">
        <v>2210</v>
      </c>
      <c r="XT1" t="s">
        <v>2211</v>
      </c>
      <c r="XU1" t="s">
        <v>2212</v>
      </c>
      <c r="XV1" t="s">
        <v>2213</v>
      </c>
      <c r="XW1" t="s">
        <v>2214</v>
      </c>
      <c r="XX1" t="s">
        <v>2215</v>
      </c>
      <c r="XY1" t="s">
        <v>2216</v>
      </c>
      <c r="XZ1" t="s">
        <v>2217</v>
      </c>
      <c r="YA1" t="s">
        <v>2218</v>
      </c>
      <c r="YB1" t="s">
        <v>2219</v>
      </c>
      <c r="YC1" t="s">
        <v>2220</v>
      </c>
      <c r="YD1" t="s">
        <v>2221</v>
      </c>
      <c r="YE1" t="s">
        <v>2222</v>
      </c>
      <c r="YF1" t="s">
        <v>2223</v>
      </c>
      <c r="YG1" t="s">
        <v>2224</v>
      </c>
      <c r="YH1" t="s">
        <v>2225</v>
      </c>
      <c r="YI1" t="s">
        <v>2226</v>
      </c>
      <c r="YJ1" t="s">
        <v>2227</v>
      </c>
      <c r="YK1" t="s">
        <v>2228</v>
      </c>
      <c r="YL1" t="s">
        <v>2229</v>
      </c>
      <c r="YM1" t="s">
        <v>2230</v>
      </c>
      <c r="YN1" t="s">
        <v>2231</v>
      </c>
      <c r="YO1" t="s">
        <v>2232</v>
      </c>
      <c r="YP1" t="s">
        <v>2233</v>
      </c>
      <c r="YQ1" t="s">
        <v>2234</v>
      </c>
      <c r="YR1" t="s">
        <v>2235</v>
      </c>
      <c r="YS1" t="s">
        <v>2236</v>
      </c>
      <c r="YT1" t="s">
        <v>2237</v>
      </c>
      <c r="YU1" t="s">
        <v>2238</v>
      </c>
      <c r="YV1" t="s">
        <v>2239</v>
      </c>
      <c r="YW1" t="s">
        <v>2240</v>
      </c>
      <c r="YX1" t="s">
        <v>2241</v>
      </c>
      <c r="YY1" t="s">
        <v>2242</v>
      </c>
      <c r="YZ1" t="s">
        <v>2243</v>
      </c>
      <c r="ZA1" t="s">
        <v>2244</v>
      </c>
      <c r="ZB1" t="s">
        <v>2245</v>
      </c>
      <c r="ZC1" t="s">
        <v>2246</v>
      </c>
      <c r="ZD1" t="s">
        <v>2247</v>
      </c>
      <c r="ZE1" t="s">
        <v>2248</v>
      </c>
      <c r="ZF1" t="s">
        <v>2249</v>
      </c>
      <c r="ZG1" t="s">
        <v>2250</v>
      </c>
      <c r="ZH1" t="s">
        <v>2251</v>
      </c>
      <c r="ZI1" t="s">
        <v>2252</v>
      </c>
      <c r="ZJ1" t="s">
        <v>2253</v>
      </c>
      <c r="ZK1" t="s">
        <v>2254</v>
      </c>
      <c r="ZL1" t="s">
        <v>2255</v>
      </c>
      <c r="ZM1" t="s">
        <v>2256</v>
      </c>
      <c r="ZN1" t="s">
        <v>2257</v>
      </c>
      <c r="ZO1" t="s">
        <v>2258</v>
      </c>
      <c r="ZP1" t="s">
        <v>2259</v>
      </c>
      <c r="ZQ1" t="s">
        <v>2260</v>
      </c>
      <c r="ZR1" t="s">
        <v>2261</v>
      </c>
      <c r="ZS1" t="s">
        <v>2262</v>
      </c>
      <c r="ZT1" t="s">
        <v>2263</v>
      </c>
      <c r="ZU1" t="s">
        <v>2264</v>
      </c>
      <c r="ZV1" t="s">
        <v>2265</v>
      </c>
      <c r="ZW1" t="s">
        <v>2266</v>
      </c>
      <c r="ZX1" t="s">
        <v>2267</v>
      </c>
      <c r="ZY1" t="s">
        <v>2268</v>
      </c>
      <c r="ZZ1" t="s">
        <v>2269</v>
      </c>
      <c r="AAA1" t="s">
        <v>2270</v>
      </c>
      <c r="AAB1" t="s">
        <v>2271</v>
      </c>
      <c r="AAC1" t="s">
        <v>2272</v>
      </c>
      <c r="AAD1" t="s">
        <v>2273</v>
      </c>
      <c r="AAE1" t="s">
        <v>2274</v>
      </c>
      <c r="AAF1" t="s">
        <v>2275</v>
      </c>
      <c r="AAG1" t="s">
        <v>2276</v>
      </c>
      <c r="AAH1" t="s">
        <v>2277</v>
      </c>
      <c r="AAI1" t="s">
        <v>2278</v>
      </c>
      <c r="AAJ1" t="s">
        <v>2279</v>
      </c>
      <c r="AAK1" t="s">
        <v>2280</v>
      </c>
      <c r="AAL1" t="s">
        <v>2281</v>
      </c>
      <c r="AAM1" t="s">
        <v>2282</v>
      </c>
      <c r="AAN1" t="s">
        <v>2283</v>
      </c>
      <c r="AAO1" t="s">
        <v>2284</v>
      </c>
      <c r="AAP1" t="s">
        <v>2285</v>
      </c>
      <c r="AAQ1" t="s">
        <v>2286</v>
      </c>
      <c r="AAR1" t="s">
        <v>2287</v>
      </c>
      <c r="AAS1" t="s">
        <v>2288</v>
      </c>
      <c r="AAT1" t="s">
        <v>2289</v>
      </c>
      <c r="AAU1" t="s">
        <v>2290</v>
      </c>
      <c r="AAV1" t="s">
        <v>2291</v>
      </c>
      <c r="AAW1" t="s">
        <v>2292</v>
      </c>
      <c r="AAX1" t="s">
        <v>2293</v>
      </c>
      <c r="AAY1" t="s">
        <v>2294</v>
      </c>
      <c r="AAZ1" t="s">
        <v>2295</v>
      </c>
      <c r="ABA1" t="s">
        <v>2296</v>
      </c>
      <c r="ABB1" t="s">
        <v>2297</v>
      </c>
      <c r="ABC1" t="s">
        <v>2298</v>
      </c>
      <c r="ABD1" t="s">
        <v>2299</v>
      </c>
      <c r="ABE1" t="s">
        <v>2300</v>
      </c>
      <c r="ABF1" t="s">
        <v>2301</v>
      </c>
      <c r="ABG1" t="s">
        <v>2302</v>
      </c>
      <c r="ABH1" t="s">
        <v>2303</v>
      </c>
      <c r="ABI1" t="s">
        <v>2304</v>
      </c>
      <c r="ABJ1" t="s">
        <v>2305</v>
      </c>
      <c r="ABK1" t="s">
        <v>2306</v>
      </c>
      <c r="ABL1" t="s">
        <v>2307</v>
      </c>
      <c r="ABM1" t="s">
        <v>2308</v>
      </c>
      <c r="ABN1" t="s">
        <v>2309</v>
      </c>
      <c r="ABO1" t="s">
        <v>2310</v>
      </c>
      <c r="ABP1" t="s">
        <v>2311</v>
      </c>
      <c r="ABQ1" t="s">
        <v>2312</v>
      </c>
      <c r="ABR1" t="s">
        <v>2313</v>
      </c>
      <c r="ABS1" t="s">
        <v>2314</v>
      </c>
      <c r="ABT1" t="s">
        <v>2315</v>
      </c>
      <c r="ABU1" t="s">
        <v>2316</v>
      </c>
      <c r="ABV1" t="s">
        <v>2317</v>
      </c>
      <c r="ABW1" t="s">
        <v>2318</v>
      </c>
      <c r="ABX1" t="s">
        <v>2319</v>
      </c>
      <c r="ABY1" t="s">
        <v>2320</v>
      </c>
      <c r="ABZ1" t="s">
        <v>2321</v>
      </c>
      <c r="ACA1" t="s">
        <v>2322</v>
      </c>
      <c r="ACB1" t="s">
        <v>2323</v>
      </c>
      <c r="ACC1" t="s">
        <v>2324</v>
      </c>
      <c r="ACD1" t="s">
        <v>2325</v>
      </c>
      <c r="ACE1" t="s">
        <v>2326</v>
      </c>
      <c r="ACF1" t="s">
        <v>2327</v>
      </c>
      <c r="ACG1" t="s">
        <v>2328</v>
      </c>
      <c r="ACH1" t="s">
        <v>2329</v>
      </c>
      <c r="ACI1" t="s">
        <v>2330</v>
      </c>
      <c r="ACJ1" t="s">
        <v>2331</v>
      </c>
      <c r="ACK1" t="s">
        <v>2332</v>
      </c>
      <c r="ACL1" t="s">
        <v>2333</v>
      </c>
      <c r="ACM1" t="s">
        <v>2334</v>
      </c>
      <c r="ACN1" t="s">
        <v>2335</v>
      </c>
      <c r="ACO1" t="s">
        <v>2336</v>
      </c>
      <c r="ACP1" t="s">
        <v>2337</v>
      </c>
      <c r="ACQ1" t="s">
        <v>2338</v>
      </c>
      <c r="ACR1" t="s">
        <v>2339</v>
      </c>
      <c r="ACS1" t="s">
        <v>2340</v>
      </c>
      <c r="ACT1" t="s">
        <v>2341</v>
      </c>
      <c r="ACU1" t="s">
        <v>2342</v>
      </c>
      <c r="ACV1" t="s">
        <v>2343</v>
      </c>
      <c r="ACW1" t="s">
        <v>2344</v>
      </c>
      <c r="ACX1" t="s">
        <v>2345</v>
      </c>
      <c r="ACY1" t="s">
        <v>2346</v>
      </c>
      <c r="ACZ1" t="s">
        <v>2347</v>
      </c>
      <c r="ADA1" t="s">
        <v>2348</v>
      </c>
      <c r="ADB1" t="s">
        <v>2349</v>
      </c>
      <c r="ADC1" t="s">
        <v>2350</v>
      </c>
      <c r="ADD1" t="s">
        <v>2351</v>
      </c>
      <c r="ADE1" t="s">
        <v>2352</v>
      </c>
      <c r="ADF1" t="s">
        <v>2353</v>
      </c>
      <c r="ADG1" t="s">
        <v>2354</v>
      </c>
      <c r="ADH1" t="s">
        <v>2355</v>
      </c>
      <c r="ADI1" t="s">
        <v>2356</v>
      </c>
      <c r="ADJ1" t="s">
        <v>2357</v>
      </c>
      <c r="ADK1" t="s">
        <v>2358</v>
      </c>
      <c r="ADL1" t="s">
        <v>2359</v>
      </c>
      <c r="ADM1" t="s">
        <v>2360</v>
      </c>
      <c r="ADN1" t="s">
        <v>2361</v>
      </c>
      <c r="ADO1" t="s">
        <v>2362</v>
      </c>
      <c r="ADP1" t="s">
        <v>2363</v>
      </c>
      <c r="ADQ1" t="s">
        <v>2364</v>
      </c>
      <c r="ADR1" t="s">
        <v>2365</v>
      </c>
      <c r="ADS1" t="s">
        <v>2366</v>
      </c>
      <c r="ADT1" t="s">
        <v>2367</v>
      </c>
      <c r="ADU1" t="s">
        <v>2368</v>
      </c>
      <c r="ADV1" t="s">
        <v>2369</v>
      </c>
      <c r="ADW1" t="s">
        <v>2370</v>
      </c>
      <c r="ADX1" t="s">
        <v>2371</v>
      </c>
      <c r="ADY1" t="s">
        <v>2372</v>
      </c>
      <c r="ADZ1" t="s">
        <v>2373</v>
      </c>
      <c r="AEA1" t="s">
        <v>2374</v>
      </c>
      <c r="AEB1" t="s">
        <v>2375</v>
      </c>
      <c r="AEC1" t="s">
        <v>2376</v>
      </c>
      <c r="AED1" t="s">
        <v>2377</v>
      </c>
      <c r="AEE1" t="s">
        <v>2378</v>
      </c>
      <c r="AEF1" t="s">
        <v>2379</v>
      </c>
      <c r="AEG1" t="s">
        <v>2380</v>
      </c>
      <c r="AEH1" t="s">
        <v>2381</v>
      </c>
      <c r="AEI1" t="s">
        <v>2382</v>
      </c>
      <c r="AEJ1" t="s">
        <v>2383</v>
      </c>
      <c r="AEK1" t="s">
        <v>2384</v>
      </c>
      <c r="AEL1" t="s">
        <v>2385</v>
      </c>
      <c r="AEM1" t="s">
        <v>2386</v>
      </c>
      <c r="AEN1" t="s">
        <v>2387</v>
      </c>
      <c r="AEO1" t="s">
        <v>2388</v>
      </c>
      <c r="AEP1" t="s">
        <v>2389</v>
      </c>
      <c r="AEQ1" t="s">
        <v>2390</v>
      </c>
      <c r="AER1" t="s">
        <v>2391</v>
      </c>
      <c r="AES1" t="s">
        <v>2392</v>
      </c>
      <c r="AET1" t="s">
        <v>2393</v>
      </c>
      <c r="AEU1" t="s">
        <v>2394</v>
      </c>
      <c r="AEV1" t="s">
        <v>2395</v>
      </c>
      <c r="AEW1" t="s">
        <v>2396</v>
      </c>
      <c r="AEX1" t="s">
        <v>2397</v>
      </c>
      <c r="AEY1" t="s">
        <v>2398</v>
      </c>
      <c r="AEZ1" t="s">
        <v>2399</v>
      </c>
      <c r="AFA1" t="s">
        <v>2400</v>
      </c>
      <c r="AFB1" t="s">
        <v>2401</v>
      </c>
      <c r="AFC1" t="s">
        <v>2402</v>
      </c>
      <c r="AFD1" t="s">
        <v>2403</v>
      </c>
      <c r="AFE1" t="s">
        <v>2404</v>
      </c>
      <c r="AFF1" t="s">
        <v>2405</v>
      </c>
      <c r="AFG1" t="s">
        <v>2406</v>
      </c>
      <c r="AFH1" t="s">
        <v>2407</v>
      </c>
      <c r="AFI1" t="s">
        <v>2408</v>
      </c>
      <c r="AFJ1" t="s">
        <v>2409</v>
      </c>
      <c r="AFK1" t="s">
        <v>2410</v>
      </c>
      <c r="AFL1" t="s">
        <v>2411</v>
      </c>
      <c r="AFM1" t="s">
        <v>2412</v>
      </c>
      <c r="AFN1" t="s">
        <v>2413</v>
      </c>
      <c r="AFO1" t="s">
        <v>2414</v>
      </c>
      <c r="AFP1" t="s">
        <v>2415</v>
      </c>
      <c r="AFQ1" t="s">
        <v>2416</v>
      </c>
      <c r="AFR1" t="s">
        <v>2417</v>
      </c>
      <c r="AFS1" t="s">
        <v>2418</v>
      </c>
      <c r="AFT1" t="s">
        <v>2419</v>
      </c>
      <c r="AFU1" t="s">
        <v>2420</v>
      </c>
      <c r="AFV1" t="s">
        <v>2421</v>
      </c>
      <c r="AFW1" t="s">
        <v>2422</v>
      </c>
      <c r="AFX1" t="s">
        <v>2423</v>
      </c>
      <c r="AFY1" t="s">
        <v>2424</v>
      </c>
      <c r="AFZ1" t="s">
        <v>2425</v>
      </c>
      <c r="AGA1" t="s">
        <v>2426</v>
      </c>
      <c r="AGB1" t="s">
        <v>2427</v>
      </c>
      <c r="AGC1" t="s">
        <v>2428</v>
      </c>
      <c r="AGD1" t="s">
        <v>2429</v>
      </c>
      <c r="AGE1" t="s">
        <v>2430</v>
      </c>
      <c r="AGF1" t="s">
        <v>2431</v>
      </c>
      <c r="AGG1" t="s">
        <v>2432</v>
      </c>
      <c r="AGH1" t="s">
        <v>2433</v>
      </c>
      <c r="AGI1" t="s">
        <v>2434</v>
      </c>
      <c r="AGJ1" t="s">
        <v>2435</v>
      </c>
      <c r="AGK1" t="s">
        <v>2436</v>
      </c>
      <c r="AGL1" t="s">
        <v>2437</v>
      </c>
      <c r="AGM1" t="s">
        <v>2438</v>
      </c>
      <c r="AGN1" t="s">
        <v>2439</v>
      </c>
      <c r="AGO1" t="s">
        <v>2440</v>
      </c>
      <c r="AGP1" t="s">
        <v>2441</v>
      </c>
      <c r="AGQ1" t="s">
        <v>2442</v>
      </c>
      <c r="AGR1" t="s">
        <v>2443</v>
      </c>
      <c r="AGS1" t="s">
        <v>2444</v>
      </c>
      <c r="AGT1" t="s">
        <v>2445</v>
      </c>
      <c r="AGU1" t="s">
        <v>2446</v>
      </c>
      <c r="AGV1" t="s">
        <v>2447</v>
      </c>
      <c r="AGW1" t="s">
        <v>2448</v>
      </c>
      <c r="AGX1" t="s">
        <v>2449</v>
      </c>
      <c r="AGY1" t="s">
        <v>2450</v>
      </c>
      <c r="AGZ1" t="s">
        <v>2451</v>
      </c>
      <c r="AHA1" t="s">
        <v>2452</v>
      </c>
      <c r="AHB1" t="s">
        <v>2453</v>
      </c>
      <c r="AHC1" t="s">
        <v>2454</v>
      </c>
      <c r="AHD1" t="s">
        <v>2455</v>
      </c>
      <c r="AHE1" t="s">
        <v>2456</v>
      </c>
      <c r="AHF1" t="s">
        <v>2457</v>
      </c>
      <c r="AHG1" t="s">
        <v>2458</v>
      </c>
      <c r="AHH1" t="s">
        <v>2459</v>
      </c>
      <c r="AHI1" t="s">
        <v>2460</v>
      </c>
      <c r="AHJ1" t="s">
        <v>2461</v>
      </c>
      <c r="AHK1" t="s">
        <v>2462</v>
      </c>
      <c r="AHL1" t="s">
        <v>2463</v>
      </c>
      <c r="AHM1" t="s">
        <v>2464</v>
      </c>
      <c r="AHN1" t="s">
        <v>2465</v>
      </c>
      <c r="AHO1" t="s">
        <v>2466</v>
      </c>
      <c r="AHP1" t="s">
        <v>2467</v>
      </c>
      <c r="AHQ1" t="s">
        <v>2468</v>
      </c>
      <c r="AHR1" t="s">
        <v>2469</v>
      </c>
      <c r="AHS1" t="s">
        <v>2470</v>
      </c>
      <c r="AHT1" t="s">
        <v>2471</v>
      </c>
      <c r="AHU1" t="s">
        <v>2472</v>
      </c>
      <c r="AHV1" t="s">
        <v>2473</v>
      </c>
      <c r="AHW1" t="s">
        <v>2474</v>
      </c>
      <c r="AHX1" t="s">
        <v>2475</v>
      </c>
      <c r="AHY1" t="s">
        <v>2476</v>
      </c>
      <c r="AHZ1" t="s">
        <v>2477</v>
      </c>
      <c r="AIA1" t="s">
        <v>2478</v>
      </c>
      <c r="AIB1" t="s">
        <v>2479</v>
      </c>
      <c r="AIC1" t="s">
        <v>2480</v>
      </c>
      <c r="AID1" t="s">
        <v>2481</v>
      </c>
      <c r="AIE1" t="s">
        <v>2482</v>
      </c>
      <c r="AIF1" t="s">
        <v>2483</v>
      </c>
      <c r="AIG1" t="s">
        <v>2484</v>
      </c>
      <c r="AIH1" t="s">
        <v>2485</v>
      </c>
      <c r="AII1" t="s">
        <v>2486</v>
      </c>
      <c r="AIJ1" t="s">
        <v>2487</v>
      </c>
      <c r="AIK1" t="s">
        <v>2488</v>
      </c>
      <c r="AIL1" t="s">
        <v>2489</v>
      </c>
      <c r="AIM1" t="s">
        <v>2490</v>
      </c>
      <c r="AIN1" t="s">
        <v>2491</v>
      </c>
      <c r="AIO1" t="s">
        <v>2492</v>
      </c>
      <c r="AIP1" t="s">
        <v>2493</v>
      </c>
      <c r="AIQ1" t="s">
        <v>2494</v>
      </c>
      <c r="AIR1" t="s">
        <v>2495</v>
      </c>
      <c r="AIS1" t="s">
        <v>2496</v>
      </c>
      <c r="AIT1" t="s">
        <v>2497</v>
      </c>
      <c r="AIU1" t="s">
        <v>2498</v>
      </c>
      <c r="AIV1" t="s">
        <v>2499</v>
      </c>
      <c r="AIW1" t="s">
        <v>2500</v>
      </c>
      <c r="AIX1" t="s">
        <v>2501</v>
      </c>
      <c r="AIY1" t="s">
        <v>2502</v>
      </c>
      <c r="AIZ1" t="s">
        <v>2503</v>
      </c>
      <c r="AJA1" t="s">
        <v>2504</v>
      </c>
      <c r="AJB1" t="s">
        <v>2505</v>
      </c>
      <c r="AJC1" t="s">
        <v>2506</v>
      </c>
      <c r="AJD1" t="s">
        <v>2507</v>
      </c>
      <c r="AJE1" t="s">
        <v>2508</v>
      </c>
      <c r="AJF1" t="s">
        <v>2509</v>
      </c>
      <c r="AJG1" t="s">
        <v>2510</v>
      </c>
      <c r="AJH1" t="s">
        <v>2511</v>
      </c>
      <c r="AJI1" t="s">
        <v>2512</v>
      </c>
      <c r="AJJ1" t="s">
        <v>2513</v>
      </c>
      <c r="AJK1" t="s">
        <v>2514</v>
      </c>
      <c r="AJL1" t="s">
        <v>2515</v>
      </c>
      <c r="AJM1" t="s">
        <v>2516</v>
      </c>
      <c r="AJN1" t="s">
        <v>2517</v>
      </c>
      <c r="AJO1" t="s">
        <v>2518</v>
      </c>
      <c r="AJP1" t="s">
        <v>2519</v>
      </c>
      <c r="AJQ1" t="s">
        <v>2520</v>
      </c>
      <c r="AJR1" t="s">
        <v>2521</v>
      </c>
      <c r="AJS1" t="s">
        <v>2522</v>
      </c>
      <c r="AJT1" t="s">
        <v>2523</v>
      </c>
      <c r="AJU1" t="s">
        <v>2524</v>
      </c>
      <c r="AJV1" t="s">
        <v>2525</v>
      </c>
      <c r="AJW1" t="s">
        <v>2526</v>
      </c>
      <c r="AJX1" t="s">
        <v>2527</v>
      </c>
      <c r="AJY1" t="s">
        <v>2528</v>
      </c>
      <c r="AJZ1" t="s">
        <v>2529</v>
      </c>
      <c r="AKA1" t="s">
        <v>2530</v>
      </c>
      <c r="AKB1" t="s">
        <v>2531</v>
      </c>
      <c r="AKC1" t="s">
        <v>2532</v>
      </c>
      <c r="AKD1" t="s">
        <v>2533</v>
      </c>
      <c r="AKE1" t="s">
        <v>2534</v>
      </c>
      <c r="AKF1" t="s">
        <v>2535</v>
      </c>
      <c r="AKG1" t="s">
        <v>2536</v>
      </c>
      <c r="AKH1" t="s">
        <v>2537</v>
      </c>
      <c r="AKI1" t="s">
        <v>2538</v>
      </c>
      <c r="AKJ1" t="s">
        <v>2539</v>
      </c>
      <c r="AKK1" t="s">
        <v>2540</v>
      </c>
      <c r="AKL1" t="s">
        <v>2541</v>
      </c>
      <c r="AKM1" t="s">
        <v>2542</v>
      </c>
      <c r="AKN1" t="s">
        <v>2543</v>
      </c>
      <c r="AKO1" t="s">
        <v>2544</v>
      </c>
      <c r="AKP1" t="s">
        <v>2545</v>
      </c>
      <c r="AKQ1" t="s">
        <v>2546</v>
      </c>
      <c r="AKR1" t="s">
        <v>2547</v>
      </c>
      <c r="AKS1" t="s">
        <v>2548</v>
      </c>
      <c r="AKT1" t="s">
        <v>2549</v>
      </c>
      <c r="AKU1" t="s">
        <v>2550</v>
      </c>
      <c r="AKV1" t="s">
        <v>2551</v>
      </c>
      <c r="AKW1" t="s">
        <v>2552</v>
      </c>
      <c r="AKX1" t="s">
        <v>2553</v>
      </c>
      <c r="AKY1" t="s">
        <v>2554</v>
      </c>
      <c r="AKZ1" t="s">
        <v>2555</v>
      </c>
      <c r="ALA1" t="s">
        <v>2556</v>
      </c>
      <c r="ALB1" t="s">
        <v>2557</v>
      </c>
      <c r="ALC1" t="s">
        <v>2558</v>
      </c>
      <c r="ALD1" t="s">
        <v>2559</v>
      </c>
      <c r="ALE1" t="s">
        <v>2560</v>
      </c>
      <c r="ALF1" t="s">
        <v>2561</v>
      </c>
      <c r="ALG1" t="s">
        <v>2562</v>
      </c>
      <c r="ALH1" t="s">
        <v>2563</v>
      </c>
      <c r="ALI1" t="s">
        <v>2564</v>
      </c>
      <c r="ALJ1" t="s">
        <v>2565</v>
      </c>
      <c r="ALK1" t="s">
        <v>2566</v>
      </c>
      <c r="ALL1" t="s">
        <v>2567</v>
      </c>
      <c r="ALM1" t="s">
        <v>2568</v>
      </c>
      <c r="ALN1" t="s">
        <v>2569</v>
      </c>
      <c r="ALO1" t="s">
        <v>2570</v>
      </c>
      <c r="ALP1" t="s">
        <v>2571</v>
      </c>
      <c r="ALQ1" t="s">
        <v>2572</v>
      </c>
      <c r="ALR1" t="s">
        <v>2573</v>
      </c>
      <c r="ALS1" t="s">
        <v>2574</v>
      </c>
      <c r="ALT1" t="s">
        <v>2575</v>
      </c>
      <c r="ALU1" t="s">
        <v>2576</v>
      </c>
      <c r="ALV1" t="s">
        <v>2577</v>
      </c>
      <c r="ALW1" t="s">
        <v>2578</v>
      </c>
      <c r="ALX1" t="s">
        <v>2579</v>
      </c>
      <c r="ALY1" t="s">
        <v>2580</v>
      </c>
      <c r="ALZ1" t="s">
        <v>2581</v>
      </c>
      <c r="AMA1" t="s">
        <v>2582</v>
      </c>
      <c r="AMB1" t="s">
        <v>2583</v>
      </c>
      <c r="AMC1" t="s">
        <v>2584</v>
      </c>
      <c r="AMD1" t="s">
        <v>2585</v>
      </c>
      <c r="AME1" t="s">
        <v>2586</v>
      </c>
      <c r="AMF1" t="s">
        <v>2587</v>
      </c>
      <c r="AMG1" t="s">
        <v>2588</v>
      </c>
      <c r="AMH1" t="s">
        <v>2589</v>
      </c>
      <c r="AMI1" t="s">
        <v>2590</v>
      </c>
      <c r="AMJ1" t="s">
        <v>2591</v>
      </c>
      <c r="AMK1" t="s">
        <v>2592</v>
      </c>
      <c r="AML1" t="s">
        <v>2593</v>
      </c>
      <c r="AMM1" t="s">
        <v>2594</v>
      </c>
      <c r="AMN1" t="s">
        <v>2595</v>
      </c>
      <c r="AMO1" t="s">
        <v>2596</v>
      </c>
      <c r="AMP1" t="s">
        <v>2597</v>
      </c>
      <c r="AMQ1" t="s">
        <v>2598</v>
      </c>
      <c r="AMR1" t="s">
        <v>2599</v>
      </c>
      <c r="AMS1" t="s">
        <v>2600</v>
      </c>
      <c r="AMT1" t="s">
        <v>2601</v>
      </c>
      <c r="AMU1" t="s">
        <v>2602</v>
      </c>
      <c r="AMV1" t="s">
        <v>2603</v>
      </c>
      <c r="AMW1" t="s">
        <v>2604</v>
      </c>
      <c r="AMX1" t="s">
        <v>2605</v>
      </c>
      <c r="AMY1" t="s">
        <v>2606</v>
      </c>
      <c r="AMZ1" t="s">
        <v>2607</v>
      </c>
      <c r="ANA1" t="s">
        <v>2608</v>
      </c>
      <c r="ANB1" t="s">
        <v>2609</v>
      </c>
      <c r="ANC1" t="s">
        <v>2610</v>
      </c>
      <c r="AND1" t="s">
        <v>2611</v>
      </c>
      <c r="ANE1" t="s">
        <v>2612</v>
      </c>
      <c r="ANF1" t="s">
        <v>2613</v>
      </c>
      <c r="ANG1" t="s">
        <v>2614</v>
      </c>
      <c r="ANH1" t="s">
        <v>2615</v>
      </c>
      <c r="ANI1" t="s">
        <v>2616</v>
      </c>
      <c r="ANJ1" t="s">
        <v>2617</v>
      </c>
      <c r="ANK1" t="s">
        <v>2618</v>
      </c>
      <c r="ANL1" t="s">
        <v>2619</v>
      </c>
      <c r="ANM1" t="s">
        <v>2620</v>
      </c>
      <c r="ANN1" t="s">
        <v>2621</v>
      </c>
      <c r="ANO1" t="s">
        <v>2622</v>
      </c>
      <c r="ANP1" t="s">
        <v>2623</v>
      </c>
      <c r="ANQ1" t="s">
        <v>2624</v>
      </c>
      <c r="ANR1" t="s">
        <v>2625</v>
      </c>
      <c r="ANS1" t="s">
        <v>2626</v>
      </c>
      <c r="ANT1" t="s">
        <v>2627</v>
      </c>
      <c r="ANU1" t="s">
        <v>2628</v>
      </c>
      <c r="ANV1" t="s">
        <v>2629</v>
      </c>
      <c r="ANW1" t="s">
        <v>2630</v>
      </c>
      <c r="ANX1" t="s">
        <v>2631</v>
      </c>
      <c r="ANY1" t="s">
        <v>2632</v>
      </c>
      <c r="ANZ1" t="s">
        <v>2633</v>
      </c>
      <c r="AOA1" t="s">
        <v>2634</v>
      </c>
      <c r="AOB1" t="s">
        <v>2635</v>
      </c>
      <c r="AOC1" t="s">
        <v>2636</v>
      </c>
      <c r="AOD1" t="s">
        <v>2637</v>
      </c>
      <c r="AOE1" t="s">
        <v>2638</v>
      </c>
      <c r="AOF1" t="s">
        <v>2639</v>
      </c>
      <c r="AOG1" t="s">
        <v>2640</v>
      </c>
      <c r="AOH1" t="s">
        <v>2641</v>
      </c>
      <c r="AOI1" t="s">
        <v>2642</v>
      </c>
      <c r="AOJ1" t="s">
        <v>2643</v>
      </c>
      <c r="AOK1" t="s">
        <v>2644</v>
      </c>
      <c r="AOL1" t="s">
        <v>2645</v>
      </c>
      <c r="AOM1" t="s">
        <v>2646</v>
      </c>
      <c r="AON1" t="s">
        <v>2647</v>
      </c>
      <c r="AOO1" t="s">
        <v>2648</v>
      </c>
      <c r="AOP1" t="s">
        <v>2649</v>
      </c>
      <c r="AOQ1" t="s">
        <v>2650</v>
      </c>
      <c r="AOR1" t="s">
        <v>2651</v>
      </c>
      <c r="AOS1" t="s">
        <v>2652</v>
      </c>
      <c r="AOT1" t="s">
        <v>2653</v>
      </c>
      <c r="AOU1" t="s">
        <v>2654</v>
      </c>
      <c r="AOV1" t="s">
        <v>2655</v>
      </c>
      <c r="AOW1" t="s">
        <v>2656</v>
      </c>
      <c r="AOX1" t="s">
        <v>2657</v>
      </c>
      <c r="AOY1" t="s">
        <v>2658</v>
      </c>
      <c r="AOZ1" t="s">
        <v>2659</v>
      </c>
      <c r="APA1" t="s">
        <v>2660</v>
      </c>
      <c r="APB1" t="s">
        <v>2661</v>
      </c>
      <c r="APC1" t="s">
        <v>2662</v>
      </c>
      <c r="APD1" t="s">
        <v>2663</v>
      </c>
      <c r="APE1" t="s">
        <v>2664</v>
      </c>
      <c r="APF1" t="s">
        <v>2665</v>
      </c>
      <c r="APG1" t="s">
        <v>2666</v>
      </c>
      <c r="APH1" t="s">
        <v>2667</v>
      </c>
      <c r="API1" t="s">
        <v>2668</v>
      </c>
      <c r="APJ1" t="s">
        <v>2669</v>
      </c>
      <c r="APK1" t="s">
        <v>2670</v>
      </c>
      <c r="APL1" t="s">
        <v>2671</v>
      </c>
      <c r="APM1" t="s">
        <v>2672</v>
      </c>
      <c r="APN1" t="s">
        <v>2673</v>
      </c>
      <c r="APO1" t="s">
        <v>2674</v>
      </c>
      <c r="APP1" t="s">
        <v>2675</v>
      </c>
      <c r="APQ1" t="s">
        <v>2676</v>
      </c>
      <c r="APR1" t="s">
        <v>2677</v>
      </c>
      <c r="APS1" t="s">
        <v>2678</v>
      </c>
      <c r="APT1" t="s">
        <v>2679</v>
      </c>
      <c r="APU1" t="s">
        <v>2680</v>
      </c>
      <c r="APV1" t="s">
        <v>2681</v>
      </c>
      <c r="APW1" t="s">
        <v>2682</v>
      </c>
      <c r="APX1" t="s">
        <v>2683</v>
      </c>
      <c r="APY1" t="s">
        <v>2684</v>
      </c>
      <c r="APZ1" t="s">
        <v>2685</v>
      </c>
      <c r="AQA1" t="s">
        <v>2686</v>
      </c>
      <c r="AQB1" t="s">
        <v>2687</v>
      </c>
      <c r="AQC1" t="s">
        <v>2688</v>
      </c>
      <c r="AQD1" t="s">
        <v>2689</v>
      </c>
      <c r="AQE1" t="s">
        <v>2690</v>
      </c>
      <c r="AQF1" t="s">
        <v>2691</v>
      </c>
      <c r="AQG1" t="s">
        <v>2692</v>
      </c>
      <c r="AQH1" t="s">
        <v>2693</v>
      </c>
      <c r="AQI1" t="s">
        <v>2694</v>
      </c>
      <c r="AQJ1" t="s">
        <v>2695</v>
      </c>
      <c r="AQK1" t="s">
        <v>2696</v>
      </c>
      <c r="AQL1" t="s">
        <v>2697</v>
      </c>
      <c r="AQM1" t="s">
        <v>2698</v>
      </c>
      <c r="AQN1" t="s">
        <v>2699</v>
      </c>
      <c r="AQO1" t="s">
        <v>2700</v>
      </c>
      <c r="AQP1" t="s">
        <v>2701</v>
      </c>
      <c r="AQQ1" t="s">
        <v>2702</v>
      </c>
      <c r="AQR1" t="s">
        <v>2703</v>
      </c>
      <c r="AQS1" t="s">
        <v>2704</v>
      </c>
      <c r="AQT1" t="s">
        <v>2705</v>
      </c>
      <c r="AQU1" t="s">
        <v>2706</v>
      </c>
      <c r="AQV1" t="s">
        <v>2707</v>
      </c>
      <c r="AQW1" t="s">
        <v>2708</v>
      </c>
      <c r="AQX1" t="s">
        <v>2709</v>
      </c>
      <c r="AQY1" t="s">
        <v>2710</v>
      </c>
      <c r="AQZ1" t="s">
        <v>2711</v>
      </c>
      <c r="ARA1" t="s">
        <v>2712</v>
      </c>
      <c r="ARB1" t="s">
        <v>2713</v>
      </c>
      <c r="ARC1" t="s">
        <v>2714</v>
      </c>
      <c r="ARD1" t="s">
        <v>2715</v>
      </c>
      <c r="ARE1" t="s">
        <v>2716</v>
      </c>
      <c r="ARF1" t="s">
        <v>2717</v>
      </c>
      <c r="ARG1" t="s">
        <v>2718</v>
      </c>
      <c r="ARH1" t="s">
        <v>2719</v>
      </c>
      <c r="ARI1" t="s">
        <v>2720</v>
      </c>
      <c r="ARJ1" t="s">
        <v>2721</v>
      </c>
      <c r="ARK1" t="s">
        <v>2722</v>
      </c>
      <c r="ARL1" t="s">
        <v>2723</v>
      </c>
      <c r="ARM1" t="s">
        <v>2724</v>
      </c>
      <c r="ARN1" t="s">
        <v>2725</v>
      </c>
      <c r="ARO1" t="s">
        <v>2726</v>
      </c>
      <c r="ARP1" t="s">
        <v>2727</v>
      </c>
      <c r="ARQ1" t="s">
        <v>2728</v>
      </c>
      <c r="ARR1" t="s">
        <v>2729</v>
      </c>
      <c r="ARS1" t="s">
        <v>2730</v>
      </c>
      <c r="ART1" t="s">
        <v>2731</v>
      </c>
      <c r="ARU1" t="s">
        <v>2732</v>
      </c>
      <c r="ARV1" t="s">
        <v>2733</v>
      </c>
      <c r="ARW1" t="s">
        <v>2734</v>
      </c>
      <c r="ARX1" t="s">
        <v>2735</v>
      </c>
      <c r="ARY1" t="s">
        <v>2736</v>
      </c>
      <c r="ARZ1" t="s">
        <v>2737</v>
      </c>
      <c r="ASA1" t="s">
        <v>2738</v>
      </c>
      <c r="ASB1" t="s">
        <v>2739</v>
      </c>
      <c r="ASC1" t="s">
        <v>2740</v>
      </c>
      <c r="ASD1" t="s">
        <v>2741</v>
      </c>
      <c r="ASE1" t="s">
        <v>2742</v>
      </c>
      <c r="ASF1" t="s">
        <v>2743</v>
      </c>
      <c r="ASG1" t="s">
        <v>2744</v>
      </c>
      <c r="ASH1" t="s">
        <v>2745</v>
      </c>
      <c r="ASI1" t="s">
        <v>2746</v>
      </c>
      <c r="ASJ1" t="s">
        <v>2747</v>
      </c>
      <c r="ASK1" t="s">
        <v>2748</v>
      </c>
      <c r="ASL1" t="s">
        <v>2749</v>
      </c>
      <c r="ASM1" t="s">
        <v>2750</v>
      </c>
      <c r="ASN1" t="s">
        <v>2751</v>
      </c>
      <c r="ASO1" t="s">
        <v>2752</v>
      </c>
      <c r="ASP1" t="s">
        <v>2753</v>
      </c>
      <c r="ASQ1" t="s">
        <v>2754</v>
      </c>
      <c r="ASR1" t="s">
        <v>2755</v>
      </c>
      <c r="ASS1" t="s">
        <v>2756</v>
      </c>
      <c r="AST1" t="s">
        <v>2757</v>
      </c>
      <c r="ASU1" t="s">
        <v>2758</v>
      </c>
      <c r="ASV1" t="s">
        <v>2759</v>
      </c>
      <c r="ASW1" t="s">
        <v>2760</v>
      </c>
      <c r="ASX1" t="s">
        <v>2761</v>
      </c>
      <c r="ASY1" t="s">
        <v>2762</v>
      </c>
      <c r="ASZ1" t="s">
        <v>2763</v>
      </c>
      <c r="ATA1" t="s">
        <v>2764</v>
      </c>
      <c r="ATB1" t="s">
        <v>2765</v>
      </c>
      <c r="ATC1" t="s">
        <v>2766</v>
      </c>
      <c r="ATD1" t="s">
        <v>2767</v>
      </c>
      <c r="ATE1" t="s">
        <v>2768</v>
      </c>
      <c r="ATF1" t="s">
        <v>2769</v>
      </c>
      <c r="ATG1" t="s">
        <v>2770</v>
      </c>
      <c r="ATH1" t="s">
        <v>2771</v>
      </c>
      <c r="ATI1" t="s">
        <v>2772</v>
      </c>
      <c r="ATJ1" t="s">
        <v>2773</v>
      </c>
      <c r="ATK1" t="s">
        <v>2774</v>
      </c>
      <c r="ATL1" t="s">
        <v>2775</v>
      </c>
      <c r="ATM1" t="s">
        <v>2776</v>
      </c>
      <c r="ATN1" t="s">
        <v>2777</v>
      </c>
      <c r="ATO1" t="s">
        <v>2778</v>
      </c>
      <c r="ATP1" t="s">
        <v>2779</v>
      </c>
      <c r="ATQ1" t="s">
        <v>2780</v>
      </c>
      <c r="ATR1" t="s">
        <v>2781</v>
      </c>
      <c r="ATS1" t="s">
        <v>2782</v>
      </c>
      <c r="ATT1" t="s">
        <v>2783</v>
      </c>
      <c r="ATU1" t="s">
        <v>2784</v>
      </c>
      <c r="ATV1" t="s">
        <v>2785</v>
      </c>
      <c r="ATW1" t="s">
        <v>2786</v>
      </c>
      <c r="ATX1" t="s">
        <v>2787</v>
      </c>
      <c r="ATY1" t="s">
        <v>2788</v>
      </c>
      <c r="ATZ1" t="s">
        <v>2789</v>
      </c>
      <c r="AUA1" t="s">
        <v>2790</v>
      </c>
      <c r="AUB1" t="s">
        <v>2791</v>
      </c>
      <c r="AUC1" t="s">
        <v>2792</v>
      </c>
      <c r="AUD1" t="s">
        <v>2793</v>
      </c>
      <c r="AUE1" t="s">
        <v>2794</v>
      </c>
      <c r="AUF1" t="s">
        <v>2795</v>
      </c>
      <c r="AUG1" t="s">
        <v>2796</v>
      </c>
      <c r="AUH1" t="s">
        <v>2797</v>
      </c>
      <c r="AUI1" t="s">
        <v>2798</v>
      </c>
      <c r="AUJ1" t="s">
        <v>2799</v>
      </c>
      <c r="AUK1" t="s">
        <v>2800</v>
      </c>
      <c r="AUL1" t="s">
        <v>2801</v>
      </c>
      <c r="AUM1" t="s">
        <v>2802</v>
      </c>
      <c r="AUN1" t="s">
        <v>2803</v>
      </c>
      <c r="AUO1" t="s">
        <v>2804</v>
      </c>
      <c r="AUP1" t="s">
        <v>2805</v>
      </c>
      <c r="AUQ1" t="s">
        <v>2806</v>
      </c>
      <c r="AUR1" t="s">
        <v>2807</v>
      </c>
      <c r="AUS1" t="s">
        <v>2808</v>
      </c>
      <c r="AUT1" t="s">
        <v>2809</v>
      </c>
      <c r="AUU1" t="s">
        <v>2810</v>
      </c>
      <c r="AUV1" t="s">
        <v>2811</v>
      </c>
      <c r="AUW1" t="s">
        <v>2812</v>
      </c>
      <c r="AUX1" t="s">
        <v>2813</v>
      </c>
      <c r="AUY1" t="s">
        <v>2814</v>
      </c>
      <c r="AUZ1" t="s">
        <v>2815</v>
      </c>
      <c r="AVA1" t="s">
        <v>2816</v>
      </c>
      <c r="AVB1" t="s">
        <v>2817</v>
      </c>
      <c r="AVC1" t="s">
        <v>2818</v>
      </c>
      <c r="AVD1" t="s">
        <v>2819</v>
      </c>
      <c r="AVE1" t="s">
        <v>2820</v>
      </c>
      <c r="AVF1" t="s">
        <v>2821</v>
      </c>
      <c r="AVG1" t="s">
        <v>2822</v>
      </c>
      <c r="AVH1" t="s">
        <v>2823</v>
      </c>
      <c r="AVI1" t="s">
        <v>2824</v>
      </c>
      <c r="AVJ1" t="s">
        <v>2825</v>
      </c>
      <c r="AVK1" t="s">
        <v>2826</v>
      </c>
      <c r="AVL1" t="s">
        <v>2827</v>
      </c>
      <c r="AVM1" t="s">
        <v>2828</v>
      </c>
      <c r="AVN1" t="s">
        <v>2829</v>
      </c>
      <c r="AVO1" t="s">
        <v>2830</v>
      </c>
      <c r="AVP1" t="s">
        <v>2831</v>
      </c>
      <c r="AVQ1" t="s">
        <v>2832</v>
      </c>
      <c r="AVR1" t="s">
        <v>2833</v>
      </c>
      <c r="AVS1" t="s">
        <v>2834</v>
      </c>
      <c r="AVT1" t="s">
        <v>2835</v>
      </c>
      <c r="AVU1" t="s">
        <v>2836</v>
      </c>
      <c r="AVV1" t="s">
        <v>2837</v>
      </c>
      <c r="AVW1" t="s">
        <v>2838</v>
      </c>
      <c r="AVX1" t="s">
        <v>2839</v>
      </c>
      <c r="AVY1" t="s">
        <v>2840</v>
      </c>
      <c r="AVZ1" t="s">
        <v>2841</v>
      </c>
      <c r="AWA1" t="s">
        <v>2842</v>
      </c>
      <c r="AWB1" t="s">
        <v>2843</v>
      </c>
      <c r="AWC1" t="s">
        <v>2844</v>
      </c>
      <c r="AWD1" t="s">
        <v>2845</v>
      </c>
      <c r="AWE1" t="s">
        <v>2846</v>
      </c>
      <c r="AWF1" t="s">
        <v>2847</v>
      </c>
      <c r="AWG1" t="s">
        <v>2848</v>
      </c>
      <c r="AWH1" t="s">
        <v>2849</v>
      </c>
      <c r="AWI1" t="s">
        <v>2850</v>
      </c>
      <c r="AWJ1" t="s">
        <v>2851</v>
      </c>
      <c r="AWK1" t="s">
        <v>2852</v>
      </c>
      <c r="AWL1" t="s">
        <v>2853</v>
      </c>
      <c r="AWM1" t="s">
        <v>2854</v>
      </c>
      <c r="AWN1" t="s">
        <v>2855</v>
      </c>
      <c r="AWO1" t="s">
        <v>2856</v>
      </c>
      <c r="AWP1" t="s">
        <v>2857</v>
      </c>
      <c r="AWQ1" t="s">
        <v>2858</v>
      </c>
      <c r="AWR1" t="s">
        <v>2859</v>
      </c>
      <c r="AWS1" t="s">
        <v>2860</v>
      </c>
      <c r="AWT1" t="s">
        <v>2861</v>
      </c>
      <c r="AWU1" t="s">
        <v>2862</v>
      </c>
      <c r="AWV1" t="s">
        <v>2863</v>
      </c>
      <c r="AWW1" t="s">
        <v>2864</v>
      </c>
      <c r="AWX1" t="s">
        <v>2865</v>
      </c>
      <c r="AWY1" t="s">
        <v>2866</v>
      </c>
      <c r="AWZ1" t="s">
        <v>2867</v>
      </c>
      <c r="AXA1" t="s">
        <v>2868</v>
      </c>
      <c r="AXB1" t="s">
        <v>2869</v>
      </c>
      <c r="AXC1" t="s">
        <v>2870</v>
      </c>
      <c r="AXD1" t="s">
        <v>2871</v>
      </c>
      <c r="AXE1" t="s">
        <v>2872</v>
      </c>
      <c r="AXF1" t="s">
        <v>2873</v>
      </c>
      <c r="AXG1" t="s">
        <v>2874</v>
      </c>
      <c r="AXH1" t="s">
        <v>2875</v>
      </c>
      <c r="AXI1" t="s">
        <v>2876</v>
      </c>
      <c r="AXJ1" t="s">
        <v>2877</v>
      </c>
      <c r="AXK1" t="s">
        <v>2878</v>
      </c>
      <c r="AXL1" t="s">
        <v>2879</v>
      </c>
      <c r="AXM1" t="s">
        <v>2880</v>
      </c>
      <c r="AXN1" t="s">
        <v>2881</v>
      </c>
      <c r="AXO1" t="s">
        <v>2882</v>
      </c>
      <c r="AXP1" t="s">
        <v>2883</v>
      </c>
      <c r="AXQ1" t="s">
        <v>2884</v>
      </c>
      <c r="AXR1" t="s">
        <v>2885</v>
      </c>
      <c r="AXS1" t="s">
        <v>2886</v>
      </c>
      <c r="AXT1" t="s">
        <v>2887</v>
      </c>
      <c r="AXU1" t="s">
        <v>2888</v>
      </c>
      <c r="AXV1" t="s">
        <v>2889</v>
      </c>
      <c r="AXW1" t="s">
        <v>2890</v>
      </c>
      <c r="AXX1" t="s">
        <v>2891</v>
      </c>
      <c r="AXY1" t="s">
        <v>2892</v>
      </c>
      <c r="AXZ1" t="s">
        <v>2893</v>
      </c>
      <c r="AYA1" t="s">
        <v>2894</v>
      </c>
      <c r="AYB1" t="s">
        <v>2895</v>
      </c>
      <c r="AYC1" t="s">
        <v>2896</v>
      </c>
      <c r="AYD1" t="s">
        <v>2897</v>
      </c>
      <c r="AYE1" t="s">
        <v>2898</v>
      </c>
      <c r="AYF1" t="s">
        <v>2899</v>
      </c>
      <c r="AYG1" t="s">
        <v>2900</v>
      </c>
      <c r="AYH1" t="s">
        <v>2901</v>
      </c>
      <c r="AYI1" t="s">
        <v>2902</v>
      </c>
      <c r="AYJ1" t="s">
        <v>2903</v>
      </c>
      <c r="AYK1" t="s">
        <v>2904</v>
      </c>
      <c r="AYL1" t="s">
        <v>2905</v>
      </c>
      <c r="AYM1" t="s">
        <v>2906</v>
      </c>
      <c r="AYN1" t="s">
        <v>2907</v>
      </c>
      <c r="AYO1" t="s">
        <v>2908</v>
      </c>
      <c r="AYP1" t="s">
        <v>2909</v>
      </c>
      <c r="AYQ1" t="s">
        <v>2910</v>
      </c>
      <c r="AYR1" t="s">
        <v>2911</v>
      </c>
      <c r="AYS1" t="s">
        <v>2912</v>
      </c>
      <c r="AYT1" t="s">
        <v>2913</v>
      </c>
      <c r="AYU1" t="s">
        <v>2914</v>
      </c>
      <c r="AYV1" t="s">
        <v>2915</v>
      </c>
      <c r="AYW1" t="s">
        <v>2916</v>
      </c>
      <c r="AYX1" t="s">
        <v>2917</v>
      </c>
      <c r="AYY1" t="s">
        <v>2918</v>
      </c>
      <c r="AYZ1" t="s">
        <v>2919</v>
      </c>
      <c r="AZA1" t="s">
        <v>2920</v>
      </c>
      <c r="AZB1" t="s">
        <v>2921</v>
      </c>
      <c r="AZC1" t="s">
        <v>2922</v>
      </c>
      <c r="AZD1" t="s">
        <v>2923</v>
      </c>
      <c r="AZE1" t="s">
        <v>2924</v>
      </c>
      <c r="AZF1" t="s">
        <v>2925</v>
      </c>
      <c r="AZG1" t="s">
        <v>2926</v>
      </c>
      <c r="AZH1" t="s">
        <v>2927</v>
      </c>
      <c r="AZI1" t="s">
        <v>2928</v>
      </c>
      <c r="AZJ1" t="s">
        <v>2929</v>
      </c>
      <c r="AZK1" t="s">
        <v>2930</v>
      </c>
      <c r="AZL1" t="s">
        <v>2931</v>
      </c>
      <c r="AZM1" t="s">
        <v>2932</v>
      </c>
      <c r="AZN1" t="s">
        <v>2933</v>
      </c>
      <c r="AZO1" t="s">
        <v>2934</v>
      </c>
      <c r="AZP1" t="s">
        <v>2935</v>
      </c>
      <c r="AZQ1" t="s">
        <v>2936</v>
      </c>
      <c r="AZR1" t="s">
        <v>2937</v>
      </c>
      <c r="AZS1" t="s">
        <v>2938</v>
      </c>
      <c r="AZT1" t="s">
        <v>2939</v>
      </c>
      <c r="AZU1" t="s">
        <v>2940</v>
      </c>
      <c r="AZV1" t="s">
        <v>2941</v>
      </c>
      <c r="AZW1" t="s">
        <v>2942</v>
      </c>
      <c r="AZX1" t="s">
        <v>2943</v>
      </c>
      <c r="AZY1" t="s">
        <v>2944</v>
      </c>
      <c r="AZZ1" t="s">
        <v>2945</v>
      </c>
      <c r="BAA1" t="s">
        <v>2946</v>
      </c>
      <c r="BAB1" t="s">
        <v>2947</v>
      </c>
      <c r="BAC1" t="s">
        <v>2948</v>
      </c>
      <c r="BAD1" t="s">
        <v>2949</v>
      </c>
      <c r="BAE1" t="s">
        <v>2950</v>
      </c>
      <c r="BAF1" t="s">
        <v>2951</v>
      </c>
      <c r="BAG1" t="s">
        <v>2952</v>
      </c>
      <c r="BAH1" t="s">
        <v>2953</v>
      </c>
      <c r="BAI1" t="s">
        <v>2954</v>
      </c>
      <c r="BAJ1" t="s">
        <v>2955</v>
      </c>
      <c r="BAK1" t="s">
        <v>2956</v>
      </c>
      <c r="BAL1" t="s">
        <v>2957</v>
      </c>
      <c r="BAM1" t="s">
        <v>2958</v>
      </c>
      <c r="BAN1" t="s">
        <v>2959</v>
      </c>
      <c r="BAO1" t="s">
        <v>2960</v>
      </c>
      <c r="BAP1" t="s">
        <v>2961</v>
      </c>
      <c r="BAQ1" t="s">
        <v>2962</v>
      </c>
      <c r="BAR1" t="s">
        <v>2963</v>
      </c>
      <c r="BAS1" t="s">
        <v>2964</v>
      </c>
      <c r="BAT1" t="s">
        <v>2965</v>
      </c>
      <c r="BAU1" t="s">
        <v>2966</v>
      </c>
      <c r="BAV1" t="s">
        <v>2967</v>
      </c>
      <c r="BAW1" t="s">
        <v>2968</v>
      </c>
      <c r="BAX1" t="s">
        <v>2969</v>
      </c>
      <c r="BAY1" t="s">
        <v>2970</v>
      </c>
      <c r="BAZ1" t="s">
        <v>2971</v>
      </c>
      <c r="BBA1" t="s">
        <v>2972</v>
      </c>
      <c r="BBB1" t="s">
        <v>2973</v>
      </c>
      <c r="BBC1" t="s">
        <v>2974</v>
      </c>
      <c r="BBD1" t="s">
        <v>2975</v>
      </c>
      <c r="BBE1" t="s">
        <v>2976</v>
      </c>
      <c r="BBF1" t="s">
        <v>2977</v>
      </c>
      <c r="BBG1" t="s">
        <v>2978</v>
      </c>
      <c r="BBH1" t="s">
        <v>2979</v>
      </c>
      <c r="BBI1" t="s">
        <v>2980</v>
      </c>
      <c r="BBJ1" t="s">
        <v>2981</v>
      </c>
      <c r="BBK1" t="s">
        <v>2982</v>
      </c>
      <c r="BBL1" t="s">
        <v>2983</v>
      </c>
      <c r="BBM1" t="s">
        <v>2984</v>
      </c>
      <c r="BBN1" t="s">
        <v>2985</v>
      </c>
      <c r="BBO1" t="s">
        <v>2986</v>
      </c>
      <c r="BBP1" t="s">
        <v>2987</v>
      </c>
      <c r="BBQ1" t="s">
        <v>2988</v>
      </c>
      <c r="BBR1" t="s">
        <v>2989</v>
      </c>
      <c r="BBS1" t="s">
        <v>2990</v>
      </c>
      <c r="BBT1" t="s">
        <v>2991</v>
      </c>
      <c r="BBU1" t="s">
        <v>2992</v>
      </c>
      <c r="BBV1" t="s">
        <v>2993</v>
      </c>
      <c r="BBW1" t="s">
        <v>2994</v>
      </c>
      <c r="BBX1" t="s">
        <v>2995</v>
      </c>
      <c r="BBY1" t="s">
        <v>2996</v>
      </c>
      <c r="BBZ1" t="s">
        <v>2997</v>
      </c>
      <c r="BCA1" t="s">
        <v>2998</v>
      </c>
      <c r="BCB1" t="s">
        <v>2999</v>
      </c>
      <c r="BCC1" t="s">
        <v>3000</v>
      </c>
      <c r="BCD1" t="s">
        <v>3001</v>
      </c>
      <c r="BCE1" t="s">
        <v>3002</v>
      </c>
      <c r="BCF1" t="s">
        <v>3003</v>
      </c>
      <c r="BCG1" t="s">
        <v>3004</v>
      </c>
      <c r="BCH1" t="s">
        <v>3005</v>
      </c>
      <c r="BCI1" t="s">
        <v>3006</v>
      </c>
      <c r="BCJ1" t="s">
        <v>3007</v>
      </c>
      <c r="BCK1" t="s">
        <v>3008</v>
      </c>
      <c r="BCL1" t="s">
        <v>3009</v>
      </c>
      <c r="BCM1" t="s">
        <v>3010</v>
      </c>
      <c r="BCN1" t="s">
        <v>3011</v>
      </c>
      <c r="BCO1" t="s">
        <v>3012</v>
      </c>
      <c r="BCP1" t="s">
        <v>3013</v>
      </c>
      <c r="BCQ1" t="s">
        <v>3014</v>
      </c>
      <c r="BCR1" t="s">
        <v>3015</v>
      </c>
      <c r="BCS1" t="s">
        <v>3016</v>
      </c>
      <c r="BCT1" t="s">
        <v>3017</v>
      </c>
      <c r="BCU1" t="s">
        <v>3018</v>
      </c>
      <c r="BCV1" t="s">
        <v>3019</v>
      </c>
      <c r="BCW1" t="s">
        <v>3020</v>
      </c>
      <c r="BCX1" t="s">
        <v>3021</v>
      </c>
      <c r="BCY1" t="s">
        <v>3022</v>
      </c>
      <c r="BCZ1" t="s">
        <v>3023</v>
      </c>
      <c r="BDA1" t="s">
        <v>3024</v>
      </c>
      <c r="BDB1" t="s">
        <v>3025</v>
      </c>
      <c r="BDC1" t="s">
        <v>3026</v>
      </c>
      <c r="BDD1" t="s">
        <v>3027</v>
      </c>
      <c r="BDE1" t="s">
        <v>3028</v>
      </c>
      <c r="BDF1" t="s">
        <v>3029</v>
      </c>
      <c r="BDG1" t="s">
        <v>3030</v>
      </c>
      <c r="BDH1" t="s">
        <v>3031</v>
      </c>
      <c r="BDI1" t="s">
        <v>3032</v>
      </c>
      <c r="BDJ1" t="s">
        <v>3033</v>
      </c>
      <c r="BDK1" t="s">
        <v>3034</v>
      </c>
      <c r="BDL1" t="s">
        <v>3035</v>
      </c>
      <c r="BDM1" t="s">
        <v>3036</v>
      </c>
      <c r="BDN1" t="s">
        <v>3037</v>
      </c>
      <c r="BDO1" t="s">
        <v>3038</v>
      </c>
      <c r="BDP1" t="s">
        <v>3039</v>
      </c>
      <c r="BDQ1" t="s">
        <v>3040</v>
      </c>
      <c r="BDR1" t="s">
        <v>3041</v>
      </c>
      <c r="BDS1" t="s">
        <v>3042</v>
      </c>
      <c r="BDT1" t="s">
        <v>3043</v>
      </c>
      <c r="BDU1" t="s">
        <v>3044</v>
      </c>
      <c r="BDV1" t="s">
        <v>3045</v>
      </c>
      <c r="BDW1" t="s">
        <v>3046</v>
      </c>
      <c r="BDX1" t="s">
        <v>3047</v>
      </c>
      <c r="BDY1" t="s">
        <v>3048</v>
      </c>
      <c r="BDZ1" t="s">
        <v>3049</v>
      </c>
      <c r="BEA1" t="s">
        <v>3050</v>
      </c>
      <c r="BEB1" t="s">
        <v>3051</v>
      </c>
      <c r="BEC1" t="s">
        <v>3052</v>
      </c>
      <c r="BED1" t="s">
        <v>3053</v>
      </c>
      <c r="BEE1" t="s">
        <v>3054</v>
      </c>
      <c r="BEF1" t="s">
        <v>3055</v>
      </c>
      <c r="BEG1" t="s">
        <v>3056</v>
      </c>
      <c r="BEH1" t="s">
        <v>3057</v>
      </c>
      <c r="BEI1" t="s">
        <v>3058</v>
      </c>
      <c r="BEJ1" t="s">
        <v>3059</v>
      </c>
      <c r="BEK1" t="s">
        <v>3060</v>
      </c>
      <c r="BEL1" t="s">
        <v>3061</v>
      </c>
      <c r="BEM1" t="s">
        <v>3062</v>
      </c>
      <c r="BEN1" t="s">
        <v>3063</v>
      </c>
      <c r="BEO1" t="s">
        <v>3064</v>
      </c>
      <c r="BEP1" t="s">
        <v>3065</v>
      </c>
      <c r="BEQ1" t="s">
        <v>3066</v>
      </c>
      <c r="BER1" t="s">
        <v>3067</v>
      </c>
      <c r="BES1" t="s">
        <v>3068</v>
      </c>
      <c r="BET1" t="s">
        <v>3069</v>
      </c>
      <c r="BEU1" t="s">
        <v>3070</v>
      </c>
      <c r="BEV1" t="s">
        <v>3071</v>
      </c>
      <c r="BEW1" t="s">
        <v>3072</v>
      </c>
      <c r="BEX1" t="s">
        <v>3073</v>
      </c>
      <c r="BEY1" t="s">
        <v>3074</v>
      </c>
      <c r="BEZ1" t="s">
        <v>3075</v>
      </c>
      <c r="BFA1" t="s">
        <v>3076</v>
      </c>
      <c r="BFB1" t="s">
        <v>3077</v>
      </c>
      <c r="BFC1" t="s">
        <v>3078</v>
      </c>
      <c r="BFD1" t="s">
        <v>3079</v>
      </c>
      <c r="BFE1" t="s">
        <v>3080</v>
      </c>
      <c r="BFF1" t="s">
        <v>3081</v>
      </c>
      <c r="BFG1" t="s">
        <v>3082</v>
      </c>
      <c r="BFH1" t="s">
        <v>3083</v>
      </c>
      <c r="BFI1" t="s">
        <v>3084</v>
      </c>
      <c r="BFJ1" t="s">
        <v>3085</v>
      </c>
      <c r="BFK1" t="s">
        <v>3086</v>
      </c>
      <c r="BFL1" t="s">
        <v>3087</v>
      </c>
      <c r="BFM1" t="s">
        <v>3088</v>
      </c>
      <c r="BFN1" t="s">
        <v>3089</v>
      </c>
      <c r="BFO1" t="s">
        <v>3090</v>
      </c>
      <c r="BFP1" t="s">
        <v>3091</v>
      </c>
      <c r="BFQ1" t="s">
        <v>3092</v>
      </c>
      <c r="BFR1" t="s">
        <v>3093</v>
      </c>
      <c r="BFS1" t="s">
        <v>3094</v>
      </c>
      <c r="BFT1" t="s">
        <v>3095</v>
      </c>
      <c r="BFU1" t="s">
        <v>3096</v>
      </c>
      <c r="BFV1" t="s">
        <v>3097</v>
      </c>
      <c r="BFW1" t="s">
        <v>3098</v>
      </c>
      <c r="BFX1" t="s">
        <v>3099</v>
      </c>
      <c r="BFY1" t="s">
        <v>3100</v>
      </c>
      <c r="BFZ1" t="s">
        <v>3101</v>
      </c>
      <c r="BGA1" t="s">
        <v>3102</v>
      </c>
      <c r="BGB1" t="s">
        <v>3103</v>
      </c>
      <c r="BGC1" t="s">
        <v>3104</v>
      </c>
      <c r="BGD1" t="s">
        <v>3105</v>
      </c>
      <c r="BGE1" t="s">
        <v>3106</v>
      </c>
      <c r="BGF1" t="s">
        <v>3107</v>
      </c>
      <c r="BGG1" t="s">
        <v>3108</v>
      </c>
      <c r="BGH1" t="s">
        <v>3109</v>
      </c>
      <c r="BGI1" t="s">
        <v>3110</v>
      </c>
      <c r="BGJ1" t="s">
        <v>3111</v>
      </c>
      <c r="BGK1" t="s">
        <v>3112</v>
      </c>
      <c r="BGL1" t="s">
        <v>3113</v>
      </c>
      <c r="BGM1" t="s">
        <v>3114</v>
      </c>
      <c r="BGN1" t="s">
        <v>3115</v>
      </c>
      <c r="BGO1" t="s">
        <v>3116</v>
      </c>
      <c r="BGP1" t="s">
        <v>3117</v>
      </c>
      <c r="BGQ1" t="s">
        <v>3118</v>
      </c>
      <c r="BGR1" t="s">
        <v>3119</v>
      </c>
      <c r="BGS1" t="s">
        <v>3120</v>
      </c>
      <c r="BGT1" t="s">
        <v>3121</v>
      </c>
      <c r="BGU1" t="s">
        <v>3122</v>
      </c>
      <c r="BGV1" t="s">
        <v>3123</v>
      </c>
      <c r="BGW1" t="s">
        <v>3124</v>
      </c>
      <c r="BGX1" t="s">
        <v>3125</v>
      </c>
      <c r="BGY1" t="s">
        <v>3126</v>
      </c>
      <c r="BGZ1" t="s">
        <v>3127</v>
      </c>
      <c r="BHA1" t="s">
        <v>3128</v>
      </c>
      <c r="BHB1" t="s">
        <v>3129</v>
      </c>
      <c r="BHC1" t="s">
        <v>3130</v>
      </c>
      <c r="BHD1" t="s">
        <v>3131</v>
      </c>
      <c r="BHE1" t="s">
        <v>3132</v>
      </c>
      <c r="BHF1" t="s">
        <v>3133</v>
      </c>
      <c r="BHG1" t="s">
        <v>3134</v>
      </c>
      <c r="BHH1" t="s">
        <v>3135</v>
      </c>
      <c r="BHI1" t="s">
        <v>3136</v>
      </c>
      <c r="BHJ1" t="s">
        <v>3137</v>
      </c>
      <c r="BHK1" t="s">
        <v>3138</v>
      </c>
      <c r="BHL1" t="s">
        <v>3139</v>
      </c>
      <c r="BHM1" t="s">
        <v>3140</v>
      </c>
      <c r="BHN1" t="s">
        <v>3141</v>
      </c>
      <c r="BHO1" t="s">
        <v>3142</v>
      </c>
      <c r="BHP1" t="s">
        <v>3143</v>
      </c>
      <c r="BHQ1" t="s">
        <v>3144</v>
      </c>
      <c r="BHR1" t="s">
        <v>3145</v>
      </c>
      <c r="BHS1" t="s">
        <v>3146</v>
      </c>
      <c r="BHT1" t="s">
        <v>3147</v>
      </c>
      <c r="BHU1" t="s">
        <v>3148</v>
      </c>
      <c r="BHV1" t="s">
        <v>3149</v>
      </c>
      <c r="BHW1" t="s">
        <v>3150</v>
      </c>
      <c r="BHX1" t="s">
        <v>3151</v>
      </c>
      <c r="BHY1" t="s">
        <v>3152</v>
      </c>
      <c r="BHZ1" t="s">
        <v>3153</v>
      </c>
      <c r="BIA1" t="s">
        <v>3154</v>
      </c>
      <c r="BIB1" t="s">
        <v>3155</v>
      </c>
      <c r="BIC1" t="s">
        <v>3156</v>
      </c>
      <c r="BID1" t="s">
        <v>3157</v>
      </c>
      <c r="BIE1" t="s">
        <v>3158</v>
      </c>
      <c r="BIF1" t="s">
        <v>3159</v>
      </c>
      <c r="BIG1" t="s">
        <v>3160</v>
      </c>
      <c r="BIH1" t="s">
        <v>3161</v>
      </c>
      <c r="BII1" t="s">
        <v>3162</v>
      </c>
      <c r="BIJ1" t="s">
        <v>3163</v>
      </c>
      <c r="BIK1" t="s">
        <v>3164</v>
      </c>
      <c r="BIL1" t="s">
        <v>3165</v>
      </c>
      <c r="BIM1" t="s">
        <v>3166</v>
      </c>
      <c r="BIN1" t="s">
        <v>3167</v>
      </c>
      <c r="BIO1" t="s">
        <v>3168</v>
      </c>
      <c r="BIP1" t="s">
        <v>3169</v>
      </c>
      <c r="BIQ1" t="s">
        <v>3170</v>
      </c>
      <c r="BIR1" t="s">
        <v>3171</v>
      </c>
      <c r="BIS1" t="s">
        <v>3172</v>
      </c>
      <c r="BIT1" t="s">
        <v>3173</v>
      </c>
      <c r="BIU1" t="s">
        <v>3174</v>
      </c>
      <c r="BIV1" t="s">
        <v>3175</v>
      </c>
      <c r="BIW1" t="s">
        <v>3176</v>
      </c>
      <c r="BIX1" t="s">
        <v>3177</v>
      </c>
      <c r="BIY1" t="s">
        <v>3178</v>
      </c>
      <c r="BIZ1" t="s">
        <v>3179</v>
      </c>
      <c r="BJA1" t="s">
        <v>3180</v>
      </c>
      <c r="BJB1" t="s">
        <v>3181</v>
      </c>
      <c r="BJC1" t="s">
        <v>3182</v>
      </c>
      <c r="BJD1" t="s">
        <v>3183</v>
      </c>
      <c r="BJE1" t="s">
        <v>3184</v>
      </c>
      <c r="BJF1" t="s">
        <v>3185</v>
      </c>
      <c r="BJG1" t="s">
        <v>3186</v>
      </c>
      <c r="BJH1" t="s">
        <v>3187</v>
      </c>
      <c r="BJI1" t="s">
        <v>3188</v>
      </c>
      <c r="BJJ1" t="s">
        <v>3189</v>
      </c>
      <c r="BJK1" t="s">
        <v>3190</v>
      </c>
      <c r="BJL1" t="s">
        <v>3191</v>
      </c>
      <c r="BJM1" t="s">
        <v>3192</v>
      </c>
      <c r="BJN1" t="s">
        <v>3193</v>
      </c>
      <c r="BJO1" t="s">
        <v>3194</v>
      </c>
      <c r="BJP1" t="s">
        <v>3195</v>
      </c>
      <c r="BJQ1" t="s">
        <v>3196</v>
      </c>
      <c r="BJR1" t="s">
        <v>3197</v>
      </c>
      <c r="BJS1" t="s">
        <v>3198</v>
      </c>
      <c r="BJT1" t="s">
        <v>3199</v>
      </c>
      <c r="BJU1" t="s">
        <v>3200</v>
      </c>
      <c r="BJV1" t="s">
        <v>3201</v>
      </c>
      <c r="BJW1" t="s">
        <v>3202</v>
      </c>
      <c r="BJX1" t="s">
        <v>3203</v>
      </c>
      <c r="BJY1" t="s">
        <v>3204</v>
      </c>
      <c r="BJZ1" t="s">
        <v>3205</v>
      </c>
      <c r="BKA1" t="s">
        <v>3206</v>
      </c>
      <c r="BKB1" t="s">
        <v>3207</v>
      </c>
      <c r="BKC1" t="s">
        <v>3208</v>
      </c>
      <c r="BKD1" t="s">
        <v>3209</v>
      </c>
      <c r="BKE1" t="s">
        <v>3210</v>
      </c>
      <c r="BKF1" t="s">
        <v>3211</v>
      </c>
      <c r="BKG1" t="s">
        <v>3212</v>
      </c>
      <c r="BKH1" t="s">
        <v>3213</v>
      </c>
      <c r="BKI1" t="s">
        <v>3214</v>
      </c>
      <c r="BKJ1" t="s">
        <v>3215</v>
      </c>
      <c r="BKK1" t="s">
        <v>3216</v>
      </c>
      <c r="BKL1" t="s">
        <v>3217</v>
      </c>
      <c r="BKM1" t="s">
        <v>3218</v>
      </c>
      <c r="BKN1" t="s">
        <v>3219</v>
      </c>
      <c r="BKO1" t="s">
        <v>3220</v>
      </c>
      <c r="BKP1" t="s">
        <v>3221</v>
      </c>
      <c r="BKQ1" t="s">
        <v>3222</v>
      </c>
      <c r="BKR1" t="s">
        <v>3223</v>
      </c>
      <c r="BKS1" t="s">
        <v>3224</v>
      </c>
      <c r="BKT1" t="s">
        <v>3225</v>
      </c>
      <c r="BKU1" t="s">
        <v>3226</v>
      </c>
      <c r="BKV1" t="s">
        <v>3227</v>
      </c>
      <c r="BKW1" t="s">
        <v>3228</v>
      </c>
      <c r="BKX1" t="s">
        <v>3229</v>
      </c>
      <c r="BKY1" t="s">
        <v>3230</v>
      </c>
      <c r="BKZ1" t="s">
        <v>3231</v>
      </c>
      <c r="BLA1" t="s">
        <v>3232</v>
      </c>
      <c r="BLB1" t="s">
        <v>3233</v>
      </c>
      <c r="BLC1" t="s">
        <v>3234</v>
      </c>
      <c r="BLD1" t="s">
        <v>3235</v>
      </c>
      <c r="BLE1" t="s">
        <v>3236</v>
      </c>
      <c r="BLF1" t="s">
        <v>3237</v>
      </c>
      <c r="BLG1" t="s">
        <v>3238</v>
      </c>
      <c r="BLH1" t="s">
        <v>3239</v>
      </c>
      <c r="BLI1" t="s">
        <v>3240</v>
      </c>
      <c r="BLJ1" t="s">
        <v>3241</v>
      </c>
      <c r="BLK1" t="s">
        <v>3242</v>
      </c>
      <c r="BLL1" t="s">
        <v>3243</v>
      </c>
      <c r="BLM1" t="s">
        <v>3244</v>
      </c>
      <c r="BLN1" t="s">
        <v>3245</v>
      </c>
      <c r="BLO1" t="s">
        <v>3246</v>
      </c>
      <c r="BLP1" t="s">
        <v>3247</v>
      </c>
      <c r="BLQ1" t="s">
        <v>3248</v>
      </c>
      <c r="BLR1" t="s">
        <v>3249</v>
      </c>
      <c r="BLS1" t="s">
        <v>3250</v>
      </c>
      <c r="BLT1" t="s">
        <v>3251</v>
      </c>
      <c r="BLU1" t="s">
        <v>3252</v>
      </c>
      <c r="BLV1" t="s">
        <v>3253</v>
      </c>
      <c r="BLW1" t="s">
        <v>3254</v>
      </c>
      <c r="BLX1" t="s">
        <v>3255</v>
      </c>
      <c r="BLY1" t="s">
        <v>3256</v>
      </c>
      <c r="BLZ1" t="s">
        <v>3257</v>
      </c>
      <c r="BMA1" t="s">
        <v>3258</v>
      </c>
      <c r="BMB1" t="s">
        <v>3259</v>
      </c>
      <c r="BMC1" t="s">
        <v>3260</v>
      </c>
      <c r="BMD1" t="s">
        <v>3261</v>
      </c>
      <c r="BME1" t="s">
        <v>3262</v>
      </c>
      <c r="BMF1" t="s">
        <v>3263</v>
      </c>
      <c r="BMG1" t="s">
        <v>3264</v>
      </c>
      <c r="BMH1" t="s">
        <v>3265</v>
      </c>
      <c r="BMI1" t="s">
        <v>3266</v>
      </c>
      <c r="BMJ1" t="s">
        <v>3267</v>
      </c>
      <c r="BMK1" t="s">
        <v>3268</v>
      </c>
      <c r="BML1" t="s">
        <v>3269</v>
      </c>
      <c r="BMM1" t="s">
        <v>3270</v>
      </c>
      <c r="BMN1" t="s">
        <v>3271</v>
      </c>
      <c r="BMO1" t="s">
        <v>3272</v>
      </c>
      <c r="BMP1" t="s">
        <v>3273</v>
      </c>
      <c r="BMQ1" t="s">
        <v>3274</v>
      </c>
      <c r="BMR1" t="s">
        <v>3275</v>
      </c>
      <c r="BMS1" t="s">
        <v>3276</v>
      </c>
      <c r="BMT1" t="s">
        <v>3277</v>
      </c>
      <c r="BMU1" t="s">
        <v>3278</v>
      </c>
      <c r="BMV1" t="s">
        <v>3279</v>
      </c>
      <c r="BMW1" t="s">
        <v>3280</v>
      </c>
      <c r="BMX1" t="s">
        <v>3281</v>
      </c>
      <c r="BMY1" t="s">
        <v>3282</v>
      </c>
      <c r="BMZ1" t="s">
        <v>3283</v>
      </c>
      <c r="BNA1" t="s">
        <v>3284</v>
      </c>
      <c r="BNB1" t="s">
        <v>3285</v>
      </c>
      <c r="BNC1" t="s">
        <v>3286</v>
      </c>
      <c r="BND1" t="s">
        <v>3287</v>
      </c>
      <c r="BNE1" t="s">
        <v>3288</v>
      </c>
      <c r="BNF1" t="s">
        <v>3289</v>
      </c>
      <c r="BNG1" t="s">
        <v>3290</v>
      </c>
      <c r="BNH1" t="s">
        <v>3291</v>
      </c>
      <c r="BNI1" t="s">
        <v>3292</v>
      </c>
      <c r="BNJ1" t="s">
        <v>3293</v>
      </c>
      <c r="BNK1" t="s">
        <v>3294</v>
      </c>
      <c r="BNL1" t="s">
        <v>3295</v>
      </c>
      <c r="BNM1" t="s">
        <v>3296</v>
      </c>
      <c r="BNN1" t="s">
        <v>3297</v>
      </c>
      <c r="BNO1" t="s">
        <v>3298</v>
      </c>
      <c r="BNP1" t="s">
        <v>3299</v>
      </c>
      <c r="BNQ1" t="s">
        <v>3300</v>
      </c>
      <c r="BNR1" t="s">
        <v>3301</v>
      </c>
      <c r="BNS1" t="s">
        <v>3302</v>
      </c>
      <c r="BNT1" t="s">
        <v>3303</v>
      </c>
      <c r="BNU1" t="s">
        <v>3304</v>
      </c>
      <c r="BNV1" t="s">
        <v>3305</v>
      </c>
      <c r="BNW1" t="s">
        <v>3306</v>
      </c>
      <c r="BNX1" t="s">
        <v>3307</v>
      </c>
      <c r="BNY1" t="s">
        <v>3308</v>
      </c>
      <c r="BNZ1" t="s">
        <v>3309</v>
      </c>
      <c r="BOA1" t="s">
        <v>3310</v>
      </c>
      <c r="BOB1" t="s">
        <v>3311</v>
      </c>
      <c r="BOC1" t="s">
        <v>3312</v>
      </c>
      <c r="BOD1" t="s">
        <v>3313</v>
      </c>
      <c r="BOE1" t="s">
        <v>3314</v>
      </c>
      <c r="BOF1" t="s">
        <v>3315</v>
      </c>
      <c r="BOG1" t="s">
        <v>3316</v>
      </c>
      <c r="BOH1" t="s">
        <v>3317</v>
      </c>
      <c r="BOI1" t="s">
        <v>3318</v>
      </c>
      <c r="BOJ1" t="s">
        <v>3319</v>
      </c>
      <c r="BOK1" t="s">
        <v>3320</v>
      </c>
      <c r="BOL1" t="s">
        <v>3321</v>
      </c>
      <c r="BOM1" t="s">
        <v>3322</v>
      </c>
      <c r="BON1" t="s">
        <v>3323</v>
      </c>
      <c r="BOO1" t="s">
        <v>3324</v>
      </c>
      <c r="BOP1" t="s">
        <v>3325</v>
      </c>
      <c r="BOQ1" t="s">
        <v>3326</v>
      </c>
      <c r="BOR1" t="s">
        <v>3327</v>
      </c>
      <c r="BOS1" t="s">
        <v>3328</v>
      </c>
      <c r="BOT1" t="s">
        <v>3329</v>
      </c>
      <c r="BOU1" t="s">
        <v>3330</v>
      </c>
      <c r="BOV1" t="s">
        <v>3331</v>
      </c>
      <c r="BOW1" t="s">
        <v>3332</v>
      </c>
      <c r="BOX1" t="s">
        <v>3333</v>
      </c>
      <c r="BOY1" t="s">
        <v>3334</v>
      </c>
      <c r="BOZ1" t="s">
        <v>3335</v>
      </c>
      <c r="BPA1" t="s">
        <v>3336</v>
      </c>
      <c r="BPB1" t="s">
        <v>3337</v>
      </c>
      <c r="BPC1" t="s">
        <v>3338</v>
      </c>
      <c r="BPD1" t="s">
        <v>3339</v>
      </c>
      <c r="BPE1" t="s">
        <v>3340</v>
      </c>
      <c r="BPF1" t="s">
        <v>3341</v>
      </c>
      <c r="BPG1" t="s">
        <v>3342</v>
      </c>
      <c r="BPH1" t="s">
        <v>3343</v>
      </c>
      <c r="BPI1" t="s">
        <v>3344</v>
      </c>
      <c r="BPJ1" t="s">
        <v>3345</v>
      </c>
      <c r="BPK1" t="s">
        <v>3346</v>
      </c>
      <c r="BPL1" t="s">
        <v>3347</v>
      </c>
      <c r="BPM1" t="s">
        <v>3348</v>
      </c>
      <c r="BPN1" t="s">
        <v>3349</v>
      </c>
      <c r="BPO1" t="s">
        <v>3350</v>
      </c>
      <c r="BPP1" t="s">
        <v>3351</v>
      </c>
      <c r="BPQ1" t="s">
        <v>3352</v>
      </c>
      <c r="BPR1" t="s">
        <v>3353</v>
      </c>
      <c r="BPS1" t="s">
        <v>3354</v>
      </c>
      <c r="BPT1" t="s">
        <v>3355</v>
      </c>
      <c r="BPU1" t="s">
        <v>3356</v>
      </c>
      <c r="BPV1" t="s">
        <v>3357</v>
      </c>
      <c r="BPW1" t="s">
        <v>3358</v>
      </c>
      <c r="BPX1" t="s">
        <v>3359</v>
      </c>
      <c r="BPY1" t="s">
        <v>3360</v>
      </c>
      <c r="BPZ1" t="s">
        <v>3361</v>
      </c>
      <c r="BQA1" t="s">
        <v>3362</v>
      </c>
      <c r="BQB1" t="s">
        <v>3363</v>
      </c>
      <c r="BQC1" t="s">
        <v>3364</v>
      </c>
      <c r="BQD1" t="s">
        <v>3365</v>
      </c>
      <c r="BQE1" t="s">
        <v>3366</v>
      </c>
      <c r="BQF1" t="s">
        <v>3367</v>
      </c>
      <c r="BQG1" t="s">
        <v>3368</v>
      </c>
      <c r="BQH1" t="s">
        <v>3369</v>
      </c>
      <c r="BQI1" t="s">
        <v>3370</v>
      </c>
      <c r="BQJ1" t="s">
        <v>3371</v>
      </c>
      <c r="BQK1" t="s">
        <v>3372</v>
      </c>
      <c r="BQL1" t="s">
        <v>3373</v>
      </c>
      <c r="BQM1" t="s">
        <v>3374</v>
      </c>
      <c r="BQN1" t="s">
        <v>3375</v>
      </c>
      <c r="BQO1" t="s">
        <v>3376</v>
      </c>
      <c r="BQP1" t="s">
        <v>3377</v>
      </c>
      <c r="BQQ1" t="s">
        <v>3378</v>
      </c>
      <c r="BQR1" t="s">
        <v>3379</v>
      </c>
      <c r="BQS1" t="s">
        <v>3380</v>
      </c>
      <c r="BQT1" t="s">
        <v>3381</v>
      </c>
      <c r="BQU1" t="s">
        <v>3382</v>
      </c>
      <c r="BQV1" t="s">
        <v>3383</v>
      </c>
      <c r="BQW1" t="s">
        <v>3384</v>
      </c>
      <c r="BQX1" t="s">
        <v>3385</v>
      </c>
      <c r="BQY1" t="s">
        <v>3386</v>
      </c>
      <c r="BQZ1" t="s">
        <v>3387</v>
      </c>
      <c r="BRA1" t="s">
        <v>3388</v>
      </c>
      <c r="BRB1" t="s">
        <v>3389</v>
      </c>
      <c r="BRC1" t="s">
        <v>3390</v>
      </c>
      <c r="BRD1" t="s">
        <v>3391</v>
      </c>
      <c r="BRE1" t="s">
        <v>3392</v>
      </c>
      <c r="BRF1" t="s">
        <v>3393</v>
      </c>
      <c r="BRG1" t="s">
        <v>3394</v>
      </c>
      <c r="BRH1" t="s">
        <v>3395</v>
      </c>
      <c r="BRI1" t="s">
        <v>3396</v>
      </c>
      <c r="BRJ1" t="s">
        <v>3397</v>
      </c>
      <c r="BRK1" t="s">
        <v>3398</v>
      </c>
      <c r="BRL1" t="s">
        <v>3399</v>
      </c>
      <c r="BRM1" t="s">
        <v>3400</v>
      </c>
      <c r="BRN1" t="s">
        <v>3401</v>
      </c>
      <c r="BRO1" t="s">
        <v>3402</v>
      </c>
      <c r="BRP1" t="s">
        <v>3403</v>
      </c>
      <c r="BRQ1" t="s">
        <v>3404</v>
      </c>
      <c r="BRR1" t="s">
        <v>3405</v>
      </c>
      <c r="BRS1" t="s">
        <v>3406</v>
      </c>
      <c r="BRT1" t="s">
        <v>3407</v>
      </c>
      <c r="BRU1" t="s">
        <v>3408</v>
      </c>
      <c r="BRV1" t="s">
        <v>3409</v>
      </c>
      <c r="BRW1" t="s">
        <v>3410</v>
      </c>
      <c r="BRX1" t="s">
        <v>3411</v>
      </c>
      <c r="BRY1" t="s">
        <v>3412</v>
      </c>
      <c r="BRZ1" t="s">
        <v>3413</v>
      </c>
      <c r="BSA1" t="s">
        <v>3414</v>
      </c>
      <c r="BSB1" t="s">
        <v>3415</v>
      </c>
      <c r="BSC1" t="s">
        <v>3416</v>
      </c>
      <c r="BSD1" t="s">
        <v>3417</v>
      </c>
      <c r="BSE1" t="s">
        <v>3418</v>
      </c>
      <c r="BSF1" t="s">
        <v>3419</v>
      </c>
      <c r="BSG1" t="s">
        <v>3420</v>
      </c>
      <c r="BSH1" t="s">
        <v>3421</v>
      </c>
      <c r="BSI1" t="s">
        <v>3422</v>
      </c>
      <c r="BSJ1" t="s">
        <v>3423</v>
      </c>
      <c r="BSK1" t="s">
        <v>3424</v>
      </c>
      <c r="BSL1" t="s">
        <v>3425</v>
      </c>
      <c r="BSM1" t="s">
        <v>3426</v>
      </c>
      <c r="BSN1" t="s">
        <v>3427</v>
      </c>
      <c r="BSO1" t="s">
        <v>3428</v>
      </c>
      <c r="BSP1" t="s">
        <v>3429</v>
      </c>
      <c r="BSQ1" t="s">
        <v>3430</v>
      </c>
      <c r="BSR1" t="s">
        <v>3431</v>
      </c>
      <c r="BSS1" t="s">
        <v>3432</v>
      </c>
      <c r="BST1" t="s">
        <v>3433</v>
      </c>
      <c r="BSU1" t="s">
        <v>3434</v>
      </c>
      <c r="BSV1" t="s">
        <v>3435</v>
      </c>
      <c r="BSW1" t="s">
        <v>3436</v>
      </c>
      <c r="BSX1" t="s">
        <v>3437</v>
      </c>
      <c r="BSY1" t="s">
        <v>3438</v>
      </c>
      <c r="BSZ1" t="s">
        <v>3439</v>
      </c>
      <c r="BTA1" t="s">
        <v>3440</v>
      </c>
      <c r="BTB1" t="s">
        <v>3441</v>
      </c>
      <c r="BTC1" t="s">
        <v>3442</v>
      </c>
      <c r="BTD1" t="s">
        <v>3443</v>
      </c>
      <c r="BTE1" t="s">
        <v>3444</v>
      </c>
      <c r="BTF1" t="s">
        <v>3445</v>
      </c>
      <c r="BTG1" t="s">
        <v>3446</v>
      </c>
      <c r="BTH1" t="s">
        <v>3447</v>
      </c>
      <c r="BTI1" t="s">
        <v>3448</v>
      </c>
      <c r="BTJ1" t="s">
        <v>3449</v>
      </c>
      <c r="BTK1" t="s">
        <v>3450</v>
      </c>
      <c r="BTL1" t="s">
        <v>3451</v>
      </c>
      <c r="BTM1" t="s">
        <v>3452</v>
      </c>
      <c r="BTN1" t="s">
        <v>3453</v>
      </c>
      <c r="BTO1" t="s">
        <v>3454</v>
      </c>
      <c r="BTP1" t="s">
        <v>3455</v>
      </c>
      <c r="BTQ1" t="s">
        <v>3456</v>
      </c>
      <c r="BTR1" t="s">
        <v>3457</v>
      </c>
      <c r="BTS1" t="s">
        <v>3458</v>
      </c>
      <c r="BTT1" t="s">
        <v>3459</v>
      </c>
      <c r="BTU1" t="s">
        <v>3460</v>
      </c>
      <c r="BTV1" t="s">
        <v>3461</v>
      </c>
      <c r="BTW1" t="s">
        <v>3462</v>
      </c>
      <c r="BTX1" t="s">
        <v>3463</v>
      </c>
      <c r="BTY1" t="s">
        <v>3464</v>
      </c>
      <c r="BTZ1" t="s">
        <v>3465</v>
      </c>
      <c r="BUA1" t="s">
        <v>3466</v>
      </c>
      <c r="BUB1" t="s">
        <v>3467</v>
      </c>
      <c r="BUC1" t="s">
        <v>3468</v>
      </c>
      <c r="BUD1" t="s">
        <v>3469</v>
      </c>
      <c r="BUE1" t="s">
        <v>3470</v>
      </c>
      <c r="BUF1" t="s">
        <v>3471</v>
      </c>
      <c r="BUG1" t="s">
        <v>3472</v>
      </c>
      <c r="BUH1" t="s">
        <v>3473</v>
      </c>
      <c r="BUI1" t="s">
        <v>3474</v>
      </c>
      <c r="BUJ1" t="s">
        <v>3475</v>
      </c>
      <c r="BUK1" t="s">
        <v>3476</v>
      </c>
      <c r="BUL1" t="s">
        <v>3477</v>
      </c>
      <c r="BUM1" t="s">
        <v>3478</v>
      </c>
      <c r="BUN1" t="s">
        <v>3479</v>
      </c>
      <c r="BUO1" t="s">
        <v>3480</v>
      </c>
      <c r="BUP1" t="s">
        <v>3481</v>
      </c>
      <c r="BUQ1" t="s">
        <v>3482</v>
      </c>
      <c r="BUR1" t="s">
        <v>3483</v>
      </c>
      <c r="BUS1" t="s">
        <v>3484</v>
      </c>
      <c r="BUT1" t="s">
        <v>3485</v>
      </c>
      <c r="BUU1" t="s">
        <v>3486</v>
      </c>
      <c r="BUV1" t="s">
        <v>3487</v>
      </c>
      <c r="BUW1" t="s">
        <v>3488</v>
      </c>
      <c r="BUX1" t="s">
        <v>3489</v>
      </c>
      <c r="BUY1" t="s">
        <v>3490</v>
      </c>
      <c r="BUZ1" t="s">
        <v>3491</v>
      </c>
      <c r="BVA1" t="s">
        <v>3492</v>
      </c>
      <c r="BVB1" t="s">
        <v>3493</v>
      </c>
      <c r="BVC1" t="s">
        <v>3494</v>
      </c>
      <c r="BVD1" t="s">
        <v>3495</v>
      </c>
      <c r="BVE1" t="s">
        <v>3496</v>
      </c>
      <c r="BVF1" t="s">
        <v>3497</v>
      </c>
      <c r="BVG1" t="s">
        <v>3498</v>
      </c>
      <c r="BVH1" t="s">
        <v>3499</v>
      </c>
      <c r="BVI1" t="s">
        <v>3500</v>
      </c>
      <c r="BVJ1" t="s">
        <v>3501</v>
      </c>
      <c r="BVK1" t="s">
        <v>3502</v>
      </c>
      <c r="BVL1" t="s">
        <v>3503</v>
      </c>
      <c r="BVM1" t="s">
        <v>3504</v>
      </c>
      <c r="BVN1" t="s">
        <v>3505</v>
      </c>
      <c r="BVO1" t="s">
        <v>3506</v>
      </c>
      <c r="BVP1" t="s">
        <v>3507</v>
      </c>
      <c r="BVQ1" t="s">
        <v>3508</v>
      </c>
      <c r="BVR1" t="s">
        <v>3509</v>
      </c>
      <c r="BVS1" t="s">
        <v>3510</v>
      </c>
      <c r="BVT1" t="s">
        <v>3511</v>
      </c>
      <c r="BVU1" t="s">
        <v>3512</v>
      </c>
      <c r="BVV1" t="s">
        <v>3513</v>
      </c>
      <c r="BVW1" t="s">
        <v>3514</v>
      </c>
      <c r="BVX1" t="s">
        <v>3515</v>
      </c>
      <c r="BVY1" t="s">
        <v>3516</v>
      </c>
      <c r="BVZ1" t="s">
        <v>3517</v>
      </c>
      <c r="BWA1" t="s">
        <v>3518</v>
      </c>
      <c r="BWB1" t="s">
        <v>3519</v>
      </c>
      <c r="BWC1" t="s">
        <v>3520</v>
      </c>
      <c r="BWD1" t="s">
        <v>3521</v>
      </c>
      <c r="BWE1" t="s">
        <v>3522</v>
      </c>
      <c r="BWF1" t="s">
        <v>3523</v>
      </c>
      <c r="BWG1" t="s">
        <v>3524</v>
      </c>
      <c r="BWH1" t="s">
        <v>3525</v>
      </c>
      <c r="BWI1" t="s">
        <v>3526</v>
      </c>
      <c r="BWJ1" t="s">
        <v>3527</v>
      </c>
      <c r="BWK1" t="s">
        <v>3528</v>
      </c>
      <c r="BWL1" t="s">
        <v>3529</v>
      </c>
      <c r="BWM1" t="s">
        <v>3530</v>
      </c>
      <c r="BWN1" t="s">
        <v>3531</v>
      </c>
      <c r="BWO1" t="s">
        <v>3532</v>
      </c>
      <c r="BWP1" t="s">
        <v>3533</v>
      </c>
      <c r="BWQ1" t="s">
        <v>3534</v>
      </c>
      <c r="BWR1" t="s">
        <v>3535</v>
      </c>
      <c r="BWS1" t="s">
        <v>3536</v>
      </c>
      <c r="BWT1" t="s">
        <v>3537</v>
      </c>
      <c r="BWU1" t="s">
        <v>3538</v>
      </c>
      <c r="BWV1" t="s">
        <v>3539</v>
      </c>
      <c r="BWW1" t="s">
        <v>3540</v>
      </c>
      <c r="BWX1" t="s">
        <v>3541</v>
      </c>
      <c r="BWY1" t="s">
        <v>3542</v>
      </c>
      <c r="BWZ1" t="s">
        <v>3543</v>
      </c>
      <c r="BXA1" t="s">
        <v>3544</v>
      </c>
      <c r="BXB1" t="s">
        <v>3545</v>
      </c>
      <c r="BXC1" t="s">
        <v>3546</v>
      </c>
      <c r="BXD1" t="s">
        <v>3547</v>
      </c>
      <c r="BXE1" t="s">
        <v>3548</v>
      </c>
      <c r="BXF1" t="s">
        <v>3549</v>
      </c>
      <c r="BXG1" t="s">
        <v>3550</v>
      </c>
      <c r="BXH1" t="s">
        <v>3551</v>
      </c>
      <c r="BXI1" t="s">
        <v>3552</v>
      </c>
      <c r="BXJ1" t="s">
        <v>3553</v>
      </c>
      <c r="BXK1" t="s">
        <v>3554</v>
      </c>
      <c r="BXL1" t="s">
        <v>3555</v>
      </c>
      <c r="BXM1" t="s">
        <v>3556</v>
      </c>
      <c r="BXN1" t="s">
        <v>3557</v>
      </c>
      <c r="BXO1" t="s">
        <v>3558</v>
      </c>
      <c r="BXP1" t="s">
        <v>3559</v>
      </c>
      <c r="BXQ1" t="s">
        <v>3560</v>
      </c>
      <c r="BXR1" t="s">
        <v>3561</v>
      </c>
      <c r="BXS1" t="s">
        <v>3562</v>
      </c>
      <c r="BXT1" t="s">
        <v>3563</v>
      </c>
      <c r="BXU1" t="s">
        <v>3564</v>
      </c>
      <c r="BXV1" t="s">
        <v>3565</v>
      </c>
      <c r="BXW1" t="s">
        <v>3566</v>
      </c>
      <c r="BXX1" t="s">
        <v>3567</v>
      </c>
      <c r="BXY1" t="s">
        <v>3568</v>
      </c>
      <c r="BXZ1" t="s">
        <v>3569</v>
      </c>
      <c r="BYA1" t="s">
        <v>3570</v>
      </c>
      <c r="BYB1" t="s">
        <v>3571</v>
      </c>
      <c r="BYC1" t="s">
        <v>3572</v>
      </c>
      <c r="BYD1" t="s">
        <v>3573</v>
      </c>
      <c r="BYE1" t="s">
        <v>3574</v>
      </c>
      <c r="BYF1" t="s">
        <v>3575</v>
      </c>
      <c r="BYG1" t="s">
        <v>3576</v>
      </c>
      <c r="BYH1" t="s">
        <v>3577</v>
      </c>
      <c r="BYI1" t="s">
        <v>3578</v>
      </c>
      <c r="BYJ1" t="s">
        <v>3579</v>
      </c>
      <c r="BYK1" t="s">
        <v>3580</v>
      </c>
      <c r="BYL1" t="s">
        <v>3581</v>
      </c>
      <c r="BYM1" t="s">
        <v>3582</v>
      </c>
      <c r="BYN1" t="s">
        <v>3583</v>
      </c>
      <c r="BYO1" t="s">
        <v>3584</v>
      </c>
      <c r="BYP1" t="s">
        <v>3585</v>
      </c>
      <c r="BYQ1" t="s">
        <v>3586</v>
      </c>
      <c r="BYR1" t="s">
        <v>3587</v>
      </c>
      <c r="BYS1" t="s">
        <v>3588</v>
      </c>
      <c r="BYT1" t="s">
        <v>3589</v>
      </c>
      <c r="BYU1" t="s">
        <v>3590</v>
      </c>
      <c r="BYV1" t="s">
        <v>3591</v>
      </c>
      <c r="BYW1" t="s">
        <v>3592</v>
      </c>
      <c r="BYX1" t="s">
        <v>3593</v>
      </c>
      <c r="BYY1" t="s">
        <v>3594</v>
      </c>
      <c r="BYZ1" t="s">
        <v>3595</v>
      </c>
      <c r="BZA1" t="s">
        <v>3596</v>
      </c>
      <c r="BZB1" t="s">
        <v>3597</v>
      </c>
      <c r="BZC1" t="s">
        <v>3598</v>
      </c>
      <c r="BZD1" t="s">
        <v>3599</v>
      </c>
      <c r="BZE1" t="s">
        <v>3600</v>
      </c>
      <c r="BZF1" t="s">
        <v>3601</v>
      </c>
      <c r="BZG1" t="s">
        <v>3602</v>
      </c>
      <c r="BZH1" t="s">
        <v>3603</v>
      </c>
      <c r="BZI1" t="s">
        <v>3604</v>
      </c>
      <c r="BZJ1" t="s">
        <v>3605</v>
      </c>
      <c r="BZK1" t="s">
        <v>3606</v>
      </c>
      <c r="BZL1" t="s">
        <v>3607</v>
      </c>
      <c r="BZM1" t="s">
        <v>3608</v>
      </c>
      <c r="BZN1" t="s">
        <v>3609</v>
      </c>
      <c r="BZO1" t="s">
        <v>3610</v>
      </c>
      <c r="BZP1" t="s">
        <v>3611</v>
      </c>
      <c r="BZQ1" t="s">
        <v>3612</v>
      </c>
      <c r="BZR1" t="s">
        <v>3613</v>
      </c>
      <c r="BZS1" t="s">
        <v>3614</v>
      </c>
      <c r="BZT1" t="s">
        <v>3615</v>
      </c>
      <c r="BZU1" t="s">
        <v>3616</v>
      </c>
      <c r="BZV1" t="s">
        <v>3617</v>
      </c>
      <c r="BZW1" t="s">
        <v>3618</v>
      </c>
      <c r="BZX1" t="s">
        <v>3619</v>
      </c>
      <c r="BZY1" t="s">
        <v>3620</v>
      </c>
      <c r="BZZ1" t="s">
        <v>3621</v>
      </c>
      <c r="CAA1" t="s">
        <v>3622</v>
      </c>
      <c r="CAB1" t="s">
        <v>3623</v>
      </c>
      <c r="CAC1" t="s">
        <v>3624</v>
      </c>
      <c r="CAD1" t="s">
        <v>3625</v>
      </c>
      <c r="CAE1" t="s">
        <v>3626</v>
      </c>
      <c r="CAF1" t="s">
        <v>3627</v>
      </c>
      <c r="CAG1" t="s">
        <v>3628</v>
      </c>
      <c r="CAH1" t="s">
        <v>3629</v>
      </c>
      <c r="CAI1" t="s">
        <v>3630</v>
      </c>
      <c r="CAJ1" t="s">
        <v>3631</v>
      </c>
      <c r="CAK1" t="s">
        <v>3632</v>
      </c>
      <c r="CAL1" t="s">
        <v>3633</v>
      </c>
      <c r="CAM1" t="s">
        <v>3634</v>
      </c>
      <c r="CAN1" t="s">
        <v>3635</v>
      </c>
      <c r="CAO1" t="s">
        <v>3636</v>
      </c>
      <c r="CAP1" t="s">
        <v>3637</v>
      </c>
      <c r="CAQ1" t="s">
        <v>3638</v>
      </c>
      <c r="CAR1" t="s">
        <v>3639</v>
      </c>
      <c r="CAS1" t="s">
        <v>3640</v>
      </c>
      <c r="CAT1" t="s">
        <v>3641</v>
      </c>
      <c r="CAU1" t="s">
        <v>3642</v>
      </c>
      <c r="CAV1" t="s">
        <v>3643</v>
      </c>
      <c r="CAW1" t="s">
        <v>3644</v>
      </c>
      <c r="CAX1" t="s">
        <v>3645</v>
      </c>
      <c r="CAY1" t="s">
        <v>3646</v>
      </c>
      <c r="CAZ1" t="s">
        <v>3647</v>
      </c>
      <c r="CBA1" t="s">
        <v>3648</v>
      </c>
      <c r="CBB1" t="s">
        <v>3649</v>
      </c>
      <c r="CBC1" t="s">
        <v>3650</v>
      </c>
      <c r="CBD1" t="s">
        <v>3651</v>
      </c>
      <c r="CBE1" t="s">
        <v>3652</v>
      </c>
      <c r="CBF1" t="s">
        <v>3653</v>
      </c>
      <c r="CBG1" t="s">
        <v>3654</v>
      </c>
      <c r="CBH1" t="s">
        <v>3655</v>
      </c>
      <c r="CBI1" t="s">
        <v>3656</v>
      </c>
      <c r="CBJ1" t="s">
        <v>3657</v>
      </c>
      <c r="CBK1" t="s">
        <v>3658</v>
      </c>
      <c r="CBL1" t="s">
        <v>3659</v>
      </c>
      <c r="CBM1" t="s">
        <v>3660</v>
      </c>
      <c r="CBN1" t="s">
        <v>3661</v>
      </c>
      <c r="CBO1" t="s">
        <v>3662</v>
      </c>
      <c r="CBP1" t="s">
        <v>3663</v>
      </c>
      <c r="CBQ1" t="s">
        <v>3664</v>
      </c>
      <c r="CBR1" t="s">
        <v>3665</v>
      </c>
      <c r="CBS1" t="s">
        <v>3666</v>
      </c>
      <c r="CBT1" t="s">
        <v>3667</v>
      </c>
      <c r="CBU1" t="s">
        <v>3668</v>
      </c>
      <c r="CBV1" t="s">
        <v>3669</v>
      </c>
      <c r="CBW1" t="s">
        <v>3670</v>
      </c>
      <c r="CBX1" t="s">
        <v>3671</v>
      </c>
      <c r="CBY1" t="s">
        <v>3672</v>
      </c>
      <c r="CBZ1" t="s">
        <v>3673</v>
      </c>
      <c r="CCA1" t="s">
        <v>3674</v>
      </c>
      <c r="CCB1" t="s">
        <v>3675</v>
      </c>
      <c r="CCC1" t="s">
        <v>3676</v>
      </c>
      <c r="CCD1" t="s">
        <v>3677</v>
      </c>
      <c r="CCE1" t="s">
        <v>3678</v>
      </c>
      <c r="CCF1" t="s">
        <v>3679</v>
      </c>
      <c r="CCG1" t="s">
        <v>3680</v>
      </c>
      <c r="CCH1" t="s">
        <v>3681</v>
      </c>
      <c r="CCI1" t="s">
        <v>3682</v>
      </c>
      <c r="CCJ1" t="s">
        <v>3683</v>
      </c>
      <c r="CCK1" t="s">
        <v>3684</v>
      </c>
      <c r="CCL1" t="s">
        <v>3685</v>
      </c>
      <c r="CCM1" t="s">
        <v>3686</v>
      </c>
      <c r="CCN1" t="s">
        <v>3687</v>
      </c>
      <c r="CCO1" t="s">
        <v>3688</v>
      </c>
      <c r="CCP1" t="s">
        <v>3689</v>
      </c>
      <c r="CCQ1" t="s">
        <v>3690</v>
      </c>
      <c r="CCR1" t="s">
        <v>3691</v>
      </c>
      <c r="CCS1" t="s">
        <v>3692</v>
      </c>
      <c r="CCT1" t="s">
        <v>3693</v>
      </c>
      <c r="CCU1" t="s">
        <v>3694</v>
      </c>
      <c r="CCV1" t="s">
        <v>3695</v>
      </c>
      <c r="CCW1" t="s">
        <v>3696</v>
      </c>
      <c r="CCX1" t="s">
        <v>3697</v>
      </c>
      <c r="CCY1" t="s">
        <v>3698</v>
      </c>
      <c r="CCZ1" t="s">
        <v>3699</v>
      </c>
      <c r="CDA1" t="s">
        <v>3700</v>
      </c>
      <c r="CDB1" t="s">
        <v>3701</v>
      </c>
      <c r="CDC1" t="s">
        <v>3702</v>
      </c>
      <c r="CDD1" t="s">
        <v>3703</v>
      </c>
      <c r="CDE1" t="s">
        <v>3704</v>
      </c>
      <c r="CDF1" t="s">
        <v>3705</v>
      </c>
      <c r="CDG1" t="s">
        <v>3706</v>
      </c>
      <c r="CDH1" t="s">
        <v>3707</v>
      </c>
      <c r="CDI1" t="s">
        <v>3708</v>
      </c>
      <c r="CDJ1" t="s">
        <v>3709</v>
      </c>
      <c r="CDK1" t="s">
        <v>3710</v>
      </c>
      <c r="CDL1" t="s">
        <v>3711</v>
      </c>
      <c r="CDM1" t="s">
        <v>3712</v>
      </c>
      <c r="CDN1" t="s">
        <v>3713</v>
      </c>
      <c r="CDO1" t="s">
        <v>3714</v>
      </c>
      <c r="CDP1" t="s">
        <v>3715</v>
      </c>
      <c r="CDQ1" t="s">
        <v>3716</v>
      </c>
      <c r="CDR1" t="s">
        <v>3717</v>
      </c>
      <c r="CDS1" t="s">
        <v>3718</v>
      </c>
      <c r="CDT1" t="s">
        <v>3719</v>
      </c>
      <c r="CDU1" t="s">
        <v>3720</v>
      </c>
      <c r="CDV1" t="s">
        <v>3721</v>
      </c>
      <c r="CDW1" t="s">
        <v>3722</v>
      </c>
      <c r="CDX1" t="s">
        <v>3723</v>
      </c>
      <c r="CDY1" t="s">
        <v>3724</v>
      </c>
      <c r="CDZ1" t="s">
        <v>3725</v>
      </c>
      <c r="CEA1" t="s">
        <v>3726</v>
      </c>
      <c r="CEB1" t="s">
        <v>3727</v>
      </c>
      <c r="CEC1" t="s">
        <v>3728</v>
      </c>
      <c r="CED1" t="s">
        <v>3729</v>
      </c>
      <c r="CEE1" t="s">
        <v>3730</v>
      </c>
      <c r="CEF1" t="s">
        <v>3731</v>
      </c>
      <c r="CEG1" t="s">
        <v>3732</v>
      </c>
      <c r="CEH1" t="s">
        <v>3733</v>
      </c>
      <c r="CEI1" t="s">
        <v>3734</v>
      </c>
      <c r="CEJ1" t="s">
        <v>3735</v>
      </c>
      <c r="CEK1" t="s">
        <v>3736</v>
      </c>
      <c r="CEL1" t="s">
        <v>3737</v>
      </c>
      <c r="CEM1" t="s">
        <v>3738</v>
      </c>
      <c r="CEN1" t="s">
        <v>3739</v>
      </c>
      <c r="CEO1" t="s">
        <v>3740</v>
      </c>
      <c r="CEP1" t="s">
        <v>3741</v>
      </c>
      <c r="CEQ1" t="s">
        <v>3742</v>
      </c>
      <c r="CER1" t="s">
        <v>3743</v>
      </c>
      <c r="CES1" t="s">
        <v>3744</v>
      </c>
      <c r="CET1" t="s">
        <v>3745</v>
      </c>
      <c r="CEU1" t="s">
        <v>3746</v>
      </c>
      <c r="CEV1" t="s">
        <v>3747</v>
      </c>
      <c r="CEW1" t="s">
        <v>3748</v>
      </c>
      <c r="CEX1" t="s">
        <v>3749</v>
      </c>
      <c r="CEY1" t="s">
        <v>3750</v>
      </c>
      <c r="CEZ1" t="s">
        <v>3751</v>
      </c>
      <c r="CFA1" t="s">
        <v>3752</v>
      </c>
      <c r="CFB1" t="s">
        <v>3753</v>
      </c>
      <c r="CFC1" t="s">
        <v>3754</v>
      </c>
      <c r="CFD1" t="s">
        <v>3755</v>
      </c>
      <c r="CFE1" t="s">
        <v>3756</v>
      </c>
      <c r="CFF1" t="s">
        <v>3757</v>
      </c>
      <c r="CFG1" t="s">
        <v>3758</v>
      </c>
      <c r="CFH1" t="s">
        <v>3759</v>
      </c>
      <c r="CFI1" t="s">
        <v>3760</v>
      </c>
      <c r="CFJ1" t="s">
        <v>3761</v>
      </c>
      <c r="CFK1" t="s">
        <v>3762</v>
      </c>
      <c r="CFL1" t="s">
        <v>3763</v>
      </c>
      <c r="CFM1" t="s">
        <v>3764</v>
      </c>
      <c r="CFN1" t="s">
        <v>3765</v>
      </c>
      <c r="CFO1" t="s">
        <v>3766</v>
      </c>
      <c r="CFP1" t="s">
        <v>3767</v>
      </c>
      <c r="CFQ1" t="s">
        <v>3768</v>
      </c>
      <c r="CFR1" t="s">
        <v>3769</v>
      </c>
      <c r="CFS1" t="s">
        <v>3770</v>
      </c>
      <c r="CFT1" t="s">
        <v>3771</v>
      </c>
      <c r="CFU1" t="s">
        <v>3772</v>
      </c>
      <c r="CFV1" t="s">
        <v>3773</v>
      </c>
      <c r="CFW1" t="s">
        <v>3774</v>
      </c>
      <c r="CFX1" t="s">
        <v>3775</v>
      </c>
      <c r="CFY1" t="s">
        <v>3776</v>
      </c>
      <c r="CFZ1" t="s">
        <v>3777</v>
      </c>
      <c r="CGA1" t="s">
        <v>3778</v>
      </c>
      <c r="CGB1" t="s">
        <v>3779</v>
      </c>
      <c r="CGC1" t="s">
        <v>3780</v>
      </c>
      <c r="CGD1" t="s">
        <v>3781</v>
      </c>
      <c r="CGE1" t="s">
        <v>3782</v>
      </c>
      <c r="CGF1" t="s">
        <v>3783</v>
      </c>
      <c r="CGG1" t="s">
        <v>3784</v>
      </c>
      <c r="CGH1" t="s">
        <v>3785</v>
      </c>
      <c r="CGI1" t="s">
        <v>3786</v>
      </c>
      <c r="CGJ1" t="s">
        <v>3787</v>
      </c>
      <c r="CGK1" t="s">
        <v>3788</v>
      </c>
      <c r="CGL1" t="s">
        <v>3789</v>
      </c>
      <c r="CGM1" t="s">
        <v>3790</v>
      </c>
      <c r="CGN1" t="s">
        <v>3791</v>
      </c>
      <c r="CGO1" t="s">
        <v>3792</v>
      </c>
      <c r="CGP1" t="s">
        <v>3793</v>
      </c>
      <c r="CGQ1" t="s">
        <v>3794</v>
      </c>
      <c r="CGR1" t="s">
        <v>3795</v>
      </c>
      <c r="CGS1" t="s">
        <v>3796</v>
      </c>
      <c r="CGT1" t="s">
        <v>3797</v>
      </c>
      <c r="CGU1" t="s">
        <v>3798</v>
      </c>
      <c r="CGV1" t="s">
        <v>3799</v>
      </c>
      <c r="CGW1" t="s">
        <v>3800</v>
      </c>
      <c r="CGX1" t="s">
        <v>3801</v>
      </c>
      <c r="CGY1" t="s">
        <v>3802</v>
      </c>
      <c r="CGZ1" t="s">
        <v>3803</v>
      </c>
      <c r="CHA1" t="s">
        <v>3804</v>
      </c>
      <c r="CHB1" t="s">
        <v>3805</v>
      </c>
      <c r="CHC1" t="s">
        <v>3806</v>
      </c>
      <c r="CHD1" t="s">
        <v>3807</v>
      </c>
      <c r="CHE1" t="s">
        <v>3808</v>
      </c>
      <c r="CHF1" t="s">
        <v>3809</v>
      </c>
      <c r="CHG1" t="s">
        <v>3810</v>
      </c>
      <c r="CHH1" t="s">
        <v>3811</v>
      </c>
      <c r="CHI1" t="s">
        <v>3812</v>
      </c>
      <c r="CHJ1" t="s">
        <v>3813</v>
      </c>
      <c r="CHK1" t="s">
        <v>3814</v>
      </c>
      <c r="CHL1" t="s">
        <v>3815</v>
      </c>
      <c r="CHM1" t="s">
        <v>3816</v>
      </c>
      <c r="CHN1" t="s">
        <v>3817</v>
      </c>
      <c r="CHO1" t="s">
        <v>3818</v>
      </c>
      <c r="CHP1" t="s">
        <v>3819</v>
      </c>
      <c r="CHQ1" t="s">
        <v>3820</v>
      </c>
      <c r="CHR1" t="s">
        <v>3821</v>
      </c>
      <c r="CHS1" t="s">
        <v>3822</v>
      </c>
      <c r="CHT1" t="s">
        <v>3823</v>
      </c>
      <c r="CHU1" t="s">
        <v>3824</v>
      </c>
      <c r="CHV1" t="s">
        <v>3825</v>
      </c>
      <c r="CHW1" t="s">
        <v>3826</v>
      </c>
      <c r="CHX1" t="s">
        <v>3827</v>
      </c>
      <c r="CHY1" t="s">
        <v>3828</v>
      </c>
      <c r="CHZ1" t="s">
        <v>3829</v>
      </c>
      <c r="CIA1" t="s">
        <v>3830</v>
      </c>
      <c r="CIB1" t="s">
        <v>3831</v>
      </c>
      <c r="CIC1" t="s">
        <v>3832</v>
      </c>
      <c r="CID1" t="s">
        <v>3833</v>
      </c>
      <c r="CIE1" t="s">
        <v>3834</v>
      </c>
      <c r="CIF1" t="s">
        <v>3835</v>
      </c>
      <c r="CIG1" t="s">
        <v>3836</v>
      </c>
      <c r="CIH1" t="s">
        <v>3837</v>
      </c>
      <c r="CII1" t="s">
        <v>3838</v>
      </c>
      <c r="CIJ1" t="s">
        <v>3839</v>
      </c>
      <c r="CIK1" t="s">
        <v>3840</v>
      </c>
      <c r="CIL1" t="s">
        <v>3841</v>
      </c>
      <c r="CIM1" t="s">
        <v>3842</v>
      </c>
      <c r="CIN1" t="s">
        <v>3843</v>
      </c>
      <c r="CIO1" t="s">
        <v>3844</v>
      </c>
      <c r="CIP1" t="s">
        <v>3845</v>
      </c>
      <c r="CIQ1" t="s">
        <v>3846</v>
      </c>
      <c r="CIR1" t="s">
        <v>3847</v>
      </c>
      <c r="CIS1" t="s">
        <v>3848</v>
      </c>
      <c r="CIT1" t="s">
        <v>3849</v>
      </c>
      <c r="CIU1" t="s">
        <v>3850</v>
      </c>
      <c r="CIV1" t="s">
        <v>3851</v>
      </c>
      <c r="CIW1" t="s">
        <v>3852</v>
      </c>
      <c r="CIX1" t="s">
        <v>3853</v>
      </c>
      <c r="CIY1" t="s">
        <v>3854</v>
      </c>
      <c r="CIZ1" t="s">
        <v>3855</v>
      </c>
      <c r="CJA1" t="s">
        <v>3856</v>
      </c>
      <c r="CJB1" t="s">
        <v>3857</v>
      </c>
      <c r="CJC1" t="s">
        <v>3858</v>
      </c>
      <c r="CJD1" t="s">
        <v>3859</v>
      </c>
      <c r="CJE1" t="s">
        <v>3860</v>
      </c>
      <c r="CJF1" t="s">
        <v>3861</v>
      </c>
      <c r="CJG1" t="s">
        <v>3862</v>
      </c>
      <c r="CJH1" t="s">
        <v>3863</v>
      </c>
      <c r="CJI1" t="s">
        <v>3864</v>
      </c>
      <c r="CJJ1" t="s">
        <v>3865</v>
      </c>
      <c r="CJK1" t="s">
        <v>3866</v>
      </c>
      <c r="CJL1" t="s">
        <v>3867</v>
      </c>
      <c r="CJM1" t="s">
        <v>3868</v>
      </c>
      <c r="CJN1" t="s">
        <v>3869</v>
      </c>
      <c r="CJO1" t="s">
        <v>3870</v>
      </c>
      <c r="CJP1" t="s">
        <v>3871</v>
      </c>
      <c r="CJQ1" t="s">
        <v>3872</v>
      </c>
      <c r="CJR1" t="s">
        <v>3873</v>
      </c>
      <c r="CJS1" t="s">
        <v>3874</v>
      </c>
      <c r="CJT1" t="s">
        <v>3875</v>
      </c>
      <c r="CJU1" t="s">
        <v>3876</v>
      </c>
      <c r="CJV1" t="s">
        <v>3877</v>
      </c>
      <c r="CJW1" t="s">
        <v>3878</v>
      </c>
      <c r="CJX1" t="s">
        <v>3879</v>
      </c>
      <c r="CJY1" t="s">
        <v>3880</v>
      </c>
      <c r="CJZ1" t="s">
        <v>3881</v>
      </c>
      <c r="CKA1" t="s">
        <v>3882</v>
      </c>
      <c r="CKB1" t="s">
        <v>3883</v>
      </c>
      <c r="CKC1" t="s">
        <v>3884</v>
      </c>
      <c r="CKD1" t="s">
        <v>3885</v>
      </c>
      <c r="CKE1" t="s">
        <v>3886</v>
      </c>
      <c r="CKF1" t="s">
        <v>3887</v>
      </c>
      <c r="CKG1" t="s">
        <v>3888</v>
      </c>
      <c r="CKH1" t="s">
        <v>3889</v>
      </c>
      <c r="CKI1" t="s">
        <v>3890</v>
      </c>
      <c r="CKJ1" t="s">
        <v>3891</v>
      </c>
      <c r="CKK1" t="s">
        <v>3892</v>
      </c>
      <c r="CKL1" t="s">
        <v>3893</v>
      </c>
      <c r="CKM1" t="s">
        <v>3894</v>
      </c>
      <c r="CKN1" t="s">
        <v>3895</v>
      </c>
      <c r="CKO1" t="s">
        <v>3896</v>
      </c>
      <c r="CKP1" t="s">
        <v>3897</v>
      </c>
      <c r="CKQ1" t="s">
        <v>3898</v>
      </c>
      <c r="CKR1" t="s">
        <v>3899</v>
      </c>
      <c r="CKS1" t="s">
        <v>3900</v>
      </c>
      <c r="CKT1" t="s">
        <v>3901</v>
      </c>
      <c r="CKU1" t="s">
        <v>3902</v>
      </c>
      <c r="CKV1" t="s">
        <v>3903</v>
      </c>
      <c r="CKW1" t="s">
        <v>3904</v>
      </c>
      <c r="CKX1" t="s">
        <v>3905</v>
      </c>
      <c r="CKY1" t="s">
        <v>3906</v>
      </c>
      <c r="CKZ1" t="s">
        <v>3907</v>
      </c>
      <c r="CLA1" t="s">
        <v>3908</v>
      </c>
      <c r="CLB1" t="s">
        <v>3909</v>
      </c>
      <c r="CLC1" t="s">
        <v>3910</v>
      </c>
      <c r="CLD1" t="s">
        <v>3911</v>
      </c>
      <c r="CLE1" t="s">
        <v>3912</v>
      </c>
      <c r="CLF1" t="s">
        <v>3913</v>
      </c>
      <c r="CLG1" t="s">
        <v>3914</v>
      </c>
      <c r="CLH1" t="s">
        <v>3915</v>
      </c>
      <c r="CLI1" t="s">
        <v>3916</v>
      </c>
      <c r="CLJ1" t="s">
        <v>3917</v>
      </c>
      <c r="CLK1" t="s">
        <v>3918</v>
      </c>
      <c r="CLL1" t="s">
        <v>3919</v>
      </c>
      <c r="CLM1" t="s">
        <v>3920</v>
      </c>
      <c r="CLN1" t="s">
        <v>3921</v>
      </c>
      <c r="CLO1" t="s">
        <v>3922</v>
      </c>
      <c r="CLP1" t="s">
        <v>3923</v>
      </c>
      <c r="CLQ1" t="s">
        <v>3924</v>
      </c>
      <c r="CLR1" t="s">
        <v>3925</v>
      </c>
      <c r="CLS1" t="s">
        <v>3926</v>
      </c>
      <c r="CLT1" t="s">
        <v>3927</v>
      </c>
      <c r="CLU1" t="s">
        <v>3928</v>
      </c>
      <c r="CLV1" t="s">
        <v>3929</v>
      </c>
      <c r="CLW1" t="s">
        <v>3930</v>
      </c>
      <c r="CLX1" t="s">
        <v>3931</v>
      </c>
      <c r="CLY1" t="s">
        <v>3932</v>
      </c>
      <c r="CLZ1" t="s">
        <v>3933</v>
      </c>
      <c r="CMA1" t="s">
        <v>3934</v>
      </c>
      <c r="CMB1" t="s">
        <v>3935</v>
      </c>
      <c r="CMC1" t="s">
        <v>3936</v>
      </c>
      <c r="CMD1" t="s">
        <v>3937</v>
      </c>
      <c r="CME1" t="s">
        <v>3938</v>
      </c>
      <c r="CMF1" t="s">
        <v>3939</v>
      </c>
      <c r="CMG1" t="s">
        <v>3940</v>
      </c>
      <c r="CMH1" t="s">
        <v>3941</v>
      </c>
      <c r="CMI1" t="s">
        <v>3942</v>
      </c>
      <c r="CMJ1" t="s">
        <v>3943</v>
      </c>
      <c r="CMK1" t="s">
        <v>3944</v>
      </c>
      <c r="CML1" t="s">
        <v>3945</v>
      </c>
      <c r="CMM1" t="s">
        <v>3946</v>
      </c>
      <c r="CMN1" t="s">
        <v>3947</v>
      </c>
      <c r="CMO1" t="s">
        <v>3948</v>
      </c>
      <c r="CMP1" t="s">
        <v>3949</v>
      </c>
      <c r="CMQ1" t="s">
        <v>3950</v>
      </c>
      <c r="CMR1" t="s">
        <v>3951</v>
      </c>
      <c r="CMS1" t="s">
        <v>3952</v>
      </c>
      <c r="CMT1" t="s">
        <v>3953</v>
      </c>
      <c r="CMU1" t="s">
        <v>3954</v>
      </c>
      <c r="CMV1" t="s">
        <v>3955</v>
      </c>
      <c r="CMW1" t="s">
        <v>3956</v>
      </c>
      <c r="CMX1" t="s">
        <v>3957</v>
      </c>
      <c r="CMY1" t="s">
        <v>3958</v>
      </c>
      <c r="CMZ1" t="s">
        <v>3959</v>
      </c>
      <c r="CNA1" t="s">
        <v>3960</v>
      </c>
      <c r="CNB1" t="s">
        <v>3961</v>
      </c>
      <c r="CNC1" t="s">
        <v>3962</v>
      </c>
      <c r="CND1" t="s">
        <v>3963</v>
      </c>
      <c r="CNE1" t="s">
        <v>3964</v>
      </c>
      <c r="CNF1" t="s">
        <v>3965</v>
      </c>
      <c r="CNG1" t="s">
        <v>3966</v>
      </c>
      <c r="CNH1" t="s">
        <v>3967</v>
      </c>
      <c r="CNI1" t="s">
        <v>3968</v>
      </c>
      <c r="CNJ1" t="s">
        <v>3969</v>
      </c>
      <c r="CNK1" t="s">
        <v>3970</v>
      </c>
      <c r="CNL1" t="s">
        <v>3971</v>
      </c>
      <c r="CNM1" t="s">
        <v>3972</v>
      </c>
      <c r="CNN1" t="s">
        <v>3973</v>
      </c>
      <c r="CNO1" t="s">
        <v>3974</v>
      </c>
      <c r="CNP1" t="s">
        <v>3975</v>
      </c>
      <c r="CNQ1" t="s">
        <v>3976</v>
      </c>
      <c r="CNR1" t="s">
        <v>3977</v>
      </c>
      <c r="CNS1" t="s">
        <v>3978</v>
      </c>
      <c r="CNT1" t="s">
        <v>3979</v>
      </c>
      <c r="CNU1" t="s">
        <v>3980</v>
      </c>
      <c r="CNV1" t="s">
        <v>3981</v>
      </c>
      <c r="CNW1" t="s">
        <v>3982</v>
      </c>
      <c r="CNX1" t="s">
        <v>3983</v>
      </c>
      <c r="CNY1" t="s">
        <v>3984</v>
      </c>
      <c r="CNZ1" t="s">
        <v>3985</v>
      </c>
      <c r="COA1" t="s">
        <v>3986</v>
      </c>
      <c r="COB1" t="s">
        <v>3987</v>
      </c>
      <c r="COC1" t="s">
        <v>3988</v>
      </c>
      <c r="COD1" t="s">
        <v>3989</v>
      </c>
      <c r="COE1" t="s">
        <v>3990</v>
      </c>
      <c r="COF1" t="s">
        <v>3991</v>
      </c>
      <c r="COG1" t="s">
        <v>3992</v>
      </c>
      <c r="COH1" t="s">
        <v>3993</v>
      </c>
      <c r="COI1" t="s">
        <v>3994</v>
      </c>
      <c r="COJ1" t="s">
        <v>3995</v>
      </c>
      <c r="COK1" t="s">
        <v>3996</v>
      </c>
      <c r="COL1" t="s">
        <v>3997</v>
      </c>
      <c r="COM1" t="s">
        <v>3998</v>
      </c>
      <c r="CON1" t="s">
        <v>3999</v>
      </c>
      <c r="COO1" t="s">
        <v>4000</v>
      </c>
      <c r="COP1" t="s">
        <v>4001</v>
      </c>
      <c r="COQ1" t="s">
        <v>4002</v>
      </c>
      <c r="COR1" t="s">
        <v>4003</v>
      </c>
      <c r="COS1" t="s">
        <v>4004</v>
      </c>
      <c r="COT1" t="s">
        <v>4005</v>
      </c>
      <c r="COU1" t="s">
        <v>4006</v>
      </c>
      <c r="COV1" t="s">
        <v>4007</v>
      </c>
      <c r="COW1" t="s">
        <v>4008</v>
      </c>
      <c r="COX1" t="s">
        <v>4009</v>
      </c>
      <c r="COY1" t="s">
        <v>4010</v>
      </c>
      <c r="COZ1" t="s">
        <v>4011</v>
      </c>
      <c r="CPA1" t="s">
        <v>4012</v>
      </c>
      <c r="CPB1" t="s">
        <v>4013</v>
      </c>
      <c r="CPC1" t="s">
        <v>4014</v>
      </c>
      <c r="CPD1" t="s">
        <v>4015</v>
      </c>
      <c r="CPE1" t="s">
        <v>4016</v>
      </c>
      <c r="CPF1" t="s">
        <v>4017</v>
      </c>
      <c r="CPG1" t="s">
        <v>4018</v>
      </c>
      <c r="CPH1" t="s">
        <v>4019</v>
      </c>
      <c r="CPI1" t="s">
        <v>4020</v>
      </c>
      <c r="CPJ1" t="s">
        <v>4021</v>
      </c>
      <c r="CPK1" t="s">
        <v>4022</v>
      </c>
      <c r="CPL1" t="s">
        <v>4023</v>
      </c>
      <c r="CPM1" t="s">
        <v>4024</v>
      </c>
      <c r="CPN1" t="s">
        <v>4025</v>
      </c>
      <c r="CPO1" t="s">
        <v>4026</v>
      </c>
      <c r="CPP1" t="s">
        <v>4027</v>
      </c>
      <c r="CPQ1" t="s">
        <v>4028</v>
      </c>
      <c r="CPR1" t="s">
        <v>4029</v>
      </c>
      <c r="CPS1" t="s">
        <v>4030</v>
      </c>
      <c r="CPT1" t="s">
        <v>4031</v>
      </c>
      <c r="CPU1" t="s">
        <v>4032</v>
      </c>
      <c r="CPV1" t="s">
        <v>4033</v>
      </c>
      <c r="CPW1" t="s">
        <v>4034</v>
      </c>
      <c r="CPX1" t="s">
        <v>4035</v>
      </c>
      <c r="CPY1" t="s">
        <v>4036</v>
      </c>
      <c r="CPZ1" t="s">
        <v>4037</v>
      </c>
      <c r="CQA1" t="s">
        <v>4038</v>
      </c>
      <c r="CQB1" t="s">
        <v>4039</v>
      </c>
      <c r="CQC1" t="s">
        <v>4040</v>
      </c>
      <c r="CQD1" t="s">
        <v>4041</v>
      </c>
      <c r="CQE1" t="s">
        <v>4042</v>
      </c>
      <c r="CQF1" t="s">
        <v>4043</v>
      </c>
      <c r="CQG1" t="s">
        <v>4044</v>
      </c>
      <c r="CQH1" t="s">
        <v>4045</v>
      </c>
      <c r="CQI1" t="s">
        <v>4046</v>
      </c>
      <c r="CQJ1" t="s">
        <v>4047</v>
      </c>
      <c r="CQK1" t="s">
        <v>4048</v>
      </c>
      <c r="CQL1" t="s">
        <v>4049</v>
      </c>
      <c r="CQM1" t="s">
        <v>4050</v>
      </c>
      <c r="CQN1" t="s">
        <v>4051</v>
      </c>
      <c r="CQO1" t="s">
        <v>4052</v>
      </c>
      <c r="CQP1" t="s">
        <v>4053</v>
      </c>
      <c r="CQQ1" t="s">
        <v>4054</v>
      </c>
      <c r="CQR1" t="s">
        <v>4055</v>
      </c>
      <c r="CQS1" t="s">
        <v>4056</v>
      </c>
      <c r="CQT1" t="s">
        <v>4057</v>
      </c>
      <c r="CQU1" t="s">
        <v>4058</v>
      </c>
      <c r="CQV1" t="s">
        <v>4059</v>
      </c>
      <c r="CQW1" t="s">
        <v>4060</v>
      </c>
      <c r="CQX1" t="s">
        <v>4061</v>
      </c>
      <c r="CQY1" t="s">
        <v>4062</v>
      </c>
      <c r="CQZ1" t="s">
        <v>4063</v>
      </c>
      <c r="CRA1" t="s">
        <v>4064</v>
      </c>
      <c r="CRB1" t="s">
        <v>4065</v>
      </c>
      <c r="CRC1" t="s">
        <v>4066</v>
      </c>
      <c r="CRD1" t="s">
        <v>4067</v>
      </c>
      <c r="CRE1" t="s">
        <v>4068</v>
      </c>
      <c r="CRF1" t="s">
        <v>4069</v>
      </c>
      <c r="CRG1" t="s">
        <v>4070</v>
      </c>
      <c r="CRH1" t="s">
        <v>4071</v>
      </c>
      <c r="CRI1" t="s">
        <v>4072</v>
      </c>
      <c r="CRJ1" t="s">
        <v>4073</v>
      </c>
      <c r="CRK1" t="s">
        <v>4074</v>
      </c>
      <c r="CRL1" t="s">
        <v>4075</v>
      </c>
      <c r="CRM1" t="s">
        <v>4076</v>
      </c>
      <c r="CRN1" t="s">
        <v>4077</v>
      </c>
      <c r="CRO1" t="s">
        <v>4078</v>
      </c>
      <c r="CRP1" t="s">
        <v>4079</v>
      </c>
      <c r="CRQ1" t="s">
        <v>4080</v>
      </c>
      <c r="CRR1" t="s">
        <v>4081</v>
      </c>
      <c r="CRS1" t="s">
        <v>4082</v>
      </c>
      <c r="CRT1" t="s">
        <v>4083</v>
      </c>
      <c r="CRU1" t="s">
        <v>4084</v>
      </c>
      <c r="CRV1" t="s">
        <v>4085</v>
      </c>
      <c r="CRW1" t="s">
        <v>4086</v>
      </c>
      <c r="CRX1" t="s">
        <v>4087</v>
      </c>
      <c r="CRY1" t="s">
        <v>4088</v>
      </c>
      <c r="CRZ1" t="s">
        <v>4089</v>
      </c>
      <c r="CSA1" t="s">
        <v>4090</v>
      </c>
      <c r="CSB1" t="s">
        <v>4091</v>
      </c>
      <c r="CSC1" t="s">
        <v>4092</v>
      </c>
      <c r="CSD1" t="s">
        <v>4093</v>
      </c>
      <c r="CSE1" t="s">
        <v>4094</v>
      </c>
      <c r="CSF1" t="s">
        <v>4095</v>
      </c>
      <c r="CSG1" t="s">
        <v>4096</v>
      </c>
      <c r="CSH1" t="s">
        <v>4097</v>
      </c>
      <c r="CSI1" t="s">
        <v>4098</v>
      </c>
      <c r="CSJ1" t="s">
        <v>4099</v>
      </c>
      <c r="CSK1" t="s">
        <v>4100</v>
      </c>
      <c r="CSL1" t="s">
        <v>4101</v>
      </c>
      <c r="CSM1" t="s">
        <v>4102</v>
      </c>
      <c r="CSN1" t="s">
        <v>4103</v>
      </c>
      <c r="CSO1" t="s">
        <v>4104</v>
      </c>
      <c r="CSP1" t="s">
        <v>4105</v>
      </c>
      <c r="CSQ1" t="s">
        <v>4106</v>
      </c>
      <c r="CSR1" t="s">
        <v>4107</v>
      </c>
      <c r="CSS1" t="s">
        <v>4108</v>
      </c>
      <c r="CST1" t="s">
        <v>4109</v>
      </c>
      <c r="CSU1" t="s">
        <v>4110</v>
      </c>
      <c r="CSV1" t="s">
        <v>4111</v>
      </c>
      <c r="CSW1" t="s">
        <v>4112</v>
      </c>
      <c r="CSX1" t="s">
        <v>4113</v>
      </c>
      <c r="CSY1" t="s">
        <v>4114</v>
      </c>
      <c r="CSZ1" t="s">
        <v>4115</v>
      </c>
      <c r="CTA1" t="s">
        <v>4116</v>
      </c>
      <c r="CTB1" t="s">
        <v>4117</v>
      </c>
      <c r="CTC1" t="s">
        <v>4118</v>
      </c>
      <c r="CTD1" t="s">
        <v>4119</v>
      </c>
      <c r="CTE1" t="s">
        <v>4120</v>
      </c>
      <c r="CTF1" t="s">
        <v>4121</v>
      </c>
      <c r="CTG1" t="s">
        <v>4122</v>
      </c>
      <c r="CTH1" t="s">
        <v>4123</v>
      </c>
      <c r="CTI1" t="s">
        <v>4124</v>
      </c>
      <c r="CTJ1" t="s">
        <v>4125</v>
      </c>
      <c r="CTK1" t="s">
        <v>4126</v>
      </c>
      <c r="CTL1" t="s">
        <v>4127</v>
      </c>
      <c r="CTM1" t="s">
        <v>4128</v>
      </c>
      <c r="CTN1" t="s">
        <v>4129</v>
      </c>
      <c r="CTO1" t="s">
        <v>4130</v>
      </c>
      <c r="CTP1" t="s">
        <v>4131</v>
      </c>
      <c r="CTQ1" t="s">
        <v>4132</v>
      </c>
      <c r="CTR1" t="s">
        <v>4133</v>
      </c>
      <c r="CTS1" t="s">
        <v>4134</v>
      </c>
      <c r="CTT1" t="s">
        <v>4135</v>
      </c>
      <c r="CTU1" t="s">
        <v>4136</v>
      </c>
      <c r="CTV1" t="s">
        <v>4137</v>
      </c>
      <c r="CTW1" t="s">
        <v>4138</v>
      </c>
      <c r="CTX1" t="s">
        <v>4139</v>
      </c>
      <c r="CTY1" t="s">
        <v>4140</v>
      </c>
      <c r="CTZ1" t="s">
        <v>4141</v>
      </c>
      <c r="CUA1" t="s">
        <v>4142</v>
      </c>
      <c r="CUB1" t="s">
        <v>4143</v>
      </c>
      <c r="CUC1" t="s">
        <v>4144</v>
      </c>
      <c r="CUD1" t="s">
        <v>4145</v>
      </c>
      <c r="CUE1" t="s">
        <v>4146</v>
      </c>
      <c r="CUF1" t="s">
        <v>4147</v>
      </c>
      <c r="CUG1" t="s">
        <v>4148</v>
      </c>
      <c r="CUH1" t="s">
        <v>4149</v>
      </c>
      <c r="CUI1" t="s">
        <v>4150</v>
      </c>
      <c r="CUJ1" t="s">
        <v>4151</v>
      </c>
      <c r="CUK1" t="s">
        <v>4152</v>
      </c>
      <c r="CUL1" t="s">
        <v>4153</v>
      </c>
      <c r="CUM1" t="s">
        <v>4154</v>
      </c>
      <c r="CUN1" t="s">
        <v>4155</v>
      </c>
      <c r="CUO1" t="s">
        <v>4156</v>
      </c>
      <c r="CUP1" t="s">
        <v>4157</v>
      </c>
      <c r="CUQ1" t="s">
        <v>4158</v>
      </c>
      <c r="CUR1" t="s">
        <v>4159</v>
      </c>
      <c r="CUS1" t="s">
        <v>4160</v>
      </c>
      <c r="CUT1" t="s">
        <v>4161</v>
      </c>
      <c r="CUU1" t="s">
        <v>4162</v>
      </c>
      <c r="CUV1" t="s">
        <v>4163</v>
      </c>
      <c r="CUW1" t="s">
        <v>4164</v>
      </c>
      <c r="CUX1" t="s">
        <v>4165</v>
      </c>
      <c r="CUY1" t="s">
        <v>4166</v>
      </c>
      <c r="CUZ1" t="s">
        <v>4167</v>
      </c>
      <c r="CVA1" t="s">
        <v>4168</v>
      </c>
      <c r="CVB1" t="s">
        <v>4169</v>
      </c>
      <c r="CVC1" t="s">
        <v>4170</v>
      </c>
      <c r="CVD1" t="s">
        <v>4171</v>
      </c>
      <c r="CVE1" t="s">
        <v>4172</v>
      </c>
      <c r="CVF1" t="s">
        <v>4173</v>
      </c>
      <c r="CVG1" t="s">
        <v>4174</v>
      </c>
      <c r="CVH1" t="s">
        <v>4175</v>
      </c>
      <c r="CVI1" t="s">
        <v>4176</v>
      </c>
      <c r="CVJ1" t="s">
        <v>4177</v>
      </c>
      <c r="CVK1" t="s">
        <v>4178</v>
      </c>
      <c r="CVL1" t="s">
        <v>4179</v>
      </c>
      <c r="CVM1" t="s">
        <v>4180</v>
      </c>
      <c r="CVN1" t="s">
        <v>4181</v>
      </c>
      <c r="CVO1" t="s">
        <v>4182</v>
      </c>
      <c r="CVP1" t="s">
        <v>4183</v>
      </c>
      <c r="CVQ1" t="s">
        <v>4184</v>
      </c>
      <c r="CVR1" t="s">
        <v>4185</v>
      </c>
      <c r="CVS1" t="s">
        <v>4186</v>
      </c>
      <c r="CVT1" t="s">
        <v>4187</v>
      </c>
      <c r="CVU1" t="s">
        <v>4188</v>
      </c>
      <c r="CVV1" t="s">
        <v>4189</v>
      </c>
      <c r="CVW1" t="s">
        <v>4190</v>
      </c>
      <c r="CVX1" t="s">
        <v>4191</v>
      </c>
      <c r="CVY1" t="s">
        <v>4192</v>
      </c>
      <c r="CVZ1" t="s">
        <v>4193</v>
      </c>
      <c r="CWA1" t="s">
        <v>4194</v>
      </c>
      <c r="CWB1" t="s">
        <v>4195</v>
      </c>
      <c r="CWC1" t="s">
        <v>4196</v>
      </c>
      <c r="CWD1" t="s">
        <v>4197</v>
      </c>
      <c r="CWE1" t="s">
        <v>4198</v>
      </c>
      <c r="CWF1" t="s">
        <v>4199</v>
      </c>
      <c r="CWG1" t="s">
        <v>4200</v>
      </c>
      <c r="CWH1" t="s">
        <v>4201</v>
      </c>
      <c r="CWI1" t="s">
        <v>4202</v>
      </c>
      <c r="CWJ1" t="s">
        <v>4203</v>
      </c>
      <c r="CWK1" t="s">
        <v>4204</v>
      </c>
      <c r="CWL1" t="s">
        <v>4205</v>
      </c>
      <c r="CWM1" t="s">
        <v>4206</v>
      </c>
      <c r="CWN1" t="s">
        <v>4207</v>
      </c>
      <c r="CWO1" t="s">
        <v>4208</v>
      </c>
      <c r="CWP1" t="s">
        <v>4209</v>
      </c>
      <c r="CWQ1" t="s">
        <v>4210</v>
      </c>
      <c r="CWR1" t="s">
        <v>4211</v>
      </c>
      <c r="CWS1" t="s">
        <v>4212</v>
      </c>
      <c r="CWT1" t="s">
        <v>4213</v>
      </c>
      <c r="CWU1" t="s">
        <v>4214</v>
      </c>
      <c r="CWV1" t="s">
        <v>4215</v>
      </c>
      <c r="CWW1" t="s">
        <v>4216</v>
      </c>
      <c r="CWX1" t="s">
        <v>4217</v>
      </c>
      <c r="CWY1" t="s">
        <v>4218</v>
      </c>
      <c r="CWZ1" t="s">
        <v>4219</v>
      </c>
      <c r="CXA1" t="s">
        <v>4220</v>
      </c>
      <c r="CXB1" t="s">
        <v>4221</v>
      </c>
      <c r="CXC1" t="s">
        <v>4222</v>
      </c>
      <c r="CXD1" t="s">
        <v>4223</v>
      </c>
      <c r="CXE1" t="s">
        <v>4224</v>
      </c>
      <c r="CXF1" t="s">
        <v>4225</v>
      </c>
      <c r="CXG1" t="s">
        <v>4226</v>
      </c>
      <c r="CXH1" t="s">
        <v>4227</v>
      </c>
      <c r="CXI1" t="s">
        <v>4228</v>
      </c>
      <c r="CXJ1" t="s">
        <v>4229</v>
      </c>
      <c r="CXK1" t="s">
        <v>4230</v>
      </c>
      <c r="CXL1" t="s">
        <v>4231</v>
      </c>
      <c r="CXM1" t="s">
        <v>4232</v>
      </c>
      <c r="CXN1" t="s">
        <v>4233</v>
      </c>
      <c r="CXO1" t="s">
        <v>4234</v>
      </c>
      <c r="CXP1" t="s">
        <v>4235</v>
      </c>
      <c r="CXQ1" t="s">
        <v>4236</v>
      </c>
      <c r="CXR1" t="s">
        <v>4237</v>
      </c>
      <c r="CXS1" t="s">
        <v>4238</v>
      </c>
      <c r="CXT1" t="s">
        <v>4239</v>
      </c>
      <c r="CXU1" t="s">
        <v>4240</v>
      </c>
      <c r="CXV1" t="s">
        <v>4241</v>
      </c>
      <c r="CXW1" t="s">
        <v>4242</v>
      </c>
      <c r="CXX1" t="s">
        <v>4243</v>
      </c>
      <c r="CXY1" t="s">
        <v>4244</v>
      </c>
      <c r="CXZ1" t="s">
        <v>4245</v>
      </c>
      <c r="CYA1" t="s">
        <v>4246</v>
      </c>
      <c r="CYB1" t="s">
        <v>4247</v>
      </c>
      <c r="CYC1" t="s">
        <v>4248</v>
      </c>
      <c r="CYD1" t="s">
        <v>4249</v>
      </c>
      <c r="CYE1" t="s">
        <v>4250</v>
      </c>
      <c r="CYF1" t="s">
        <v>4251</v>
      </c>
      <c r="CYG1" t="s">
        <v>4252</v>
      </c>
      <c r="CYH1" t="s">
        <v>4253</v>
      </c>
      <c r="CYI1" t="s">
        <v>4254</v>
      </c>
      <c r="CYJ1" t="s">
        <v>4255</v>
      </c>
      <c r="CYK1" t="s">
        <v>4256</v>
      </c>
      <c r="CYL1" t="s">
        <v>4257</v>
      </c>
      <c r="CYM1" t="s">
        <v>4258</v>
      </c>
      <c r="CYN1" t="s">
        <v>4259</v>
      </c>
      <c r="CYO1" t="s">
        <v>4260</v>
      </c>
      <c r="CYP1" t="s">
        <v>4261</v>
      </c>
      <c r="CYQ1" t="s">
        <v>4262</v>
      </c>
      <c r="CYR1" t="s">
        <v>4263</v>
      </c>
      <c r="CYS1" t="s">
        <v>4264</v>
      </c>
      <c r="CYT1" t="s">
        <v>4265</v>
      </c>
      <c r="CYU1" t="s">
        <v>4266</v>
      </c>
      <c r="CYV1" t="s">
        <v>4267</v>
      </c>
      <c r="CYW1" t="s">
        <v>4268</v>
      </c>
      <c r="CYX1" t="s">
        <v>4269</v>
      </c>
      <c r="CYY1" t="s">
        <v>4270</v>
      </c>
      <c r="CYZ1" t="s">
        <v>4271</v>
      </c>
      <c r="CZA1" t="s">
        <v>4272</v>
      </c>
      <c r="CZB1" t="s">
        <v>4273</v>
      </c>
      <c r="CZC1" t="s">
        <v>4274</v>
      </c>
      <c r="CZD1" t="s">
        <v>4275</v>
      </c>
      <c r="CZE1" t="s">
        <v>4276</v>
      </c>
      <c r="CZF1" t="s">
        <v>4277</v>
      </c>
      <c r="CZG1" t="s">
        <v>4278</v>
      </c>
      <c r="CZH1" t="s">
        <v>4279</v>
      </c>
      <c r="CZI1" t="s">
        <v>4280</v>
      </c>
      <c r="CZJ1" t="s">
        <v>4281</v>
      </c>
      <c r="CZK1" t="s">
        <v>4282</v>
      </c>
      <c r="CZL1" t="s">
        <v>4283</v>
      </c>
      <c r="CZM1" t="s">
        <v>4284</v>
      </c>
      <c r="CZN1" t="s">
        <v>4285</v>
      </c>
      <c r="CZO1" t="s">
        <v>4286</v>
      </c>
      <c r="CZP1" t="s">
        <v>4287</v>
      </c>
      <c r="CZQ1" t="s">
        <v>4288</v>
      </c>
      <c r="CZR1" t="s">
        <v>4289</v>
      </c>
      <c r="CZS1" t="s">
        <v>4290</v>
      </c>
      <c r="CZT1" t="s">
        <v>4291</v>
      </c>
      <c r="CZU1" t="s">
        <v>4292</v>
      </c>
      <c r="CZV1" t="s">
        <v>4293</v>
      </c>
      <c r="CZW1" t="s">
        <v>4294</v>
      </c>
      <c r="CZX1" t="s">
        <v>4295</v>
      </c>
      <c r="CZY1" t="s">
        <v>4296</v>
      </c>
      <c r="CZZ1" t="s">
        <v>4297</v>
      </c>
      <c r="DAA1" t="s">
        <v>4298</v>
      </c>
      <c r="DAB1" t="s">
        <v>4299</v>
      </c>
      <c r="DAC1" t="s">
        <v>4300</v>
      </c>
      <c r="DAD1" t="s">
        <v>4301</v>
      </c>
      <c r="DAE1" t="s">
        <v>4302</v>
      </c>
      <c r="DAF1" t="s">
        <v>4303</v>
      </c>
      <c r="DAG1" t="s">
        <v>4304</v>
      </c>
      <c r="DAH1" t="s">
        <v>4305</v>
      </c>
      <c r="DAI1" t="s">
        <v>4306</v>
      </c>
      <c r="DAJ1" t="s">
        <v>4307</v>
      </c>
      <c r="DAK1" t="s">
        <v>4308</v>
      </c>
      <c r="DAL1" t="s">
        <v>4309</v>
      </c>
      <c r="DAM1" t="s">
        <v>4310</v>
      </c>
      <c r="DAN1" t="s">
        <v>4311</v>
      </c>
      <c r="DAO1" t="s">
        <v>4312</v>
      </c>
      <c r="DAP1" t="s">
        <v>4313</v>
      </c>
      <c r="DAQ1" t="s">
        <v>4314</v>
      </c>
      <c r="DAR1" t="s">
        <v>4315</v>
      </c>
      <c r="DAS1" t="s">
        <v>4316</v>
      </c>
      <c r="DAT1" t="s">
        <v>4317</v>
      </c>
      <c r="DAU1" t="s">
        <v>4318</v>
      </c>
      <c r="DAV1" t="s">
        <v>4319</v>
      </c>
      <c r="DAW1" t="s">
        <v>4320</v>
      </c>
      <c r="DAX1" t="s">
        <v>4321</v>
      </c>
      <c r="DAY1" t="s">
        <v>4322</v>
      </c>
      <c r="DAZ1" t="s">
        <v>4323</v>
      </c>
      <c r="DBA1" t="s">
        <v>4324</v>
      </c>
      <c r="DBB1" t="s">
        <v>4325</v>
      </c>
      <c r="DBC1" t="s">
        <v>4326</v>
      </c>
      <c r="DBD1" t="s">
        <v>4327</v>
      </c>
      <c r="DBE1" t="s">
        <v>4328</v>
      </c>
      <c r="DBF1" t="s">
        <v>4329</v>
      </c>
      <c r="DBG1" t="s">
        <v>4330</v>
      </c>
      <c r="DBH1" t="s">
        <v>4331</v>
      </c>
      <c r="DBI1" t="s">
        <v>4332</v>
      </c>
      <c r="DBJ1" t="s">
        <v>4333</v>
      </c>
      <c r="DBK1" t="s">
        <v>4334</v>
      </c>
      <c r="DBL1" t="s">
        <v>4335</v>
      </c>
      <c r="DBM1" t="s">
        <v>4336</v>
      </c>
      <c r="DBN1" t="s">
        <v>4337</v>
      </c>
      <c r="DBO1" t="s">
        <v>4338</v>
      </c>
      <c r="DBP1" t="s">
        <v>4339</v>
      </c>
      <c r="DBQ1" t="s">
        <v>4340</v>
      </c>
      <c r="DBR1" t="s">
        <v>4341</v>
      </c>
      <c r="DBS1" t="s">
        <v>4342</v>
      </c>
      <c r="DBT1" t="s">
        <v>4343</v>
      </c>
      <c r="DBU1" t="s">
        <v>4344</v>
      </c>
      <c r="DBV1" t="s">
        <v>4345</v>
      </c>
      <c r="DBW1" t="s">
        <v>4346</v>
      </c>
      <c r="DBX1" t="s">
        <v>4347</v>
      </c>
      <c r="DBY1" t="s">
        <v>4348</v>
      </c>
      <c r="DBZ1" t="s">
        <v>4349</v>
      </c>
      <c r="DCA1" t="s">
        <v>4350</v>
      </c>
      <c r="DCB1" t="s">
        <v>4351</v>
      </c>
      <c r="DCC1" t="s">
        <v>4352</v>
      </c>
      <c r="DCD1" t="s">
        <v>4353</v>
      </c>
      <c r="DCE1" t="s">
        <v>4354</v>
      </c>
      <c r="DCF1" t="s">
        <v>4355</v>
      </c>
      <c r="DCG1" t="s">
        <v>4356</v>
      </c>
      <c r="DCH1" t="s">
        <v>4357</v>
      </c>
      <c r="DCI1" t="s">
        <v>4358</v>
      </c>
      <c r="DCJ1" t="s">
        <v>4359</v>
      </c>
      <c r="DCK1" t="s">
        <v>4360</v>
      </c>
      <c r="DCL1" t="s">
        <v>4361</v>
      </c>
      <c r="DCM1" t="s">
        <v>4362</v>
      </c>
      <c r="DCN1" t="s">
        <v>4363</v>
      </c>
      <c r="DCO1" t="s">
        <v>4364</v>
      </c>
      <c r="DCP1" t="s">
        <v>4365</v>
      </c>
      <c r="DCQ1" t="s">
        <v>4366</v>
      </c>
      <c r="DCR1" t="s">
        <v>4367</v>
      </c>
      <c r="DCS1" t="s">
        <v>4368</v>
      </c>
      <c r="DCT1" t="s">
        <v>4369</v>
      </c>
      <c r="DCU1" t="s">
        <v>4370</v>
      </c>
      <c r="DCV1" t="s">
        <v>4371</v>
      </c>
      <c r="DCW1" t="s">
        <v>4372</v>
      </c>
      <c r="DCX1" t="s">
        <v>4373</v>
      </c>
      <c r="DCY1" t="s">
        <v>4374</v>
      </c>
      <c r="DCZ1" t="s">
        <v>4375</v>
      </c>
      <c r="DDA1" t="s">
        <v>4376</v>
      </c>
      <c r="DDB1" t="s">
        <v>4377</v>
      </c>
      <c r="DDC1" t="s">
        <v>4378</v>
      </c>
      <c r="DDD1" t="s">
        <v>4379</v>
      </c>
      <c r="DDE1" t="s">
        <v>4380</v>
      </c>
      <c r="DDF1" t="s">
        <v>4381</v>
      </c>
      <c r="DDG1" t="s">
        <v>4382</v>
      </c>
      <c r="DDH1" t="s">
        <v>4383</v>
      </c>
      <c r="DDI1" t="s">
        <v>4384</v>
      </c>
      <c r="DDJ1" t="s">
        <v>4385</v>
      </c>
      <c r="DDK1" t="s">
        <v>4386</v>
      </c>
      <c r="DDL1" t="s">
        <v>4387</v>
      </c>
      <c r="DDM1" t="s">
        <v>4388</v>
      </c>
      <c r="DDN1" t="s">
        <v>4389</v>
      </c>
      <c r="DDO1" t="s">
        <v>4390</v>
      </c>
      <c r="DDP1" t="s">
        <v>4391</v>
      </c>
      <c r="DDQ1" t="s">
        <v>4392</v>
      </c>
      <c r="DDR1" t="s">
        <v>4393</v>
      </c>
      <c r="DDS1" t="s">
        <v>4394</v>
      </c>
      <c r="DDT1" t="s">
        <v>4395</v>
      </c>
      <c r="DDU1" t="s">
        <v>4396</v>
      </c>
      <c r="DDV1" t="s">
        <v>4397</v>
      </c>
      <c r="DDW1" t="s">
        <v>4398</v>
      </c>
      <c r="DDX1" t="s">
        <v>4399</v>
      </c>
      <c r="DDY1" t="s">
        <v>4400</v>
      </c>
      <c r="DDZ1" t="s">
        <v>4401</v>
      </c>
      <c r="DEA1" t="s">
        <v>4402</v>
      </c>
      <c r="DEB1" t="s">
        <v>4403</v>
      </c>
      <c r="DEC1" t="s">
        <v>4404</v>
      </c>
      <c r="DED1" t="s">
        <v>4405</v>
      </c>
      <c r="DEE1" t="s">
        <v>4406</v>
      </c>
      <c r="DEF1" t="s">
        <v>4407</v>
      </c>
      <c r="DEG1" t="s">
        <v>4408</v>
      </c>
      <c r="DEH1" t="s">
        <v>4409</v>
      </c>
      <c r="DEI1" t="s">
        <v>4410</v>
      </c>
      <c r="DEJ1" t="s">
        <v>4411</v>
      </c>
      <c r="DEK1" t="s">
        <v>4412</v>
      </c>
      <c r="DEL1" t="s">
        <v>4413</v>
      </c>
      <c r="DEM1" t="s">
        <v>4414</v>
      </c>
      <c r="DEN1" t="s">
        <v>4415</v>
      </c>
      <c r="DEO1" t="s">
        <v>4416</v>
      </c>
      <c r="DEP1" t="s">
        <v>4417</v>
      </c>
      <c r="DEQ1" t="s">
        <v>4418</v>
      </c>
      <c r="DER1" t="s">
        <v>4419</v>
      </c>
      <c r="DES1" t="s">
        <v>4420</v>
      </c>
      <c r="DET1" t="s">
        <v>4421</v>
      </c>
      <c r="DEU1" t="s">
        <v>4422</v>
      </c>
      <c r="DEV1" t="s">
        <v>4423</v>
      </c>
      <c r="DEW1" t="s">
        <v>4424</v>
      </c>
      <c r="DEX1" t="s">
        <v>4425</v>
      </c>
      <c r="DEY1" t="s">
        <v>4426</v>
      </c>
      <c r="DEZ1" t="s">
        <v>4427</v>
      </c>
      <c r="DFA1" t="s">
        <v>4428</v>
      </c>
      <c r="DFB1" t="s">
        <v>4429</v>
      </c>
      <c r="DFC1" t="s">
        <v>4430</v>
      </c>
      <c r="DFD1" t="s">
        <v>4431</v>
      </c>
      <c r="DFE1" t="s">
        <v>4432</v>
      </c>
      <c r="DFF1" t="s">
        <v>4433</v>
      </c>
      <c r="DFG1" t="s">
        <v>4434</v>
      </c>
      <c r="DFH1" t="s">
        <v>4435</v>
      </c>
      <c r="DFI1" t="s">
        <v>4436</v>
      </c>
      <c r="DFJ1" t="s">
        <v>4437</v>
      </c>
      <c r="DFK1" t="s">
        <v>4438</v>
      </c>
      <c r="DFL1" t="s">
        <v>4439</v>
      </c>
      <c r="DFM1" t="s">
        <v>4440</v>
      </c>
      <c r="DFN1" t="s">
        <v>4441</v>
      </c>
      <c r="DFO1" t="s">
        <v>4442</v>
      </c>
      <c r="DFP1" t="s">
        <v>4443</v>
      </c>
      <c r="DFQ1" t="s">
        <v>4444</v>
      </c>
      <c r="DFR1" t="s">
        <v>4445</v>
      </c>
      <c r="DFS1" t="s">
        <v>4446</v>
      </c>
      <c r="DFT1" t="s">
        <v>4447</v>
      </c>
      <c r="DFU1" t="s">
        <v>4448</v>
      </c>
      <c r="DFV1" t="s">
        <v>4449</v>
      </c>
      <c r="DFW1" t="s">
        <v>4450</v>
      </c>
      <c r="DFX1" t="s">
        <v>4451</v>
      </c>
      <c r="DFY1" t="s">
        <v>4452</v>
      </c>
      <c r="DFZ1" t="s">
        <v>4453</v>
      </c>
      <c r="DGA1" t="s">
        <v>4454</v>
      </c>
      <c r="DGB1" t="s">
        <v>4455</v>
      </c>
      <c r="DGC1" t="s">
        <v>4456</v>
      </c>
      <c r="DGD1" t="s">
        <v>4457</v>
      </c>
      <c r="DGE1" t="s">
        <v>4458</v>
      </c>
      <c r="DGF1" t="s">
        <v>4459</v>
      </c>
      <c r="DGG1" t="s">
        <v>4460</v>
      </c>
      <c r="DGH1" t="s">
        <v>4461</v>
      </c>
      <c r="DGI1" t="s">
        <v>4462</v>
      </c>
      <c r="DGJ1" t="s">
        <v>4463</v>
      </c>
      <c r="DGK1" t="s">
        <v>4464</v>
      </c>
      <c r="DGL1" t="s">
        <v>4465</v>
      </c>
      <c r="DGM1" t="s">
        <v>4466</v>
      </c>
      <c r="DGN1" t="s">
        <v>4467</v>
      </c>
      <c r="DGO1" t="s">
        <v>4468</v>
      </c>
      <c r="DGP1" t="s">
        <v>4469</v>
      </c>
      <c r="DGQ1" t="s">
        <v>4470</v>
      </c>
      <c r="DGR1" t="s">
        <v>4471</v>
      </c>
      <c r="DGS1" t="s">
        <v>4472</v>
      </c>
      <c r="DGT1" t="s">
        <v>4473</v>
      </c>
      <c r="DGU1" t="s">
        <v>4474</v>
      </c>
      <c r="DGV1" t="s">
        <v>4475</v>
      </c>
      <c r="DGW1" t="s">
        <v>4476</v>
      </c>
      <c r="DGX1" t="s">
        <v>4477</v>
      </c>
      <c r="DGY1" t="s">
        <v>4478</v>
      </c>
      <c r="DGZ1" t="s">
        <v>4479</v>
      </c>
      <c r="DHA1" t="s">
        <v>4480</v>
      </c>
      <c r="DHB1" t="s">
        <v>4481</v>
      </c>
      <c r="DHC1" t="s">
        <v>4482</v>
      </c>
      <c r="DHD1" t="s">
        <v>4483</v>
      </c>
      <c r="DHE1" t="s">
        <v>4484</v>
      </c>
      <c r="DHF1" t="s">
        <v>4485</v>
      </c>
      <c r="DHG1" t="s">
        <v>4486</v>
      </c>
      <c r="DHH1" t="s">
        <v>4487</v>
      </c>
      <c r="DHI1" t="s">
        <v>4488</v>
      </c>
      <c r="DHJ1" t="s">
        <v>4489</v>
      </c>
      <c r="DHK1" t="s">
        <v>4490</v>
      </c>
      <c r="DHL1" t="s">
        <v>4491</v>
      </c>
      <c r="DHM1" t="s">
        <v>4492</v>
      </c>
      <c r="DHN1" t="s">
        <v>4493</v>
      </c>
      <c r="DHO1" t="s">
        <v>4494</v>
      </c>
      <c r="DHP1" t="s">
        <v>4495</v>
      </c>
      <c r="DHQ1" t="s">
        <v>4496</v>
      </c>
      <c r="DHR1" t="s">
        <v>4497</v>
      </c>
      <c r="DHS1" t="s">
        <v>4498</v>
      </c>
      <c r="DHT1" t="s">
        <v>4499</v>
      </c>
      <c r="DHU1" t="s">
        <v>4500</v>
      </c>
      <c r="DHV1" t="s">
        <v>4501</v>
      </c>
      <c r="DHW1" t="s">
        <v>4502</v>
      </c>
      <c r="DHX1" t="s">
        <v>4503</v>
      </c>
      <c r="DHY1" t="s">
        <v>4504</v>
      </c>
      <c r="DHZ1" t="s">
        <v>4505</v>
      </c>
      <c r="DIA1" t="s">
        <v>4506</v>
      </c>
      <c r="DIB1" t="s">
        <v>4507</v>
      </c>
      <c r="DIC1" t="s">
        <v>4508</v>
      </c>
      <c r="DID1" t="s">
        <v>4509</v>
      </c>
      <c r="DIE1" t="s">
        <v>4510</v>
      </c>
      <c r="DIF1" t="s">
        <v>4511</v>
      </c>
      <c r="DIG1" t="s">
        <v>4512</v>
      </c>
      <c r="DIH1" t="s">
        <v>4513</v>
      </c>
      <c r="DII1" t="s">
        <v>4514</v>
      </c>
      <c r="DIJ1" t="s">
        <v>4515</v>
      </c>
      <c r="DIK1" t="s">
        <v>4516</v>
      </c>
      <c r="DIL1" t="s">
        <v>4517</v>
      </c>
      <c r="DIM1" t="s">
        <v>4518</v>
      </c>
      <c r="DIN1" t="s">
        <v>4519</v>
      </c>
      <c r="DIO1" t="s">
        <v>4520</v>
      </c>
      <c r="DIP1" t="s">
        <v>4521</v>
      </c>
      <c r="DIQ1" t="s">
        <v>4522</v>
      </c>
      <c r="DIR1" t="s">
        <v>4523</v>
      </c>
      <c r="DIS1" t="s">
        <v>4524</v>
      </c>
      <c r="DIT1" t="s">
        <v>4525</v>
      </c>
      <c r="DIU1" t="s">
        <v>4526</v>
      </c>
      <c r="DIV1" t="s">
        <v>4527</v>
      </c>
      <c r="DIW1" t="s">
        <v>4528</v>
      </c>
      <c r="DIX1" t="s">
        <v>4529</v>
      </c>
      <c r="DIY1" t="s">
        <v>4530</v>
      </c>
      <c r="DIZ1" t="s">
        <v>4531</v>
      </c>
      <c r="DJA1" t="s">
        <v>4532</v>
      </c>
      <c r="DJB1" t="s">
        <v>4533</v>
      </c>
      <c r="DJC1" t="s">
        <v>4534</v>
      </c>
      <c r="DJD1" t="s">
        <v>4535</v>
      </c>
      <c r="DJE1" t="s">
        <v>4536</v>
      </c>
      <c r="DJF1" t="s">
        <v>4537</v>
      </c>
      <c r="DJG1" t="s">
        <v>4538</v>
      </c>
      <c r="DJH1" t="s">
        <v>4539</v>
      </c>
      <c r="DJI1" t="s">
        <v>4540</v>
      </c>
      <c r="DJJ1" t="s">
        <v>4541</v>
      </c>
      <c r="DJK1" t="s">
        <v>4542</v>
      </c>
      <c r="DJL1" t="s">
        <v>4543</v>
      </c>
      <c r="DJM1" t="s">
        <v>4544</v>
      </c>
      <c r="DJN1" t="s">
        <v>4545</v>
      </c>
      <c r="DJO1" t="s">
        <v>4546</v>
      </c>
      <c r="DJP1" t="s">
        <v>4547</v>
      </c>
      <c r="DJQ1" t="s">
        <v>4548</v>
      </c>
      <c r="DJR1" t="s">
        <v>4549</v>
      </c>
      <c r="DJS1" t="s">
        <v>4550</v>
      </c>
      <c r="DJT1" t="s">
        <v>4551</v>
      </c>
      <c r="DJU1" t="s">
        <v>4552</v>
      </c>
      <c r="DJV1" t="s">
        <v>4553</v>
      </c>
      <c r="DJW1" t="s">
        <v>4554</v>
      </c>
      <c r="DJX1" t="s">
        <v>4555</v>
      </c>
      <c r="DJY1" t="s">
        <v>4556</v>
      </c>
      <c r="DJZ1" t="s">
        <v>4557</v>
      </c>
      <c r="DKA1" t="s">
        <v>4558</v>
      </c>
      <c r="DKB1" t="s">
        <v>4559</v>
      </c>
      <c r="DKC1" t="s">
        <v>4560</v>
      </c>
      <c r="DKD1" t="s">
        <v>4561</v>
      </c>
      <c r="DKE1" t="s">
        <v>4562</v>
      </c>
      <c r="DKF1" t="s">
        <v>4563</v>
      </c>
      <c r="DKG1" t="s">
        <v>4564</v>
      </c>
      <c r="DKH1" t="s">
        <v>4565</v>
      </c>
      <c r="DKI1" t="s">
        <v>4566</v>
      </c>
      <c r="DKJ1" t="s">
        <v>4567</v>
      </c>
      <c r="DKK1" t="s">
        <v>4568</v>
      </c>
      <c r="DKL1" t="s">
        <v>4569</v>
      </c>
      <c r="DKM1" t="s">
        <v>4570</v>
      </c>
      <c r="DKN1" t="s">
        <v>4571</v>
      </c>
      <c r="DKO1" t="s">
        <v>4572</v>
      </c>
      <c r="DKP1" t="s">
        <v>4573</v>
      </c>
      <c r="DKQ1" t="s">
        <v>4574</v>
      </c>
      <c r="DKR1" t="s">
        <v>4575</v>
      </c>
      <c r="DKS1" t="s">
        <v>4576</v>
      </c>
      <c r="DKT1" t="s">
        <v>4577</v>
      </c>
      <c r="DKU1" t="s">
        <v>4578</v>
      </c>
      <c r="DKV1" t="s">
        <v>4579</v>
      </c>
      <c r="DKW1" t="s">
        <v>4580</v>
      </c>
      <c r="DKX1" t="s">
        <v>4581</v>
      </c>
      <c r="DKY1" t="s">
        <v>4582</v>
      </c>
      <c r="DKZ1" t="s">
        <v>4583</v>
      </c>
      <c r="DLA1" t="s">
        <v>4584</v>
      </c>
      <c r="DLB1" t="s">
        <v>4585</v>
      </c>
      <c r="DLC1" t="s">
        <v>4586</v>
      </c>
      <c r="DLD1" t="s">
        <v>4587</v>
      </c>
      <c r="DLE1" t="s">
        <v>4588</v>
      </c>
      <c r="DLF1" t="s">
        <v>4589</v>
      </c>
      <c r="DLG1" t="s">
        <v>4590</v>
      </c>
      <c r="DLH1" t="s">
        <v>4591</v>
      </c>
      <c r="DLI1" t="s">
        <v>4592</v>
      </c>
      <c r="DLJ1" t="s">
        <v>4593</v>
      </c>
      <c r="DLK1" t="s">
        <v>4594</v>
      </c>
      <c r="DLL1" t="s">
        <v>4595</v>
      </c>
      <c r="DLM1" t="s">
        <v>4596</v>
      </c>
      <c r="DLN1" t="s">
        <v>4597</v>
      </c>
      <c r="DLO1" t="s">
        <v>4598</v>
      </c>
      <c r="DLP1" t="s">
        <v>4599</v>
      </c>
      <c r="DLQ1" t="s">
        <v>4600</v>
      </c>
      <c r="DLR1" t="s">
        <v>4601</v>
      </c>
      <c r="DLS1" t="s">
        <v>4602</v>
      </c>
      <c r="DLT1" t="s">
        <v>4603</v>
      </c>
      <c r="DLU1" t="s">
        <v>4604</v>
      </c>
      <c r="DLV1" t="s">
        <v>4605</v>
      </c>
      <c r="DLW1" t="s">
        <v>4606</v>
      </c>
      <c r="DLX1" t="s">
        <v>4607</v>
      </c>
      <c r="DLY1" t="s">
        <v>4608</v>
      </c>
      <c r="DLZ1" t="s">
        <v>4609</v>
      </c>
      <c r="DMA1" t="s">
        <v>4610</v>
      </c>
      <c r="DMB1" t="s">
        <v>4611</v>
      </c>
      <c r="DMC1" t="s">
        <v>4612</v>
      </c>
      <c r="DMD1" t="s">
        <v>4613</v>
      </c>
      <c r="DME1" t="s">
        <v>4614</v>
      </c>
      <c r="DMF1" t="s">
        <v>4615</v>
      </c>
      <c r="DMG1" t="s">
        <v>4616</v>
      </c>
      <c r="DMH1" t="s">
        <v>4617</v>
      </c>
      <c r="DMI1" t="s">
        <v>4618</v>
      </c>
      <c r="DMJ1" t="s">
        <v>4619</v>
      </c>
      <c r="DMK1" t="s">
        <v>4620</v>
      </c>
      <c r="DML1" t="s">
        <v>4621</v>
      </c>
      <c r="DMM1" t="s">
        <v>4622</v>
      </c>
      <c r="DMN1" t="s">
        <v>4623</v>
      </c>
      <c r="DMO1" t="s">
        <v>4624</v>
      </c>
      <c r="DMP1" t="s">
        <v>4625</v>
      </c>
      <c r="DMQ1" t="s">
        <v>4626</v>
      </c>
      <c r="DMR1" t="s">
        <v>4627</v>
      </c>
      <c r="DMS1" t="s">
        <v>4628</v>
      </c>
      <c r="DMT1" t="s">
        <v>4629</v>
      </c>
      <c r="DMU1" t="s">
        <v>4630</v>
      </c>
      <c r="DMV1" t="s">
        <v>4631</v>
      </c>
      <c r="DMW1" t="s">
        <v>4632</v>
      </c>
      <c r="DMX1" t="s">
        <v>4633</v>
      </c>
      <c r="DMY1" t="s">
        <v>4634</v>
      </c>
      <c r="DMZ1" t="s">
        <v>4635</v>
      </c>
      <c r="DNA1" t="s">
        <v>4636</v>
      </c>
      <c r="DNB1" t="s">
        <v>4637</v>
      </c>
      <c r="DNC1" t="s">
        <v>4638</v>
      </c>
      <c r="DND1" t="s">
        <v>4639</v>
      </c>
      <c r="DNE1" t="s">
        <v>4640</v>
      </c>
      <c r="DNF1" t="s">
        <v>4641</v>
      </c>
      <c r="DNG1" t="s">
        <v>4642</v>
      </c>
      <c r="DNH1" t="s">
        <v>4643</v>
      </c>
      <c r="DNI1" t="s">
        <v>4644</v>
      </c>
      <c r="DNJ1" t="s">
        <v>4645</v>
      </c>
      <c r="DNK1" t="s">
        <v>4646</v>
      </c>
      <c r="DNL1" t="s">
        <v>4647</v>
      </c>
      <c r="DNM1" t="s">
        <v>4648</v>
      </c>
      <c r="DNN1" t="s">
        <v>4649</v>
      </c>
      <c r="DNO1" t="s">
        <v>4650</v>
      </c>
      <c r="DNP1" t="s">
        <v>4651</v>
      </c>
      <c r="DNQ1" t="s">
        <v>4652</v>
      </c>
      <c r="DNR1" t="s">
        <v>4653</v>
      </c>
      <c r="DNS1" t="s">
        <v>4654</v>
      </c>
      <c r="DNT1" t="s">
        <v>4655</v>
      </c>
      <c r="DNU1" t="s">
        <v>4656</v>
      </c>
      <c r="DNV1" t="s">
        <v>4657</v>
      </c>
      <c r="DNW1" t="s">
        <v>4658</v>
      </c>
      <c r="DNX1" t="s">
        <v>4659</v>
      </c>
      <c r="DNY1" t="s">
        <v>4660</v>
      </c>
      <c r="DNZ1" t="s">
        <v>4661</v>
      </c>
      <c r="DOA1" t="s">
        <v>4662</v>
      </c>
      <c r="DOB1" t="s">
        <v>4663</v>
      </c>
      <c r="DOC1" t="s">
        <v>4664</v>
      </c>
      <c r="DOD1" t="s">
        <v>4665</v>
      </c>
      <c r="DOE1" t="s">
        <v>4666</v>
      </c>
      <c r="DOF1" t="s">
        <v>4667</v>
      </c>
      <c r="DOG1" t="s">
        <v>4668</v>
      </c>
      <c r="DOH1" t="s">
        <v>4669</v>
      </c>
      <c r="DOI1" t="s">
        <v>4670</v>
      </c>
      <c r="DOJ1" t="s">
        <v>4671</v>
      </c>
      <c r="DOK1" t="s">
        <v>4672</v>
      </c>
      <c r="DOL1" t="s">
        <v>4673</v>
      </c>
      <c r="DOM1" t="s">
        <v>4674</v>
      </c>
      <c r="DON1" t="s">
        <v>4675</v>
      </c>
      <c r="DOO1" t="s">
        <v>4676</v>
      </c>
      <c r="DOP1" t="s">
        <v>4677</v>
      </c>
      <c r="DOQ1" t="s">
        <v>4678</v>
      </c>
      <c r="DOR1" t="s">
        <v>4679</v>
      </c>
      <c r="DOS1" t="s">
        <v>4680</v>
      </c>
      <c r="DOT1" t="s">
        <v>4681</v>
      </c>
      <c r="DOU1" t="s">
        <v>4682</v>
      </c>
      <c r="DOV1" t="s">
        <v>4683</v>
      </c>
      <c r="DOW1" t="s">
        <v>4684</v>
      </c>
      <c r="DOX1" t="s">
        <v>4685</v>
      </c>
      <c r="DOY1" t="s">
        <v>4686</v>
      </c>
      <c r="DOZ1" t="s">
        <v>4687</v>
      </c>
      <c r="DPA1" t="s">
        <v>4688</v>
      </c>
      <c r="DPB1" t="s">
        <v>4689</v>
      </c>
      <c r="DPC1" t="s">
        <v>4690</v>
      </c>
      <c r="DPD1" t="s">
        <v>4691</v>
      </c>
      <c r="DPE1" t="s">
        <v>4692</v>
      </c>
      <c r="DPF1" t="s">
        <v>4693</v>
      </c>
      <c r="DPG1" t="s">
        <v>4694</v>
      </c>
      <c r="DPH1" t="s">
        <v>4695</v>
      </c>
      <c r="DPI1" t="s">
        <v>4696</v>
      </c>
      <c r="DPJ1" t="s">
        <v>4697</v>
      </c>
      <c r="DPK1" t="s">
        <v>4698</v>
      </c>
      <c r="DPL1" t="s">
        <v>4699</v>
      </c>
      <c r="DPM1" t="s">
        <v>4700</v>
      </c>
      <c r="DPN1" t="s">
        <v>4701</v>
      </c>
      <c r="DPO1" t="s">
        <v>4702</v>
      </c>
      <c r="DPP1" t="s">
        <v>4703</v>
      </c>
      <c r="DPQ1" t="s">
        <v>4704</v>
      </c>
      <c r="DPR1" t="s">
        <v>4705</v>
      </c>
      <c r="DPS1" t="s">
        <v>4706</v>
      </c>
      <c r="DPT1" t="s">
        <v>4707</v>
      </c>
      <c r="DPU1" t="s">
        <v>4708</v>
      </c>
      <c r="DPV1" t="s">
        <v>4709</v>
      </c>
      <c r="DPW1" t="s">
        <v>4710</v>
      </c>
      <c r="DPX1" t="s">
        <v>4711</v>
      </c>
      <c r="DPY1" t="s">
        <v>4712</v>
      </c>
      <c r="DPZ1" t="s">
        <v>4713</v>
      </c>
      <c r="DQA1" t="s">
        <v>4714</v>
      </c>
      <c r="DQB1" t="s">
        <v>4715</v>
      </c>
      <c r="DQC1" t="s">
        <v>4716</v>
      </c>
      <c r="DQD1" t="s">
        <v>4717</v>
      </c>
      <c r="DQE1" t="s">
        <v>4718</v>
      </c>
      <c r="DQF1" t="s">
        <v>4719</v>
      </c>
      <c r="DQG1" t="s">
        <v>4720</v>
      </c>
      <c r="DQH1" t="s">
        <v>4721</v>
      </c>
      <c r="DQI1" t="s">
        <v>4722</v>
      </c>
      <c r="DQJ1" t="s">
        <v>4723</v>
      </c>
      <c r="DQK1" t="s">
        <v>4724</v>
      </c>
      <c r="DQL1" t="s">
        <v>4725</v>
      </c>
      <c r="DQM1" t="s">
        <v>4726</v>
      </c>
      <c r="DQN1" t="s">
        <v>4727</v>
      </c>
      <c r="DQO1" t="s">
        <v>4728</v>
      </c>
      <c r="DQP1" t="s">
        <v>4729</v>
      </c>
      <c r="DQQ1" t="s">
        <v>4730</v>
      </c>
      <c r="DQR1" t="s">
        <v>4731</v>
      </c>
      <c r="DQS1" t="s">
        <v>4732</v>
      </c>
      <c r="DQT1" t="s">
        <v>4733</v>
      </c>
      <c r="DQU1" t="s">
        <v>4734</v>
      </c>
      <c r="DQV1" t="s">
        <v>4735</v>
      </c>
      <c r="DQW1" t="s">
        <v>4736</v>
      </c>
      <c r="DQX1" t="s">
        <v>4737</v>
      </c>
      <c r="DQY1" t="s">
        <v>4738</v>
      </c>
      <c r="DQZ1" t="s">
        <v>4739</v>
      </c>
      <c r="DRA1" t="s">
        <v>4740</v>
      </c>
      <c r="DRB1" t="s">
        <v>4741</v>
      </c>
      <c r="DRC1" t="s">
        <v>4742</v>
      </c>
      <c r="DRD1" t="s">
        <v>4743</v>
      </c>
      <c r="DRE1" t="s">
        <v>4744</v>
      </c>
      <c r="DRF1" t="s">
        <v>4745</v>
      </c>
      <c r="DRG1" t="s">
        <v>4746</v>
      </c>
      <c r="DRH1" t="s">
        <v>4747</v>
      </c>
      <c r="DRI1" t="s">
        <v>4748</v>
      </c>
      <c r="DRJ1" t="s">
        <v>4749</v>
      </c>
      <c r="DRK1" t="s">
        <v>4750</v>
      </c>
      <c r="DRL1" t="s">
        <v>4751</v>
      </c>
      <c r="DRM1" t="s">
        <v>4752</v>
      </c>
      <c r="DRN1" t="s">
        <v>4753</v>
      </c>
      <c r="DRO1" t="s">
        <v>4754</v>
      </c>
      <c r="DRP1" t="s">
        <v>4755</v>
      </c>
      <c r="DRQ1" t="s">
        <v>4756</v>
      </c>
      <c r="DRR1" t="s">
        <v>4757</v>
      </c>
      <c r="DRS1" t="s">
        <v>4758</v>
      </c>
      <c r="DRT1" t="s">
        <v>4759</v>
      </c>
      <c r="DRU1" t="s">
        <v>4760</v>
      </c>
      <c r="DRV1" t="s">
        <v>4761</v>
      </c>
      <c r="DRW1" t="s">
        <v>4762</v>
      </c>
      <c r="DRX1" t="s">
        <v>4763</v>
      </c>
      <c r="DRY1" t="s">
        <v>4764</v>
      </c>
      <c r="DRZ1" t="s">
        <v>4765</v>
      </c>
      <c r="DSA1" t="s">
        <v>4766</v>
      </c>
      <c r="DSB1" t="s">
        <v>4767</v>
      </c>
      <c r="DSC1" t="s">
        <v>4768</v>
      </c>
      <c r="DSD1" t="s">
        <v>4769</v>
      </c>
      <c r="DSE1" t="s">
        <v>4770</v>
      </c>
      <c r="DSF1" t="s">
        <v>4771</v>
      </c>
      <c r="DSG1" t="s">
        <v>4772</v>
      </c>
      <c r="DSH1" t="s">
        <v>4773</v>
      </c>
      <c r="DSI1" t="s">
        <v>4774</v>
      </c>
      <c r="DSJ1" t="s">
        <v>4775</v>
      </c>
      <c r="DSK1" t="s">
        <v>4776</v>
      </c>
      <c r="DSL1" t="s">
        <v>4777</v>
      </c>
      <c r="DSM1" t="s">
        <v>4778</v>
      </c>
      <c r="DSN1" t="s">
        <v>4779</v>
      </c>
      <c r="DSO1" t="s">
        <v>4780</v>
      </c>
      <c r="DSP1" t="s">
        <v>4781</v>
      </c>
      <c r="DSQ1" t="s">
        <v>4782</v>
      </c>
      <c r="DSR1" t="s">
        <v>4783</v>
      </c>
      <c r="DSS1" t="s">
        <v>4784</v>
      </c>
      <c r="DST1" t="s">
        <v>4785</v>
      </c>
      <c r="DSU1" t="s">
        <v>4786</v>
      </c>
      <c r="DSV1" t="s">
        <v>4787</v>
      </c>
      <c r="DSW1" t="s">
        <v>4788</v>
      </c>
      <c r="DSX1" t="s">
        <v>4789</v>
      </c>
      <c r="DSY1" t="s">
        <v>4790</v>
      </c>
      <c r="DSZ1" t="s">
        <v>4791</v>
      </c>
      <c r="DTA1" t="s">
        <v>4792</v>
      </c>
      <c r="DTB1" t="s">
        <v>4793</v>
      </c>
      <c r="DTC1" t="s">
        <v>4794</v>
      </c>
      <c r="DTD1" t="s">
        <v>4795</v>
      </c>
      <c r="DTE1" t="s">
        <v>4796</v>
      </c>
      <c r="DTF1" t="s">
        <v>4797</v>
      </c>
      <c r="DTG1" t="s">
        <v>4798</v>
      </c>
      <c r="DTH1" t="s">
        <v>4799</v>
      </c>
      <c r="DTI1" t="s">
        <v>4800</v>
      </c>
      <c r="DTJ1" t="s">
        <v>4801</v>
      </c>
      <c r="DTK1" t="s">
        <v>4802</v>
      </c>
      <c r="DTL1" t="s">
        <v>4803</v>
      </c>
      <c r="DTM1" t="s">
        <v>4804</v>
      </c>
      <c r="DTN1" t="s">
        <v>4805</v>
      </c>
      <c r="DTO1" t="s">
        <v>4806</v>
      </c>
      <c r="DTP1" t="s">
        <v>4807</v>
      </c>
      <c r="DTQ1" t="s">
        <v>4808</v>
      </c>
      <c r="DTR1" t="s">
        <v>4809</v>
      </c>
      <c r="DTS1" t="s">
        <v>4810</v>
      </c>
      <c r="DTT1" t="s">
        <v>4811</v>
      </c>
      <c r="DTU1" t="s">
        <v>4812</v>
      </c>
      <c r="DTV1" t="s">
        <v>4813</v>
      </c>
      <c r="DTW1" t="s">
        <v>4814</v>
      </c>
      <c r="DTX1" t="s">
        <v>4815</v>
      </c>
      <c r="DTY1" t="s">
        <v>4816</v>
      </c>
      <c r="DTZ1" t="s">
        <v>4817</v>
      </c>
      <c r="DUA1" t="s">
        <v>4818</v>
      </c>
      <c r="DUB1" t="s">
        <v>4819</v>
      </c>
      <c r="DUC1" t="s">
        <v>4820</v>
      </c>
      <c r="DUD1" t="s">
        <v>4821</v>
      </c>
      <c r="DUE1" t="s">
        <v>4822</v>
      </c>
      <c r="DUF1" t="s">
        <v>4823</v>
      </c>
      <c r="DUG1" t="s">
        <v>4824</v>
      </c>
      <c r="DUH1" t="s">
        <v>4825</v>
      </c>
      <c r="DUI1" t="s">
        <v>4826</v>
      </c>
      <c r="DUJ1" t="s">
        <v>4827</v>
      </c>
      <c r="DUK1" t="s">
        <v>4828</v>
      </c>
      <c r="DUL1" t="s">
        <v>4829</v>
      </c>
      <c r="DUM1" t="s">
        <v>4830</v>
      </c>
      <c r="DUN1" t="s">
        <v>4831</v>
      </c>
      <c r="DUO1" t="s">
        <v>4832</v>
      </c>
      <c r="DUP1" t="s">
        <v>4833</v>
      </c>
      <c r="DUQ1" t="s">
        <v>4834</v>
      </c>
      <c r="DUR1" t="s">
        <v>4835</v>
      </c>
      <c r="DUS1" t="s">
        <v>4836</v>
      </c>
      <c r="DUT1" t="s">
        <v>4837</v>
      </c>
      <c r="DUU1" t="s">
        <v>4838</v>
      </c>
      <c r="DUV1" t="s">
        <v>4839</v>
      </c>
      <c r="DUW1" t="s">
        <v>4840</v>
      </c>
      <c r="DUX1" t="s">
        <v>4841</v>
      </c>
      <c r="DUY1" t="s">
        <v>4842</v>
      </c>
      <c r="DUZ1" t="s">
        <v>4843</v>
      </c>
      <c r="DVA1" t="s">
        <v>4844</v>
      </c>
      <c r="DVB1" t="s">
        <v>4845</v>
      </c>
      <c r="DVC1" t="s">
        <v>4846</v>
      </c>
      <c r="DVD1" t="s">
        <v>4847</v>
      </c>
      <c r="DVE1" t="s">
        <v>4848</v>
      </c>
      <c r="DVF1" t="s">
        <v>4849</v>
      </c>
      <c r="DVG1" t="s">
        <v>4850</v>
      </c>
      <c r="DVH1" t="s">
        <v>4851</v>
      </c>
      <c r="DVI1" t="s">
        <v>4852</v>
      </c>
      <c r="DVJ1" t="s">
        <v>4853</v>
      </c>
      <c r="DVK1" t="s">
        <v>4854</v>
      </c>
      <c r="DVL1" t="s">
        <v>4855</v>
      </c>
      <c r="DVM1" t="s">
        <v>4856</v>
      </c>
      <c r="DVN1" t="s">
        <v>4857</v>
      </c>
      <c r="DVO1" t="s">
        <v>4858</v>
      </c>
      <c r="DVP1" t="s">
        <v>4859</v>
      </c>
      <c r="DVQ1" t="s">
        <v>4860</v>
      </c>
      <c r="DVR1" t="s">
        <v>4861</v>
      </c>
      <c r="DVS1" t="s">
        <v>4862</v>
      </c>
      <c r="DVT1" t="s">
        <v>4863</v>
      </c>
      <c r="DVU1" t="s">
        <v>4864</v>
      </c>
      <c r="DVV1" t="s">
        <v>4865</v>
      </c>
      <c r="DVW1" t="s">
        <v>4866</v>
      </c>
      <c r="DVX1" t="s">
        <v>4867</v>
      </c>
      <c r="DVY1" t="s">
        <v>4868</v>
      </c>
      <c r="DVZ1" t="s">
        <v>4869</v>
      </c>
      <c r="DWA1" t="s">
        <v>4870</v>
      </c>
      <c r="DWB1" t="s">
        <v>4871</v>
      </c>
      <c r="DWC1" t="s">
        <v>4872</v>
      </c>
      <c r="DWD1" t="s">
        <v>4873</v>
      </c>
      <c r="DWE1" t="s">
        <v>4874</v>
      </c>
      <c r="DWF1" t="s">
        <v>4875</v>
      </c>
      <c r="DWG1" t="s">
        <v>4876</v>
      </c>
      <c r="DWH1" t="s">
        <v>4877</v>
      </c>
      <c r="DWI1" t="s">
        <v>4878</v>
      </c>
      <c r="DWJ1" t="s">
        <v>4879</v>
      </c>
      <c r="DWK1" t="s">
        <v>4880</v>
      </c>
      <c r="DWL1" t="s">
        <v>4881</v>
      </c>
      <c r="DWM1" t="s">
        <v>4882</v>
      </c>
      <c r="DWN1" t="s">
        <v>4883</v>
      </c>
      <c r="DWO1" t="s">
        <v>4884</v>
      </c>
      <c r="DWP1" t="s">
        <v>4885</v>
      </c>
      <c r="DWQ1" t="s">
        <v>4886</v>
      </c>
      <c r="DWR1" t="s">
        <v>4887</v>
      </c>
      <c r="DWS1" t="s">
        <v>4888</v>
      </c>
      <c r="DWT1" t="s">
        <v>4889</v>
      </c>
      <c r="DWU1" t="s">
        <v>4890</v>
      </c>
      <c r="DWV1" t="s">
        <v>4891</v>
      </c>
      <c r="DWW1" t="s">
        <v>4892</v>
      </c>
      <c r="DWX1" t="s">
        <v>4893</v>
      </c>
      <c r="DWY1" t="s">
        <v>4894</v>
      </c>
      <c r="DWZ1" t="s">
        <v>4895</v>
      </c>
      <c r="DXA1" t="s">
        <v>4896</v>
      </c>
      <c r="DXB1" t="s">
        <v>4897</v>
      </c>
      <c r="DXC1" t="s">
        <v>4898</v>
      </c>
      <c r="DXD1" t="s">
        <v>4899</v>
      </c>
      <c r="DXE1" t="s">
        <v>4900</v>
      </c>
      <c r="DXF1" t="s">
        <v>4901</v>
      </c>
      <c r="DXG1" t="s">
        <v>4902</v>
      </c>
      <c r="DXH1" t="s">
        <v>4903</v>
      </c>
      <c r="DXI1" t="s">
        <v>4904</v>
      </c>
      <c r="DXJ1" t="s">
        <v>4905</v>
      </c>
      <c r="DXK1" t="s">
        <v>4906</v>
      </c>
      <c r="DXL1" t="s">
        <v>4907</v>
      </c>
      <c r="DXM1" t="s">
        <v>4908</v>
      </c>
      <c r="DXN1" t="s">
        <v>4909</v>
      </c>
      <c r="DXO1" t="s">
        <v>4910</v>
      </c>
      <c r="DXP1" t="s">
        <v>4911</v>
      </c>
      <c r="DXQ1" t="s">
        <v>4912</v>
      </c>
      <c r="DXR1" t="s">
        <v>4913</v>
      </c>
      <c r="DXS1" t="s">
        <v>4914</v>
      </c>
      <c r="DXT1" t="s">
        <v>4915</v>
      </c>
      <c r="DXU1" t="s">
        <v>4916</v>
      </c>
      <c r="DXV1" t="s">
        <v>4917</v>
      </c>
      <c r="DXW1" t="s">
        <v>4918</v>
      </c>
      <c r="DXX1" t="s">
        <v>4919</v>
      </c>
      <c r="DXY1" t="s">
        <v>4920</v>
      </c>
      <c r="DXZ1" t="s">
        <v>4921</v>
      </c>
      <c r="DYA1" t="s">
        <v>4922</v>
      </c>
      <c r="DYB1" t="s">
        <v>4923</v>
      </c>
      <c r="DYC1" t="s">
        <v>4924</v>
      </c>
      <c r="DYD1" t="s">
        <v>4925</v>
      </c>
      <c r="DYE1" t="s">
        <v>4926</v>
      </c>
      <c r="DYF1" t="s">
        <v>4927</v>
      </c>
      <c r="DYG1" t="s">
        <v>4928</v>
      </c>
      <c r="DYH1" t="s">
        <v>4929</v>
      </c>
      <c r="DYI1" t="s">
        <v>4930</v>
      </c>
      <c r="DYJ1" t="s">
        <v>4931</v>
      </c>
      <c r="DYK1" t="s">
        <v>4932</v>
      </c>
      <c r="DYL1" t="s">
        <v>4933</v>
      </c>
      <c r="DYM1" t="s">
        <v>4934</v>
      </c>
      <c r="DYN1" t="s">
        <v>4935</v>
      </c>
      <c r="DYO1" t="s">
        <v>4936</v>
      </c>
      <c r="DYP1" t="s">
        <v>4937</v>
      </c>
      <c r="DYQ1" t="s">
        <v>4938</v>
      </c>
      <c r="DYR1" t="s">
        <v>4939</v>
      </c>
      <c r="DYS1" t="s">
        <v>4940</v>
      </c>
      <c r="DYT1" t="s">
        <v>4941</v>
      </c>
      <c r="DYU1" t="s">
        <v>4942</v>
      </c>
      <c r="DYV1" t="s">
        <v>4943</v>
      </c>
      <c r="DYW1" t="s">
        <v>4944</v>
      </c>
      <c r="DYX1" t="s">
        <v>4945</v>
      </c>
      <c r="DYY1" t="s">
        <v>4946</v>
      </c>
      <c r="DYZ1" t="s">
        <v>4947</v>
      </c>
      <c r="DZA1" t="s">
        <v>4948</v>
      </c>
      <c r="DZB1" t="s">
        <v>4949</v>
      </c>
      <c r="DZC1" t="s">
        <v>4950</v>
      </c>
      <c r="DZD1" t="s">
        <v>4951</v>
      </c>
      <c r="DZE1" t="s">
        <v>4952</v>
      </c>
      <c r="DZF1" t="s">
        <v>4953</v>
      </c>
      <c r="DZG1" t="s">
        <v>4954</v>
      </c>
      <c r="DZH1" t="s">
        <v>4955</v>
      </c>
      <c r="DZI1" t="s">
        <v>4956</v>
      </c>
      <c r="DZJ1" t="s">
        <v>4957</v>
      </c>
      <c r="DZK1" t="s">
        <v>4958</v>
      </c>
      <c r="DZL1" t="s">
        <v>4959</v>
      </c>
      <c r="DZM1" t="s">
        <v>4960</v>
      </c>
      <c r="DZN1" t="s">
        <v>4961</v>
      </c>
      <c r="DZO1" t="s">
        <v>4962</v>
      </c>
      <c r="DZP1" t="s">
        <v>4963</v>
      </c>
      <c r="DZQ1" t="s">
        <v>4964</v>
      </c>
      <c r="DZR1" t="s">
        <v>4965</v>
      </c>
      <c r="DZS1" t="s">
        <v>4966</v>
      </c>
      <c r="DZT1" t="s">
        <v>4967</v>
      </c>
      <c r="DZU1" t="s">
        <v>4968</v>
      </c>
      <c r="DZV1" t="s">
        <v>4969</v>
      </c>
      <c r="DZW1" t="s">
        <v>4970</v>
      </c>
      <c r="DZX1" t="s">
        <v>4971</v>
      </c>
      <c r="DZY1" t="s">
        <v>4972</v>
      </c>
      <c r="DZZ1" t="s">
        <v>4973</v>
      </c>
      <c r="EAA1" t="s">
        <v>4974</v>
      </c>
      <c r="EAB1" t="s">
        <v>4975</v>
      </c>
      <c r="EAC1" t="s">
        <v>4976</v>
      </c>
      <c r="EAD1" t="s">
        <v>4977</v>
      </c>
      <c r="EAE1" t="s">
        <v>4978</v>
      </c>
      <c r="EAF1" t="s">
        <v>4979</v>
      </c>
      <c r="EAG1" t="s">
        <v>4980</v>
      </c>
      <c r="EAH1" t="s">
        <v>4981</v>
      </c>
      <c r="EAI1" t="s">
        <v>4982</v>
      </c>
      <c r="EAJ1" t="s">
        <v>4983</v>
      </c>
      <c r="EAK1" t="s">
        <v>4984</v>
      </c>
      <c r="EAL1" t="s">
        <v>4985</v>
      </c>
      <c r="EAM1" t="s">
        <v>4986</v>
      </c>
      <c r="EAN1" t="s">
        <v>4987</v>
      </c>
      <c r="EAO1" t="s">
        <v>4988</v>
      </c>
      <c r="EAP1" t="s">
        <v>4989</v>
      </c>
      <c r="EAQ1" t="s">
        <v>4990</v>
      </c>
      <c r="EAR1" t="s">
        <v>4991</v>
      </c>
      <c r="EAS1" t="s">
        <v>4992</v>
      </c>
      <c r="EAT1" t="s">
        <v>4993</v>
      </c>
      <c r="EAU1" t="s">
        <v>4994</v>
      </c>
      <c r="EAV1" t="s">
        <v>4995</v>
      </c>
      <c r="EAW1" t="s">
        <v>4996</v>
      </c>
      <c r="EAX1" t="s">
        <v>4997</v>
      </c>
      <c r="EAY1" t="s">
        <v>4998</v>
      </c>
      <c r="EAZ1" t="s">
        <v>4999</v>
      </c>
      <c r="EBA1" t="s">
        <v>5000</v>
      </c>
      <c r="EBB1" t="s">
        <v>5001</v>
      </c>
      <c r="EBC1" t="s">
        <v>5002</v>
      </c>
      <c r="EBD1" t="s">
        <v>5003</v>
      </c>
      <c r="EBE1" t="s">
        <v>5004</v>
      </c>
      <c r="EBF1" t="s">
        <v>5005</v>
      </c>
      <c r="EBG1" t="s">
        <v>5006</v>
      </c>
      <c r="EBH1" t="s">
        <v>5007</v>
      </c>
      <c r="EBI1" t="s">
        <v>5008</v>
      </c>
      <c r="EBJ1" t="s">
        <v>5009</v>
      </c>
      <c r="EBK1" t="s">
        <v>5010</v>
      </c>
      <c r="EBL1" t="s">
        <v>5011</v>
      </c>
      <c r="EBM1" t="s">
        <v>5012</v>
      </c>
      <c r="EBN1" t="s">
        <v>5013</v>
      </c>
      <c r="EBO1" t="s">
        <v>5014</v>
      </c>
      <c r="EBP1" t="s">
        <v>5015</v>
      </c>
      <c r="EBQ1" t="s">
        <v>5016</v>
      </c>
      <c r="EBR1" t="s">
        <v>5017</v>
      </c>
      <c r="EBS1" t="s">
        <v>5018</v>
      </c>
      <c r="EBT1" t="s">
        <v>5019</v>
      </c>
      <c r="EBU1" t="s">
        <v>5020</v>
      </c>
      <c r="EBV1" t="s">
        <v>5021</v>
      </c>
      <c r="EBW1" t="s">
        <v>5022</v>
      </c>
      <c r="EBX1" t="s">
        <v>5023</v>
      </c>
      <c r="EBY1" t="s">
        <v>5024</v>
      </c>
      <c r="EBZ1" t="s">
        <v>5025</v>
      </c>
      <c r="ECA1" t="s">
        <v>5026</v>
      </c>
      <c r="ECB1" t="s">
        <v>5027</v>
      </c>
      <c r="ECC1" t="s">
        <v>5028</v>
      </c>
      <c r="ECD1" t="s">
        <v>5029</v>
      </c>
      <c r="ECE1" t="s">
        <v>5030</v>
      </c>
      <c r="ECF1" t="s">
        <v>5031</v>
      </c>
      <c r="ECG1" t="s">
        <v>5032</v>
      </c>
      <c r="ECH1" t="s">
        <v>5033</v>
      </c>
      <c r="ECI1" t="s">
        <v>5034</v>
      </c>
      <c r="ECJ1" t="s">
        <v>5035</v>
      </c>
      <c r="ECK1" t="s">
        <v>5036</v>
      </c>
      <c r="ECL1" t="s">
        <v>5037</v>
      </c>
      <c r="ECM1" t="s">
        <v>5038</v>
      </c>
      <c r="ECN1" t="s">
        <v>5039</v>
      </c>
      <c r="ECO1" t="s">
        <v>5040</v>
      </c>
      <c r="ECP1" t="s">
        <v>5041</v>
      </c>
      <c r="ECQ1" t="s">
        <v>5042</v>
      </c>
      <c r="ECR1" t="s">
        <v>5043</v>
      </c>
      <c r="ECS1" t="s">
        <v>5044</v>
      </c>
      <c r="ECT1" t="s">
        <v>5045</v>
      </c>
      <c r="ECU1" t="s">
        <v>5046</v>
      </c>
      <c r="ECV1" t="s">
        <v>5047</v>
      </c>
      <c r="ECW1" t="s">
        <v>5048</v>
      </c>
      <c r="ECX1" t="s">
        <v>5049</v>
      </c>
      <c r="ECY1" t="s">
        <v>5050</v>
      </c>
      <c r="ECZ1" t="s">
        <v>5051</v>
      </c>
      <c r="EDA1" t="s">
        <v>5052</v>
      </c>
      <c r="EDB1" t="s">
        <v>5053</v>
      </c>
      <c r="EDC1" t="s">
        <v>5054</v>
      </c>
      <c r="EDD1" t="s">
        <v>5055</v>
      </c>
      <c r="EDE1" t="s">
        <v>5056</v>
      </c>
      <c r="EDF1" t="s">
        <v>5057</v>
      </c>
      <c r="EDG1" t="s">
        <v>5058</v>
      </c>
      <c r="EDH1" t="s">
        <v>5059</v>
      </c>
      <c r="EDI1" t="s">
        <v>5060</v>
      </c>
      <c r="EDJ1" t="s">
        <v>5061</v>
      </c>
      <c r="EDK1" t="s">
        <v>5062</v>
      </c>
      <c r="EDL1" t="s">
        <v>5063</v>
      </c>
      <c r="EDM1" t="s">
        <v>5064</v>
      </c>
      <c r="EDN1" t="s">
        <v>5065</v>
      </c>
      <c r="EDO1" t="s">
        <v>5066</v>
      </c>
      <c r="EDP1" t="s">
        <v>5067</v>
      </c>
      <c r="EDQ1" t="s">
        <v>5068</v>
      </c>
      <c r="EDR1" t="s">
        <v>5069</v>
      </c>
      <c r="EDS1" t="s">
        <v>5070</v>
      </c>
      <c r="EDT1" t="s">
        <v>5071</v>
      </c>
      <c r="EDU1" t="s">
        <v>5072</v>
      </c>
      <c r="EDV1" t="s">
        <v>5073</v>
      </c>
      <c r="EDW1" t="s">
        <v>5074</v>
      </c>
      <c r="EDX1" t="s">
        <v>5075</v>
      </c>
      <c r="EDY1" t="s">
        <v>5076</v>
      </c>
      <c r="EDZ1" t="s">
        <v>5077</v>
      </c>
      <c r="EEA1" t="s">
        <v>5078</v>
      </c>
      <c r="EEB1" t="s">
        <v>5079</v>
      </c>
      <c r="EEC1" t="s">
        <v>5080</v>
      </c>
      <c r="EED1" t="s">
        <v>5081</v>
      </c>
      <c r="EEE1" t="s">
        <v>5082</v>
      </c>
      <c r="EEF1" t="s">
        <v>5083</v>
      </c>
      <c r="EEG1" t="s">
        <v>5084</v>
      </c>
      <c r="EEH1" t="s">
        <v>5085</v>
      </c>
      <c r="EEI1" t="s">
        <v>5086</v>
      </c>
      <c r="EEJ1" t="s">
        <v>5087</v>
      </c>
      <c r="EEK1" t="s">
        <v>5088</v>
      </c>
      <c r="EEL1" t="s">
        <v>5089</v>
      </c>
      <c r="EEM1" t="s">
        <v>5090</v>
      </c>
      <c r="EEN1" t="s">
        <v>5091</v>
      </c>
      <c r="EEO1" t="s">
        <v>5092</v>
      </c>
      <c r="EEP1" t="s">
        <v>5093</v>
      </c>
      <c r="EEQ1" t="s">
        <v>5094</v>
      </c>
      <c r="EER1" t="s">
        <v>5095</v>
      </c>
      <c r="EES1" t="s">
        <v>5096</v>
      </c>
      <c r="EET1" t="s">
        <v>5097</v>
      </c>
      <c r="EEU1" t="s">
        <v>5098</v>
      </c>
      <c r="EEV1" t="s">
        <v>5099</v>
      </c>
      <c r="EEW1" t="s">
        <v>5100</v>
      </c>
      <c r="EEX1" t="s">
        <v>5101</v>
      </c>
      <c r="EEY1" t="s">
        <v>5102</v>
      </c>
      <c r="EEZ1" t="s">
        <v>5103</v>
      </c>
      <c r="EFA1" t="s">
        <v>5104</v>
      </c>
      <c r="EFB1" t="s">
        <v>5105</v>
      </c>
      <c r="EFC1" t="s">
        <v>5106</v>
      </c>
      <c r="EFD1" t="s">
        <v>5107</v>
      </c>
      <c r="EFE1" t="s">
        <v>5108</v>
      </c>
      <c r="EFF1" t="s">
        <v>5109</v>
      </c>
      <c r="EFG1" t="s">
        <v>5110</v>
      </c>
      <c r="EFH1" t="s">
        <v>5111</v>
      </c>
      <c r="EFI1" t="s">
        <v>5112</v>
      </c>
      <c r="EFJ1" t="s">
        <v>5113</v>
      </c>
      <c r="EFK1" t="s">
        <v>5114</v>
      </c>
      <c r="EFL1" t="s">
        <v>5115</v>
      </c>
      <c r="EFM1" t="s">
        <v>5116</v>
      </c>
      <c r="EFN1" t="s">
        <v>5117</v>
      </c>
      <c r="EFO1" t="s">
        <v>5118</v>
      </c>
      <c r="EFP1" t="s">
        <v>5119</v>
      </c>
      <c r="EFQ1" t="s">
        <v>5120</v>
      </c>
      <c r="EFR1" t="s">
        <v>5121</v>
      </c>
      <c r="EFS1" t="s">
        <v>5122</v>
      </c>
      <c r="EFT1" t="s">
        <v>5123</v>
      </c>
      <c r="EFU1" t="s">
        <v>5124</v>
      </c>
      <c r="EFV1" t="s">
        <v>5125</v>
      </c>
      <c r="EFW1" t="s">
        <v>5126</v>
      </c>
      <c r="EFX1" t="s">
        <v>5127</v>
      </c>
      <c r="EFY1" t="s">
        <v>5128</v>
      </c>
      <c r="EFZ1" t="s">
        <v>5129</v>
      </c>
      <c r="EGA1" t="s">
        <v>5130</v>
      </c>
      <c r="EGB1" t="s">
        <v>5131</v>
      </c>
      <c r="EGC1" t="s">
        <v>5132</v>
      </c>
      <c r="EGD1" t="s">
        <v>5133</v>
      </c>
      <c r="EGE1" t="s">
        <v>5134</v>
      </c>
      <c r="EGF1" t="s">
        <v>5135</v>
      </c>
      <c r="EGG1" t="s">
        <v>5136</v>
      </c>
      <c r="EGH1" t="s">
        <v>5137</v>
      </c>
      <c r="EGI1" t="s">
        <v>5138</v>
      </c>
      <c r="EGJ1" t="s">
        <v>5139</v>
      </c>
      <c r="EGK1" t="s">
        <v>5140</v>
      </c>
      <c r="EGL1" t="s">
        <v>5141</v>
      </c>
      <c r="EGM1" t="s">
        <v>5142</v>
      </c>
      <c r="EGN1" t="s">
        <v>5143</v>
      </c>
      <c r="EGO1" t="s">
        <v>5144</v>
      </c>
      <c r="EGP1" t="s">
        <v>5145</v>
      </c>
      <c r="EGQ1" t="s">
        <v>5146</v>
      </c>
      <c r="EGR1" t="s">
        <v>5147</v>
      </c>
      <c r="EGS1" t="s">
        <v>5148</v>
      </c>
      <c r="EGT1" t="s">
        <v>5149</v>
      </c>
      <c r="EGU1" t="s">
        <v>5150</v>
      </c>
      <c r="EGV1" t="s">
        <v>5151</v>
      </c>
      <c r="EGW1" t="s">
        <v>5152</v>
      </c>
      <c r="EGX1" t="s">
        <v>5153</v>
      </c>
      <c r="EGY1" t="s">
        <v>5154</v>
      </c>
      <c r="EGZ1" t="s">
        <v>5155</v>
      </c>
      <c r="EHA1" t="s">
        <v>5156</v>
      </c>
      <c r="EHB1" t="s">
        <v>5157</v>
      </c>
      <c r="EHC1" t="s">
        <v>5158</v>
      </c>
      <c r="EHD1" t="s">
        <v>5159</v>
      </c>
      <c r="EHE1" t="s">
        <v>5160</v>
      </c>
      <c r="EHF1" t="s">
        <v>5161</v>
      </c>
      <c r="EHG1" t="s">
        <v>5162</v>
      </c>
      <c r="EHH1" t="s">
        <v>5163</v>
      </c>
      <c r="EHI1" t="s">
        <v>5164</v>
      </c>
      <c r="EHJ1" t="s">
        <v>5165</v>
      </c>
      <c r="EHK1" t="s">
        <v>5166</v>
      </c>
      <c r="EHL1" t="s">
        <v>5167</v>
      </c>
      <c r="EHM1" t="s">
        <v>5168</v>
      </c>
      <c r="EHN1" t="s">
        <v>5169</v>
      </c>
      <c r="EHO1" t="s">
        <v>5170</v>
      </c>
      <c r="EHP1" t="s">
        <v>5171</v>
      </c>
      <c r="EHQ1" t="s">
        <v>5172</v>
      </c>
      <c r="EHR1" t="s">
        <v>5173</v>
      </c>
      <c r="EHS1" t="s">
        <v>5174</v>
      </c>
      <c r="EHT1" t="s">
        <v>5175</v>
      </c>
      <c r="EHU1" t="s">
        <v>5176</v>
      </c>
      <c r="EHV1" t="s">
        <v>5177</v>
      </c>
      <c r="EHW1" t="s">
        <v>5178</v>
      </c>
      <c r="EHX1" t="s">
        <v>5179</v>
      </c>
      <c r="EHY1" t="s">
        <v>5180</v>
      </c>
      <c r="EHZ1" t="s">
        <v>5181</v>
      </c>
      <c r="EIA1" t="s">
        <v>5182</v>
      </c>
      <c r="EIB1" t="s">
        <v>5183</v>
      </c>
      <c r="EIC1" t="s">
        <v>5184</v>
      </c>
      <c r="EID1" t="s">
        <v>5185</v>
      </c>
      <c r="EIE1" t="s">
        <v>5186</v>
      </c>
      <c r="EIF1" t="s">
        <v>5187</v>
      </c>
      <c r="EIG1" t="s">
        <v>5188</v>
      </c>
      <c r="EIH1" t="s">
        <v>5189</v>
      </c>
      <c r="EII1" t="s">
        <v>5190</v>
      </c>
      <c r="EIJ1" t="s">
        <v>5191</v>
      </c>
      <c r="EIK1" t="s">
        <v>5192</v>
      </c>
      <c r="EIL1" t="s">
        <v>5193</v>
      </c>
      <c r="EIM1" t="s">
        <v>5194</v>
      </c>
      <c r="EIN1" t="s">
        <v>5195</v>
      </c>
      <c r="EIO1" t="s">
        <v>5196</v>
      </c>
      <c r="EIP1" t="s">
        <v>5197</v>
      </c>
      <c r="EIQ1" t="s">
        <v>5198</v>
      </c>
      <c r="EIR1" t="s">
        <v>5199</v>
      </c>
      <c r="EIS1" t="s">
        <v>5200</v>
      </c>
      <c r="EIT1" t="s">
        <v>5201</v>
      </c>
      <c r="EIU1" t="s">
        <v>5202</v>
      </c>
      <c r="EIV1" t="s">
        <v>5203</v>
      </c>
      <c r="EIW1" t="s">
        <v>5204</v>
      </c>
      <c r="EIX1" t="s">
        <v>5205</v>
      </c>
      <c r="EIY1" t="s">
        <v>5206</v>
      </c>
      <c r="EIZ1" t="s">
        <v>5207</v>
      </c>
      <c r="EJA1" t="s">
        <v>5208</v>
      </c>
      <c r="EJB1" t="s">
        <v>5209</v>
      </c>
      <c r="EJC1" t="s">
        <v>5210</v>
      </c>
      <c r="EJD1" t="s">
        <v>5211</v>
      </c>
      <c r="EJE1" t="s">
        <v>5212</v>
      </c>
      <c r="EJF1" t="s">
        <v>5213</v>
      </c>
      <c r="EJG1" t="s">
        <v>5214</v>
      </c>
      <c r="EJH1" t="s">
        <v>5215</v>
      </c>
      <c r="EJI1" t="s">
        <v>5216</v>
      </c>
      <c r="EJJ1" t="s">
        <v>5217</v>
      </c>
      <c r="EJK1" t="s">
        <v>5218</v>
      </c>
      <c r="EJL1" t="s">
        <v>5219</v>
      </c>
      <c r="EJM1" t="s">
        <v>5220</v>
      </c>
      <c r="EJN1" t="s">
        <v>5221</v>
      </c>
      <c r="EJO1" t="s">
        <v>5222</v>
      </c>
      <c r="EJP1" t="s">
        <v>5223</v>
      </c>
      <c r="EJQ1" t="s">
        <v>5224</v>
      </c>
      <c r="EJR1" t="s">
        <v>5225</v>
      </c>
      <c r="EJS1" t="s">
        <v>5226</v>
      </c>
      <c r="EJT1" t="s">
        <v>5227</v>
      </c>
      <c r="EJU1" t="s">
        <v>5228</v>
      </c>
      <c r="EJV1" t="s">
        <v>5229</v>
      </c>
      <c r="EJW1" t="s">
        <v>5230</v>
      </c>
      <c r="EJX1" t="s">
        <v>5231</v>
      </c>
      <c r="EJY1" t="s">
        <v>5232</v>
      </c>
      <c r="EJZ1" t="s">
        <v>5233</v>
      </c>
      <c r="EKA1" t="s">
        <v>5234</v>
      </c>
      <c r="EKB1" t="s">
        <v>5235</v>
      </c>
      <c r="EKC1" t="s">
        <v>5236</v>
      </c>
      <c r="EKD1" t="s">
        <v>5237</v>
      </c>
      <c r="EKE1" t="s">
        <v>5238</v>
      </c>
      <c r="EKF1" t="s">
        <v>5239</v>
      </c>
      <c r="EKG1" t="s">
        <v>5240</v>
      </c>
      <c r="EKH1" t="s">
        <v>5241</v>
      </c>
      <c r="EKI1" t="s">
        <v>5242</v>
      </c>
      <c r="EKJ1" t="s">
        <v>5243</v>
      </c>
      <c r="EKK1" t="s">
        <v>5244</v>
      </c>
      <c r="EKL1" t="s">
        <v>5245</v>
      </c>
      <c r="EKM1" t="s">
        <v>5246</v>
      </c>
      <c r="EKN1" t="s">
        <v>5247</v>
      </c>
      <c r="EKO1" t="s">
        <v>5248</v>
      </c>
      <c r="EKP1" t="s">
        <v>5249</v>
      </c>
      <c r="EKQ1" t="s">
        <v>5250</v>
      </c>
      <c r="EKR1" t="s">
        <v>5251</v>
      </c>
      <c r="EKS1" t="s">
        <v>5252</v>
      </c>
      <c r="EKT1" t="s">
        <v>5253</v>
      </c>
      <c r="EKU1" t="s">
        <v>5254</v>
      </c>
      <c r="EKV1" t="s">
        <v>5255</v>
      </c>
      <c r="EKW1" t="s">
        <v>5256</v>
      </c>
      <c r="EKX1" t="s">
        <v>5257</v>
      </c>
      <c r="EKY1" t="s">
        <v>5258</v>
      </c>
      <c r="EKZ1" t="s">
        <v>5259</v>
      </c>
      <c r="ELA1" t="s">
        <v>5260</v>
      </c>
      <c r="ELB1" t="s">
        <v>5261</v>
      </c>
      <c r="ELC1" t="s">
        <v>5262</v>
      </c>
      <c r="ELD1" t="s">
        <v>5263</v>
      </c>
      <c r="ELE1" t="s">
        <v>5264</v>
      </c>
      <c r="ELF1" t="s">
        <v>5265</v>
      </c>
      <c r="ELG1" t="s">
        <v>5266</v>
      </c>
      <c r="ELH1" t="s">
        <v>5267</v>
      </c>
      <c r="ELI1" t="s">
        <v>5268</v>
      </c>
      <c r="ELJ1" t="s">
        <v>5269</v>
      </c>
      <c r="ELK1" t="s">
        <v>5270</v>
      </c>
      <c r="ELL1" t="s">
        <v>5271</v>
      </c>
      <c r="ELM1" t="s">
        <v>5272</v>
      </c>
      <c r="ELN1" t="s">
        <v>5273</v>
      </c>
      <c r="ELO1" t="s">
        <v>5274</v>
      </c>
      <c r="ELP1" t="s">
        <v>5275</v>
      </c>
      <c r="ELQ1" t="s">
        <v>5276</v>
      </c>
      <c r="ELR1" t="s">
        <v>5277</v>
      </c>
      <c r="ELS1" t="s">
        <v>5278</v>
      </c>
      <c r="ELT1" t="s">
        <v>5279</v>
      </c>
      <c r="ELU1" t="s">
        <v>5280</v>
      </c>
      <c r="ELV1" t="s">
        <v>5281</v>
      </c>
      <c r="ELW1" t="s">
        <v>5282</v>
      </c>
      <c r="ELX1" t="s">
        <v>5283</v>
      </c>
      <c r="ELY1" t="s">
        <v>5284</v>
      </c>
      <c r="ELZ1" t="s">
        <v>5285</v>
      </c>
      <c r="EMA1" t="s">
        <v>5286</v>
      </c>
      <c r="EMB1" t="s">
        <v>5287</v>
      </c>
      <c r="EMC1" t="s">
        <v>5288</v>
      </c>
      <c r="EMD1" t="s">
        <v>5289</v>
      </c>
      <c r="EME1" t="s">
        <v>5290</v>
      </c>
      <c r="EMF1" t="s">
        <v>5291</v>
      </c>
      <c r="EMG1" t="s">
        <v>5292</v>
      </c>
      <c r="EMH1" t="s">
        <v>5293</v>
      </c>
      <c r="EMI1" t="s">
        <v>5294</v>
      </c>
      <c r="EMJ1" t="s">
        <v>5295</v>
      </c>
      <c r="EMK1" t="s">
        <v>5296</v>
      </c>
      <c r="EML1" t="s">
        <v>5297</v>
      </c>
      <c r="EMM1" t="s">
        <v>5298</v>
      </c>
      <c r="EMN1" t="s">
        <v>5299</v>
      </c>
      <c r="EMO1" t="s">
        <v>5300</v>
      </c>
      <c r="EMP1" t="s">
        <v>5301</v>
      </c>
      <c r="EMQ1" t="s">
        <v>5302</v>
      </c>
      <c r="EMR1" t="s">
        <v>5303</v>
      </c>
      <c r="EMS1" t="s">
        <v>5304</v>
      </c>
      <c r="EMT1" t="s">
        <v>5305</v>
      </c>
      <c r="EMU1" t="s">
        <v>5306</v>
      </c>
      <c r="EMV1" t="s">
        <v>5307</v>
      </c>
      <c r="EMW1" t="s">
        <v>5308</v>
      </c>
      <c r="EMX1" t="s">
        <v>5309</v>
      </c>
      <c r="EMY1" t="s">
        <v>5310</v>
      </c>
      <c r="EMZ1" t="s">
        <v>5311</v>
      </c>
      <c r="ENA1" t="s">
        <v>5312</v>
      </c>
      <c r="ENB1" t="s">
        <v>5313</v>
      </c>
      <c r="ENC1" t="s">
        <v>5314</v>
      </c>
      <c r="END1" t="s">
        <v>5315</v>
      </c>
      <c r="ENE1" t="s">
        <v>5316</v>
      </c>
      <c r="ENF1" t="s">
        <v>5317</v>
      </c>
      <c r="ENG1" t="s">
        <v>5318</v>
      </c>
      <c r="ENH1" t="s">
        <v>5319</v>
      </c>
      <c r="ENI1" t="s">
        <v>5320</v>
      </c>
      <c r="ENJ1" t="s">
        <v>5321</v>
      </c>
      <c r="ENK1" t="s">
        <v>5322</v>
      </c>
      <c r="ENL1" t="s">
        <v>5323</v>
      </c>
      <c r="ENM1" t="s">
        <v>5324</v>
      </c>
      <c r="ENN1" t="s">
        <v>5325</v>
      </c>
      <c r="ENO1" t="s">
        <v>5326</v>
      </c>
      <c r="ENP1" t="s">
        <v>5327</v>
      </c>
      <c r="ENQ1" t="s">
        <v>5328</v>
      </c>
      <c r="ENR1" t="s">
        <v>5329</v>
      </c>
      <c r="ENS1" t="s">
        <v>5330</v>
      </c>
      <c r="ENT1" t="s">
        <v>5331</v>
      </c>
      <c r="ENU1" t="s">
        <v>5332</v>
      </c>
      <c r="ENV1" t="s">
        <v>5333</v>
      </c>
      <c r="ENW1" t="s">
        <v>5334</v>
      </c>
      <c r="ENX1" t="s">
        <v>5335</v>
      </c>
      <c r="ENY1" t="s">
        <v>5336</v>
      </c>
      <c r="ENZ1" t="s">
        <v>5337</v>
      </c>
      <c r="EOA1" t="s">
        <v>5338</v>
      </c>
      <c r="EOB1" t="s">
        <v>5339</v>
      </c>
      <c r="EOC1" t="s">
        <v>5340</v>
      </c>
      <c r="EOD1" t="s">
        <v>5341</v>
      </c>
      <c r="EOE1" t="s">
        <v>5342</v>
      </c>
      <c r="EOF1" t="s">
        <v>5343</v>
      </c>
      <c r="EOG1" t="s">
        <v>5344</v>
      </c>
      <c r="EOH1" t="s">
        <v>5345</v>
      </c>
      <c r="EOI1" t="s">
        <v>5346</v>
      </c>
      <c r="EOJ1" t="s">
        <v>5347</v>
      </c>
      <c r="EOK1" t="s">
        <v>5348</v>
      </c>
      <c r="EOL1" t="s">
        <v>5349</v>
      </c>
      <c r="EOM1" t="s">
        <v>5350</v>
      </c>
      <c r="EON1" t="s">
        <v>5351</v>
      </c>
      <c r="EOO1" t="s">
        <v>5352</v>
      </c>
      <c r="EOP1" t="s">
        <v>5353</v>
      </c>
      <c r="EOQ1" t="s">
        <v>5354</v>
      </c>
      <c r="EOR1" t="s">
        <v>5355</v>
      </c>
      <c r="EOS1" t="s">
        <v>5356</v>
      </c>
      <c r="EOT1" t="s">
        <v>5357</v>
      </c>
      <c r="EOU1" t="s">
        <v>5358</v>
      </c>
      <c r="EOV1" t="s">
        <v>5359</v>
      </c>
      <c r="EOW1" t="s">
        <v>5360</v>
      </c>
      <c r="EOX1" t="s">
        <v>5361</v>
      </c>
      <c r="EOY1" t="s">
        <v>5362</v>
      </c>
      <c r="EOZ1" t="s">
        <v>5363</v>
      </c>
      <c r="EPA1" t="s">
        <v>5364</v>
      </c>
      <c r="EPB1" t="s">
        <v>5365</v>
      </c>
      <c r="EPC1" t="s">
        <v>5366</v>
      </c>
      <c r="EPD1" t="s">
        <v>5367</v>
      </c>
      <c r="EPE1" t="s">
        <v>5368</v>
      </c>
      <c r="EPF1" t="s">
        <v>5369</v>
      </c>
      <c r="EPG1" t="s">
        <v>5370</v>
      </c>
      <c r="EPH1" t="s">
        <v>5371</v>
      </c>
      <c r="EPI1" t="s">
        <v>5372</v>
      </c>
      <c r="EPJ1" t="s">
        <v>5373</v>
      </c>
      <c r="EPK1" t="s">
        <v>5374</v>
      </c>
      <c r="EPL1" t="s">
        <v>5375</v>
      </c>
      <c r="EPM1" t="s">
        <v>5376</v>
      </c>
      <c r="EPN1" t="s">
        <v>5377</v>
      </c>
      <c r="EPO1" t="s">
        <v>5378</v>
      </c>
      <c r="EPP1" t="s">
        <v>5379</v>
      </c>
      <c r="EPQ1" t="s">
        <v>5380</v>
      </c>
      <c r="EPR1" t="s">
        <v>5381</v>
      </c>
      <c r="EPS1" t="s">
        <v>5382</v>
      </c>
      <c r="EPT1" t="s">
        <v>5383</v>
      </c>
      <c r="EPU1" t="s">
        <v>5384</v>
      </c>
      <c r="EPV1" t="s">
        <v>5385</v>
      </c>
      <c r="EPW1" t="s">
        <v>5386</v>
      </c>
      <c r="EPX1" t="s">
        <v>5387</v>
      </c>
      <c r="EPY1" t="s">
        <v>5388</v>
      </c>
      <c r="EPZ1" t="s">
        <v>5389</v>
      </c>
      <c r="EQA1" t="s">
        <v>5390</v>
      </c>
      <c r="EQB1" t="s">
        <v>5391</v>
      </c>
      <c r="EQC1" t="s">
        <v>5392</v>
      </c>
      <c r="EQD1" t="s">
        <v>5393</v>
      </c>
      <c r="EQE1" t="s">
        <v>5394</v>
      </c>
      <c r="EQF1" t="s">
        <v>5395</v>
      </c>
      <c r="EQG1" t="s">
        <v>5396</v>
      </c>
      <c r="EQH1" t="s">
        <v>5397</v>
      </c>
      <c r="EQI1" t="s">
        <v>5398</v>
      </c>
      <c r="EQJ1" t="s">
        <v>5399</v>
      </c>
      <c r="EQK1" t="s">
        <v>5400</v>
      </c>
      <c r="EQL1" t="s">
        <v>5401</v>
      </c>
      <c r="EQM1" t="s">
        <v>5402</v>
      </c>
      <c r="EQN1" t="s">
        <v>5403</v>
      </c>
      <c r="EQO1" t="s">
        <v>5404</v>
      </c>
      <c r="EQP1" t="s">
        <v>5405</v>
      </c>
      <c r="EQQ1" t="s">
        <v>5406</v>
      </c>
      <c r="EQR1" t="s">
        <v>5407</v>
      </c>
      <c r="EQS1" t="s">
        <v>5408</v>
      </c>
      <c r="EQT1" t="s">
        <v>5409</v>
      </c>
      <c r="EQU1" t="s">
        <v>5410</v>
      </c>
      <c r="EQV1" t="s">
        <v>5411</v>
      </c>
      <c r="EQW1" t="s">
        <v>5412</v>
      </c>
      <c r="EQX1" t="s">
        <v>5413</v>
      </c>
      <c r="EQY1" t="s">
        <v>5414</v>
      </c>
      <c r="EQZ1" t="s">
        <v>5415</v>
      </c>
      <c r="ERA1" t="s">
        <v>5416</v>
      </c>
      <c r="ERB1" t="s">
        <v>5417</v>
      </c>
      <c r="ERC1" t="s">
        <v>5418</v>
      </c>
      <c r="ERD1" t="s">
        <v>5419</v>
      </c>
      <c r="ERE1" t="s">
        <v>5420</v>
      </c>
      <c r="ERF1" t="s">
        <v>5421</v>
      </c>
      <c r="ERG1" t="s">
        <v>5422</v>
      </c>
      <c r="ERH1" t="s">
        <v>5423</v>
      </c>
      <c r="ERI1" t="s">
        <v>5424</v>
      </c>
      <c r="ERJ1" t="s">
        <v>5425</v>
      </c>
      <c r="ERK1" t="s">
        <v>5426</v>
      </c>
      <c r="ERL1" t="s">
        <v>5427</v>
      </c>
      <c r="ERM1" t="s">
        <v>5428</v>
      </c>
      <c r="ERN1" t="s">
        <v>5429</v>
      </c>
      <c r="ERO1" t="s">
        <v>5430</v>
      </c>
      <c r="ERP1" t="s">
        <v>5431</v>
      </c>
      <c r="ERQ1" t="s">
        <v>5432</v>
      </c>
      <c r="ERR1" t="s">
        <v>5433</v>
      </c>
      <c r="ERS1" t="s">
        <v>5434</v>
      </c>
      <c r="ERT1" t="s">
        <v>5435</v>
      </c>
      <c r="ERU1" t="s">
        <v>5436</v>
      </c>
      <c r="ERV1" t="s">
        <v>5437</v>
      </c>
      <c r="ERW1" t="s">
        <v>5438</v>
      </c>
      <c r="ERX1" t="s">
        <v>5439</v>
      </c>
      <c r="ERY1" t="s">
        <v>5440</v>
      </c>
      <c r="ERZ1" t="s">
        <v>5441</v>
      </c>
      <c r="ESA1" t="s">
        <v>5442</v>
      </c>
      <c r="ESB1" t="s">
        <v>5443</v>
      </c>
      <c r="ESC1" t="s">
        <v>5444</v>
      </c>
      <c r="ESD1" t="s">
        <v>5445</v>
      </c>
      <c r="ESE1" t="s">
        <v>5446</v>
      </c>
      <c r="ESF1" t="s">
        <v>5447</v>
      </c>
      <c r="ESG1" t="s">
        <v>5448</v>
      </c>
      <c r="ESH1" t="s">
        <v>5449</v>
      </c>
      <c r="ESI1" t="s">
        <v>5450</v>
      </c>
      <c r="ESJ1" t="s">
        <v>5451</v>
      </c>
      <c r="ESK1" t="s">
        <v>5452</v>
      </c>
      <c r="ESL1" t="s">
        <v>5453</v>
      </c>
      <c r="ESM1" t="s">
        <v>5454</v>
      </c>
      <c r="ESN1" t="s">
        <v>5455</v>
      </c>
      <c r="ESO1" t="s">
        <v>5456</v>
      </c>
      <c r="ESP1" t="s">
        <v>5457</v>
      </c>
      <c r="ESQ1" t="s">
        <v>5458</v>
      </c>
      <c r="ESR1" t="s">
        <v>5459</v>
      </c>
      <c r="ESS1" t="s">
        <v>5460</v>
      </c>
      <c r="EST1" t="s">
        <v>5461</v>
      </c>
      <c r="ESU1" t="s">
        <v>5462</v>
      </c>
      <c r="ESV1" t="s">
        <v>5463</v>
      </c>
      <c r="ESW1" t="s">
        <v>5464</v>
      </c>
      <c r="ESX1" t="s">
        <v>5465</v>
      </c>
      <c r="ESY1" t="s">
        <v>5466</v>
      </c>
      <c r="ESZ1" t="s">
        <v>5467</v>
      </c>
      <c r="ETA1" t="s">
        <v>5468</v>
      </c>
      <c r="ETB1" t="s">
        <v>5469</v>
      </c>
      <c r="ETC1" t="s">
        <v>5470</v>
      </c>
      <c r="ETD1" t="s">
        <v>5471</v>
      </c>
      <c r="ETE1" t="s">
        <v>5472</v>
      </c>
      <c r="ETF1" t="s">
        <v>5473</v>
      </c>
      <c r="ETG1" t="s">
        <v>5474</v>
      </c>
      <c r="ETH1" t="s">
        <v>5475</v>
      </c>
      <c r="ETI1" t="s">
        <v>5476</v>
      </c>
      <c r="ETJ1" t="s">
        <v>5477</v>
      </c>
      <c r="ETK1" t="s">
        <v>5478</v>
      </c>
      <c r="ETL1" t="s">
        <v>5479</v>
      </c>
      <c r="ETM1" t="s">
        <v>5480</v>
      </c>
      <c r="ETN1" t="s">
        <v>5481</v>
      </c>
      <c r="ETO1" t="s">
        <v>5482</v>
      </c>
      <c r="ETP1" t="s">
        <v>5483</v>
      </c>
      <c r="ETQ1" t="s">
        <v>5484</v>
      </c>
      <c r="ETR1" t="s">
        <v>5485</v>
      </c>
      <c r="ETS1" t="s">
        <v>5486</v>
      </c>
      <c r="ETT1" t="s">
        <v>5487</v>
      </c>
      <c r="ETU1" t="s">
        <v>5488</v>
      </c>
      <c r="ETV1" t="s">
        <v>5489</v>
      </c>
      <c r="ETW1" t="s">
        <v>5490</v>
      </c>
      <c r="ETX1" t="s">
        <v>5491</v>
      </c>
      <c r="ETY1" t="s">
        <v>5492</v>
      </c>
      <c r="ETZ1" t="s">
        <v>5493</v>
      </c>
      <c r="EUA1" t="s">
        <v>5494</v>
      </c>
      <c r="EUB1" t="s">
        <v>5495</v>
      </c>
      <c r="EUC1" t="s">
        <v>5496</v>
      </c>
      <c r="EUD1" t="s">
        <v>5497</v>
      </c>
      <c r="EUE1" t="s">
        <v>5498</v>
      </c>
      <c r="EUF1" t="s">
        <v>5499</v>
      </c>
      <c r="EUG1" t="s">
        <v>5500</v>
      </c>
      <c r="EUH1" t="s">
        <v>5501</v>
      </c>
      <c r="EUI1" t="s">
        <v>5502</v>
      </c>
      <c r="EUJ1" t="s">
        <v>5503</v>
      </c>
      <c r="EUK1" t="s">
        <v>5504</v>
      </c>
      <c r="EUL1" t="s">
        <v>5505</v>
      </c>
      <c r="EUM1" t="s">
        <v>5506</v>
      </c>
      <c r="EUN1" t="s">
        <v>5507</v>
      </c>
      <c r="EUO1" t="s">
        <v>5508</v>
      </c>
      <c r="EUP1" t="s">
        <v>5509</v>
      </c>
      <c r="EUQ1" t="s">
        <v>5510</v>
      </c>
      <c r="EUR1" t="s">
        <v>5511</v>
      </c>
      <c r="EUS1" t="s">
        <v>5512</v>
      </c>
      <c r="EUT1" t="s">
        <v>5513</v>
      </c>
      <c r="EUU1" t="s">
        <v>5514</v>
      </c>
      <c r="EUV1" t="s">
        <v>5515</v>
      </c>
      <c r="EUW1" t="s">
        <v>5516</v>
      </c>
      <c r="EUX1" t="s">
        <v>5517</v>
      </c>
      <c r="EUY1" t="s">
        <v>5518</v>
      </c>
      <c r="EUZ1" t="s">
        <v>5519</v>
      </c>
      <c r="EVA1" t="s">
        <v>5520</v>
      </c>
      <c r="EVB1" t="s">
        <v>5521</v>
      </c>
      <c r="EVC1" t="s">
        <v>5522</v>
      </c>
      <c r="EVD1" t="s">
        <v>5523</v>
      </c>
      <c r="EVE1" t="s">
        <v>5524</v>
      </c>
      <c r="EVF1" t="s">
        <v>5525</v>
      </c>
      <c r="EVG1" t="s">
        <v>5526</v>
      </c>
      <c r="EVH1" t="s">
        <v>5527</v>
      </c>
      <c r="EVI1" t="s">
        <v>5528</v>
      </c>
      <c r="EVJ1" t="s">
        <v>5529</v>
      </c>
      <c r="EVK1" t="s">
        <v>5530</v>
      </c>
      <c r="EVL1" t="s">
        <v>5531</v>
      </c>
      <c r="EVM1" t="s">
        <v>5532</v>
      </c>
      <c r="EVN1" t="s">
        <v>5533</v>
      </c>
      <c r="EVO1" t="s">
        <v>5534</v>
      </c>
      <c r="EVP1" t="s">
        <v>5535</v>
      </c>
      <c r="EVQ1" t="s">
        <v>5536</v>
      </c>
      <c r="EVR1" t="s">
        <v>5537</v>
      </c>
      <c r="EVS1" t="s">
        <v>5538</v>
      </c>
      <c r="EVT1" t="s">
        <v>5539</v>
      </c>
      <c r="EVU1" t="s">
        <v>5540</v>
      </c>
      <c r="EVV1" t="s">
        <v>5541</v>
      </c>
      <c r="EVW1" t="s">
        <v>5542</v>
      </c>
      <c r="EVX1" t="s">
        <v>5543</v>
      </c>
      <c r="EVY1" t="s">
        <v>5544</v>
      </c>
      <c r="EVZ1" t="s">
        <v>5545</v>
      </c>
      <c r="EWA1" t="s">
        <v>5546</v>
      </c>
      <c r="EWB1" t="s">
        <v>5547</v>
      </c>
      <c r="EWC1" t="s">
        <v>5548</v>
      </c>
      <c r="EWD1" t="s">
        <v>5549</v>
      </c>
      <c r="EWE1" t="s">
        <v>5550</v>
      </c>
      <c r="EWF1" t="s">
        <v>5551</v>
      </c>
      <c r="EWG1" t="s">
        <v>5552</v>
      </c>
      <c r="EWH1" t="s">
        <v>5553</v>
      </c>
      <c r="EWI1" t="s">
        <v>5554</v>
      </c>
      <c r="EWJ1" t="s">
        <v>5555</v>
      </c>
      <c r="EWK1" t="s">
        <v>5556</v>
      </c>
      <c r="EWL1" t="s">
        <v>5557</v>
      </c>
      <c r="EWM1" t="s">
        <v>5558</v>
      </c>
      <c r="EWN1" t="s">
        <v>5559</v>
      </c>
      <c r="EWO1" t="s">
        <v>5560</v>
      </c>
      <c r="EWP1" t="s">
        <v>5561</v>
      </c>
      <c r="EWQ1" t="s">
        <v>5562</v>
      </c>
      <c r="EWR1" t="s">
        <v>5563</v>
      </c>
      <c r="EWS1" t="s">
        <v>5564</v>
      </c>
      <c r="EWT1" t="s">
        <v>5565</v>
      </c>
      <c r="EWU1" t="s">
        <v>5566</v>
      </c>
      <c r="EWV1" t="s">
        <v>5567</v>
      </c>
      <c r="EWW1" t="s">
        <v>5568</v>
      </c>
      <c r="EWX1" t="s">
        <v>5569</v>
      </c>
      <c r="EWY1" t="s">
        <v>5570</v>
      </c>
      <c r="EWZ1" t="s">
        <v>5571</v>
      </c>
      <c r="EXA1" t="s">
        <v>5572</v>
      </c>
      <c r="EXB1" t="s">
        <v>5573</v>
      </c>
      <c r="EXC1" t="s">
        <v>5574</v>
      </c>
      <c r="EXD1" t="s">
        <v>5575</v>
      </c>
      <c r="EXE1" t="s">
        <v>5576</v>
      </c>
      <c r="EXF1" t="s">
        <v>5577</v>
      </c>
      <c r="EXG1" t="s">
        <v>5578</v>
      </c>
      <c r="EXH1" t="s">
        <v>5579</v>
      </c>
      <c r="EXI1" t="s">
        <v>5580</v>
      </c>
      <c r="EXJ1" t="s">
        <v>5581</v>
      </c>
      <c r="EXK1" t="s">
        <v>5582</v>
      </c>
      <c r="EXL1" t="s">
        <v>5583</v>
      </c>
      <c r="EXM1" t="s">
        <v>5584</v>
      </c>
      <c r="EXN1" t="s">
        <v>5585</v>
      </c>
      <c r="EXO1" t="s">
        <v>5586</v>
      </c>
      <c r="EXP1" t="s">
        <v>5587</v>
      </c>
      <c r="EXQ1" t="s">
        <v>5588</v>
      </c>
      <c r="EXR1" t="s">
        <v>5589</v>
      </c>
      <c r="EXS1" t="s">
        <v>5590</v>
      </c>
      <c r="EXT1" t="s">
        <v>5591</v>
      </c>
      <c r="EXU1" t="s">
        <v>5592</v>
      </c>
      <c r="EXV1" t="s">
        <v>5593</v>
      </c>
      <c r="EXW1" t="s">
        <v>5594</v>
      </c>
      <c r="EXX1" t="s">
        <v>5595</v>
      </c>
      <c r="EXY1" t="s">
        <v>5596</v>
      </c>
      <c r="EXZ1" t="s">
        <v>5597</v>
      </c>
      <c r="EYA1" t="s">
        <v>5598</v>
      </c>
      <c r="EYB1" t="s">
        <v>5599</v>
      </c>
      <c r="EYC1" t="s">
        <v>5600</v>
      </c>
      <c r="EYD1" t="s">
        <v>5601</v>
      </c>
      <c r="EYE1" t="s">
        <v>5602</v>
      </c>
      <c r="EYF1" t="s">
        <v>5603</v>
      </c>
      <c r="EYG1" t="s">
        <v>5604</v>
      </c>
      <c r="EYH1" t="s">
        <v>5605</v>
      </c>
      <c r="EYI1" t="s">
        <v>5606</v>
      </c>
      <c r="EYJ1" t="s">
        <v>5607</v>
      </c>
      <c r="EYK1" t="s">
        <v>5608</v>
      </c>
      <c r="EYL1" t="s">
        <v>5609</v>
      </c>
      <c r="EYM1" t="s">
        <v>5610</v>
      </c>
      <c r="EYN1" t="s">
        <v>5611</v>
      </c>
      <c r="EYO1" t="s">
        <v>5612</v>
      </c>
      <c r="EYP1" t="s">
        <v>5613</v>
      </c>
      <c r="EYQ1" t="s">
        <v>5614</v>
      </c>
      <c r="EYR1" t="s">
        <v>5615</v>
      </c>
      <c r="EYS1" t="s">
        <v>5616</v>
      </c>
      <c r="EYT1" t="s">
        <v>5617</v>
      </c>
      <c r="EYU1" t="s">
        <v>5618</v>
      </c>
      <c r="EYV1" t="s">
        <v>5619</v>
      </c>
      <c r="EYW1" t="s">
        <v>5620</v>
      </c>
      <c r="EYX1" t="s">
        <v>5621</v>
      </c>
      <c r="EYY1" t="s">
        <v>5622</v>
      </c>
      <c r="EYZ1" t="s">
        <v>5623</v>
      </c>
      <c r="EZA1" t="s">
        <v>5624</v>
      </c>
      <c r="EZB1" t="s">
        <v>5625</v>
      </c>
      <c r="EZC1" t="s">
        <v>5626</v>
      </c>
      <c r="EZD1" t="s">
        <v>5627</v>
      </c>
      <c r="EZE1" t="s">
        <v>5628</v>
      </c>
      <c r="EZF1" t="s">
        <v>5629</v>
      </c>
      <c r="EZG1" t="s">
        <v>5630</v>
      </c>
      <c r="EZH1" t="s">
        <v>5631</v>
      </c>
      <c r="EZI1" t="s">
        <v>5632</v>
      </c>
      <c r="EZJ1" t="s">
        <v>5633</v>
      </c>
      <c r="EZK1" t="s">
        <v>5634</v>
      </c>
      <c r="EZL1" t="s">
        <v>5635</v>
      </c>
      <c r="EZM1" t="s">
        <v>5636</v>
      </c>
      <c r="EZN1" t="s">
        <v>5637</v>
      </c>
      <c r="EZO1" t="s">
        <v>5638</v>
      </c>
      <c r="EZP1" t="s">
        <v>5639</v>
      </c>
      <c r="EZQ1" t="s">
        <v>5640</v>
      </c>
      <c r="EZR1" t="s">
        <v>5641</v>
      </c>
      <c r="EZS1" t="s">
        <v>5642</v>
      </c>
      <c r="EZT1" t="s">
        <v>5643</v>
      </c>
      <c r="EZU1" t="s">
        <v>5644</v>
      </c>
      <c r="EZV1" t="s">
        <v>5645</v>
      </c>
      <c r="EZW1" t="s">
        <v>5646</v>
      </c>
      <c r="EZX1" t="s">
        <v>5647</v>
      </c>
      <c r="EZY1" t="s">
        <v>5648</v>
      </c>
      <c r="EZZ1" t="s">
        <v>5649</v>
      </c>
      <c r="FAA1" t="s">
        <v>5650</v>
      </c>
      <c r="FAB1" t="s">
        <v>5651</v>
      </c>
      <c r="FAC1" t="s">
        <v>5652</v>
      </c>
      <c r="FAD1" t="s">
        <v>5653</v>
      </c>
      <c r="FAE1" t="s">
        <v>5654</v>
      </c>
      <c r="FAF1" t="s">
        <v>5655</v>
      </c>
      <c r="FAG1" t="s">
        <v>5656</v>
      </c>
      <c r="FAH1" t="s">
        <v>5657</v>
      </c>
      <c r="FAI1" t="s">
        <v>5658</v>
      </c>
      <c r="FAJ1" t="s">
        <v>5659</v>
      </c>
      <c r="FAK1" t="s">
        <v>5660</v>
      </c>
      <c r="FAL1" t="s">
        <v>5661</v>
      </c>
      <c r="FAM1" t="s">
        <v>5662</v>
      </c>
      <c r="FAN1" t="s">
        <v>5663</v>
      </c>
      <c r="FAO1" t="s">
        <v>5664</v>
      </c>
      <c r="FAP1" t="s">
        <v>5665</v>
      </c>
      <c r="FAQ1" t="s">
        <v>5666</v>
      </c>
      <c r="FAR1" t="s">
        <v>5667</v>
      </c>
      <c r="FAS1" t="s">
        <v>5668</v>
      </c>
      <c r="FAT1" t="s">
        <v>5669</v>
      </c>
      <c r="FAU1" t="s">
        <v>5670</v>
      </c>
      <c r="FAV1" t="s">
        <v>5671</v>
      </c>
      <c r="FAW1" t="s">
        <v>5672</v>
      </c>
      <c r="FAX1" t="s">
        <v>5673</v>
      </c>
      <c r="FAY1" t="s">
        <v>5674</v>
      </c>
      <c r="FAZ1" t="s">
        <v>5675</v>
      </c>
      <c r="FBA1" t="s">
        <v>5676</v>
      </c>
      <c r="FBB1" t="s">
        <v>5677</v>
      </c>
      <c r="FBC1" t="s">
        <v>5678</v>
      </c>
      <c r="FBD1" t="s">
        <v>5679</v>
      </c>
      <c r="FBE1" t="s">
        <v>5680</v>
      </c>
      <c r="FBF1" t="s">
        <v>5681</v>
      </c>
      <c r="FBG1" t="s">
        <v>5682</v>
      </c>
      <c r="FBH1" t="s">
        <v>5683</v>
      </c>
      <c r="FBI1" t="s">
        <v>5684</v>
      </c>
      <c r="FBJ1" t="s">
        <v>5685</v>
      </c>
      <c r="FBK1" t="s">
        <v>5686</v>
      </c>
      <c r="FBL1" t="s">
        <v>5687</v>
      </c>
      <c r="FBM1" t="s">
        <v>5688</v>
      </c>
      <c r="FBN1" t="s">
        <v>5689</v>
      </c>
      <c r="FBO1" t="s">
        <v>5690</v>
      </c>
      <c r="FBP1" t="s">
        <v>5691</v>
      </c>
      <c r="FBQ1" t="s">
        <v>5692</v>
      </c>
      <c r="FBR1" t="s">
        <v>5693</v>
      </c>
      <c r="FBS1" t="s">
        <v>5694</v>
      </c>
      <c r="FBT1" t="s">
        <v>5695</v>
      </c>
      <c r="FBU1" t="s">
        <v>5696</v>
      </c>
      <c r="FBV1" t="s">
        <v>5697</v>
      </c>
      <c r="FBW1" t="s">
        <v>5698</v>
      </c>
      <c r="FBX1" t="s">
        <v>5699</v>
      </c>
      <c r="FBY1" t="s">
        <v>5700</v>
      </c>
      <c r="FBZ1" t="s">
        <v>5701</v>
      </c>
      <c r="FCA1" t="s">
        <v>5702</v>
      </c>
      <c r="FCB1" t="s">
        <v>5703</v>
      </c>
      <c r="FCC1" t="s">
        <v>5704</v>
      </c>
      <c r="FCD1" t="s">
        <v>5705</v>
      </c>
      <c r="FCE1" t="s">
        <v>5706</v>
      </c>
      <c r="FCF1" t="s">
        <v>5707</v>
      </c>
      <c r="FCG1" t="s">
        <v>5708</v>
      </c>
      <c r="FCH1" t="s">
        <v>5709</v>
      </c>
      <c r="FCI1" t="s">
        <v>5710</v>
      </c>
      <c r="FCJ1" t="s">
        <v>5711</v>
      </c>
      <c r="FCK1" t="s">
        <v>5712</v>
      </c>
      <c r="FCL1" t="s">
        <v>5713</v>
      </c>
      <c r="FCM1" t="s">
        <v>5714</v>
      </c>
      <c r="FCN1" t="s">
        <v>5715</v>
      </c>
      <c r="FCO1" t="s">
        <v>5716</v>
      </c>
      <c r="FCP1" t="s">
        <v>5717</v>
      </c>
      <c r="FCQ1" t="s">
        <v>5718</v>
      </c>
      <c r="FCR1" t="s">
        <v>5719</v>
      </c>
      <c r="FCS1" t="s">
        <v>5720</v>
      </c>
      <c r="FCT1" t="s">
        <v>5721</v>
      </c>
      <c r="FCU1" t="s">
        <v>5722</v>
      </c>
      <c r="FCV1" t="s">
        <v>5723</v>
      </c>
      <c r="FCW1" t="s">
        <v>5724</v>
      </c>
      <c r="FCX1" t="s">
        <v>5725</v>
      </c>
      <c r="FCY1" t="s">
        <v>5726</v>
      </c>
      <c r="FCZ1" t="s">
        <v>5727</v>
      </c>
      <c r="FDA1" t="s">
        <v>5728</v>
      </c>
      <c r="FDB1" t="s">
        <v>5729</v>
      </c>
      <c r="FDC1" t="s">
        <v>5730</v>
      </c>
      <c r="FDD1" t="s">
        <v>5731</v>
      </c>
      <c r="FDE1" t="s">
        <v>5732</v>
      </c>
      <c r="FDF1" t="s">
        <v>5733</v>
      </c>
      <c r="FDG1" t="s">
        <v>5734</v>
      </c>
      <c r="FDH1" t="s">
        <v>5735</v>
      </c>
      <c r="FDI1" t="s">
        <v>5736</v>
      </c>
      <c r="FDJ1" t="s">
        <v>5737</v>
      </c>
      <c r="FDK1" t="s">
        <v>5738</v>
      </c>
      <c r="FDL1" t="s">
        <v>5739</v>
      </c>
      <c r="FDM1" t="s">
        <v>5740</v>
      </c>
      <c r="FDN1" t="s">
        <v>5741</v>
      </c>
      <c r="FDO1" t="s">
        <v>5742</v>
      </c>
      <c r="FDP1" t="s">
        <v>5743</v>
      </c>
      <c r="FDQ1" t="s">
        <v>5744</v>
      </c>
      <c r="FDR1" t="s">
        <v>5745</v>
      </c>
      <c r="FDS1" t="s">
        <v>5746</v>
      </c>
      <c r="FDT1" t="s">
        <v>5747</v>
      </c>
      <c r="FDU1" t="s">
        <v>5748</v>
      </c>
      <c r="FDV1" t="s">
        <v>5749</v>
      </c>
      <c r="FDW1" t="s">
        <v>5750</v>
      </c>
      <c r="FDX1" t="s">
        <v>5751</v>
      </c>
      <c r="FDY1" t="s">
        <v>5752</v>
      </c>
      <c r="FDZ1" t="s">
        <v>5753</v>
      </c>
      <c r="FEA1" t="s">
        <v>5754</v>
      </c>
      <c r="FEB1" t="s">
        <v>5755</v>
      </c>
      <c r="FEC1" t="s">
        <v>5756</v>
      </c>
      <c r="FED1" t="s">
        <v>5757</v>
      </c>
      <c r="FEE1" t="s">
        <v>5758</v>
      </c>
      <c r="FEF1" t="s">
        <v>5759</v>
      </c>
      <c r="FEG1" t="s">
        <v>5760</v>
      </c>
      <c r="FEH1" t="s">
        <v>5761</v>
      </c>
      <c r="FEI1" t="s">
        <v>5762</v>
      </c>
      <c r="FEJ1" t="s">
        <v>5763</v>
      </c>
      <c r="FEK1" t="s">
        <v>5764</v>
      </c>
      <c r="FEL1" t="s">
        <v>5765</v>
      </c>
      <c r="FEM1" t="s">
        <v>5766</v>
      </c>
      <c r="FEN1" t="s">
        <v>5767</v>
      </c>
      <c r="FEO1" t="s">
        <v>5768</v>
      </c>
      <c r="FEP1" t="s">
        <v>5769</v>
      </c>
      <c r="FEQ1" t="s">
        <v>5770</v>
      </c>
      <c r="FER1" t="s">
        <v>5771</v>
      </c>
      <c r="FES1" t="s">
        <v>5772</v>
      </c>
      <c r="FET1" t="s">
        <v>5773</v>
      </c>
      <c r="FEU1" t="s">
        <v>5774</v>
      </c>
      <c r="FEV1" t="s">
        <v>5775</v>
      </c>
      <c r="FEW1" t="s">
        <v>5776</v>
      </c>
      <c r="FEX1" t="s">
        <v>5777</v>
      </c>
      <c r="FEY1" t="s">
        <v>5778</v>
      </c>
      <c r="FEZ1" t="s">
        <v>5779</v>
      </c>
      <c r="FFA1" t="s">
        <v>5780</v>
      </c>
      <c r="FFB1" t="s">
        <v>5781</v>
      </c>
      <c r="FFC1" t="s">
        <v>5782</v>
      </c>
      <c r="FFD1" t="s">
        <v>5783</v>
      </c>
      <c r="FFE1" t="s">
        <v>5784</v>
      </c>
      <c r="FFF1" t="s">
        <v>5785</v>
      </c>
      <c r="FFG1" t="s">
        <v>5786</v>
      </c>
      <c r="FFH1" t="s">
        <v>5787</v>
      </c>
      <c r="FFI1" t="s">
        <v>5788</v>
      </c>
      <c r="FFJ1" t="s">
        <v>5789</v>
      </c>
      <c r="FFK1" t="s">
        <v>5790</v>
      </c>
      <c r="FFL1" t="s">
        <v>5791</v>
      </c>
      <c r="FFM1" t="s">
        <v>5792</v>
      </c>
      <c r="FFN1" t="s">
        <v>5793</v>
      </c>
      <c r="FFO1" t="s">
        <v>5794</v>
      </c>
      <c r="FFP1" t="s">
        <v>5795</v>
      </c>
      <c r="FFQ1" t="s">
        <v>5796</v>
      </c>
      <c r="FFR1" t="s">
        <v>5797</v>
      </c>
      <c r="FFS1" t="s">
        <v>5798</v>
      </c>
      <c r="FFT1" t="s">
        <v>5799</v>
      </c>
      <c r="FFU1" t="s">
        <v>5800</v>
      </c>
      <c r="FFV1" t="s">
        <v>5801</v>
      </c>
      <c r="FFW1" t="s">
        <v>5802</v>
      </c>
      <c r="FFX1" t="s">
        <v>5803</v>
      </c>
      <c r="FFY1" t="s">
        <v>5804</v>
      </c>
      <c r="FFZ1" t="s">
        <v>5805</v>
      </c>
      <c r="FGA1" t="s">
        <v>5806</v>
      </c>
      <c r="FGB1" t="s">
        <v>5807</v>
      </c>
      <c r="FGC1" t="s">
        <v>5808</v>
      </c>
      <c r="FGD1" t="s">
        <v>5809</v>
      </c>
      <c r="FGE1" t="s">
        <v>5810</v>
      </c>
      <c r="FGF1" t="s">
        <v>5811</v>
      </c>
      <c r="FGG1" t="s">
        <v>5812</v>
      </c>
      <c r="FGH1" t="s">
        <v>5813</v>
      </c>
      <c r="FGI1" t="s">
        <v>5814</v>
      </c>
      <c r="FGJ1" t="s">
        <v>5815</v>
      </c>
      <c r="FGK1" t="s">
        <v>5816</v>
      </c>
      <c r="FGL1" t="s">
        <v>5817</v>
      </c>
      <c r="FGM1" t="s">
        <v>5818</v>
      </c>
      <c r="FGN1" t="s">
        <v>5819</v>
      </c>
      <c r="FGO1" t="s">
        <v>5820</v>
      </c>
      <c r="FGP1" t="s">
        <v>5821</v>
      </c>
      <c r="FGQ1" t="s">
        <v>5822</v>
      </c>
      <c r="FGR1" t="s">
        <v>5823</v>
      </c>
      <c r="FGS1" t="s">
        <v>5824</v>
      </c>
      <c r="FGT1" t="s">
        <v>5825</v>
      </c>
      <c r="FGU1" t="s">
        <v>5826</v>
      </c>
      <c r="FGV1" t="s">
        <v>5827</v>
      </c>
      <c r="FGW1" t="s">
        <v>5828</v>
      </c>
      <c r="FGX1" t="s">
        <v>5829</v>
      </c>
      <c r="FGY1" t="s">
        <v>5830</v>
      </c>
      <c r="FGZ1" t="s">
        <v>5831</v>
      </c>
      <c r="FHA1" t="s">
        <v>5832</v>
      </c>
      <c r="FHB1" t="s">
        <v>5833</v>
      </c>
      <c r="FHC1" t="s">
        <v>5834</v>
      </c>
      <c r="FHD1" t="s">
        <v>5835</v>
      </c>
      <c r="FHE1" t="s">
        <v>5836</v>
      </c>
      <c r="FHF1" t="s">
        <v>5837</v>
      </c>
      <c r="FHG1" t="s">
        <v>5838</v>
      </c>
      <c r="FHH1" t="s">
        <v>5839</v>
      </c>
      <c r="FHI1" t="s">
        <v>5840</v>
      </c>
      <c r="FHJ1" t="s">
        <v>5841</v>
      </c>
      <c r="FHK1" t="s">
        <v>5842</v>
      </c>
      <c r="FHL1" t="s">
        <v>5843</v>
      </c>
      <c r="FHM1" t="s">
        <v>5844</v>
      </c>
      <c r="FHN1" t="s">
        <v>5845</v>
      </c>
      <c r="FHO1" t="s">
        <v>5846</v>
      </c>
      <c r="FHP1" t="s">
        <v>5847</v>
      </c>
      <c r="FHQ1" t="s">
        <v>5848</v>
      </c>
      <c r="FHR1" t="s">
        <v>5849</v>
      </c>
      <c r="FHS1" t="s">
        <v>5850</v>
      </c>
      <c r="FHT1" t="s">
        <v>5851</v>
      </c>
      <c r="FHU1" t="s">
        <v>5852</v>
      </c>
      <c r="FHV1" t="s">
        <v>5853</v>
      </c>
      <c r="FHW1" t="s">
        <v>5854</v>
      </c>
      <c r="FHX1" t="s">
        <v>5855</v>
      </c>
      <c r="FHY1" t="s">
        <v>5856</v>
      </c>
      <c r="FHZ1" t="s">
        <v>5857</v>
      </c>
      <c r="FIA1" t="s">
        <v>5858</v>
      </c>
      <c r="FIB1" t="s">
        <v>5859</v>
      </c>
      <c r="FIC1" t="s">
        <v>5860</v>
      </c>
      <c r="FID1" t="s">
        <v>5861</v>
      </c>
      <c r="FIE1" t="s">
        <v>5862</v>
      </c>
      <c r="FIF1" t="s">
        <v>5863</v>
      </c>
      <c r="FIG1" t="s">
        <v>5864</v>
      </c>
      <c r="FIH1" t="s">
        <v>5865</v>
      </c>
      <c r="FII1" t="s">
        <v>5866</v>
      </c>
      <c r="FIJ1" t="s">
        <v>5867</v>
      </c>
      <c r="FIK1" t="s">
        <v>5868</v>
      </c>
      <c r="FIL1" t="s">
        <v>5869</v>
      </c>
      <c r="FIM1" t="s">
        <v>5870</v>
      </c>
      <c r="FIN1" t="s">
        <v>5871</v>
      </c>
      <c r="FIO1" t="s">
        <v>5872</v>
      </c>
      <c r="FIP1" t="s">
        <v>5873</v>
      </c>
      <c r="FIQ1" t="s">
        <v>5874</v>
      </c>
      <c r="FIR1" t="s">
        <v>5875</v>
      </c>
      <c r="FIS1" t="s">
        <v>5876</v>
      </c>
      <c r="FIT1" t="s">
        <v>5877</v>
      </c>
      <c r="FIU1" t="s">
        <v>5878</v>
      </c>
      <c r="FIV1" t="s">
        <v>5879</v>
      </c>
      <c r="FIW1" t="s">
        <v>5880</v>
      </c>
      <c r="FIX1" t="s">
        <v>5881</v>
      </c>
      <c r="FIY1" t="s">
        <v>5882</v>
      </c>
      <c r="FIZ1" t="s">
        <v>5883</v>
      </c>
      <c r="FJA1" t="s">
        <v>5884</v>
      </c>
      <c r="FJB1" t="s">
        <v>5885</v>
      </c>
      <c r="FJC1" t="s">
        <v>5886</v>
      </c>
      <c r="FJD1" t="s">
        <v>5887</v>
      </c>
      <c r="FJE1" t="s">
        <v>5888</v>
      </c>
      <c r="FJF1" t="s">
        <v>5889</v>
      </c>
      <c r="FJG1" t="s">
        <v>5890</v>
      </c>
      <c r="FJH1" t="s">
        <v>5891</v>
      </c>
      <c r="FJI1" t="s">
        <v>5892</v>
      </c>
      <c r="FJJ1" t="s">
        <v>5893</v>
      </c>
      <c r="FJK1" t="s">
        <v>5894</v>
      </c>
      <c r="FJL1" t="s">
        <v>5895</v>
      </c>
      <c r="FJM1" t="s">
        <v>5896</v>
      </c>
      <c r="FJN1" t="s">
        <v>5897</v>
      </c>
      <c r="FJO1" t="s">
        <v>5898</v>
      </c>
      <c r="FJP1" t="s">
        <v>5899</v>
      </c>
      <c r="FJQ1" t="s">
        <v>5900</v>
      </c>
      <c r="FJR1" t="s">
        <v>5901</v>
      </c>
      <c r="FJS1" t="s">
        <v>5902</v>
      </c>
      <c r="FJT1" t="s">
        <v>5903</v>
      </c>
      <c r="FJU1" t="s">
        <v>5904</v>
      </c>
      <c r="FJV1" t="s">
        <v>5905</v>
      </c>
      <c r="FJW1" t="s">
        <v>5906</v>
      </c>
      <c r="FJX1" t="s">
        <v>5907</v>
      </c>
      <c r="FJY1" t="s">
        <v>5908</v>
      </c>
      <c r="FJZ1" t="s">
        <v>5909</v>
      </c>
      <c r="FKA1" t="s">
        <v>5910</v>
      </c>
      <c r="FKB1" t="s">
        <v>5911</v>
      </c>
      <c r="FKC1" t="s">
        <v>5912</v>
      </c>
      <c r="FKD1" t="s">
        <v>5913</v>
      </c>
      <c r="FKE1" t="s">
        <v>5914</v>
      </c>
      <c r="FKF1" t="s">
        <v>5915</v>
      </c>
      <c r="FKG1" t="s">
        <v>5916</v>
      </c>
      <c r="FKH1" t="s">
        <v>5917</v>
      </c>
      <c r="FKI1" t="s">
        <v>5918</v>
      </c>
      <c r="FKJ1" t="s">
        <v>5919</v>
      </c>
      <c r="FKK1" t="s">
        <v>5920</v>
      </c>
      <c r="FKL1" t="s">
        <v>5921</v>
      </c>
      <c r="FKM1" t="s">
        <v>5922</v>
      </c>
      <c r="FKN1" t="s">
        <v>5923</v>
      </c>
      <c r="FKO1" t="s">
        <v>5924</v>
      </c>
      <c r="FKP1" t="s">
        <v>5925</v>
      </c>
      <c r="FKQ1" t="s">
        <v>5926</v>
      </c>
      <c r="FKR1" t="s">
        <v>5927</v>
      </c>
      <c r="FKS1" t="s">
        <v>5928</v>
      </c>
      <c r="FKT1" t="s">
        <v>5929</v>
      </c>
      <c r="FKU1" t="s">
        <v>5930</v>
      </c>
      <c r="FKV1" t="s">
        <v>5931</v>
      </c>
      <c r="FKW1" t="s">
        <v>5932</v>
      </c>
      <c r="FKX1" t="s">
        <v>5933</v>
      </c>
      <c r="FKY1" t="s">
        <v>5934</v>
      </c>
      <c r="FKZ1" t="s">
        <v>5935</v>
      </c>
      <c r="FLA1" t="s">
        <v>5936</v>
      </c>
      <c r="FLB1" t="s">
        <v>5937</v>
      </c>
      <c r="FLC1" t="s">
        <v>5938</v>
      </c>
      <c r="FLD1" t="s">
        <v>5939</v>
      </c>
      <c r="FLE1" t="s">
        <v>5940</v>
      </c>
      <c r="FLF1" t="s">
        <v>5941</v>
      </c>
      <c r="FLG1" t="s">
        <v>5942</v>
      </c>
      <c r="FLH1" t="s">
        <v>5943</v>
      </c>
      <c r="FLI1" t="s">
        <v>5944</v>
      </c>
      <c r="FLJ1" t="s">
        <v>5945</v>
      </c>
      <c r="FLK1" t="s">
        <v>5946</v>
      </c>
      <c r="FLL1" t="s">
        <v>5947</v>
      </c>
      <c r="FLM1" t="s">
        <v>5948</v>
      </c>
      <c r="FLN1" t="s">
        <v>5949</v>
      </c>
      <c r="FLO1" t="s">
        <v>5950</v>
      </c>
      <c r="FLP1" t="s">
        <v>5951</v>
      </c>
      <c r="FLQ1" t="s">
        <v>5952</v>
      </c>
      <c r="FLR1" t="s">
        <v>5953</v>
      </c>
      <c r="FLS1" t="s">
        <v>5954</v>
      </c>
      <c r="FLT1" t="s">
        <v>5955</v>
      </c>
      <c r="FLU1" t="s">
        <v>5956</v>
      </c>
      <c r="FLV1" t="s">
        <v>5957</v>
      </c>
      <c r="FLW1" t="s">
        <v>5958</v>
      </c>
      <c r="FLX1" t="s">
        <v>5959</v>
      </c>
      <c r="FLY1" t="s">
        <v>5960</v>
      </c>
      <c r="FLZ1" t="s">
        <v>5961</v>
      </c>
      <c r="FMA1" t="s">
        <v>5962</v>
      </c>
      <c r="FMB1" t="s">
        <v>5963</v>
      </c>
      <c r="FMC1" t="s">
        <v>5964</v>
      </c>
      <c r="FMD1" t="s">
        <v>5965</v>
      </c>
      <c r="FME1" t="s">
        <v>5966</v>
      </c>
      <c r="FMF1" t="s">
        <v>5967</v>
      </c>
      <c r="FMG1" t="s">
        <v>5968</v>
      </c>
      <c r="FMH1" t="s">
        <v>5969</v>
      </c>
      <c r="FMI1" t="s">
        <v>5970</v>
      </c>
      <c r="FMJ1" t="s">
        <v>5971</v>
      </c>
      <c r="FMK1" t="s">
        <v>5972</v>
      </c>
      <c r="FML1" t="s">
        <v>5973</v>
      </c>
      <c r="FMM1" t="s">
        <v>5974</v>
      </c>
      <c r="FMN1" t="s">
        <v>5975</v>
      </c>
      <c r="FMO1" t="s">
        <v>5976</v>
      </c>
      <c r="FMP1" t="s">
        <v>5977</v>
      </c>
      <c r="FMQ1" t="s">
        <v>5978</v>
      </c>
      <c r="FMR1" t="s">
        <v>5979</v>
      </c>
      <c r="FMS1" t="s">
        <v>5980</v>
      </c>
      <c r="FMT1" t="s">
        <v>5981</v>
      </c>
      <c r="FMU1" t="s">
        <v>5982</v>
      </c>
      <c r="FMV1" t="s">
        <v>5983</v>
      </c>
      <c r="FMW1" t="s">
        <v>5984</v>
      </c>
      <c r="FMX1" t="s">
        <v>5985</v>
      </c>
      <c r="FMY1" t="s">
        <v>5986</v>
      </c>
      <c r="FMZ1" t="s">
        <v>5987</v>
      </c>
      <c r="FNA1" t="s">
        <v>5988</v>
      </c>
      <c r="FNB1" t="s">
        <v>5989</v>
      </c>
      <c r="FNC1" t="s">
        <v>5990</v>
      </c>
      <c r="FND1" t="s">
        <v>5991</v>
      </c>
      <c r="FNE1" t="s">
        <v>5992</v>
      </c>
      <c r="FNF1" t="s">
        <v>5993</v>
      </c>
      <c r="FNG1" t="s">
        <v>5994</v>
      </c>
      <c r="FNH1" t="s">
        <v>5995</v>
      </c>
      <c r="FNI1" t="s">
        <v>5996</v>
      </c>
      <c r="FNJ1" t="s">
        <v>5997</v>
      </c>
      <c r="FNK1" t="s">
        <v>5998</v>
      </c>
      <c r="FNL1" t="s">
        <v>5999</v>
      </c>
      <c r="FNM1" t="s">
        <v>6000</v>
      </c>
      <c r="FNN1" t="s">
        <v>6001</v>
      </c>
      <c r="FNO1" t="s">
        <v>6002</v>
      </c>
      <c r="FNP1" t="s">
        <v>6003</v>
      </c>
      <c r="FNQ1" t="s">
        <v>6004</v>
      </c>
      <c r="FNR1" t="s">
        <v>6005</v>
      </c>
      <c r="FNS1" t="s">
        <v>6006</v>
      </c>
      <c r="FNT1" t="s">
        <v>6007</v>
      </c>
      <c r="FNU1" t="s">
        <v>6008</v>
      </c>
      <c r="FNV1" t="s">
        <v>6009</v>
      </c>
      <c r="FNW1" t="s">
        <v>6010</v>
      </c>
      <c r="FNX1" t="s">
        <v>6011</v>
      </c>
      <c r="FNY1" t="s">
        <v>6012</v>
      </c>
      <c r="FNZ1" t="s">
        <v>6013</v>
      </c>
      <c r="FOA1" t="s">
        <v>6014</v>
      </c>
      <c r="FOB1" t="s">
        <v>6015</v>
      </c>
      <c r="FOC1" t="s">
        <v>6016</v>
      </c>
      <c r="FOD1" t="s">
        <v>6017</v>
      </c>
      <c r="FOE1" t="s">
        <v>6018</v>
      </c>
      <c r="FOF1" t="s">
        <v>6019</v>
      </c>
      <c r="FOG1" t="s">
        <v>6020</v>
      </c>
      <c r="FOH1" t="s">
        <v>6021</v>
      </c>
      <c r="FOI1" t="s">
        <v>6022</v>
      </c>
      <c r="FOJ1" t="s">
        <v>6023</v>
      </c>
      <c r="FOK1" t="s">
        <v>6024</v>
      </c>
      <c r="FOL1" t="s">
        <v>6025</v>
      </c>
      <c r="FOM1" t="s">
        <v>6026</v>
      </c>
      <c r="FON1" t="s">
        <v>6027</v>
      </c>
      <c r="FOO1" t="s">
        <v>6028</v>
      </c>
      <c r="FOP1" t="s">
        <v>6029</v>
      </c>
      <c r="FOQ1" t="s">
        <v>6030</v>
      </c>
      <c r="FOR1" t="s">
        <v>6031</v>
      </c>
      <c r="FOS1" t="s">
        <v>6032</v>
      </c>
      <c r="FOT1" t="s">
        <v>6033</v>
      </c>
      <c r="FOU1" t="s">
        <v>6034</v>
      </c>
      <c r="FOV1" t="s">
        <v>6035</v>
      </c>
      <c r="FOW1" t="s">
        <v>6036</v>
      </c>
      <c r="FOX1" t="s">
        <v>6037</v>
      </c>
      <c r="FOY1" t="s">
        <v>6038</v>
      </c>
      <c r="FOZ1" t="s">
        <v>6039</v>
      </c>
      <c r="FPA1" t="s">
        <v>6040</v>
      </c>
      <c r="FPB1" t="s">
        <v>6041</v>
      </c>
      <c r="FPC1" t="s">
        <v>6042</v>
      </c>
      <c r="FPD1" t="s">
        <v>6043</v>
      </c>
      <c r="FPE1" t="s">
        <v>6044</v>
      </c>
      <c r="FPF1" t="s">
        <v>6045</v>
      </c>
      <c r="FPG1" t="s">
        <v>6046</v>
      </c>
      <c r="FPH1" t="s">
        <v>6047</v>
      </c>
      <c r="FPI1" t="s">
        <v>6048</v>
      </c>
      <c r="FPJ1" t="s">
        <v>6049</v>
      </c>
      <c r="FPK1" t="s">
        <v>6050</v>
      </c>
      <c r="FPL1" t="s">
        <v>6051</v>
      </c>
      <c r="FPM1" t="s">
        <v>6052</v>
      </c>
      <c r="FPN1" t="s">
        <v>6053</v>
      </c>
      <c r="FPO1" t="s">
        <v>6054</v>
      </c>
      <c r="FPP1" t="s">
        <v>6055</v>
      </c>
      <c r="FPQ1" t="s">
        <v>6056</v>
      </c>
      <c r="FPR1" t="s">
        <v>6057</v>
      </c>
      <c r="FPS1" t="s">
        <v>6058</v>
      </c>
      <c r="FPT1" t="s">
        <v>6059</v>
      </c>
      <c r="FPU1" t="s">
        <v>6060</v>
      </c>
      <c r="FPV1" t="s">
        <v>6061</v>
      </c>
      <c r="FPW1" t="s">
        <v>6062</v>
      </c>
      <c r="FPX1" t="s">
        <v>6063</v>
      </c>
      <c r="FPY1" t="s">
        <v>6064</v>
      </c>
      <c r="FPZ1" t="s">
        <v>6065</v>
      </c>
      <c r="FQA1" t="s">
        <v>6066</v>
      </c>
      <c r="FQB1" t="s">
        <v>6067</v>
      </c>
      <c r="FQC1" t="s">
        <v>6068</v>
      </c>
      <c r="FQD1" t="s">
        <v>6069</v>
      </c>
      <c r="FQE1" t="s">
        <v>6070</v>
      </c>
      <c r="FQF1" t="s">
        <v>6071</v>
      </c>
      <c r="FQG1" t="s">
        <v>6072</v>
      </c>
      <c r="FQH1" t="s">
        <v>6073</v>
      </c>
      <c r="FQI1" t="s">
        <v>6074</v>
      </c>
      <c r="FQJ1" t="s">
        <v>6075</v>
      </c>
      <c r="FQK1" t="s">
        <v>6076</v>
      </c>
      <c r="FQL1" t="s">
        <v>6077</v>
      </c>
      <c r="FQM1" t="s">
        <v>6078</v>
      </c>
      <c r="FQN1" t="s">
        <v>6079</v>
      </c>
      <c r="FQO1" t="s">
        <v>6080</v>
      </c>
      <c r="FQP1" t="s">
        <v>6081</v>
      </c>
      <c r="FQQ1" t="s">
        <v>6082</v>
      </c>
      <c r="FQR1" t="s">
        <v>6083</v>
      </c>
      <c r="FQS1" t="s">
        <v>6084</v>
      </c>
      <c r="FQT1" t="s">
        <v>6085</v>
      </c>
      <c r="FQU1" t="s">
        <v>6086</v>
      </c>
      <c r="FQV1" t="s">
        <v>6087</v>
      </c>
      <c r="FQW1" t="s">
        <v>6088</v>
      </c>
      <c r="FQX1" t="s">
        <v>6089</v>
      </c>
      <c r="FQY1" t="s">
        <v>6090</v>
      </c>
      <c r="FQZ1" t="s">
        <v>6091</v>
      </c>
      <c r="FRA1" t="s">
        <v>6092</v>
      </c>
      <c r="FRB1" t="s">
        <v>6093</v>
      </c>
      <c r="FRC1" t="s">
        <v>6094</v>
      </c>
      <c r="FRD1" t="s">
        <v>6095</v>
      </c>
      <c r="FRE1" t="s">
        <v>6096</v>
      </c>
      <c r="FRF1" t="s">
        <v>6097</v>
      </c>
      <c r="FRG1" t="s">
        <v>6098</v>
      </c>
      <c r="FRH1" t="s">
        <v>6099</v>
      </c>
      <c r="FRI1" t="s">
        <v>6100</v>
      </c>
      <c r="FRJ1" t="s">
        <v>6101</v>
      </c>
      <c r="FRK1" t="s">
        <v>6102</v>
      </c>
      <c r="FRL1" t="s">
        <v>6103</v>
      </c>
      <c r="FRM1" t="s">
        <v>6104</v>
      </c>
      <c r="FRN1" t="s">
        <v>6105</v>
      </c>
      <c r="FRO1" t="s">
        <v>6106</v>
      </c>
      <c r="FRP1" t="s">
        <v>6107</v>
      </c>
      <c r="FRQ1" t="s">
        <v>6108</v>
      </c>
      <c r="FRR1" t="s">
        <v>6109</v>
      </c>
      <c r="FRS1" t="s">
        <v>6110</v>
      </c>
      <c r="FRT1" t="s">
        <v>6111</v>
      </c>
      <c r="FRU1" t="s">
        <v>6112</v>
      </c>
      <c r="FRV1" t="s">
        <v>6113</v>
      </c>
      <c r="FRW1" t="s">
        <v>6114</v>
      </c>
      <c r="FRX1" t="s">
        <v>6115</v>
      </c>
      <c r="FRY1" t="s">
        <v>6116</v>
      </c>
      <c r="FRZ1" t="s">
        <v>6117</v>
      </c>
      <c r="FSA1" t="s">
        <v>6118</v>
      </c>
      <c r="FSB1" t="s">
        <v>6119</v>
      </c>
      <c r="FSC1" t="s">
        <v>6120</v>
      </c>
      <c r="FSD1" t="s">
        <v>6121</v>
      </c>
      <c r="FSE1" t="s">
        <v>6122</v>
      </c>
      <c r="FSF1" t="s">
        <v>6123</v>
      </c>
      <c r="FSG1" t="s">
        <v>6124</v>
      </c>
      <c r="FSH1" t="s">
        <v>6125</v>
      </c>
      <c r="FSI1" t="s">
        <v>6126</v>
      </c>
      <c r="FSJ1" t="s">
        <v>6127</v>
      </c>
      <c r="FSK1" t="s">
        <v>6128</v>
      </c>
      <c r="FSL1" t="s">
        <v>6129</v>
      </c>
      <c r="FSM1" t="s">
        <v>6130</v>
      </c>
      <c r="FSN1" t="s">
        <v>6131</v>
      </c>
      <c r="FSO1" t="s">
        <v>6132</v>
      </c>
      <c r="FSP1" t="s">
        <v>6133</v>
      </c>
      <c r="FSQ1" t="s">
        <v>6134</v>
      </c>
      <c r="FSR1" t="s">
        <v>6135</v>
      </c>
      <c r="FSS1" t="s">
        <v>6136</v>
      </c>
      <c r="FST1" t="s">
        <v>6137</v>
      </c>
      <c r="FSU1" t="s">
        <v>6138</v>
      </c>
      <c r="FSV1" t="s">
        <v>6139</v>
      </c>
      <c r="FSW1" t="s">
        <v>6140</v>
      </c>
      <c r="FSX1" t="s">
        <v>6141</v>
      </c>
      <c r="FSY1" t="s">
        <v>6142</v>
      </c>
      <c r="FSZ1" t="s">
        <v>6143</v>
      </c>
      <c r="FTA1" t="s">
        <v>6144</v>
      </c>
      <c r="FTB1" t="s">
        <v>6145</v>
      </c>
      <c r="FTC1" t="s">
        <v>6146</v>
      </c>
      <c r="FTD1" t="s">
        <v>6147</v>
      </c>
      <c r="FTE1" t="s">
        <v>6148</v>
      </c>
      <c r="FTF1" t="s">
        <v>6149</v>
      </c>
      <c r="FTG1" t="s">
        <v>6150</v>
      </c>
      <c r="FTH1" t="s">
        <v>6151</v>
      </c>
      <c r="FTI1" t="s">
        <v>6152</v>
      </c>
      <c r="FTJ1" t="s">
        <v>6153</v>
      </c>
      <c r="FTK1" t="s">
        <v>6154</v>
      </c>
      <c r="FTL1" t="s">
        <v>6155</v>
      </c>
      <c r="FTM1" t="s">
        <v>6156</v>
      </c>
      <c r="FTN1" t="s">
        <v>6157</v>
      </c>
      <c r="FTO1" t="s">
        <v>6158</v>
      </c>
      <c r="FTP1" t="s">
        <v>6159</v>
      </c>
      <c r="FTQ1" t="s">
        <v>6160</v>
      </c>
      <c r="FTR1" t="s">
        <v>6161</v>
      </c>
      <c r="FTS1" t="s">
        <v>6162</v>
      </c>
      <c r="FTT1" t="s">
        <v>6163</v>
      </c>
      <c r="FTU1" t="s">
        <v>6164</v>
      </c>
      <c r="FTV1" t="s">
        <v>6165</v>
      </c>
      <c r="FTW1" t="s">
        <v>6166</v>
      </c>
      <c r="FTX1" t="s">
        <v>6167</v>
      </c>
      <c r="FTY1" t="s">
        <v>6168</v>
      </c>
      <c r="FTZ1" t="s">
        <v>6169</v>
      </c>
      <c r="FUA1" t="s">
        <v>6170</v>
      </c>
      <c r="FUB1" t="s">
        <v>6171</v>
      </c>
      <c r="FUC1" t="s">
        <v>6172</v>
      </c>
      <c r="FUD1" t="s">
        <v>6173</v>
      </c>
      <c r="FUE1" t="s">
        <v>6174</v>
      </c>
      <c r="FUF1" t="s">
        <v>6175</v>
      </c>
      <c r="FUG1" t="s">
        <v>6176</v>
      </c>
      <c r="FUH1" t="s">
        <v>6177</v>
      </c>
      <c r="FUI1" t="s">
        <v>6178</v>
      </c>
      <c r="FUJ1" t="s">
        <v>6179</v>
      </c>
      <c r="FUK1" t="s">
        <v>6180</v>
      </c>
      <c r="FUL1" t="s">
        <v>6181</v>
      </c>
      <c r="FUM1" t="s">
        <v>6182</v>
      </c>
      <c r="FUN1" t="s">
        <v>6183</v>
      </c>
      <c r="FUO1" t="s">
        <v>6184</v>
      </c>
      <c r="FUP1" t="s">
        <v>6185</v>
      </c>
      <c r="FUQ1" t="s">
        <v>6186</v>
      </c>
      <c r="FUR1" t="s">
        <v>6187</v>
      </c>
      <c r="FUS1" t="s">
        <v>6188</v>
      </c>
      <c r="FUT1" t="s">
        <v>6189</v>
      </c>
      <c r="FUU1" t="s">
        <v>6190</v>
      </c>
      <c r="FUV1" t="s">
        <v>6191</v>
      </c>
      <c r="FUW1" t="s">
        <v>6192</v>
      </c>
      <c r="FUX1" t="s">
        <v>6193</v>
      </c>
      <c r="FUY1" t="s">
        <v>6194</v>
      </c>
      <c r="FUZ1" t="s">
        <v>6195</v>
      </c>
      <c r="FVA1" t="s">
        <v>6196</v>
      </c>
      <c r="FVB1" t="s">
        <v>6197</v>
      </c>
      <c r="FVC1" t="s">
        <v>6198</v>
      </c>
      <c r="FVD1" t="s">
        <v>6199</v>
      </c>
      <c r="FVE1" t="s">
        <v>6200</v>
      </c>
      <c r="FVF1" t="s">
        <v>6201</v>
      </c>
      <c r="FVG1" t="s">
        <v>6202</v>
      </c>
      <c r="FVH1" t="s">
        <v>6203</v>
      </c>
      <c r="FVI1" t="s">
        <v>6204</v>
      </c>
      <c r="FVJ1" t="s">
        <v>6205</v>
      </c>
      <c r="FVK1" t="s">
        <v>6206</v>
      </c>
      <c r="FVL1" t="s">
        <v>6207</v>
      </c>
      <c r="FVM1" t="s">
        <v>6208</v>
      </c>
      <c r="FVN1" t="s">
        <v>6209</v>
      </c>
      <c r="FVO1" t="s">
        <v>6210</v>
      </c>
      <c r="FVP1" t="s">
        <v>6211</v>
      </c>
      <c r="FVQ1" t="s">
        <v>6212</v>
      </c>
      <c r="FVR1" t="s">
        <v>6213</v>
      </c>
      <c r="FVS1" t="s">
        <v>6214</v>
      </c>
      <c r="FVT1" t="s">
        <v>6215</v>
      </c>
      <c r="FVU1" t="s">
        <v>6216</v>
      </c>
      <c r="FVV1" t="s">
        <v>6217</v>
      </c>
      <c r="FVW1" t="s">
        <v>6218</v>
      </c>
      <c r="FVX1" t="s">
        <v>6219</v>
      </c>
      <c r="FVY1" t="s">
        <v>6220</v>
      </c>
      <c r="FVZ1" t="s">
        <v>6221</v>
      </c>
      <c r="FWA1" t="s">
        <v>6222</v>
      </c>
      <c r="FWB1" t="s">
        <v>6223</v>
      </c>
      <c r="FWC1" t="s">
        <v>6224</v>
      </c>
      <c r="FWD1" t="s">
        <v>6225</v>
      </c>
      <c r="FWE1" t="s">
        <v>6226</v>
      </c>
      <c r="FWF1" t="s">
        <v>6227</v>
      </c>
      <c r="FWG1" t="s">
        <v>6228</v>
      </c>
      <c r="FWH1" t="s">
        <v>6229</v>
      </c>
      <c r="FWI1" t="s">
        <v>6230</v>
      </c>
      <c r="FWJ1" t="s">
        <v>6231</v>
      </c>
      <c r="FWK1" t="s">
        <v>6232</v>
      </c>
      <c r="FWL1" t="s">
        <v>6233</v>
      </c>
      <c r="FWM1" t="s">
        <v>6234</v>
      </c>
      <c r="FWN1" t="s">
        <v>6235</v>
      </c>
      <c r="FWO1" t="s">
        <v>6236</v>
      </c>
      <c r="FWP1" t="s">
        <v>6237</v>
      </c>
      <c r="FWQ1" t="s">
        <v>6238</v>
      </c>
      <c r="FWR1" t="s">
        <v>6239</v>
      </c>
      <c r="FWS1" t="s">
        <v>6240</v>
      </c>
      <c r="FWT1" t="s">
        <v>6241</v>
      </c>
      <c r="FWU1" t="s">
        <v>6242</v>
      </c>
      <c r="FWV1" t="s">
        <v>6243</v>
      </c>
      <c r="FWW1" t="s">
        <v>6244</v>
      </c>
      <c r="FWX1" t="s">
        <v>6245</v>
      </c>
      <c r="FWY1" t="s">
        <v>6246</v>
      </c>
      <c r="FWZ1" t="s">
        <v>6247</v>
      </c>
      <c r="FXA1" t="s">
        <v>6248</v>
      </c>
      <c r="FXB1" t="s">
        <v>6249</v>
      </c>
      <c r="FXC1" t="s">
        <v>6250</v>
      </c>
      <c r="FXD1" t="s">
        <v>6251</v>
      </c>
      <c r="FXE1" t="s">
        <v>6252</v>
      </c>
      <c r="FXF1" t="s">
        <v>6253</v>
      </c>
      <c r="FXG1" t="s">
        <v>6254</v>
      </c>
      <c r="FXH1" t="s">
        <v>6255</v>
      </c>
      <c r="FXI1" t="s">
        <v>6256</v>
      </c>
      <c r="FXJ1" t="s">
        <v>6257</v>
      </c>
      <c r="FXK1" t="s">
        <v>6258</v>
      </c>
      <c r="FXL1" t="s">
        <v>6259</v>
      </c>
      <c r="FXM1" t="s">
        <v>6260</v>
      </c>
      <c r="FXN1" t="s">
        <v>6261</v>
      </c>
      <c r="FXO1" t="s">
        <v>6262</v>
      </c>
      <c r="FXP1" t="s">
        <v>6263</v>
      </c>
      <c r="FXQ1" t="s">
        <v>6264</v>
      </c>
      <c r="FXR1" t="s">
        <v>6265</v>
      </c>
      <c r="FXS1" t="s">
        <v>6266</v>
      </c>
      <c r="FXT1" t="s">
        <v>6267</v>
      </c>
      <c r="FXU1" t="s">
        <v>6268</v>
      </c>
      <c r="FXV1" t="s">
        <v>6269</v>
      </c>
      <c r="FXW1" t="s">
        <v>6270</v>
      </c>
      <c r="FXX1" t="s">
        <v>6271</v>
      </c>
      <c r="FXY1" t="s">
        <v>6272</v>
      </c>
      <c r="FXZ1" t="s">
        <v>6273</v>
      </c>
      <c r="FYA1" t="s">
        <v>6274</v>
      </c>
      <c r="FYB1" t="s">
        <v>6275</v>
      </c>
      <c r="FYC1" t="s">
        <v>6276</v>
      </c>
      <c r="FYD1" t="s">
        <v>6277</v>
      </c>
      <c r="FYE1" t="s">
        <v>6278</v>
      </c>
      <c r="FYF1" t="s">
        <v>6279</v>
      </c>
      <c r="FYG1" t="s">
        <v>6280</v>
      </c>
      <c r="FYH1" t="s">
        <v>6281</v>
      </c>
      <c r="FYI1" t="s">
        <v>6282</v>
      </c>
      <c r="FYJ1" t="s">
        <v>6283</v>
      </c>
      <c r="FYK1" t="s">
        <v>6284</v>
      </c>
      <c r="FYL1" t="s">
        <v>6285</v>
      </c>
      <c r="FYM1" t="s">
        <v>6286</v>
      </c>
      <c r="FYN1" t="s">
        <v>6287</v>
      </c>
      <c r="FYO1" t="s">
        <v>6288</v>
      </c>
      <c r="FYP1" t="s">
        <v>6289</v>
      </c>
      <c r="FYQ1" t="s">
        <v>6290</v>
      </c>
      <c r="FYR1" t="s">
        <v>6291</v>
      </c>
      <c r="FYS1" t="s">
        <v>6292</v>
      </c>
      <c r="FYT1" t="s">
        <v>6293</v>
      </c>
      <c r="FYU1" t="s">
        <v>6294</v>
      </c>
      <c r="FYV1" t="s">
        <v>6295</v>
      </c>
      <c r="FYW1" t="s">
        <v>6296</v>
      </c>
      <c r="FYX1" t="s">
        <v>6297</v>
      </c>
      <c r="FYY1" t="s">
        <v>6298</v>
      </c>
      <c r="FYZ1" t="s">
        <v>6299</v>
      </c>
      <c r="FZA1" t="s">
        <v>6300</v>
      </c>
      <c r="FZB1" t="s">
        <v>6301</v>
      </c>
      <c r="FZC1" t="s">
        <v>6302</v>
      </c>
      <c r="FZD1" t="s">
        <v>6303</v>
      </c>
      <c r="FZE1" t="s">
        <v>6304</v>
      </c>
      <c r="FZF1" t="s">
        <v>6305</v>
      </c>
      <c r="FZG1" t="s">
        <v>6306</v>
      </c>
      <c r="FZH1" t="s">
        <v>6307</v>
      </c>
      <c r="FZI1" t="s">
        <v>6308</v>
      </c>
      <c r="FZJ1" t="s">
        <v>6309</v>
      </c>
      <c r="FZK1" t="s">
        <v>6310</v>
      </c>
      <c r="FZL1" t="s">
        <v>6311</v>
      </c>
      <c r="FZM1" t="s">
        <v>6312</v>
      </c>
      <c r="FZN1" t="s">
        <v>6313</v>
      </c>
      <c r="FZO1" t="s">
        <v>6314</v>
      </c>
      <c r="FZP1" t="s">
        <v>6315</v>
      </c>
      <c r="FZQ1" t="s">
        <v>6316</v>
      </c>
      <c r="FZR1" t="s">
        <v>6317</v>
      </c>
      <c r="FZS1" t="s">
        <v>6318</v>
      </c>
      <c r="FZT1" t="s">
        <v>6319</v>
      </c>
      <c r="FZU1" t="s">
        <v>6320</v>
      </c>
      <c r="FZV1" t="s">
        <v>6321</v>
      </c>
      <c r="FZW1" t="s">
        <v>6322</v>
      </c>
      <c r="FZX1" t="s">
        <v>6323</v>
      </c>
      <c r="FZY1" t="s">
        <v>6324</v>
      </c>
      <c r="FZZ1" t="s">
        <v>6325</v>
      </c>
      <c r="GAA1" t="s">
        <v>6326</v>
      </c>
      <c r="GAB1" t="s">
        <v>6327</v>
      </c>
      <c r="GAC1" t="s">
        <v>6328</v>
      </c>
      <c r="GAD1" t="s">
        <v>6329</v>
      </c>
      <c r="GAE1" t="s">
        <v>6330</v>
      </c>
      <c r="GAF1" t="s">
        <v>6331</v>
      </c>
      <c r="GAG1" t="s">
        <v>6332</v>
      </c>
      <c r="GAH1" t="s">
        <v>6333</v>
      </c>
      <c r="GAI1" t="s">
        <v>6334</v>
      </c>
      <c r="GAJ1" t="s">
        <v>6335</v>
      </c>
      <c r="GAK1" t="s">
        <v>6336</v>
      </c>
      <c r="GAL1" t="s">
        <v>6337</v>
      </c>
      <c r="GAM1" t="s">
        <v>6338</v>
      </c>
      <c r="GAN1" t="s">
        <v>6339</v>
      </c>
      <c r="GAO1" t="s">
        <v>6340</v>
      </c>
      <c r="GAP1" t="s">
        <v>6341</v>
      </c>
      <c r="GAQ1" t="s">
        <v>6342</v>
      </c>
      <c r="GAR1" t="s">
        <v>6343</v>
      </c>
      <c r="GAS1" t="s">
        <v>6344</v>
      </c>
      <c r="GAT1" t="s">
        <v>6345</v>
      </c>
      <c r="GAU1" t="s">
        <v>6346</v>
      </c>
      <c r="GAV1" t="s">
        <v>6347</v>
      </c>
      <c r="GAW1" t="s">
        <v>6348</v>
      </c>
      <c r="GAX1" t="s">
        <v>6349</v>
      </c>
      <c r="GAY1" t="s">
        <v>6350</v>
      </c>
      <c r="GAZ1" t="s">
        <v>6351</v>
      </c>
      <c r="GBA1" t="s">
        <v>6352</v>
      </c>
      <c r="GBB1" t="s">
        <v>6353</v>
      </c>
      <c r="GBC1" t="s">
        <v>6354</v>
      </c>
      <c r="GBD1" t="s">
        <v>6355</v>
      </c>
      <c r="GBE1" t="s">
        <v>6356</v>
      </c>
      <c r="GBF1" t="s">
        <v>6357</v>
      </c>
      <c r="GBG1" t="s">
        <v>6358</v>
      </c>
      <c r="GBH1" t="s">
        <v>6359</v>
      </c>
      <c r="GBI1" t="s">
        <v>6360</v>
      </c>
      <c r="GBJ1" t="s">
        <v>6361</v>
      </c>
      <c r="GBK1" t="s">
        <v>6362</v>
      </c>
      <c r="GBL1" t="s">
        <v>6363</v>
      </c>
      <c r="GBM1" t="s">
        <v>6364</v>
      </c>
      <c r="GBN1" t="s">
        <v>6365</v>
      </c>
      <c r="GBO1" t="s">
        <v>6366</v>
      </c>
      <c r="GBP1" t="s">
        <v>6367</v>
      </c>
      <c r="GBQ1" t="s">
        <v>6368</v>
      </c>
      <c r="GBR1" t="s">
        <v>6369</v>
      </c>
      <c r="GBS1" t="s">
        <v>6370</v>
      </c>
      <c r="GBT1" t="s">
        <v>6371</v>
      </c>
      <c r="GBU1" t="s">
        <v>6372</v>
      </c>
      <c r="GBV1" t="s">
        <v>6373</v>
      </c>
      <c r="GBW1" t="s">
        <v>6374</v>
      </c>
      <c r="GBX1" t="s">
        <v>6375</v>
      </c>
      <c r="GBY1" t="s">
        <v>6376</v>
      </c>
      <c r="GBZ1" t="s">
        <v>6377</v>
      </c>
      <c r="GCA1" t="s">
        <v>6378</v>
      </c>
      <c r="GCB1" t="s">
        <v>6379</v>
      </c>
      <c r="GCC1" t="s">
        <v>6380</v>
      </c>
      <c r="GCD1" t="s">
        <v>6381</v>
      </c>
      <c r="GCE1" t="s">
        <v>6382</v>
      </c>
      <c r="GCF1" t="s">
        <v>6383</v>
      </c>
      <c r="GCG1" t="s">
        <v>6384</v>
      </c>
      <c r="GCH1" t="s">
        <v>6385</v>
      </c>
      <c r="GCI1" t="s">
        <v>6386</v>
      </c>
      <c r="GCJ1" t="s">
        <v>6387</v>
      </c>
      <c r="GCK1" t="s">
        <v>6388</v>
      </c>
      <c r="GCL1" t="s">
        <v>6389</v>
      </c>
      <c r="GCM1" t="s">
        <v>6390</v>
      </c>
      <c r="GCN1" t="s">
        <v>6391</v>
      </c>
      <c r="GCO1" t="s">
        <v>6392</v>
      </c>
      <c r="GCP1" t="s">
        <v>6393</v>
      </c>
      <c r="GCQ1" t="s">
        <v>6394</v>
      </c>
      <c r="GCR1" t="s">
        <v>6395</v>
      </c>
      <c r="GCS1" t="s">
        <v>6396</v>
      </c>
      <c r="GCT1" t="s">
        <v>6397</v>
      </c>
      <c r="GCU1" t="s">
        <v>6398</v>
      </c>
      <c r="GCV1" t="s">
        <v>6399</v>
      </c>
      <c r="GCW1" t="s">
        <v>6400</v>
      </c>
      <c r="GCX1" t="s">
        <v>6401</v>
      </c>
      <c r="GCY1" t="s">
        <v>6402</v>
      </c>
      <c r="GCZ1" t="s">
        <v>6403</v>
      </c>
      <c r="GDA1" t="s">
        <v>6404</v>
      </c>
      <c r="GDB1" t="s">
        <v>6405</v>
      </c>
      <c r="GDC1" t="s">
        <v>6406</v>
      </c>
      <c r="GDD1" t="s">
        <v>6407</v>
      </c>
      <c r="GDE1" t="s">
        <v>6408</v>
      </c>
      <c r="GDF1" t="s">
        <v>6409</v>
      </c>
      <c r="GDG1" t="s">
        <v>6410</v>
      </c>
      <c r="GDH1" t="s">
        <v>6411</v>
      </c>
      <c r="GDI1" t="s">
        <v>6412</v>
      </c>
      <c r="GDJ1" t="s">
        <v>6413</v>
      </c>
      <c r="GDK1" t="s">
        <v>6414</v>
      </c>
      <c r="GDL1" t="s">
        <v>6415</v>
      </c>
      <c r="GDM1" t="s">
        <v>6416</v>
      </c>
      <c r="GDN1" t="s">
        <v>6417</v>
      </c>
      <c r="GDO1" t="s">
        <v>6418</v>
      </c>
      <c r="GDP1" t="s">
        <v>6419</v>
      </c>
      <c r="GDQ1" t="s">
        <v>6420</v>
      </c>
      <c r="GDR1" t="s">
        <v>6421</v>
      </c>
      <c r="GDS1" t="s">
        <v>6422</v>
      </c>
      <c r="GDT1" t="s">
        <v>6423</v>
      </c>
      <c r="GDU1" t="s">
        <v>6424</v>
      </c>
      <c r="GDV1" t="s">
        <v>6425</v>
      </c>
      <c r="GDW1" t="s">
        <v>6426</v>
      </c>
      <c r="GDX1" t="s">
        <v>6427</v>
      </c>
      <c r="GDY1" t="s">
        <v>6428</v>
      </c>
      <c r="GDZ1" t="s">
        <v>6429</v>
      </c>
      <c r="GEA1" t="s">
        <v>6430</v>
      </c>
      <c r="GEB1" t="s">
        <v>6431</v>
      </c>
      <c r="GEC1" t="s">
        <v>6432</v>
      </c>
      <c r="GED1" t="s">
        <v>6433</v>
      </c>
      <c r="GEE1" t="s">
        <v>6434</v>
      </c>
      <c r="GEF1" t="s">
        <v>6435</v>
      </c>
      <c r="GEG1" t="s">
        <v>6436</v>
      </c>
      <c r="GEH1" t="s">
        <v>6437</v>
      </c>
      <c r="GEI1" t="s">
        <v>6438</v>
      </c>
      <c r="GEJ1" t="s">
        <v>6439</v>
      </c>
      <c r="GEK1" t="s">
        <v>6440</v>
      </c>
      <c r="GEL1" t="s">
        <v>6441</v>
      </c>
      <c r="GEM1" t="s">
        <v>6442</v>
      </c>
      <c r="GEN1" t="s">
        <v>6443</v>
      </c>
      <c r="GEO1" t="s">
        <v>6444</v>
      </c>
      <c r="GEP1" t="s">
        <v>6445</v>
      </c>
      <c r="GEQ1" t="s">
        <v>6446</v>
      </c>
      <c r="GER1" t="s">
        <v>6447</v>
      </c>
      <c r="GES1" t="s">
        <v>6448</v>
      </c>
      <c r="GET1" t="s">
        <v>6449</v>
      </c>
      <c r="GEU1" t="s">
        <v>6450</v>
      </c>
      <c r="GEV1" t="s">
        <v>6451</v>
      </c>
      <c r="GEW1" t="s">
        <v>6452</v>
      </c>
      <c r="GEX1" t="s">
        <v>6453</v>
      </c>
      <c r="GEY1" t="s">
        <v>6454</v>
      </c>
      <c r="GEZ1" t="s">
        <v>6455</v>
      </c>
      <c r="GFA1" t="s">
        <v>6456</v>
      </c>
      <c r="GFB1" t="s">
        <v>6457</v>
      </c>
      <c r="GFC1" t="s">
        <v>6458</v>
      </c>
      <c r="GFD1" t="s">
        <v>6459</v>
      </c>
      <c r="GFE1" t="s">
        <v>6460</v>
      </c>
      <c r="GFF1" t="s">
        <v>6461</v>
      </c>
      <c r="GFG1" t="s">
        <v>6462</v>
      </c>
      <c r="GFH1" t="s">
        <v>6463</v>
      </c>
      <c r="GFI1" t="s">
        <v>6464</v>
      </c>
      <c r="GFJ1" t="s">
        <v>6465</v>
      </c>
      <c r="GFK1" t="s">
        <v>6466</v>
      </c>
      <c r="GFL1" t="s">
        <v>6467</v>
      </c>
      <c r="GFM1" t="s">
        <v>6468</v>
      </c>
      <c r="GFN1" t="s">
        <v>6469</v>
      </c>
      <c r="GFO1" t="s">
        <v>6470</v>
      </c>
      <c r="GFP1" t="s">
        <v>6471</v>
      </c>
      <c r="GFQ1" t="s">
        <v>6472</v>
      </c>
      <c r="GFR1" t="s">
        <v>6473</v>
      </c>
      <c r="GFS1" t="s">
        <v>6474</v>
      </c>
      <c r="GFT1" t="s">
        <v>6475</v>
      </c>
      <c r="GFU1" t="s">
        <v>6476</v>
      </c>
      <c r="GFV1" t="s">
        <v>6477</v>
      </c>
      <c r="GFW1" t="s">
        <v>6478</v>
      </c>
      <c r="GFX1" t="s">
        <v>6479</v>
      </c>
      <c r="GFY1" t="s">
        <v>6480</v>
      </c>
      <c r="GFZ1" t="s">
        <v>6481</v>
      </c>
      <c r="GGA1" t="s">
        <v>6482</v>
      </c>
      <c r="GGB1" t="s">
        <v>6483</v>
      </c>
      <c r="GGC1" t="s">
        <v>6484</v>
      </c>
      <c r="GGD1" t="s">
        <v>6485</v>
      </c>
      <c r="GGE1" t="s">
        <v>6486</v>
      </c>
      <c r="GGF1" t="s">
        <v>6487</v>
      </c>
      <c r="GGG1" t="s">
        <v>6488</v>
      </c>
      <c r="GGH1" t="s">
        <v>6489</v>
      </c>
      <c r="GGI1" t="s">
        <v>6490</v>
      </c>
      <c r="GGJ1" t="s">
        <v>6491</v>
      </c>
      <c r="GGK1" t="s">
        <v>6492</v>
      </c>
      <c r="GGL1" t="s">
        <v>6493</v>
      </c>
      <c r="GGM1" t="s">
        <v>6494</v>
      </c>
      <c r="GGN1" t="s">
        <v>6495</v>
      </c>
      <c r="GGO1" t="s">
        <v>6496</v>
      </c>
      <c r="GGP1" t="s">
        <v>6497</v>
      </c>
      <c r="GGQ1" t="s">
        <v>6498</v>
      </c>
      <c r="GGR1" t="s">
        <v>6499</v>
      </c>
      <c r="GGS1" t="s">
        <v>6500</v>
      </c>
      <c r="GGT1" t="s">
        <v>6501</v>
      </c>
      <c r="GGU1" t="s">
        <v>6502</v>
      </c>
      <c r="GGV1" t="s">
        <v>6503</v>
      </c>
      <c r="GGW1" t="s">
        <v>6504</v>
      </c>
      <c r="GGX1" t="s">
        <v>6505</v>
      </c>
      <c r="GGY1" t="s">
        <v>6506</v>
      </c>
      <c r="GGZ1" t="s">
        <v>6507</v>
      </c>
      <c r="GHA1" t="s">
        <v>6508</v>
      </c>
      <c r="GHB1" t="s">
        <v>6509</v>
      </c>
      <c r="GHC1" t="s">
        <v>6510</v>
      </c>
      <c r="GHD1" t="s">
        <v>6511</v>
      </c>
      <c r="GHE1" t="s">
        <v>6512</v>
      </c>
      <c r="GHF1" t="s">
        <v>6513</v>
      </c>
      <c r="GHG1" t="s">
        <v>6514</v>
      </c>
      <c r="GHH1" t="s">
        <v>6515</v>
      </c>
      <c r="GHI1" t="s">
        <v>6516</v>
      </c>
      <c r="GHJ1" t="s">
        <v>6517</v>
      </c>
      <c r="GHK1" t="s">
        <v>6518</v>
      </c>
      <c r="GHL1" t="s">
        <v>6519</v>
      </c>
      <c r="GHM1" t="s">
        <v>6520</v>
      </c>
      <c r="GHN1" t="s">
        <v>6521</v>
      </c>
      <c r="GHO1" t="s">
        <v>6522</v>
      </c>
      <c r="GHP1" t="s">
        <v>6523</v>
      </c>
      <c r="GHQ1" t="s">
        <v>6524</v>
      </c>
      <c r="GHR1" t="s">
        <v>6525</v>
      </c>
      <c r="GHS1" t="s">
        <v>6526</v>
      </c>
      <c r="GHT1" t="s">
        <v>6527</v>
      </c>
      <c r="GHU1" t="s">
        <v>6528</v>
      </c>
      <c r="GHV1" t="s">
        <v>6529</v>
      </c>
      <c r="GHW1" t="s">
        <v>6530</v>
      </c>
      <c r="GHX1" t="s">
        <v>6531</v>
      </c>
      <c r="GHY1" t="s">
        <v>6532</v>
      </c>
      <c r="GHZ1" t="s">
        <v>6533</v>
      </c>
      <c r="GIA1" t="s">
        <v>6534</v>
      </c>
      <c r="GIB1" t="s">
        <v>6535</v>
      </c>
      <c r="GIC1" t="s">
        <v>6536</v>
      </c>
      <c r="GID1" t="s">
        <v>6537</v>
      </c>
      <c r="GIE1" t="s">
        <v>6538</v>
      </c>
      <c r="GIF1" t="s">
        <v>6539</v>
      </c>
      <c r="GIG1" t="s">
        <v>6540</v>
      </c>
      <c r="GIH1" t="s">
        <v>6541</v>
      </c>
      <c r="GII1" t="s">
        <v>6542</v>
      </c>
      <c r="GIJ1" t="s">
        <v>6543</v>
      </c>
      <c r="GIK1" t="s">
        <v>6544</v>
      </c>
      <c r="GIL1" t="s">
        <v>6545</v>
      </c>
      <c r="GIM1" t="s">
        <v>6546</v>
      </c>
      <c r="GIN1" t="s">
        <v>6547</v>
      </c>
      <c r="GIO1" t="s">
        <v>6548</v>
      </c>
      <c r="GIP1" t="s">
        <v>6549</v>
      </c>
      <c r="GIQ1" t="s">
        <v>6550</v>
      </c>
      <c r="GIR1" t="s">
        <v>6551</v>
      </c>
      <c r="GIS1" t="s">
        <v>6552</v>
      </c>
      <c r="GIT1" t="s">
        <v>6553</v>
      </c>
      <c r="GIU1" t="s">
        <v>6554</v>
      </c>
      <c r="GIV1" t="s">
        <v>6555</v>
      </c>
      <c r="GIW1" t="s">
        <v>6556</v>
      </c>
      <c r="GIX1" t="s">
        <v>6557</v>
      </c>
      <c r="GIY1" t="s">
        <v>6558</v>
      </c>
      <c r="GIZ1" t="s">
        <v>6559</v>
      </c>
      <c r="GJA1" t="s">
        <v>6560</v>
      </c>
      <c r="GJB1" t="s">
        <v>6561</v>
      </c>
      <c r="GJC1" t="s">
        <v>6562</v>
      </c>
      <c r="GJD1" t="s">
        <v>6563</v>
      </c>
      <c r="GJE1" t="s">
        <v>6564</v>
      </c>
      <c r="GJF1" t="s">
        <v>6565</v>
      </c>
      <c r="GJG1" t="s">
        <v>6566</v>
      </c>
      <c r="GJH1" t="s">
        <v>6567</v>
      </c>
      <c r="GJI1" t="s">
        <v>6568</v>
      </c>
      <c r="GJJ1" t="s">
        <v>6569</v>
      </c>
      <c r="GJK1" t="s">
        <v>6570</v>
      </c>
      <c r="GJL1" t="s">
        <v>6571</v>
      </c>
      <c r="GJM1" t="s">
        <v>6572</v>
      </c>
      <c r="GJN1" t="s">
        <v>6573</v>
      </c>
      <c r="GJO1" t="s">
        <v>6574</v>
      </c>
      <c r="GJP1" t="s">
        <v>6575</v>
      </c>
      <c r="GJQ1" t="s">
        <v>6576</v>
      </c>
      <c r="GJR1" t="s">
        <v>6577</v>
      </c>
      <c r="GJS1" t="s">
        <v>6578</v>
      </c>
      <c r="GJT1" t="s">
        <v>6579</v>
      </c>
      <c r="GJU1" t="s">
        <v>6580</v>
      </c>
      <c r="GJV1" t="s">
        <v>6581</v>
      </c>
      <c r="GJW1" t="s">
        <v>6582</v>
      </c>
      <c r="GJX1" t="s">
        <v>6583</v>
      </c>
      <c r="GJY1" t="s">
        <v>6584</v>
      </c>
      <c r="GJZ1" t="s">
        <v>6585</v>
      </c>
      <c r="GKA1" t="s">
        <v>6586</v>
      </c>
      <c r="GKB1" t="s">
        <v>6587</v>
      </c>
      <c r="GKC1" t="s">
        <v>6588</v>
      </c>
      <c r="GKD1" t="s">
        <v>6589</v>
      </c>
      <c r="GKE1" t="s">
        <v>6590</v>
      </c>
      <c r="GKF1" t="s">
        <v>6591</v>
      </c>
      <c r="GKG1" t="s">
        <v>6592</v>
      </c>
      <c r="GKH1" t="s">
        <v>6593</v>
      </c>
      <c r="GKI1" t="s">
        <v>6594</v>
      </c>
      <c r="GKJ1" t="s">
        <v>6595</v>
      </c>
      <c r="GKK1" t="s">
        <v>6596</v>
      </c>
      <c r="GKL1" t="s">
        <v>6597</v>
      </c>
      <c r="GKM1" t="s">
        <v>6598</v>
      </c>
      <c r="GKN1" t="s">
        <v>6599</v>
      </c>
      <c r="GKO1" t="s">
        <v>6600</v>
      </c>
      <c r="GKP1" t="s">
        <v>6601</v>
      </c>
      <c r="GKQ1" t="s">
        <v>6602</v>
      </c>
      <c r="GKR1" t="s">
        <v>6603</v>
      </c>
      <c r="GKS1" t="s">
        <v>6604</v>
      </c>
      <c r="GKT1" t="s">
        <v>6605</v>
      </c>
      <c r="GKU1" t="s">
        <v>6606</v>
      </c>
      <c r="GKV1" t="s">
        <v>6607</v>
      </c>
      <c r="GKW1" t="s">
        <v>6608</v>
      </c>
      <c r="GKX1" t="s">
        <v>6609</v>
      </c>
      <c r="GKY1" t="s">
        <v>6610</v>
      </c>
      <c r="GKZ1" t="s">
        <v>6611</v>
      </c>
      <c r="GLA1" t="s">
        <v>6612</v>
      </c>
      <c r="GLB1" t="s">
        <v>6613</v>
      </c>
      <c r="GLC1" t="s">
        <v>6614</v>
      </c>
      <c r="GLD1" t="s">
        <v>6615</v>
      </c>
      <c r="GLE1" t="s">
        <v>6616</v>
      </c>
      <c r="GLF1" t="s">
        <v>6617</v>
      </c>
      <c r="GLG1" t="s">
        <v>6618</v>
      </c>
      <c r="GLH1" t="s">
        <v>6619</v>
      </c>
      <c r="GLI1" t="s">
        <v>6620</v>
      </c>
      <c r="GLJ1" t="s">
        <v>6621</v>
      </c>
      <c r="GLK1" t="s">
        <v>6622</v>
      </c>
      <c r="GLL1" t="s">
        <v>6623</v>
      </c>
      <c r="GLM1" t="s">
        <v>6624</v>
      </c>
      <c r="GLN1" t="s">
        <v>6625</v>
      </c>
      <c r="GLO1" t="s">
        <v>6626</v>
      </c>
      <c r="GLP1" t="s">
        <v>6627</v>
      </c>
      <c r="GLQ1" t="s">
        <v>6628</v>
      </c>
      <c r="GLR1" t="s">
        <v>6629</v>
      </c>
      <c r="GLS1" t="s">
        <v>6630</v>
      </c>
      <c r="GLT1" t="s">
        <v>6631</v>
      </c>
      <c r="GLU1" t="s">
        <v>6632</v>
      </c>
      <c r="GLV1" t="s">
        <v>6633</v>
      </c>
      <c r="GLW1" t="s">
        <v>6634</v>
      </c>
      <c r="GLX1" t="s">
        <v>6635</v>
      </c>
      <c r="GLY1" t="s">
        <v>6636</v>
      </c>
      <c r="GLZ1" t="s">
        <v>6637</v>
      </c>
      <c r="GMA1" t="s">
        <v>6638</v>
      </c>
      <c r="GMB1" t="s">
        <v>6639</v>
      </c>
      <c r="GMC1" t="s">
        <v>6640</v>
      </c>
      <c r="GMD1" t="s">
        <v>6641</v>
      </c>
      <c r="GME1" t="s">
        <v>6642</v>
      </c>
      <c r="GMF1" t="s">
        <v>6643</v>
      </c>
      <c r="GMG1" t="s">
        <v>6644</v>
      </c>
      <c r="GMH1" t="s">
        <v>6645</v>
      </c>
      <c r="GMI1" t="s">
        <v>6646</v>
      </c>
      <c r="GMJ1" t="s">
        <v>6647</v>
      </c>
      <c r="GMK1" t="s">
        <v>6648</v>
      </c>
      <c r="GML1" t="s">
        <v>6649</v>
      </c>
      <c r="GMM1" t="s">
        <v>6650</v>
      </c>
      <c r="GMN1" t="s">
        <v>6651</v>
      </c>
      <c r="GMO1" t="s">
        <v>6652</v>
      </c>
      <c r="GMP1" t="s">
        <v>6653</v>
      </c>
      <c r="GMQ1" t="s">
        <v>6654</v>
      </c>
      <c r="GMR1" t="s">
        <v>6655</v>
      </c>
      <c r="GMS1" t="s">
        <v>6656</v>
      </c>
      <c r="GMT1" t="s">
        <v>6657</v>
      </c>
      <c r="GMU1" t="s">
        <v>6658</v>
      </c>
      <c r="GMV1" t="s">
        <v>6659</v>
      </c>
      <c r="GMW1" t="s">
        <v>6660</v>
      </c>
      <c r="GMX1" t="s">
        <v>6661</v>
      </c>
      <c r="GMY1" t="s">
        <v>6662</v>
      </c>
      <c r="GMZ1" t="s">
        <v>6663</v>
      </c>
      <c r="GNA1" t="s">
        <v>6664</v>
      </c>
      <c r="GNB1" t="s">
        <v>6665</v>
      </c>
      <c r="GNC1" t="s">
        <v>6666</v>
      </c>
      <c r="GND1" t="s">
        <v>6667</v>
      </c>
      <c r="GNE1" t="s">
        <v>6668</v>
      </c>
      <c r="GNF1" t="s">
        <v>6669</v>
      </c>
      <c r="GNG1" t="s">
        <v>6670</v>
      </c>
      <c r="GNH1" t="s">
        <v>6671</v>
      </c>
      <c r="GNI1" t="s">
        <v>6672</v>
      </c>
      <c r="GNJ1" t="s">
        <v>6673</v>
      </c>
      <c r="GNK1" t="s">
        <v>6674</v>
      </c>
      <c r="GNL1" t="s">
        <v>6675</v>
      </c>
      <c r="GNM1" t="s">
        <v>6676</v>
      </c>
      <c r="GNN1" t="s">
        <v>6677</v>
      </c>
      <c r="GNO1" t="s">
        <v>6678</v>
      </c>
      <c r="GNP1" t="s">
        <v>6679</v>
      </c>
      <c r="GNQ1" t="s">
        <v>6680</v>
      </c>
      <c r="GNR1" t="s">
        <v>6681</v>
      </c>
      <c r="GNS1" t="s">
        <v>6682</v>
      </c>
      <c r="GNT1" t="s">
        <v>6683</v>
      </c>
      <c r="GNU1" t="s">
        <v>6684</v>
      </c>
      <c r="GNV1" t="s">
        <v>6685</v>
      </c>
      <c r="GNW1" t="s">
        <v>6686</v>
      </c>
      <c r="GNX1" t="s">
        <v>6687</v>
      </c>
      <c r="GNY1" t="s">
        <v>6688</v>
      </c>
      <c r="GNZ1" t="s">
        <v>6689</v>
      </c>
      <c r="GOA1" t="s">
        <v>6690</v>
      </c>
      <c r="GOB1" t="s">
        <v>6691</v>
      </c>
      <c r="GOC1" t="s">
        <v>6692</v>
      </c>
      <c r="GOD1" t="s">
        <v>6693</v>
      </c>
      <c r="GOE1" t="s">
        <v>6694</v>
      </c>
      <c r="GOF1" t="s">
        <v>6695</v>
      </c>
      <c r="GOG1" t="s">
        <v>6696</v>
      </c>
      <c r="GOH1" t="s">
        <v>6697</v>
      </c>
      <c r="GOI1" t="s">
        <v>6698</v>
      </c>
      <c r="GOJ1" t="s">
        <v>6699</v>
      </c>
      <c r="GOK1" t="s">
        <v>6700</v>
      </c>
      <c r="GOL1" t="s">
        <v>6701</v>
      </c>
      <c r="GOM1" t="s">
        <v>6702</v>
      </c>
      <c r="GON1" t="s">
        <v>6703</v>
      </c>
      <c r="GOO1" t="s">
        <v>6704</v>
      </c>
      <c r="GOP1" t="s">
        <v>6705</v>
      </c>
      <c r="GOQ1" t="s">
        <v>6706</v>
      </c>
      <c r="GOR1" t="s">
        <v>6707</v>
      </c>
      <c r="GOS1" t="s">
        <v>6708</v>
      </c>
      <c r="GOT1" t="s">
        <v>6709</v>
      </c>
      <c r="GOU1" t="s">
        <v>6710</v>
      </c>
      <c r="GOV1" t="s">
        <v>6711</v>
      </c>
      <c r="GOW1" t="s">
        <v>6712</v>
      </c>
      <c r="GOX1" t="s">
        <v>6713</v>
      </c>
      <c r="GOY1" t="s">
        <v>6714</v>
      </c>
      <c r="GOZ1" t="s">
        <v>6715</v>
      </c>
      <c r="GPA1" t="s">
        <v>6716</v>
      </c>
      <c r="GPB1" t="s">
        <v>6717</v>
      </c>
      <c r="GPC1" t="s">
        <v>6718</v>
      </c>
      <c r="GPD1" t="s">
        <v>6719</v>
      </c>
      <c r="GPE1" t="s">
        <v>6720</v>
      </c>
      <c r="GPF1" t="s">
        <v>6721</v>
      </c>
      <c r="GPG1" t="s">
        <v>6722</v>
      </c>
      <c r="GPH1" t="s">
        <v>6723</v>
      </c>
      <c r="GPI1" t="s">
        <v>6724</v>
      </c>
      <c r="GPJ1" t="s">
        <v>6725</v>
      </c>
      <c r="GPK1" t="s">
        <v>6726</v>
      </c>
      <c r="GPL1" t="s">
        <v>6727</v>
      </c>
      <c r="GPM1" t="s">
        <v>6728</v>
      </c>
      <c r="GPN1" t="s">
        <v>6729</v>
      </c>
      <c r="GPO1" t="s">
        <v>6730</v>
      </c>
      <c r="GPP1" t="s">
        <v>6731</v>
      </c>
      <c r="GPQ1" t="s">
        <v>6732</v>
      </c>
      <c r="GPR1" t="s">
        <v>6733</v>
      </c>
      <c r="GPS1" t="s">
        <v>6734</v>
      </c>
      <c r="GPT1" t="s">
        <v>6735</v>
      </c>
      <c r="GPU1" t="s">
        <v>6736</v>
      </c>
      <c r="GPV1" t="s">
        <v>6737</v>
      </c>
      <c r="GPW1" t="s">
        <v>6738</v>
      </c>
      <c r="GPX1" t="s">
        <v>6739</v>
      </c>
      <c r="GPY1" t="s">
        <v>6740</v>
      </c>
      <c r="GPZ1" t="s">
        <v>6741</v>
      </c>
      <c r="GQA1" t="s">
        <v>6742</v>
      </c>
      <c r="GQB1" t="s">
        <v>6743</v>
      </c>
      <c r="GQC1" t="s">
        <v>6744</v>
      </c>
      <c r="GQD1" t="s">
        <v>6745</v>
      </c>
      <c r="GQE1" t="s">
        <v>6746</v>
      </c>
      <c r="GQF1" t="s">
        <v>6747</v>
      </c>
      <c r="GQG1" t="s">
        <v>6748</v>
      </c>
      <c r="GQH1" t="s">
        <v>6749</v>
      </c>
      <c r="GQI1" t="s">
        <v>6750</v>
      </c>
      <c r="GQJ1" t="s">
        <v>6751</v>
      </c>
      <c r="GQK1" t="s">
        <v>6752</v>
      </c>
      <c r="GQL1" t="s">
        <v>6753</v>
      </c>
      <c r="GQM1" t="s">
        <v>6754</v>
      </c>
      <c r="GQN1" t="s">
        <v>6755</v>
      </c>
      <c r="GQO1" t="s">
        <v>6756</v>
      </c>
      <c r="GQP1" t="s">
        <v>6757</v>
      </c>
      <c r="GQQ1" t="s">
        <v>6758</v>
      </c>
      <c r="GQR1" t="s">
        <v>6759</v>
      </c>
      <c r="GQS1" t="s">
        <v>6760</v>
      </c>
      <c r="GQT1" t="s">
        <v>6761</v>
      </c>
      <c r="GQU1" t="s">
        <v>6762</v>
      </c>
      <c r="GQV1" t="s">
        <v>6763</v>
      </c>
      <c r="GQW1" t="s">
        <v>6764</v>
      </c>
      <c r="GQX1" t="s">
        <v>6765</v>
      </c>
      <c r="GQY1" t="s">
        <v>6766</v>
      </c>
      <c r="GQZ1" t="s">
        <v>6767</v>
      </c>
      <c r="GRA1" t="s">
        <v>6768</v>
      </c>
      <c r="GRB1" t="s">
        <v>6769</v>
      </c>
      <c r="GRC1" t="s">
        <v>6770</v>
      </c>
      <c r="GRD1" t="s">
        <v>6771</v>
      </c>
      <c r="GRE1" t="s">
        <v>6772</v>
      </c>
      <c r="GRF1" t="s">
        <v>6773</v>
      </c>
      <c r="GRG1" t="s">
        <v>6774</v>
      </c>
      <c r="GRH1" t="s">
        <v>6775</v>
      </c>
      <c r="GRI1" t="s">
        <v>6776</v>
      </c>
      <c r="GRJ1" t="s">
        <v>6777</v>
      </c>
      <c r="GRK1" t="s">
        <v>6778</v>
      </c>
      <c r="GRL1" t="s">
        <v>6779</v>
      </c>
      <c r="GRM1" t="s">
        <v>6780</v>
      </c>
      <c r="GRN1" t="s">
        <v>6781</v>
      </c>
      <c r="GRO1" t="s">
        <v>6782</v>
      </c>
      <c r="GRP1" t="s">
        <v>6783</v>
      </c>
      <c r="GRQ1" t="s">
        <v>6784</v>
      </c>
      <c r="GRR1" t="s">
        <v>6785</v>
      </c>
      <c r="GRS1" t="s">
        <v>6786</v>
      </c>
      <c r="GRT1" t="s">
        <v>6787</v>
      </c>
      <c r="GRU1" t="s">
        <v>6788</v>
      </c>
      <c r="GRV1" t="s">
        <v>6789</v>
      </c>
      <c r="GRW1" t="s">
        <v>6790</v>
      </c>
      <c r="GRX1" t="s">
        <v>6791</v>
      </c>
      <c r="GRY1" t="s">
        <v>6792</v>
      </c>
      <c r="GRZ1" t="s">
        <v>6793</v>
      </c>
      <c r="GSA1" t="s">
        <v>6794</v>
      </c>
      <c r="GSB1" t="s">
        <v>6795</v>
      </c>
      <c r="GSC1" t="s">
        <v>6796</v>
      </c>
      <c r="GSD1" t="s">
        <v>6797</v>
      </c>
      <c r="GSE1" t="s">
        <v>6798</v>
      </c>
      <c r="GSF1" t="s">
        <v>6799</v>
      </c>
      <c r="GSG1" t="s">
        <v>6800</v>
      </c>
      <c r="GSH1" t="s">
        <v>6801</v>
      </c>
      <c r="GSI1" t="s">
        <v>6802</v>
      </c>
      <c r="GSJ1" t="s">
        <v>6803</v>
      </c>
      <c r="GSK1" t="s">
        <v>6804</v>
      </c>
      <c r="GSL1" t="s">
        <v>6805</v>
      </c>
      <c r="GSM1" t="s">
        <v>6806</v>
      </c>
      <c r="GSN1" t="s">
        <v>6807</v>
      </c>
      <c r="GSO1" t="s">
        <v>6808</v>
      </c>
      <c r="GSP1" t="s">
        <v>6809</v>
      </c>
      <c r="GSQ1" t="s">
        <v>6810</v>
      </c>
      <c r="GSR1" t="s">
        <v>6811</v>
      </c>
      <c r="GSS1" t="s">
        <v>6812</v>
      </c>
      <c r="GST1" t="s">
        <v>6813</v>
      </c>
      <c r="GSU1" t="s">
        <v>6814</v>
      </c>
      <c r="GSV1" t="s">
        <v>6815</v>
      </c>
      <c r="GSW1" t="s">
        <v>6816</v>
      </c>
      <c r="GSX1" t="s">
        <v>6817</v>
      </c>
      <c r="GSY1" t="s">
        <v>6818</v>
      </c>
      <c r="GSZ1" t="s">
        <v>6819</v>
      </c>
      <c r="GTA1" t="s">
        <v>6820</v>
      </c>
      <c r="GTB1" t="s">
        <v>6821</v>
      </c>
      <c r="GTC1" t="s">
        <v>6822</v>
      </c>
      <c r="GTD1" t="s">
        <v>6823</v>
      </c>
      <c r="GTE1" t="s">
        <v>6824</v>
      </c>
      <c r="GTF1" t="s">
        <v>6825</v>
      </c>
      <c r="GTG1" t="s">
        <v>6826</v>
      </c>
      <c r="GTH1" t="s">
        <v>6827</v>
      </c>
      <c r="GTI1" t="s">
        <v>6828</v>
      </c>
      <c r="GTJ1" t="s">
        <v>6829</v>
      </c>
      <c r="GTK1" t="s">
        <v>6830</v>
      </c>
      <c r="GTL1" t="s">
        <v>6831</v>
      </c>
      <c r="GTM1" t="s">
        <v>6832</v>
      </c>
      <c r="GTN1" t="s">
        <v>6833</v>
      </c>
      <c r="GTO1" t="s">
        <v>6834</v>
      </c>
      <c r="GTP1" t="s">
        <v>6835</v>
      </c>
      <c r="GTQ1" t="s">
        <v>6836</v>
      </c>
      <c r="GTR1" t="s">
        <v>6837</v>
      </c>
      <c r="GTS1" t="s">
        <v>6838</v>
      </c>
      <c r="GTT1" t="s">
        <v>6839</v>
      </c>
      <c r="GTU1" t="s">
        <v>6840</v>
      </c>
      <c r="GTV1" t="s">
        <v>6841</v>
      </c>
      <c r="GTW1" t="s">
        <v>6842</v>
      </c>
      <c r="GTX1" t="s">
        <v>6843</v>
      </c>
      <c r="GTY1" t="s">
        <v>6844</v>
      </c>
      <c r="GTZ1" t="s">
        <v>6845</v>
      </c>
      <c r="GUA1" t="s">
        <v>6846</v>
      </c>
      <c r="GUB1" t="s">
        <v>6847</v>
      </c>
      <c r="GUC1" t="s">
        <v>6848</v>
      </c>
      <c r="GUD1" t="s">
        <v>6849</v>
      </c>
      <c r="GUE1" t="s">
        <v>6850</v>
      </c>
      <c r="GUF1" t="s">
        <v>6851</v>
      </c>
      <c r="GUG1" t="s">
        <v>6852</v>
      </c>
      <c r="GUH1" t="s">
        <v>6853</v>
      </c>
      <c r="GUI1" t="s">
        <v>6854</v>
      </c>
      <c r="GUJ1" t="s">
        <v>6855</v>
      </c>
      <c r="GUK1" t="s">
        <v>6856</v>
      </c>
      <c r="GUL1" t="s">
        <v>6857</v>
      </c>
      <c r="GUM1" t="s">
        <v>6858</v>
      </c>
      <c r="GUN1" t="s">
        <v>6859</v>
      </c>
      <c r="GUO1" t="s">
        <v>6860</v>
      </c>
      <c r="GUP1" t="s">
        <v>6861</v>
      </c>
      <c r="GUQ1" t="s">
        <v>6862</v>
      </c>
      <c r="GUR1" t="s">
        <v>6863</v>
      </c>
      <c r="GUS1" t="s">
        <v>6864</v>
      </c>
      <c r="GUT1" t="s">
        <v>6865</v>
      </c>
      <c r="GUU1" t="s">
        <v>6866</v>
      </c>
      <c r="GUV1" t="s">
        <v>6867</v>
      </c>
      <c r="GUW1" t="s">
        <v>6868</v>
      </c>
      <c r="GUX1" t="s">
        <v>6869</v>
      </c>
      <c r="GUY1" t="s">
        <v>6870</v>
      </c>
      <c r="GUZ1" t="s">
        <v>6871</v>
      </c>
      <c r="GVA1" t="s">
        <v>6872</v>
      </c>
      <c r="GVB1" t="s">
        <v>6873</v>
      </c>
      <c r="GVC1" t="s">
        <v>6874</v>
      </c>
      <c r="GVD1" t="s">
        <v>6875</v>
      </c>
      <c r="GVE1" t="s">
        <v>6876</v>
      </c>
      <c r="GVF1" t="s">
        <v>6877</v>
      </c>
      <c r="GVG1" t="s">
        <v>6878</v>
      </c>
      <c r="GVH1" t="s">
        <v>6879</v>
      </c>
      <c r="GVI1" t="s">
        <v>6880</v>
      </c>
      <c r="GVJ1" t="s">
        <v>6881</v>
      </c>
      <c r="GVK1" t="s">
        <v>6882</v>
      </c>
      <c r="GVL1" t="s">
        <v>6883</v>
      </c>
      <c r="GVM1" t="s">
        <v>6884</v>
      </c>
      <c r="GVN1" t="s">
        <v>6885</v>
      </c>
      <c r="GVO1" t="s">
        <v>6886</v>
      </c>
      <c r="GVP1" t="s">
        <v>6887</v>
      </c>
      <c r="GVQ1" t="s">
        <v>6888</v>
      </c>
      <c r="GVR1" t="s">
        <v>6889</v>
      </c>
      <c r="GVS1" t="s">
        <v>6890</v>
      </c>
      <c r="GVT1" t="s">
        <v>6891</v>
      </c>
      <c r="GVU1" t="s">
        <v>6892</v>
      </c>
      <c r="GVV1" t="s">
        <v>6893</v>
      </c>
      <c r="GVW1" t="s">
        <v>6894</v>
      </c>
      <c r="GVX1" t="s">
        <v>6895</v>
      </c>
      <c r="GVY1" t="s">
        <v>6896</v>
      </c>
      <c r="GVZ1" t="s">
        <v>6897</v>
      </c>
      <c r="GWA1" t="s">
        <v>6898</v>
      </c>
      <c r="GWB1" t="s">
        <v>6899</v>
      </c>
      <c r="GWC1" t="s">
        <v>6900</v>
      </c>
      <c r="GWD1" t="s">
        <v>6901</v>
      </c>
      <c r="GWE1" t="s">
        <v>6902</v>
      </c>
      <c r="GWF1" t="s">
        <v>6903</v>
      </c>
      <c r="GWG1" t="s">
        <v>6904</v>
      </c>
      <c r="GWH1" t="s">
        <v>6905</v>
      </c>
      <c r="GWI1" t="s">
        <v>6906</v>
      </c>
      <c r="GWJ1" t="s">
        <v>6907</v>
      </c>
      <c r="GWK1" t="s">
        <v>6908</v>
      </c>
      <c r="GWL1" t="s">
        <v>6909</v>
      </c>
      <c r="GWM1" t="s">
        <v>6910</v>
      </c>
      <c r="GWN1" t="s">
        <v>6911</v>
      </c>
      <c r="GWO1" t="s">
        <v>6912</v>
      </c>
      <c r="GWP1" t="s">
        <v>6913</v>
      </c>
      <c r="GWQ1" t="s">
        <v>6914</v>
      </c>
      <c r="GWR1" t="s">
        <v>6915</v>
      </c>
      <c r="GWS1" t="s">
        <v>6916</v>
      </c>
      <c r="GWT1" t="s">
        <v>6917</v>
      </c>
      <c r="GWU1" t="s">
        <v>6918</v>
      </c>
      <c r="GWV1" t="s">
        <v>6919</v>
      </c>
      <c r="GWW1" t="s">
        <v>6920</v>
      </c>
      <c r="GWX1" t="s">
        <v>6921</v>
      </c>
      <c r="GWY1" t="s">
        <v>6922</v>
      </c>
      <c r="GWZ1" t="s">
        <v>6923</v>
      </c>
      <c r="GXA1" t="s">
        <v>6924</v>
      </c>
      <c r="GXB1" t="s">
        <v>6925</v>
      </c>
      <c r="GXC1" t="s">
        <v>6926</v>
      </c>
      <c r="GXD1" t="s">
        <v>6927</v>
      </c>
      <c r="GXE1" t="s">
        <v>6928</v>
      </c>
      <c r="GXF1" t="s">
        <v>6929</v>
      </c>
      <c r="GXG1" t="s">
        <v>6930</v>
      </c>
      <c r="GXH1" t="s">
        <v>6931</v>
      </c>
      <c r="GXI1" t="s">
        <v>6932</v>
      </c>
      <c r="GXJ1" t="s">
        <v>6933</v>
      </c>
      <c r="GXK1" t="s">
        <v>6934</v>
      </c>
      <c r="GXL1" t="s">
        <v>6935</v>
      </c>
      <c r="GXM1" t="s">
        <v>6936</v>
      </c>
      <c r="GXN1" t="s">
        <v>6937</v>
      </c>
      <c r="GXO1" t="s">
        <v>6938</v>
      </c>
      <c r="GXP1" t="s">
        <v>6939</v>
      </c>
      <c r="GXQ1" t="s">
        <v>6940</v>
      </c>
      <c r="GXR1" t="s">
        <v>6941</v>
      </c>
      <c r="GXS1" t="s">
        <v>6942</v>
      </c>
      <c r="GXT1" t="s">
        <v>6943</v>
      </c>
      <c r="GXU1" t="s">
        <v>6944</v>
      </c>
      <c r="GXV1" t="s">
        <v>6945</v>
      </c>
      <c r="GXW1" t="s">
        <v>6946</v>
      </c>
      <c r="GXX1" t="s">
        <v>6947</v>
      </c>
      <c r="GXY1" t="s">
        <v>6948</v>
      </c>
      <c r="GXZ1" t="s">
        <v>6949</v>
      </c>
      <c r="GYA1" t="s">
        <v>6950</v>
      </c>
      <c r="GYB1" t="s">
        <v>6951</v>
      </c>
      <c r="GYC1" t="s">
        <v>6952</v>
      </c>
      <c r="GYD1" t="s">
        <v>6953</v>
      </c>
      <c r="GYE1" t="s">
        <v>6954</v>
      </c>
      <c r="GYF1" t="s">
        <v>6955</v>
      </c>
      <c r="GYG1" t="s">
        <v>6956</v>
      </c>
      <c r="GYH1" t="s">
        <v>6957</v>
      </c>
      <c r="GYI1" t="s">
        <v>6958</v>
      </c>
      <c r="GYJ1" t="s">
        <v>6959</v>
      </c>
      <c r="GYK1" t="s">
        <v>6960</v>
      </c>
      <c r="GYL1" t="s">
        <v>6961</v>
      </c>
      <c r="GYM1" t="s">
        <v>6962</v>
      </c>
      <c r="GYN1" t="s">
        <v>6963</v>
      </c>
      <c r="GYO1" t="s">
        <v>6964</v>
      </c>
      <c r="GYP1" t="s">
        <v>6965</v>
      </c>
      <c r="GYQ1" t="s">
        <v>6966</v>
      </c>
      <c r="GYR1" t="s">
        <v>6967</v>
      </c>
      <c r="GYS1" t="s">
        <v>6968</v>
      </c>
      <c r="GYT1" t="s">
        <v>6969</v>
      </c>
      <c r="GYU1" t="s">
        <v>6970</v>
      </c>
      <c r="GYV1" t="s">
        <v>6971</v>
      </c>
      <c r="GYW1" t="s">
        <v>6972</v>
      </c>
      <c r="GYX1" t="s">
        <v>6973</v>
      </c>
      <c r="GYY1" t="s">
        <v>6974</v>
      </c>
      <c r="GYZ1" t="s">
        <v>6975</v>
      </c>
      <c r="GZA1" t="s">
        <v>6976</v>
      </c>
      <c r="GZB1" t="s">
        <v>6977</v>
      </c>
      <c r="GZC1" t="s">
        <v>6978</v>
      </c>
      <c r="GZD1" t="s">
        <v>6979</v>
      </c>
      <c r="GZE1" t="s">
        <v>6980</v>
      </c>
      <c r="GZF1" t="s">
        <v>6981</v>
      </c>
      <c r="GZG1" t="s">
        <v>6982</v>
      </c>
      <c r="GZH1" t="s">
        <v>6983</v>
      </c>
      <c r="GZI1" t="s">
        <v>6984</v>
      </c>
      <c r="GZJ1" t="s">
        <v>6985</v>
      </c>
      <c r="GZK1" t="s">
        <v>6986</v>
      </c>
      <c r="GZL1" t="s">
        <v>6987</v>
      </c>
      <c r="GZM1" t="s">
        <v>6988</v>
      </c>
      <c r="GZN1" t="s">
        <v>6989</v>
      </c>
      <c r="GZO1" t="s">
        <v>6990</v>
      </c>
      <c r="GZP1" t="s">
        <v>6991</v>
      </c>
      <c r="GZQ1" t="s">
        <v>6992</v>
      </c>
      <c r="GZR1" t="s">
        <v>6993</v>
      </c>
      <c r="GZS1" t="s">
        <v>6994</v>
      </c>
      <c r="GZT1" t="s">
        <v>6995</v>
      </c>
      <c r="GZU1" t="s">
        <v>6996</v>
      </c>
      <c r="GZV1" t="s">
        <v>6997</v>
      </c>
      <c r="GZW1" t="s">
        <v>6998</v>
      </c>
      <c r="GZX1" t="s">
        <v>6999</v>
      </c>
      <c r="GZY1" t="s">
        <v>7000</v>
      </c>
      <c r="GZZ1" t="s">
        <v>7001</v>
      </c>
      <c r="HAA1" t="s">
        <v>7002</v>
      </c>
      <c r="HAB1" t="s">
        <v>7003</v>
      </c>
      <c r="HAC1" t="s">
        <v>7004</v>
      </c>
      <c r="HAD1" t="s">
        <v>7005</v>
      </c>
      <c r="HAE1" t="s">
        <v>7006</v>
      </c>
      <c r="HAF1" t="s">
        <v>7007</v>
      </c>
      <c r="HAG1" t="s">
        <v>7008</v>
      </c>
      <c r="HAH1" t="s">
        <v>7009</v>
      </c>
      <c r="HAI1" t="s">
        <v>7010</v>
      </c>
      <c r="HAJ1" t="s">
        <v>7011</v>
      </c>
      <c r="HAK1" t="s">
        <v>7012</v>
      </c>
      <c r="HAL1" t="s">
        <v>7013</v>
      </c>
      <c r="HAM1" t="s">
        <v>7014</v>
      </c>
      <c r="HAN1" t="s">
        <v>7015</v>
      </c>
      <c r="HAO1" t="s">
        <v>7016</v>
      </c>
      <c r="HAP1" t="s">
        <v>7017</v>
      </c>
      <c r="HAQ1" t="s">
        <v>7018</v>
      </c>
      <c r="HAR1" t="s">
        <v>7019</v>
      </c>
      <c r="HAS1" t="s">
        <v>7020</v>
      </c>
      <c r="HAT1" t="s">
        <v>7021</v>
      </c>
      <c r="HAU1" t="s">
        <v>7022</v>
      </c>
      <c r="HAV1" t="s">
        <v>7023</v>
      </c>
      <c r="HAW1" t="s">
        <v>7024</v>
      </c>
      <c r="HAX1" t="s">
        <v>7025</v>
      </c>
      <c r="HAY1" t="s">
        <v>7026</v>
      </c>
      <c r="HAZ1" t="s">
        <v>7027</v>
      </c>
      <c r="HBA1" t="s">
        <v>7028</v>
      </c>
      <c r="HBB1" t="s">
        <v>7029</v>
      </c>
      <c r="HBC1" t="s">
        <v>7030</v>
      </c>
      <c r="HBD1" t="s">
        <v>7031</v>
      </c>
      <c r="HBE1" t="s">
        <v>7032</v>
      </c>
      <c r="HBF1" t="s">
        <v>7033</v>
      </c>
      <c r="HBG1" t="s">
        <v>7034</v>
      </c>
      <c r="HBH1" t="s">
        <v>7035</v>
      </c>
      <c r="HBI1" t="s">
        <v>7036</v>
      </c>
      <c r="HBJ1" t="s">
        <v>7037</v>
      </c>
      <c r="HBK1" t="s">
        <v>7038</v>
      </c>
      <c r="HBL1" t="s">
        <v>7039</v>
      </c>
      <c r="HBM1" t="s">
        <v>7040</v>
      </c>
      <c r="HBN1" t="s">
        <v>7041</v>
      </c>
      <c r="HBO1" t="s">
        <v>7042</v>
      </c>
      <c r="HBP1" t="s">
        <v>7043</v>
      </c>
      <c r="HBQ1" t="s">
        <v>7044</v>
      </c>
      <c r="HBR1" t="s">
        <v>7045</v>
      </c>
      <c r="HBS1" t="s">
        <v>7046</v>
      </c>
      <c r="HBT1" t="s">
        <v>7047</v>
      </c>
      <c r="HBU1" t="s">
        <v>7048</v>
      </c>
      <c r="HBV1" t="s">
        <v>7049</v>
      </c>
      <c r="HBW1" t="s">
        <v>7050</v>
      </c>
      <c r="HBX1" t="s">
        <v>7051</v>
      </c>
      <c r="HBY1" t="s">
        <v>7052</v>
      </c>
      <c r="HBZ1" t="s">
        <v>7053</v>
      </c>
      <c r="HCA1" t="s">
        <v>7054</v>
      </c>
      <c r="HCB1" t="s">
        <v>7055</v>
      </c>
      <c r="HCC1" t="s">
        <v>7056</v>
      </c>
      <c r="HCD1" t="s">
        <v>7057</v>
      </c>
      <c r="HCE1" t="s">
        <v>7058</v>
      </c>
      <c r="HCF1" t="s">
        <v>7059</v>
      </c>
      <c r="HCG1" t="s">
        <v>7060</v>
      </c>
      <c r="HCH1" t="s">
        <v>7061</v>
      </c>
      <c r="HCI1" t="s">
        <v>7062</v>
      </c>
      <c r="HCJ1" t="s">
        <v>7063</v>
      </c>
      <c r="HCK1" t="s">
        <v>7064</v>
      </c>
      <c r="HCL1" t="s">
        <v>7065</v>
      </c>
      <c r="HCM1" t="s">
        <v>7066</v>
      </c>
      <c r="HCN1" t="s">
        <v>7067</v>
      </c>
      <c r="HCO1" t="s">
        <v>7068</v>
      </c>
      <c r="HCP1" t="s">
        <v>7069</v>
      </c>
      <c r="HCQ1" t="s">
        <v>7070</v>
      </c>
      <c r="HCR1" t="s">
        <v>7071</v>
      </c>
      <c r="HCS1" t="s">
        <v>7072</v>
      </c>
      <c r="HCT1" t="s">
        <v>7073</v>
      </c>
      <c r="HCU1" t="s">
        <v>7074</v>
      </c>
      <c r="HCV1" t="s">
        <v>7075</v>
      </c>
      <c r="HCW1" t="s">
        <v>7076</v>
      </c>
      <c r="HCX1" t="s">
        <v>7077</v>
      </c>
      <c r="HCY1" t="s">
        <v>7078</v>
      </c>
      <c r="HCZ1" t="s">
        <v>7079</v>
      </c>
      <c r="HDA1" t="s">
        <v>7080</v>
      </c>
      <c r="HDB1" t="s">
        <v>7081</v>
      </c>
      <c r="HDC1" t="s">
        <v>7082</v>
      </c>
      <c r="HDD1" t="s">
        <v>7083</v>
      </c>
      <c r="HDE1" t="s">
        <v>7084</v>
      </c>
      <c r="HDF1" t="s">
        <v>7085</v>
      </c>
      <c r="HDG1" t="s">
        <v>7086</v>
      </c>
      <c r="HDH1" t="s">
        <v>7087</v>
      </c>
      <c r="HDI1" t="s">
        <v>7088</v>
      </c>
      <c r="HDJ1" t="s">
        <v>7089</v>
      </c>
      <c r="HDK1" t="s">
        <v>7090</v>
      </c>
      <c r="HDL1" t="s">
        <v>7091</v>
      </c>
      <c r="HDM1" t="s">
        <v>7092</v>
      </c>
      <c r="HDN1" t="s">
        <v>7093</v>
      </c>
      <c r="HDO1" t="s">
        <v>7094</v>
      </c>
      <c r="HDP1" t="s">
        <v>7095</v>
      </c>
      <c r="HDQ1" t="s">
        <v>7096</v>
      </c>
      <c r="HDR1" t="s">
        <v>7097</v>
      </c>
      <c r="HDS1" t="s">
        <v>7098</v>
      </c>
      <c r="HDT1" t="s">
        <v>7099</v>
      </c>
      <c r="HDU1" t="s">
        <v>7100</v>
      </c>
      <c r="HDV1" t="s">
        <v>7101</v>
      </c>
      <c r="HDW1" t="s">
        <v>7102</v>
      </c>
      <c r="HDX1" t="s">
        <v>7103</v>
      </c>
      <c r="HDY1" t="s">
        <v>7104</v>
      </c>
      <c r="HDZ1" t="s">
        <v>7105</v>
      </c>
      <c r="HEA1" t="s">
        <v>7106</v>
      </c>
      <c r="HEB1" t="s">
        <v>7107</v>
      </c>
      <c r="HEC1" t="s">
        <v>7108</v>
      </c>
      <c r="HED1" t="s">
        <v>7109</v>
      </c>
      <c r="HEE1" t="s">
        <v>7110</v>
      </c>
      <c r="HEF1" t="s">
        <v>7111</v>
      </c>
      <c r="HEG1" t="s">
        <v>7112</v>
      </c>
      <c r="HEH1" t="s">
        <v>7113</v>
      </c>
      <c r="HEI1" t="s">
        <v>7114</v>
      </c>
      <c r="HEJ1" t="s">
        <v>7115</v>
      </c>
      <c r="HEK1" t="s">
        <v>7116</v>
      </c>
      <c r="HEL1" t="s">
        <v>7117</v>
      </c>
      <c r="HEM1" t="s">
        <v>7118</v>
      </c>
      <c r="HEN1" t="s">
        <v>7119</v>
      </c>
      <c r="HEO1" t="s">
        <v>7120</v>
      </c>
      <c r="HEP1" t="s">
        <v>7121</v>
      </c>
      <c r="HEQ1" t="s">
        <v>7122</v>
      </c>
      <c r="HER1" t="s">
        <v>7123</v>
      </c>
      <c r="HES1" t="s">
        <v>7124</v>
      </c>
      <c r="HET1" t="s">
        <v>7125</v>
      </c>
      <c r="HEU1" t="s">
        <v>7126</v>
      </c>
      <c r="HEV1" t="s">
        <v>7127</v>
      </c>
      <c r="HEW1" t="s">
        <v>7128</v>
      </c>
      <c r="HEX1" t="s">
        <v>7129</v>
      </c>
      <c r="HEY1" t="s">
        <v>7130</v>
      </c>
      <c r="HEZ1" t="s">
        <v>7131</v>
      </c>
      <c r="HFA1" t="s">
        <v>7132</v>
      </c>
      <c r="HFB1" t="s">
        <v>7133</v>
      </c>
      <c r="HFC1" t="s">
        <v>7134</v>
      </c>
      <c r="HFD1" t="s">
        <v>7135</v>
      </c>
      <c r="HFE1" t="s">
        <v>7136</v>
      </c>
      <c r="HFF1" t="s">
        <v>7137</v>
      </c>
      <c r="HFG1" t="s">
        <v>7138</v>
      </c>
      <c r="HFH1" t="s">
        <v>7139</v>
      </c>
      <c r="HFI1" t="s">
        <v>7140</v>
      </c>
      <c r="HFJ1" t="s">
        <v>7141</v>
      </c>
      <c r="HFK1" t="s">
        <v>7142</v>
      </c>
      <c r="HFL1" t="s">
        <v>7143</v>
      </c>
      <c r="HFM1" t="s">
        <v>7144</v>
      </c>
      <c r="HFN1" t="s">
        <v>7145</v>
      </c>
      <c r="HFO1" t="s">
        <v>7146</v>
      </c>
      <c r="HFP1" t="s">
        <v>7147</v>
      </c>
      <c r="HFQ1" t="s">
        <v>7148</v>
      </c>
      <c r="HFR1" t="s">
        <v>7149</v>
      </c>
      <c r="HFS1" t="s">
        <v>7150</v>
      </c>
      <c r="HFT1" t="s">
        <v>7151</v>
      </c>
      <c r="HFU1" t="s">
        <v>7152</v>
      </c>
      <c r="HFV1" t="s">
        <v>7153</v>
      </c>
      <c r="HFW1" t="s">
        <v>7154</v>
      </c>
      <c r="HFX1" t="s">
        <v>7155</v>
      </c>
      <c r="HFY1" t="s">
        <v>7156</v>
      </c>
      <c r="HFZ1" t="s">
        <v>7157</v>
      </c>
      <c r="HGA1" t="s">
        <v>7158</v>
      </c>
      <c r="HGB1" t="s">
        <v>7159</v>
      </c>
      <c r="HGC1" t="s">
        <v>7160</v>
      </c>
      <c r="HGD1" t="s">
        <v>7161</v>
      </c>
      <c r="HGE1" t="s">
        <v>7162</v>
      </c>
      <c r="HGF1" t="s">
        <v>7163</v>
      </c>
      <c r="HGG1" t="s">
        <v>7164</v>
      </c>
      <c r="HGH1" t="s">
        <v>7165</v>
      </c>
      <c r="HGI1" t="s">
        <v>7166</v>
      </c>
      <c r="HGJ1" t="s">
        <v>7167</v>
      </c>
      <c r="HGK1" t="s">
        <v>7168</v>
      </c>
      <c r="HGL1" t="s">
        <v>7169</v>
      </c>
      <c r="HGM1" t="s">
        <v>7170</v>
      </c>
      <c r="HGN1" t="s">
        <v>7171</v>
      </c>
      <c r="HGO1" t="s">
        <v>7172</v>
      </c>
      <c r="HGP1" t="s">
        <v>7173</v>
      </c>
      <c r="HGQ1" t="s">
        <v>7174</v>
      </c>
      <c r="HGR1" t="s">
        <v>7175</v>
      </c>
      <c r="HGS1" t="s">
        <v>7176</v>
      </c>
      <c r="HGT1" t="s">
        <v>7177</v>
      </c>
      <c r="HGU1" t="s">
        <v>7178</v>
      </c>
      <c r="HGV1" t="s">
        <v>7179</v>
      </c>
      <c r="HGW1" t="s">
        <v>7180</v>
      </c>
      <c r="HGX1" t="s">
        <v>7181</v>
      </c>
      <c r="HGY1" t="s">
        <v>7182</v>
      </c>
      <c r="HGZ1" t="s">
        <v>7183</v>
      </c>
      <c r="HHA1" t="s">
        <v>7184</v>
      </c>
      <c r="HHB1" t="s">
        <v>7185</v>
      </c>
      <c r="HHC1" t="s">
        <v>7186</v>
      </c>
      <c r="HHD1" t="s">
        <v>7187</v>
      </c>
      <c r="HHE1" t="s">
        <v>7188</v>
      </c>
      <c r="HHF1" t="s">
        <v>7189</v>
      </c>
      <c r="HHG1" t="s">
        <v>7190</v>
      </c>
      <c r="HHH1" t="s">
        <v>7191</v>
      </c>
      <c r="HHI1" t="s">
        <v>7192</v>
      </c>
      <c r="HHJ1" t="s">
        <v>7193</v>
      </c>
      <c r="HHK1" t="s">
        <v>7194</v>
      </c>
      <c r="HHL1" t="s">
        <v>7195</v>
      </c>
      <c r="HHM1" t="s">
        <v>7196</v>
      </c>
      <c r="HHN1" t="s">
        <v>7197</v>
      </c>
      <c r="HHO1" t="s">
        <v>7198</v>
      </c>
      <c r="HHP1" t="s">
        <v>7199</v>
      </c>
      <c r="HHQ1" t="s">
        <v>7200</v>
      </c>
      <c r="HHR1" t="s">
        <v>7201</v>
      </c>
      <c r="HHS1" t="s">
        <v>7202</v>
      </c>
      <c r="HHT1" t="s">
        <v>7203</v>
      </c>
      <c r="HHU1" t="s">
        <v>7204</v>
      </c>
      <c r="HHV1" t="s">
        <v>7205</v>
      </c>
      <c r="HHW1" t="s">
        <v>7206</v>
      </c>
      <c r="HHX1" t="s">
        <v>7207</v>
      </c>
      <c r="HHY1" t="s">
        <v>7208</v>
      </c>
      <c r="HHZ1" t="s">
        <v>7209</v>
      </c>
      <c r="HIA1" t="s">
        <v>7210</v>
      </c>
      <c r="HIB1" t="s">
        <v>7211</v>
      </c>
      <c r="HIC1" t="s">
        <v>7212</v>
      </c>
      <c r="HID1" t="s">
        <v>7213</v>
      </c>
      <c r="HIE1" t="s">
        <v>7214</v>
      </c>
      <c r="HIF1" t="s">
        <v>7215</v>
      </c>
      <c r="HIG1" t="s">
        <v>7216</v>
      </c>
      <c r="HIH1" t="s">
        <v>7217</v>
      </c>
      <c r="HII1" t="s">
        <v>7218</v>
      </c>
      <c r="HIJ1" t="s">
        <v>7219</v>
      </c>
      <c r="HIK1" t="s">
        <v>7220</v>
      </c>
      <c r="HIL1" t="s">
        <v>7221</v>
      </c>
      <c r="HIM1" t="s">
        <v>7222</v>
      </c>
      <c r="HIN1" t="s">
        <v>7223</v>
      </c>
      <c r="HIO1" t="s">
        <v>7224</v>
      </c>
      <c r="HIP1" t="s">
        <v>7225</v>
      </c>
      <c r="HIQ1" t="s">
        <v>7226</v>
      </c>
      <c r="HIR1" t="s">
        <v>7227</v>
      </c>
      <c r="HIS1" t="s">
        <v>7228</v>
      </c>
      <c r="HIT1" t="s">
        <v>7229</v>
      </c>
      <c r="HIU1" t="s">
        <v>7230</v>
      </c>
      <c r="HIV1" t="s">
        <v>7231</v>
      </c>
      <c r="HIW1" t="s">
        <v>7232</v>
      </c>
      <c r="HIX1" t="s">
        <v>7233</v>
      </c>
      <c r="HIY1" t="s">
        <v>7234</v>
      </c>
      <c r="HIZ1" t="s">
        <v>7235</v>
      </c>
      <c r="HJA1" t="s">
        <v>7236</v>
      </c>
      <c r="HJB1" t="s">
        <v>7237</v>
      </c>
      <c r="HJC1" t="s">
        <v>7238</v>
      </c>
      <c r="HJD1" t="s">
        <v>7239</v>
      </c>
      <c r="HJE1" t="s">
        <v>7240</v>
      </c>
      <c r="HJF1" t="s">
        <v>7241</v>
      </c>
      <c r="HJG1" t="s">
        <v>7242</v>
      </c>
      <c r="HJH1" t="s">
        <v>7243</v>
      </c>
      <c r="HJI1" t="s">
        <v>7244</v>
      </c>
      <c r="HJJ1" t="s">
        <v>7245</v>
      </c>
      <c r="HJK1" t="s">
        <v>7246</v>
      </c>
      <c r="HJL1" t="s">
        <v>7247</v>
      </c>
      <c r="HJM1" t="s">
        <v>7248</v>
      </c>
      <c r="HJN1" t="s">
        <v>7249</v>
      </c>
      <c r="HJO1" t="s">
        <v>7250</v>
      </c>
      <c r="HJP1" t="s">
        <v>7251</v>
      </c>
      <c r="HJQ1" t="s">
        <v>7252</v>
      </c>
      <c r="HJR1" t="s">
        <v>7253</v>
      </c>
      <c r="HJS1" t="s">
        <v>7254</v>
      </c>
      <c r="HJT1" t="s">
        <v>7255</v>
      </c>
      <c r="HJU1" t="s">
        <v>7256</v>
      </c>
      <c r="HJV1" t="s">
        <v>7257</v>
      </c>
      <c r="HJW1" t="s">
        <v>7258</v>
      </c>
      <c r="HJX1" t="s">
        <v>7259</v>
      </c>
      <c r="HJY1" t="s">
        <v>7260</v>
      </c>
      <c r="HJZ1" t="s">
        <v>7261</v>
      </c>
      <c r="HKA1" t="s">
        <v>7262</v>
      </c>
      <c r="HKB1" t="s">
        <v>7263</v>
      </c>
      <c r="HKC1" t="s">
        <v>7264</v>
      </c>
      <c r="HKD1" t="s">
        <v>7265</v>
      </c>
      <c r="HKE1" t="s">
        <v>7266</v>
      </c>
      <c r="HKF1" t="s">
        <v>7267</v>
      </c>
      <c r="HKG1" t="s">
        <v>7268</v>
      </c>
      <c r="HKH1" t="s">
        <v>7269</v>
      </c>
      <c r="HKI1" t="s">
        <v>7270</v>
      </c>
      <c r="HKJ1" t="s">
        <v>7271</v>
      </c>
      <c r="HKK1" t="s">
        <v>7272</v>
      </c>
      <c r="HKL1" t="s">
        <v>7273</v>
      </c>
      <c r="HKM1" t="s">
        <v>7274</v>
      </c>
      <c r="HKN1" t="s">
        <v>7275</v>
      </c>
      <c r="HKO1" t="s">
        <v>7276</v>
      </c>
      <c r="HKP1" t="s">
        <v>7277</v>
      </c>
      <c r="HKQ1" t="s">
        <v>7278</v>
      </c>
      <c r="HKR1" t="s">
        <v>7279</v>
      </c>
      <c r="HKS1" t="s">
        <v>7280</v>
      </c>
      <c r="HKT1" t="s">
        <v>7281</v>
      </c>
      <c r="HKU1" t="s">
        <v>7282</v>
      </c>
      <c r="HKV1" t="s">
        <v>7283</v>
      </c>
      <c r="HKW1" t="s">
        <v>7284</v>
      </c>
      <c r="HKX1" t="s">
        <v>7285</v>
      </c>
      <c r="HKY1" t="s">
        <v>7286</v>
      </c>
      <c r="HKZ1" t="s">
        <v>7287</v>
      </c>
      <c r="HLA1" t="s">
        <v>7288</v>
      </c>
      <c r="HLB1" t="s">
        <v>7289</v>
      </c>
      <c r="HLC1" t="s">
        <v>7290</v>
      </c>
      <c r="HLD1" t="s">
        <v>7291</v>
      </c>
      <c r="HLE1" t="s">
        <v>7292</v>
      </c>
      <c r="HLF1" t="s">
        <v>7293</v>
      </c>
      <c r="HLG1" t="s">
        <v>7294</v>
      </c>
      <c r="HLH1" t="s">
        <v>7295</v>
      </c>
      <c r="HLI1" t="s">
        <v>7296</v>
      </c>
      <c r="HLJ1" t="s">
        <v>7297</v>
      </c>
      <c r="HLK1" t="s">
        <v>7298</v>
      </c>
      <c r="HLL1" t="s">
        <v>7299</v>
      </c>
      <c r="HLM1" t="s">
        <v>7300</v>
      </c>
      <c r="HLN1" t="s">
        <v>7301</v>
      </c>
      <c r="HLO1" t="s">
        <v>7302</v>
      </c>
      <c r="HLP1" t="s">
        <v>7303</v>
      </c>
      <c r="HLQ1" t="s">
        <v>7304</v>
      </c>
      <c r="HLR1" t="s">
        <v>7305</v>
      </c>
      <c r="HLS1" t="s">
        <v>7306</v>
      </c>
      <c r="HLT1" t="s">
        <v>7307</v>
      </c>
      <c r="HLU1" t="s">
        <v>7308</v>
      </c>
      <c r="HLV1" t="s">
        <v>7309</v>
      </c>
      <c r="HLW1" t="s">
        <v>7310</v>
      </c>
      <c r="HLX1" t="s">
        <v>7311</v>
      </c>
      <c r="HLY1" t="s">
        <v>7312</v>
      </c>
      <c r="HLZ1" t="s">
        <v>7313</v>
      </c>
      <c r="HMA1" t="s">
        <v>7314</v>
      </c>
      <c r="HMB1" t="s">
        <v>7315</v>
      </c>
      <c r="HMC1" t="s">
        <v>7316</v>
      </c>
      <c r="HMD1" t="s">
        <v>7317</v>
      </c>
      <c r="HME1" t="s">
        <v>7318</v>
      </c>
      <c r="HMF1" t="s">
        <v>7319</v>
      </c>
      <c r="HMG1" t="s">
        <v>7320</v>
      </c>
      <c r="HMH1" t="s">
        <v>7321</v>
      </c>
      <c r="HMI1" t="s">
        <v>7322</v>
      </c>
      <c r="HMJ1" t="s">
        <v>7323</v>
      </c>
      <c r="HMK1" t="s">
        <v>7324</v>
      </c>
      <c r="HML1" t="s">
        <v>7325</v>
      </c>
      <c r="HMM1" t="s">
        <v>7326</v>
      </c>
      <c r="HMN1" t="s">
        <v>7327</v>
      </c>
      <c r="HMO1" t="s">
        <v>7328</v>
      </c>
      <c r="HMP1" t="s">
        <v>7329</v>
      </c>
      <c r="HMQ1" t="s">
        <v>7330</v>
      </c>
      <c r="HMR1" t="s">
        <v>7331</v>
      </c>
      <c r="HMS1" t="s">
        <v>7332</v>
      </c>
      <c r="HMT1" t="s">
        <v>7333</v>
      </c>
      <c r="HMU1" t="s">
        <v>7334</v>
      </c>
      <c r="HMV1" t="s">
        <v>7335</v>
      </c>
      <c r="HMW1" t="s">
        <v>7336</v>
      </c>
      <c r="HMX1" t="s">
        <v>7337</v>
      </c>
      <c r="HMY1" t="s">
        <v>7338</v>
      </c>
      <c r="HMZ1" t="s">
        <v>7339</v>
      </c>
      <c r="HNA1" t="s">
        <v>7340</v>
      </c>
      <c r="HNB1" t="s">
        <v>7341</v>
      </c>
      <c r="HNC1" t="s">
        <v>7342</v>
      </c>
      <c r="HND1" t="s">
        <v>7343</v>
      </c>
      <c r="HNE1" t="s">
        <v>7344</v>
      </c>
      <c r="HNF1" t="s">
        <v>7345</v>
      </c>
      <c r="HNG1" t="s">
        <v>7346</v>
      </c>
      <c r="HNH1" t="s">
        <v>7347</v>
      </c>
      <c r="HNI1" t="s">
        <v>7348</v>
      </c>
      <c r="HNJ1" t="s">
        <v>7349</v>
      </c>
      <c r="HNK1" t="s">
        <v>7350</v>
      </c>
      <c r="HNL1" t="s">
        <v>7351</v>
      </c>
      <c r="HNM1" t="s">
        <v>7352</v>
      </c>
      <c r="HNN1" t="s">
        <v>7353</v>
      </c>
      <c r="HNO1" t="s">
        <v>7354</v>
      </c>
      <c r="HNP1" t="s">
        <v>7355</v>
      </c>
      <c r="HNQ1" t="s">
        <v>7356</v>
      </c>
      <c r="HNR1" t="s">
        <v>7357</v>
      </c>
      <c r="HNS1" t="s">
        <v>7358</v>
      </c>
      <c r="HNT1" t="s">
        <v>7359</v>
      </c>
      <c r="HNU1" t="s">
        <v>7360</v>
      </c>
      <c r="HNV1" t="s">
        <v>7361</v>
      </c>
      <c r="HNW1" t="s">
        <v>7362</v>
      </c>
      <c r="HNX1" t="s">
        <v>7363</v>
      </c>
      <c r="HNY1" t="s">
        <v>7364</v>
      </c>
      <c r="HNZ1" t="s">
        <v>7365</v>
      </c>
      <c r="HOA1" t="s">
        <v>7366</v>
      </c>
      <c r="HOB1" t="s">
        <v>7367</v>
      </c>
      <c r="HOC1" t="s">
        <v>7368</v>
      </c>
      <c r="HOD1" t="s">
        <v>7369</v>
      </c>
      <c r="HOE1" t="s">
        <v>7370</v>
      </c>
      <c r="HOF1" t="s">
        <v>7371</v>
      </c>
      <c r="HOG1" t="s">
        <v>7372</v>
      </c>
      <c r="HOH1" t="s">
        <v>7373</v>
      </c>
      <c r="HOI1" t="s">
        <v>7374</v>
      </c>
      <c r="HOJ1" t="s">
        <v>7375</v>
      </c>
      <c r="HOK1" t="s">
        <v>7376</v>
      </c>
      <c r="HOL1" t="s">
        <v>7377</v>
      </c>
      <c r="HOM1" t="s">
        <v>7378</v>
      </c>
      <c r="HON1" t="s">
        <v>7379</v>
      </c>
      <c r="HOO1" t="s">
        <v>7380</v>
      </c>
      <c r="HOP1" t="s">
        <v>7381</v>
      </c>
      <c r="HOQ1" t="s">
        <v>7382</v>
      </c>
      <c r="HOR1" t="s">
        <v>7383</v>
      </c>
      <c r="HOS1" t="s">
        <v>7384</v>
      </c>
      <c r="HOT1" t="s">
        <v>7385</v>
      </c>
      <c r="HOU1" t="s">
        <v>7386</v>
      </c>
      <c r="HOV1" t="s">
        <v>7387</v>
      </c>
      <c r="HOW1" t="s">
        <v>7388</v>
      </c>
      <c r="HOX1" t="s">
        <v>7389</v>
      </c>
      <c r="HOY1" t="s">
        <v>7390</v>
      </c>
      <c r="HOZ1" t="s">
        <v>7391</v>
      </c>
      <c r="HPA1" t="s">
        <v>7392</v>
      </c>
      <c r="HPB1" t="s">
        <v>7393</v>
      </c>
      <c r="HPC1" t="s">
        <v>7394</v>
      </c>
      <c r="HPD1" t="s">
        <v>7395</v>
      </c>
      <c r="HPE1" t="s">
        <v>7396</v>
      </c>
      <c r="HPF1" t="s">
        <v>7397</v>
      </c>
      <c r="HPG1" t="s">
        <v>7398</v>
      </c>
      <c r="HPH1" t="s">
        <v>7399</v>
      </c>
      <c r="HPI1" t="s">
        <v>7400</v>
      </c>
      <c r="HPJ1" t="s">
        <v>7401</v>
      </c>
      <c r="HPK1" t="s">
        <v>7402</v>
      </c>
      <c r="HPL1" t="s">
        <v>7403</v>
      </c>
      <c r="HPM1" t="s">
        <v>7404</v>
      </c>
      <c r="HPN1" t="s">
        <v>7405</v>
      </c>
      <c r="HPO1" t="s">
        <v>7406</v>
      </c>
      <c r="HPP1" t="s">
        <v>7407</v>
      </c>
      <c r="HPQ1" t="s">
        <v>7408</v>
      </c>
      <c r="HPR1" t="s">
        <v>7409</v>
      </c>
      <c r="HPS1" t="s">
        <v>7410</v>
      </c>
      <c r="HPT1" t="s">
        <v>7411</v>
      </c>
      <c r="HPU1" t="s">
        <v>7412</v>
      </c>
      <c r="HPV1" t="s">
        <v>7413</v>
      </c>
      <c r="HPW1" t="s">
        <v>7414</v>
      </c>
      <c r="HPX1" t="s">
        <v>7415</v>
      </c>
      <c r="HPY1" t="s">
        <v>7416</v>
      </c>
      <c r="HPZ1" t="s">
        <v>7417</v>
      </c>
      <c r="HQA1" t="s">
        <v>7418</v>
      </c>
      <c r="HQB1" t="s">
        <v>7419</v>
      </c>
      <c r="HQC1" t="s">
        <v>7420</v>
      </c>
      <c r="HQD1" t="s">
        <v>7421</v>
      </c>
      <c r="HQE1" t="s">
        <v>7422</v>
      </c>
      <c r="HQF1" t="s">
        <v>7423</v>
      </c>
      <c r="HQG1" t="s">
        <v>7424</v>
      </c>
      <c r="HQH1" t="s">
        <v>7425</v>
      </c>
      <c r="HQI1" t="s">
        <v>7426</v>
      </c>
      <c r="HQJ1" t="s">
        <v>7427</v>
      </c>
      <c r="HQK1" t="s">
        <v>7428</v>
      </c>
      <c r="HQL1" t="s">
        <v>7429</v>
      </c>
      <c r="HQM1" t="s">
        <v>7430</v>
      </c>
      <c r="HQN1" t="s">
        <v>7431</v>
      </c>
      <c r="HQO1" t="s">
        <v>7432</v>
      </c>
      <c r="HQP1" t="s">
        <v>7433</v>
      </c>
      <c r="HQQ1" t="s">
        <v>7434</v>
      </c>
      <c r="HQR1" t="s">
        <v>7435</v>
      </c>
      <c r="HQS1" t="s">
        <v>7436</v>
      </c>
      <c r="HQT1" t="s">
        <v>7437</v>
      </c>
      <c r="HQU1" t="s">
        <v>7438</v>
      </c>
      <c r="HQV1" t="s">
        <v>7439</v>
      </c>
      <c r="HQW1" t="s">
        <v>7440</v>
      </c>
      <c r="HQX1" t="s">
        <v>7441</v>
      </c>
      <c r="HQY1" t="s">
        <v>7442</v>
      </c>
      <c r="HQZ1" t="s">
        <v>7443</v>
      </c>
      <c r="HRA1" t="s">
        <v>7444</v>
      </c>
      <c r="HRB1" t="s">
        <v>7445</v>
      </c>
      <c r="HRC1" t="s">
        <v>7446</v>
      </c>
      <c r="HRD1" t="s">
        <v>7447</v>
      </c>
      <c r="HRE1" t="s">
        <v>7448</v>
      </c>
      <c r="HRF1" t="s">
        <v>7449</v>
      </c>
      <c r="HRG1" t="s">
        <v>7450</v>
      </c>
      <c r="HRH1" t="s">
        <v>7451</v>
      </c>
      <c r="HRI1" t="s">
        <v>7452</v>
      </c>
      <c r="HRJ1" t="s">
        <v>7453</v>
      </c>
      <c r="HRK1" t="s">
        <v>7454</v>
      </c>
      <c r="HRL1" t="s">
        <v>7455</v>
      </c>
      <c r="HRM1" t="s">
        <v>7456</v>
      </c>
      <c r="HRN1" t="s">
        <v>7457</v>
      </c>
      <c r="HRO1" t="s">
        <v>7458</v>
      </c>
      <c r="HRP1" t="s">
        <v>7459</v>
      </c>
      <c r="HRQ1" t="s">
        <v>7460</v>
      </c>
      <c r="HRR1" t="s">
        <v>7461</v>
      </c>
      <c r="HRS1" t="s">
        <v>7462</v>
      </c>
      <c r="HRT1" t="s">
        <v>7463</v>
      </c>
      <c r="HRU1" t="s">
        <v>7464</v>
      </c>
      <c r="HRV1" t="s">
        <v>7465</v>
      </c>
      <c r="HRW1" t="s">
        <v>7466</v>
      </c>
      <c r="HRX1" t="s">
        <v>7467</v>
      </c>
      <c r="HRY1" t="s">
        <v>7468</v>
      </c>
      <c r="HRZ1" t="s">
        <v>7469</v>
      </c>
      <c r="HSA1" t="s">
        <v>7470</v>
      </c>
      <c r="HSB1" t="s">
        <v>7471</v>
      </c>
      <c r="HSC1" t="s">
        <v>7472</v>
      </c>
      <c r="HSD1" t="s">
        <v>7473</v>
      </c>
      <c r="HSE1" t="s">
        <v>7474</v>
      </c>
      <c r="HSF1" t="s">
        <v>7475</v>
      </c>
      <c r="HSG1" t="s">
        <v>7476</v>
      </c>
      <c r="HSH1" t="s">
        <v>7477</v>
      </c>
      <c r="HSI1" t="s">
        <v>7478</v>
      </c>
      <c r="HSJ1" t="s">
        <v>7479</v>
      </c>
      <c r="HSK1" t="s">
        <v>7480</v>
      </c>
      <c r="HSL1" t="s">
        <v>7481</v>
      </c>
      <c r="HSM1" t="s">
        <v>7482</v>
      </c>
      <c r="HSN1" t="s">
        <v>7483</v>
      </c>
      <c r="HSO1" t="s">
        <v>7484</v>
      </c>
      <c r="HSP1" t="s">
        <v>7485</v>
      </c>
      <c r="HSQ1" t="s">
        <v>7486</v>
      </c>
      <c r="HSR1" t="s">
        <v>7487</v>
      </c>
      <c r="HSS1" t="s">
        <v>7488</v>
      </c>
      <c r="HST1" t="s">
        <v>7489</v>
      </c>
      <c r="HSU1" t="s">
        <v>7490</v>
      </c>
      <c r="HSV1" t="s">
        <v>7491</v>
      </c>
      <c r="HSW1" t="s">
        <v>7492</v>
      </c>
      <c r="HSX1" t="s">
        <v>7493</v>
      </c>
      <c r="HSY1" t="s">
        <v>7494</v>
      </c>
      <c r="HSZ1" t="s">
        <v>7495</v>
      </c>
      <c r="HTA1" t="s">
        <v>7496</v>
      </c>
      <c r="HTB1" t="s">
        <v>7497</v>
      </c>
      <c r="HTC1" t="s">
        <v>7498</v>
      </c>
      <c r="HTD1" t="s">
        <v>7499</v>
      </c>
      <c r="HTE1" t="s">
        <v>7500</v>
      </c>
      <c r="HTF1" t="s">
        <v>7501</v>
      </c>
      <c r="HTG1" t="s">
        <v>7502</v>
      </c>
      <c r="HTH1" t="s">
        <v>7503</v>
      </c>
      <c r="HTI1" t="s">
        <v>7504</v>
      </c>
      <c r="HTJ1" t="s">
        <v>7505</v>
      </c>
      <c r="HTK1" t="s">
        <v>7506</v>
      </c>
      <c r="HTL1" t="s">
        <v>7507</v>
      </c>
      <c r="HTM1" t="s">
        <v>7508</v>
      </c>
      <c r="HTN1" t="s">
        <v>7509</v>
      </c>
      <c r="HTO1" t="s">
        <v>7510</v>
      </c>
      <c r="HTP1" t="s">
        <v>7511</v>
      </c>
      <c r="HTQ1" t="s">
        <v>7512</v>
      </c>
      <c r="HTR1" t="s">
        <v>7513</v>
      </c>
      <c r="HTS1" t="s">
        <v>7514</v>
      </c>
      <c r="HTT1" t="s">
        <v>7515</v>
      </c>
      <c r="HTU1" t="s">
        <v>7516</v>
      </c>
      <c r="HTV1" t="s">
        <v>7517</v>
      </c>
      <c r="HTW1" t="s">
        <v>7518</v>
      </c>
      <c r="HTX1" t="s">
        <v>7519</v>
      </c>
      <c r="HTY1" t="s">
        <v>7520</v>
      </c>
      <c r="HTZ1" t="s">
        <v>7521</v>
      </c>
      <c r="HUA1" t="s">
        <v>7522</v>
      </c>
      <c r="HUB1" t="s">
        <v>7523</v>
      </c>
      <c r="HUC1" t="s">
        <v>7524</v>
      </c>
      <c r="HUD1" t="s">
        <v>7525</v>
      </c>
      <c r="HUE1" t="s">
        <v>7526</v>
      </c>
      <c r="HUF1" t="s">
        <v>7527</v>
      </c>
      <c r="HUG1" t="s">
        <v>7528</v>
      </c>
      <c r="HUH1" t="s">
        <v>7529</v>
      </c>
      <c r="HUI1" t="s">
        <v>7530</v>
      </c>
      <c r="HUJ1" t="s">
        <v>7531</v>
      </c>
      <c r="HUK1" t="s">
        <v>7532</v>
      </c>
      <c r="HUL1" t="s">
        <v>7533</v>
      </c>
      <c r="HUM1" t="s">
        <v>7534</v>
      </c>
      <c r="HUN1" t="s">
        <v>7535</v>
      </c>
      <c r="HUO1" t="s">
        <v>7536</v>
      </c>
      <c r="HUP1" t="s">
        <v>7537</v>
      </c>
      <c r="HUQ1" t="s">
        <v>7538</v>
      </c>
      <c r="HUR1" t="s">
        <v>7539</v>
      </c>
      <c r="HUS1" t="s">
        <v>7540</v>
      </c>
      <c r="HUT1" t="s">
        <v>7541</v>
      </c>
      <c r="HUU1" t="s">
        <v>7542</v>
      </c>
      <c r="HUV1" t="s">
        <v>7543</v>
      </c>
      <c r="HUW1" t="s">
        <v>7544</v>
      </c>
      <c r="HUX1" t="s">
        <v>7545</v>
      </c>
      <c r="HUY1" t="s">
        <v>7546</v>
      </c>
      <c r="HUZ1" t="s">
        <v>7547</v>
      </c>
      <c r="HVA1" t="s">
        <v>7548</v>
      </c>
      <c r="HVB1" t="s">
        <v>7549</v>
      </c>
      <c r="HVC1" t="s">
        <v>7550</v>
      </c>
      <c r="HVD1" t="s">
        <v>7551</v>
      </c>
      <c r="HVE1" t="s">
        <v>7552</v>
      </c>
      <c r="HVF1" t="s">
        <v>7553</v>
      </c>
      <c r="HVG1" t="s">
        <v>7554</v>
      </c>
      <c r="HVH1" t="s">
        <v>7555</v>
      </c>
      <c r="HVI1" t="s">
        <v>7556</v>
      </c>
      <c r="HVJ1" t="s">
        <v>7557</v>
      </c>
      <c r="HVK1" t="s">
        <v>7558</v>
      </c>
      <c r="HVL1" t="s">
        <v>7559</v>
      </c>
      <c r="HVM1" t="s">
        <v>7560</v>
      </c>
      <c r="HVN1" t="s">
        <v>7561</v>
      </c>
      <c r="HVO1" t="s">
        <v>7562</v>
      </c>
      <c r="HVP1" t="s">
        <v>7563</v>
      </c>
      <c r="HVQ1" t="s">
        <v>7564</v>
      </c>
      <c r="HVR1" t="s">
        <v>7565</v>
      </c>
      <c r="HVS1" t="s">
        <v>7566</v>
      </c>
      <c r="HVT1" t="s">
        <v>7567</v>
      </c>
      <c r="HVU1" t="s">
        <v>7568</v>
      </c>
      <c r="HVV1" t="s">
        <v>7569</v>
      </c>
      <c r="HVW1" t="s">
        <v>7570</v>
      </c>
      <c r="HVX1" t="s">
        <v>7571</v>
      </c>
      <c r="HVY1" t="s">
        <v>7572</v>
      </c>
      <c r="HVZ1" t="s">
        <v>7573</v>
      </c>
      <c r="HWA1" t="s">
        <v>7574</v>
      </c>
      <c r="HWB1" t="s">
        <v>7575</v>
      </c>
      <c r="HWC1" t="s">
        <v>7576</v>
      </c>
      <c r="HWD1" t="s">
        <v>7577</v>
      </c>
      <c r="HWE1" t="s">
        <v>7578</v>
      </c>
      <c r="HWF1" t="s">
        <v>7579</v>
      </c>
      <c r="HWG1" t="s">
        <v>7580</v>
      </c>
      <c r="HWH1" t="s">
        <v>7581</v>
      </c>
      <c r="HWI1" t="s">
        <v>7582</v>
      </c>
      <c r="HWJ1" t="s">
        <v>7583</v>
      </c>
      <c r="HWK1" t="s">
        <v>7584</v>
      </c>
      <c r="HWL1" t="s">
        <v>7585</v>
      </c>
      <c r="HWM1" t="s">
        <v>7586</v>
      </c>
      <c r="HWN1" t="s">
        <v>7587</v>
      </c>
      <c r="HWO1" t="s">
        <v>7588</v>
      </c>
      <c r="HWP1" t="s">
        <v>7589</v>
      </c>
      <c r="HWQ1" t="s">
        <v>7590</v>
      </c>
      <c r="HWR1" t="s">
        <v>7591</v>
      </c>
      <c r="HWS1" t="s">
        <v>7592</v>
      </c>
      <c r="HWT1" t="s">
        <v>7593</v>
      </c>
      <c r="HWU1" t="s">
        <v>7594</v>
      </c>
      <c r="HWV1" t="s">
        <v>7595</v>
      </c>
      <c r="HWW1" t="s">
        <v>7596</v>
      </c>
      <c r="HWX1" t="s">
        <v>7597</v>
      </c>
      <c r="HWY1" t="s">
        <v>7598</v>
      </c>
      <c r="HWZ1" t="s">
        <v>7599</v>
      </c>
      <c r="HXA1" t="s">
        <v>7600</v>
      </c>
      <c r="HXB1" t="s">
        <v>7601</v>
      </c>
      <c r="HXC1" t="s">
        <v>7602</v>
      </c>
      <c r="HXD1" t="s">
        <v>7603</v>
      </c>
      <c r="HXE1" t="s">
        <v>7604</v>
      </c>
      <c r="HXF1" t="s">
        <v>7605</v>
      </c>
      <c r="HXG1" t="s">
        <v>7606</v>
      </c>
      <c r="HXH1" t="s">
        <v>7607</v>
      </c>
      <c r="HXI1" t="s">
        <v>7608</v>
      </c>
      <c r="HXJ1" t="s">
        <v>7609</v>
      </c>
      <c r="HXK1" t="s">
        <v>7610</v>
      </c>
      <c r="HXL1" t="s">
        <v>7611</v>
      </c>
      <c r="HXM1" t="s">
        <v>7612</v>
      </c>
      <c r="HXN1" t="s">
        <v>7613</v>
      </c>
      <c r="HXO1" t="s">
        <v>7614</v>
      </c>
      <c r="HXP1" t="s">
        <v>7615</v>
      </c>
      <c r="HXQ1" t="s">
        <v>7616</v>
      </c>
      <c r="HXR1" t="s">
        <v>7617</v>
      </c>
      <c r="HXS1" t="s">
        <v>7618</v>
      </c>
      <c r="HXT1" t="s">
        <v>7619</v>
      </c>
      <c r="HXU1" t="s">
        <v>7620</v>
      </c>
      <c r="HXV1" t="s">
        <v>7621</v>
      </c>
      <c r="HXW1" t="s">
        <v>7622</v>
      </c>
      <c r="HXX1" t="s">
        <v>7623</v>
      </c>
      <c r="HXY1" t="s">
        <v>7624</v>
      </c>
      <c r="HXZ1" t="s">
        <v>7625</v>
      </c>
      <c r="HYA1" t="s">
        <v>7626</v>
      </c>
      <c r="HYB1" t="s">
        <v>7627</v>
      </c>
      <c r="HYC1" t="s">
        <v>7628</v>
      </c>
      <c r="HYD1" t="s">
        <v>7629</v>
      </c>
      <c r="HYE1" t="s">
        <v>7630</v>
      </c>
      <c r="HYF1" t="s">
        <v>7631</v>
      </c>
      <c r="HYG1" t="s">
        <v>7632</v>
      </c>
      <c r="HYH1" t="s">
        <v>7633</v>
      </c>
      <c r="HYI1" t="s">
        <v>7634</v>
      </c>
      <c r="HYJ1" t="s">
        <v>7635</v>
      </c>
      <c r="HYK1" t="s">
        <v>7636</v>
      </c>
      <c r="HYL1" t="s">
        <v>7637</v>
      </c>
      <c r="HYM1" t="s">
        <v>7638</v>
      </c>
      <c r="HYN1" t="s">
        <v>7639</v>
      </c>
      <c r="HYO1" t="s">
        <v>7640</v>
      </c>
      <c r="HYP1" t="s">
        <v>7641</v>
      </c>
      <c r="HYQ1" t="s">
        <v>7642</v>
      </c>
      <c r="HYR1" t="s">
        <v>7643</v>
      </c>
      <c r="HYS1" t="s">
        <v>7644</v>
      </c>
      <c r="HYT1" t="s">
        <v>7645</v>
      </c>
      <c r="HYU1" t="s">
        <v>7646</v>
      </c>
      <c r="HYV1" t="s">
        <v>7647</v>
      </c>
      <c r="HYW1" t="s">
        <v>7648</v>
      </c>
      <c r="HYX1" t="s">
        <v>7649</v>
      </c>
      <c r="HYY1" t="s">
        <v>7650</v>
      </c>
      <c r="HYZ1" t="s">
        <v>7651</v>
      </c>
      <c r="HZA1" t="s">
        <v>7652</v>
      </c>
      <c r="HZB1" t="s">
        <v>7653</v>
      </c>
      <c r="HZC1" t="s">
        <v>7654</v>
      </c>
      <c r="HZD1" t="s">
        <v>7655</v>
      </c>
      <c r="HZE1" t="s">
        <v>7656</v>
      </c>
      <c r="HZF1" t="s">
        <v>7657</v>
      </c>
      <c r="HZG1" t="s">
        <v>7658</v>
      </c>
      <c r="HZH1" t="s">
        <v>7659</v>
      </c>
      <c r="HZI1" t="s">
        <v>7660</v>
      </c>
      <c r="HZJ1" t="s">
        <v>7661</v>
      </c>
      <c r="HZK1" t="s">
        <v>7662</v>
      </c>
      <c r="HZL1" t="s">
        <v>7663</v>
      </c>
      <c r="HZM1" t="s">
        <v>7664</v>
      </c>
      <c r="HZN1" t="s">
        <v>7665</v>
      </c>
      <c r="HZO1" t="s">
        <v>7666</v>
      </c>
      <c r="HZP1" t="s">
        <v>7667</v>
      </c>
      <c r="HZQ1" t="s">
        <v>7668</v>
      </c>
      <c r="HZR1" t="s">
        <v>7669</v>
      </c>
      <c r="HZS1" t="s">
        <v>7670</v>
      </c>
      <c r="HZT1" t="s">
        <v>7671</v>
      </c>
      <c r="HZU1" t="s">
        <v>7672</v>
      </c>
      <c r="HZV1" t="s">
        <v>7673</v>
      </c>
      <c r="HZW1" t="s">
        <v>7674</v>
      </c>
      <c r="HZX1" t="s">
        <v>7675</v>
      </c>
      <c r="HZY1" t="s">
        <v>7676</v>
      </c>
      <c r="HZZ1" t="s">
        <v>7677</v>
      </c>
      <c r="IAA1" t="s">
        <v>7678</v>
      </c>
      <c r="IAB1" t="s">
        <v>7679</v>
      </c>
      <c r="IAC1" t="s">
        <v>7680</v>
      </c>
      <c r="IAD1" t="s">
        <v>7681</v>
      </c>
      <c r="IAE1" t="s">
        <v>7682</v>
      </c>
      <c r="IAF1" t="s">
        <v>7683</v>
      </c>
      <c r="IAG1" t="s">
        <v>7684</v>
      </c>
      <c r="IAH1" t="s">
        <v>7685</v>
      </c>
      <c r="IAI1" t="s">
        <v>7686</v>
      </c>
      <c r="IAJ1" t="s">
        <v>7687</v>
      </c>
      <c r="IAK1" t="s">
        <v>7688</v>
      </c>
      <c r="IAL1" t="s">
        <v>7689</v>
      </c>
      <c r="IAM1" t="s">
        <v>7690</v>
      </c>
      <c r="IAN1" t="s">
        <v>7691</v>
      </c>
      <c r="IAO1" t="s">
        <v>7692</v>
      </c>
      <c r="IAP1" t="s">
        <v>7693</v>
      </c>
      <c r="IAQ1" t="s">
        <v>7694</v>
      </c>
      <c r="IAR1" t="s">
        <v>7695</v>
      </c>
      <c r="IAS1" t="s">
        <v>7696</v>
      </c>
      <c r="IAT1" t="s">
        <v>7697</v>
      </c>
      <c r="IAU1" t="s">
        <v>7698</v>
      </c>
      <c r="IAV1" t="s">
        <v>7699</v>
      </c>
      <c r="IAW1" t="s">
        <v>7700</v>
      </c>
      <c r="IAX1" t="s">
        <v>7701</v>
      </c>
      <c r="IAY1" t="s">
        <v>7702</v>
      </c>
      <c r="IAZ1" t="s">
        <v>7703</v>
      </c>
      <c r="IBA1" t="s">
        <v>7704</v>
      </c>
      <c r="IBB1" t="s">
        <v>7705</v>
      </c>
      <c r="IBC1" t="s">
        <v>7706</v>
      </c>
      <c r="IBD1" t="s">
        <v>7707</v>
      </c>
      <c r="IBE1" t="s">
        <v>7708</v>
      </c>
      <c r="IBF1" t="s">
        <v>7709</v>
      </c>
      <c r="IBG1" t="s">
        <v>7710</v>
      </c>
      <c r="IBH1" t="s">
        <v>7711</v>
      </c>
      <c r="IBI1" t="s">
        <v>7712</v>
      </c>
      <c r="IBJ1" t="s">
        <v>7713</v>
      </c>
      <c r="IBK1" t="s">
        <v>7714</v>
      </c>
      <c r="IBL1" t="s">
        <v>7715</v>
      </c>
      <c r="IBM1" t="s">
        <v>7716</v>
      </c>
      <c r="IBN1" t="s">
        <v>7717</v>
      </c>
      <c r="IBO1" t="s">
        <v>7718</v>
      </c>
      <c r="IBP1" t="s">
        <v>7719</v>
      </c>
      <c r="IBQ1" t="s">
        <v>7720</v>
      </c>
      <c r="IBR1" t="s">
        <v>7721</v>
      </c>
      <c r="IBS1" t="s">
        <v>7722</v>
      </c>
      <c r="IBT1" t="s">
        <v>7723</v>
      </c>
      <c r="IBU1" t="s">
        <v>7724</v>
      </c>
      <c r="IBV1" t="s">
        <v>7725</v>
      </c>
      <c r="IBW1" t="s">
        <v>7726</v>
      </c>
      <c r="IBX1" t="s">
        <v>7727</v>
      </c>
      <c r="IBY1" t="s">
        <v>7728</v>
      </c>
      <c r="IBZ1" t="s">
        <v>7729</v>
      </c>
      <c r="ICA1" t="s">
        <v>7730</v>
      </c>
      <c r="ICB1" t="s">
        <v>7731</v>
      </c>
      <c r="ICC1" t="s">
        <v>7732</v>
      </c>
      <c r="ICD1" t="s">
        <v>7733</v>
      </c>
      <c r="ICE1" t="s">
        <v>7734</v>
      </c>
      <c r="ICF1" t="s">
        <v>7735</v>
      </c>
      <c r="ICG1" t="s">
        <v>7736</v>
      </c>
      <c r="ICH1" t="s">
        <v>7737</v>
      </c>
      <c r="ICI1" t="s">
        <v>7738</v>
      </c>
      <c r="ICJ1" t="s">
        <v>7739</v>
      </c>
      <c r="ICK1" t="s">
        <v>7740</v>
      </c>
      <c r="ICL1" t="s">
        <v>7741</v>
      </c>
      <c r="ICM1" t="s">
        <v>7742</v>
      </c>
      <c r="ICN1" t="s">
        <v>7743</v>
      </c>
      <c r="ICO1" t="s">
        <v>7744</v>
      </c>
      <c r="ICP1" t="s">
        <v>7745</v>
      </c>
      <c r="ICQ1" t="s">
        <v>7746</v>
      </c>
      <c r="ICR1" t="s">
        <v>7747</v>
      </c>
      <c r="ICS1" t="s">
        <v>7748</v>
      </c>
      <c r="ICT1" t="s">
        <v>7749</v>
      </c>
      <c r="ICU1" t="s">
        <v>7750</v>
      </c>
      <c r="ICV1" t="s">
        <v>7751</v>
      </c>
      <c r="ICW1" t="s">
        <v>7752</v>
      </c>
      <c r="ICX1" t="s">
        <v>7753</v>
      </c>
      <c r="ICY1" t="s">
        <v>7754</v>
      </c>
      <c r="ICZ1" t="s">
        <v>7755</v>
      </c>
      <c r="IDA1" t="s">
        <v>7756</v>
      </c>
      <c r="IDB1" t="s">
        <v>7757</v>
      </c>
      <c r="IDC1" t="s">
        <v>7758</v>
      </c>
      <c r="IDD1" t="s">
        <v>7759</v>
      </c>
      <c r="IDE1" t="s">
        <v>7760</v>
      </c>
      <c r="IDF1" t="s">
        <v>7761</v>
      </c>
      <c r="IDG1" t="s">
        <v>7762</v>
      </c>
      <c r="IDH1" t="s">
        <v>7763</v>
      </c>
      <c r="IDI1" t="s">
        <v>7764</v>
      </c>
      <c r="IDJ1" t="s">
        <v>7765</v>
      </c>
      <c r="IDK1" t="s">
        <v>7766</v>
      </c>
      <c r="IDL1" t="s">
        <v>7767</v>
      </c>
      <c r="IDM1" t="s">
        <v>7768</v>
      </c>
      <c r="IDN1" t="s">
        <v>7769</v>
      </c>
      <c r="IDO1" t="s">
        <v>7770</v>
      </c>
      <c r="IDP1" t="s">
        <v>7771</v>
      </c>
      <c r="IDQ1" t="s">
        <v>7772</v>
      </c>
      <c r="IDR1" t="s">
        <v>7773</v>
      </c>
      <c r="IDS1" t="s">
        <v>7774</v>
      </c>
      <c r="IDT1" t="s">
        <v>7775</v>
      </c>
      <c r="IDU1" t="s">
        <v>7776</v>
      </c>
      <c r="IDV1" t="s">
        <v>7777</v>
      </c>
      <c r="IDW1" t="s">
        <v>7778</v>
      </c>
      <c r="IDX1" t="s">
        <v>7779</v>
      </c>
      <c r="IDY1" t="s">
        <v>7780</v>
      </c>
      <c r="IDZ1" t="s">
        <v>7781</v>
      </c>
      <c r="IEA1" t="s">
        <v>7782</v>
      </c>
      <c r="IEB1" t="s">
        <v>7783</v>
      </c>
      <c r="IEC1" t="s">
        <v>7784</v>
      </c>
      <c r="IED1" t="s">
        <v>7785</v>
      </c>
      <c r="IEE1" t="s">
        <v>7786</v>
      </c>
      <c r="IEF1" t="s">
        <v>7787</v>
      </c>
      <c r="IEG1" t="s">
        <v>7788</v>
      </c>
      <c r="IEH1" t="s">
        <v>7789</v>
      </c>
      <c r="IEI1" t="s">
        <v>7790</v>
      </c>
      <c r="IEJ1" t="s">
        <v>7791</v>
      </c>
      <c r="IEK1" t="s">
        <v>7792</v>
      </c>
      <c r="IEL1" t="s">
        <v>7793</v>
      </c>
      <c r="IEM1" t="s">
        <v>7794</v>
      </c>
      <c r="IEN1" t="s">
        <v>7795</v>
      </c>
      <c r="IEO1" t="s">
        <v>7796</v>
      </c>
      <c r="IEP1" t="s">
        <v>7797</v>
      </c>
      <c r="IEQ1" t="s">
        <v>7798</v>
      </c>
      <c r="IER1" t="s">
        <v>7799</v>
      </c>
      <c r="IES1" t="s">
        <v>7800</v>
      </c>
      <c r="IET1" t="s">
        <v>7801</v>
      </c>
      <c r="IEU1" t="s">
        <v>7802</v>
      </c>
      <c r="IEV1" t="s">
        <v>7803</v>
      </c>
      <c r="IEW1" t="s">
        <v>7804</v>
      </c>
      <c r="IEX1" t="s">
        <v>7805</v>
      </c>
      <c r="IEY1" t="s">
        <v>7806</v>
      </c>
      <c r="IEZ1" t="s">
        <v>7807</v>
      </c>
      <c r="IFA1" t="s">
        <v>7808</v>
      </c>
      <c r="IFB1" t="s">
        <v>7809</v>
      </c>
      <c r="IFC1" t="s">
        <v>7810</v>
      </c>
      <c r="IFD1" t="s">
        <v>7811</v>
      </c>
      <c r="IFE1" t="s">
        <v>7812</v>
      </c>
      <c r="IFF1" t="s">
        <v>7813</v>
      </c>
      <c r="IFG1" t="s">
        <v>7814</v>
      </c>
      <c r="IFH1" t="s">
        <v>7815</v>
      </c>
      <c r="IFI1" t="s">
        <v>7816</v>
      </c>
      <c r="IFJ1" t="s">
        <v>7817</v>
      </c>
      <c r="IFK1" t="s">
        <v>7818</v>
      </c>
      <c r="IFL1" t="s">
        <v>7819</v>
      </c>
      <c r="IFM1" t="s">
        <v>7820</v>
      </c>
      <c r="IFN1" t="s">
        <v>7821</v>
      </c>
      <c r="IFO1" t="s">
        <v>7822</v>
      </c>
      <c r="IFP1" t="s">
        <v>7823</v>
      </c>
      <c r="IFQ1" t="s">
        <v>7824</v>
      </c>
      <c r="IFR1" t="s">
        <v>7825</v>
      </c>
      <c r="IFS1" t="s">
        <v>7826</v>
      </c>
      <c r="IFT1" t="s">
        <v>7827</v>
      </c>
      <c r="IFU1" t="s">
        <v>7828</v>
      </c>
      <c r="IFV1" t="s">
        <v>7829</v>
      </c>
      <c r="IFW1" t="s">
        <v>7830</v>
      </c>
      <c r="IFX1" t="s">
        <v>7831</v>
      </c>
      <c r="IFY1" t="s">
        <v>7832</v>
      </c>
      <c r="IFZ1" t="s">
        <v>7833</v>
      </c>
      <c r="IGA1" t="s">
        <v>7834</v>
      </c>
      <c r="IGB1" t="s">
        <v>7835</v>
      </c>
      <c r="IGC1" t="s">
        <v>7836</v>
      </c>
      <c r="IGD1" t="s">
        <v>7837</v>
      </c>
      <c r="IGE1" t="s">
        <v>7838</v>
      </c>
      <c r="IGF1" t="s">
        <v>7839</v>
      </c>
      <c r="IGG1" t="s">
        <v>7840</v>
      </c>
      <c r="IGH1" t="s">
        <v>7841</v>
      </c>
      <c r="IGI1" t="s">
        <v>7842</v>
      </c>
      <c r="IGJ1" t="s">
        <v>7843</v>
      </c>
      <c r="IGK1" t="s">
        <v>7844</v>
      </c>
      <c r="IGL1" t="s">
        <v>7845</v>
      </c>
      <c r="IGM1" t="s">
        <v>7846</v>
      </c>
      <c r="IGN1" t="s">
        <v>7847</v>
      </c>
      <c r="IGO1" t="s">
        <v>7848</v>
      </c>
      <c r="IGP1" t="s">
        <v>7849</v>
      </c>
      <c r="IGQ1" t="s">
        <v>7850</v>
      </c>
      <c r="IGR1" t="s">
        <v>7851</v>
      </c>
      <c r="IGS1" t="s">
        <v>7852</v>
      </c>
      <c r="IGT1" t="s">
        <v>7853</v>
      </c>
      <c r="IGU1" t="s">
        <v>7854</v>
      </c>
      <c r="IGV1" t="s">
        <v>7855</v>
      </c>
      <c r="IGW1" t="s">
        <v>7856</v>
      </c>
      <c r="IGX1" t="s">
        <v>7857</v>
      </c>
      <c r="IGY1" t="s">
        <v>7858</v>
      </c>
      <c r="IGZ1" t="s">
        <v>7859</v>
      </c>
      <c r="IHA1" t="s">
        <v>7860</v>
      </c>
      <c r="IHB1" t="s">
        <v>7861</v>
      </c>
      <c r="IHC1" t="s">
        <v>7862</v>
      </c>
      <c r="IHD1" t="s">
        <v>7863</v>
      </c>
      <c r="IHE1" t="s">
        <v>7864</v>
      </c>
      <c r="IHF1" t="s">
        <v>7865</v>
      </c>
      <c r="IHG1" t="s">
        <v>7866</v>
      </c>
      <c r="IHH1" t="s">
        <v>7867</v>
      </c>
      <c r="IHI1" t="s">
        <v>7868</v>
      </c>
      <c r="IHJ1" t="s">
        <v>7869</v>
      </c>
      <c r="IHK1" t="s">
        <v>7870</v>
      </c>
      <c r="IHL1" t="s">
        <v>7871</v>
      </c>
      <c r="IHM1" t="s">
        <v>7872</v>
      </c>
      <c r="IHN1" t="s">
        <v>7873</v>
      </c>
      <c r="IHO1" t="s">
        <v>7874</v>
      </c>
      <c r="IHP1" t="s">
        <v>7875</v>
      </c>
      <c r="IHQ1" t="s">
        <v>7876</v>
      </c>
      <c r="IHR1" t="s">
        <v>7877</v>
      </c>
      <c r="IHS1" t="s">
        <v>7878</v>
      </c>
      <c r="IHT1" t="s">
        <v>7879</v>
      </c>
      <c r="IHU1" t="s">
        <v>7880</v>
      </c>
      <c r="IHV1" t="s">
        <v>7881</v>
      </c>
      <c r="IHW1" t="s">
        <v>7882</v>
      </c>
      <c r="IHX1" t="s">
        <v>7883</v>
      </c>
      <c r="IHY1" t="s">
        <v>7884</v>
      </c>
      <c r="IHZ1" t="s">
        <v>7885</v>
      </c>
      <c r="IIA1" t="s">
        <v>7886</v>
      </c>
      <c r="IIB1" t="s">
        <v>7887</v>
      </c>
      <c r="IIC1" t="s">
        <v>7888</v>
      </c>
      <c r="IID1" t="s">
        <v>7889</v>
      </c>
      <c r="IIE1" t="s">
        <v>7890</v>
      </c>
      <c r="IIF1" t="s">
        <v>7891</v>
      </c>
      <c r="IIG1" t="s">
        <v>7892</v>
      </c>
      <c r="IIH1" t="s">
        <v>7893</v>
      </c>
      <c r="III1" t="s">
        <v>7894</v>
      </c>
      <c r="IIJ1" t="s">
        <v>7895</v>
      </c>
      <c r="IIK1" t="s">
        <v>7896</v>
      </c>
      <c r="IIL1" t="s">
        <v>7897</v>
      </c>
      <c r="IIM1" t="s">
        <v>7898</v>
      </c>
      <c r="IIN1" t="s">
        <v>7899</v>
      </c>
      <c r="IIO1" t="s">
        <v>7900</v>
      </c>
      <c r="IIP1" t="s">
        <v>7901</v>
      </c>
      <c r="IIQ1" t="s">
        <v>7902</v>
      </c>
      <c r="IIR1" t="s">
        <v>7903</v>
      </c>
      <c r="IIS1" t="s">
        <v>7904</v>
      </c>
      <c r="IIT1" t="s">
        <v>7905</v>
      </c>
      <c r="IIU1" t="s">
        <v>7906</v>
      </c>
      <c r="IIV1" t="s">
        <v>7907</v>
      </c>
      <c r="IIW1" t="s">
        <v>7908</v>
      </c>
      <c r="IIX1" t="s">
        <v>7909</v>
      </c>
      <c r="IIY1" t="s">
        <v>7910</v>
      </c>
      <c r="IIZ1" t="s">
        <v>7911</v>
      </c>
      <c r="IJA1" t="s">
        <v>7912</v>
      </c>
      <c r="IJB1" t="s">
        <v>7913</v>
      </c>
      <c r="IJC1" t="s">
        <v>7914</v>
      </c>
      <c r="IJD1" t="s">
        <v>7915</v>
      </c>
      <c r="IJE1" t="s">
        <v>7916</v>
      </c>
      <c r="IJF1" t="s">
        <v>7917</v>
      </c>
      <c r="IJG1" t="s">
        <v>7918</v>
      </c>
      <c r="IJH1" t="s">
        <v>7919</v>
      </c>
      <c r="IJI1" t="s">
        <v>7920</v>
      </c>
      <c r="IJJ1" t="s">
        <v>7921</v>
      </c>
      <c r="IJK1" t="s">
        <v>7922</v>
      </c>
      <c r="IJL1" t="s">
        <v>7923</v>
      </c>
      <c r="IJM1" t="s">
        <v>7924</v>
      </c>
      <c r="IJN1" t="s">
        <v>7925</v>
      </c>
      <c r="IJO1" t="s">
        <v>7926</v>
      </c>
      <c r="IJP1" t="s">
        <v>7927</v>
      </c>
      <c r="IJQ1" t="s">
        <v>7928</v>
      </c>
      <c r="IJR1" t="s">
        <v>7929</v>
      </c>
      <c r="IJS1" t="s">
        <v>7930</v>
      </c>
      <c r="IJT1" t="s">
        <v>7931</v>
      </c>
      <c r="IJU1" t="s">
        <v>7932</v>
      </c>
      <c r="IJV1" t="s">
        <v>7933</v>
      </c>
      <c r="IJW1" t="s">
        <v>7934</v>
      </c>
      <c r="IJX1" t="s">
        <v>7935</v>
      </c>
      <c r="IJY1" t="s">
        <v>7936</v>
      </c>
      <c r="IJZ1" t="s">
        <v>7937</v>
      </c>
      <c r="IKA1" t="s">
        <v>7938</v>
      </c>
      <c r="IKB1" t="s">
        <v>7939</v>
      </c>
      <c r="IKC1" t="s">
        <v>7940</v>
      </c>
      <c r="IKD1" t="s">
        <v>7941</v>
      </c>
      <c r="IKE1" t="s">
        <v>7942</v>
      </c>
      <c r="IKF1" t="s">
        <v>7943</v>
      </c>
      <c r="IKG1" t="s">
        <v>7944</v>
      </c>
      <c r="IKH1" t="s">
        <v>7945</v>
      </c>
      <c r="IKI1" t="s">
        <v>7946</v>
      </c>
      <c r="IKJ1" t="s">
        <v>7947</v>
      </c>
      <c r="IKK1" t="s">
        <v>7948</v>
      </c>
      <c r="IKL1" t="s">
        <v>7949</v>
      </c>
      <c r="IKM1" t="s">
        <v>7950</v>
      </c>
      <c r="IKN1" t="s">
        <v>7951</v>
      </c>
      <c r="IKO1" t="s">
        <v>7952</v>
      </c>
      <c r="IKP1" t="s">
        <v>7953</v>
      </c>
      <c r="IKQ1" t="s">
        <v>7954</v>
      </c>
      <c r="IKR1" t="s">
        <v>7955</v>
      </c>
      <c r="IKS1" t="s">
        <v>7956</v>
      </c>
      <c r="IKT1" t="s">
        <v>7957</v>
      </c>
      <c r="IKU1" t="s">
        <v>7958</v>
      </c>
      <c r="IKV1" t="s">
        <v>7959</v>
      </c>
      <c r="IKW1" t="s">
        <v>7960</v>
      </c>
      <c r="IKX1" t="s">
        <v>7961</v>
      </c>
      <c r="IKY1" t="s">
        <v>7962</v>
      </c>
      <c r="IKZ1" t="s">
        <v>7963</v>
      </c>
      <c r="ILA1" t="s">
        <v>7964</v>
      </c>
      <c r="ILB1" t="s">
        <v>7965</v>
      </c>
      <c r="ILC1" t="s">
        <v>7966</v>
      </c>
      <c r="ILD1" t="s">
        <v>7967</v>
      </c>
      <c r="ILE1" t="s">
        <v>7968</v>
      </c>
      <c r="ILF1" t="s">
        <v>7969</v>
      </c>
      <c r="ILG1" t="s">
        <v>7970</v>
      </c>
      <c r="ILH1" t="s">
        <v>7971</v>
      </c>
      <c r="ILI1" t="s">
        <v>7972</v>
      </c>
      <c r="ILJ1" t="s">
        <v>7973</v>
      </c>
      <c r="ILK1" t="s">
        <v>7974</v>
      </c>
      <c r="ILL1" t="s">
        <v>7975</v>
      </c>
      <c r="ILM1" t="s">
        <v>7976</v>
      </c>
      <c r="ILN1" t="s">
        <v>7977</v>
      </c>
      <c r="ILO1" t="s">
        <v>7978</v>
      </c>
      <c r="ILP1" t="s">
        <v>7979</v>
      </c>
      <c r="ILQ1" t="s">
        <v>7980</v>
      </c>
      <c r="ILR1" t="s">
        <v>7981</v>
      </c>
      <c r="ILS1" t="s">
        <v>7982</v>
      </c>
      <c r="ILT1" t="s">
        <v>7983</v>
      </c>
      <c r="ILU1" t="s">
        <v>7984</v>
      </c>
      <c r="ILV1" t="s">
        <v>7985</v>
      </c>
      <c r="ILW1" t="s">
        <v>7986</v>
      </c>
      <c r="ILX1" t="s">
        <v>7987</v>
      </c>
      <c r="ILY1" t="s">
        <v>7988</v>
      </c>
      <c r="ILZ1" t="s">
        <v>7989</v>
      </c>
      <c r="IMA1" t="s">
        <v>7990</v>
      </c>
      <c r="IMB1" t="s">
        <v>7991</v>
      </c>
      <c r="IMC1" t="s">
        <v>7992</v>
      </c>
      <c r="IMD1" t="s">
        <v>7993</v>
      </c>
      <c r="IME1" t="s">
        <v>7994</v>
      </c>
      <c r="IMF1" t="s">
        <v>7995</v>
      </c>
      <c r="IMG1" t="s">
        <v>7996</v>
      </c>
      <c r="IMH1" t="s">
        <v>7997</v>
      </c>
      <c r="IMI1" t="s">
        <v>7998</v>
      </c>
      <c r="IMJ1" t="s">
        <v>7999</v>
      </c>
      <c r="IMK1" t="s">
        <v>8000</v>
      </c>
      <c r="IML1" t="s">
        <v>8001</v>
      </c>
      <c r="IMM1" t="s">
        <v>8002</v>
      </c>
      <c r="IMN1" t="s">
        <v>8003</v>
      </c>
      <c r="IMO1" t="s">
        <v>8004</v>
      </c>
      <c r="IMP1" t="s">
        <v>8005</v>
      </c>
      <c r="IMQ1" t="s">
        <v>8006</v>
      </c>
      <c r="IMR1" t="s">
        <v>8007</v>
      </c>
      <c r="IMS1" t="s">
        <v>8008</v>
      </c>
      <c r="IMT1" t="s">
        <v>8009</v>
      </c>
      <c r="IMU1" t="s">
        <v>8010</v>
      </c>
      <c r="IMV1" t="s">
        <v>8011</v>
      </c>
      <c r="IMW1" t="s">
        <v>8012</v>
      </c>
      <c r="IMX1" t="s">
        <v>8013</v>
      </c>
      <c r="IMY1" t="s">
        <v>8014</v>
      </c>
      <c r="IMZ1" t="s">
        <v>8015</v>
      </c>
      <c r="INA1" t="s">
        <v>8016</v>
      </c>
      <c r="INB1" t="s">
        <v>8017</v>
      </c>
      <c r="INC1" t="s">
        <v>8018</v>
      </c>
      <c r="IND1" t="s">
        <v>8019</v>
      </c>
      <c r="INE1" t="s">
        <v>8020</v>
      </c>
      <c r="INF1" t="s">
        <v>8021</v>
      </c>
      <c r="ING1" t="s">
        <v>8022</v>
      </c>
      <c r="INH1" t="s">
        <v>8023</v>
      </c>
      <c r="INI1" t="s">
        <v>8024</v>
      </c>
      <c r="INJ1" t="s">
        <v>8025</v>
      </c>
      <c r="INK1" t="s">
        <v>8026</v>
      </c>
      <c r="INL1" t="s">
        <v>8027</v>
      </c>
      <c r="INM1" t="s">
        <v>8028</v>
      </c>
      <c r="INN1" t="s">
        <v>8029</v>
      </c>
      <c r="INO1" t="s">
        <v>8030</v>
      </c>
      <c r="INP1" t="s">
        <v>8031</v>
      </c>
      <c r="INQ1" t="s">
        <v>8032</v>
      </c>
      <c r="INR1" t="s">
        <v>8033</v>
      </c>
      <c r="INS1" t="s">
        <v>8034</v>
      </c>
      <c r="INT1" t="s">
        <v>8035</v>
      </c>
      <c r="INU1" t="s">
        <v>8036</v>
      </c>
      <c r="INV1" t="s">
        <v>8037</v>
      </c>
      <c r="INW1" t="s">
        <v>8038</v>
      </c>
      <c r="INX1" t="s">
        <v>8039</v>
      </c>
      <c r="INY1" t="s">
        <v>8040</v>
      </c>
      <c r="INZ1" t="s">
        <v>8041</v>
      </c>
      <c r="IOA1" t="s">
        <v>8042</v>
      </c>
      <c r="IOB1" t="s">
        <v>8043</v>
      </c>
      <c r="IOC1" t="s">
        <v>8044</v>
      </c>
      <c r="IOD1" t="s">
        <v>8045</v>
      </c>
      <c r="IOE1" t="s">
        <v>8046</v>
      </c>
      <c r="IOF1" t="s">
        <v>8047</v>
      </c>
      <c r="IOG1" t="s">
        <v>8048</v>
      </c>
      <c r="IOH1" t="s">
        <v>8049</v>
      </c>
      <c r="IOI1" t="s">
        <v>8050</v>
      </c>
      <c r="IOJ1" t="s">
        <v>8051</v>
      </c>
      <c r="IOK1" t="s">
        <v>8052</v>
      </c>
      <c r="IOL1" t="s">
        <v>8053</v>
      </c>
      <c r="IOM1" t="s">
        <v>8054</v>
      </c>
      <c r="ION1" t="s">
        <v>8055</v>
      </c>
      <c r="IOO1" t="s">
        <v>8056</v>
      </c>
      <c r="IOP1" t="s">
        <v>8057</v>
      </c>
      <c r="IOQ1" t="s">
        <v>8058</v>
      </c>
      <c r="IOR1" t="s">
        <v>8059</v>
      </c>
      <c r="IOS1" t="s">
        <v>8060</v>
      </c>
      <c r="IOT1" t="s">
        <v>8061</v>
      </c>
      <c r="IOU1" t="s">
        <v>8062</v>
      </c>
      <c r="IOV1" t="s">
        <v>8063</v>
      </c>
      <c r="IOW1" t="s">
        <v>8064</v>
      </c>
      <c r="IOX1" t="s">
        <v>8065</v>
      </c>
      <c r="IOY1" t="s">
        <v>8066</v>
      </c>
      <c r="IOZ1" t="s">
        <v>8067</v>
      </c>
      <c r="IPA1" t="s">
        <v>8068</v>
      </c>
      <c r="IPB1" t="s">
        <v>8069</v>
      </c>
      <c r="IPC1" t="s">
        <v>8070</v>
      </c>
      <c r="IPD1" t="s">
        <v>8071</v>
      </c>
      <c r="IPE1" t="s">
        <v>8072</v>
      </c>
      <c r="IPF1" t="s">
        <v>8073</v>
      </c>
      <c r="IPG1" t="s">
        <v>8074</v>
      </c>
      <c r="IPH1" t="s">
        <v>8075</v>
      </c>
      <c r="IPI1" t="s">
        <v>8076</v>
      </c>
      <c r="IPJ1" t="s">
        <v>8077</v>
      </c>
      <c r="IPK1" t="s">
        <v>8078</v>
      </c>
      <c r="IPL1" t="s">
        <v>8079</v>
      </c>
      <c r="IPM1" t="s">
        <v>8080</v>
      </c>
      <c r="IPN1" t="s">
        <v>8081</v>
      </c>
      <c r="IPO1" t="s">
        <v>8082</v>
      </c>
      <c r="IPP1" t="s">
        <v>8083</v>
      </c>
      <c r="IPQ1" t="s">
        <v>8084</v>
      </c>
      <c r="IPR1" t="s">
        <v>8085</v>
      </c>
      <c r="IPS1" t="s">
        <v>8086</v>
      </c>
      <c r="IPT1" t="s">
        <v>8087</v>
      </c>
      <c r="IPU1" t="s">
        <v>8088</v>
      </c>
      <c r="IPV1" t="s">
        <v>8089</v>
      </c>
      <c r="IPW1" t="s">
        <v>8090</v>
      </c>
      <c r="IPX1" t="s">
        <v>8091</v>
      </c>
      <c r="IPY1" t="s">
        <v>8092</v>
      </c>
      <c r="IPZ1" t="s">
        <v>8093</v>
      </c>
      <c r="IQA1" t="s">
        <v>8094</v>
      </c>
      <c r="IQB1" t="s">
        <v>8095</v>
      </c>
      <c r="IQC1" t="s">
        <v>8096</v>
      </c>
      <c r="IQD1" t="s">
        <v>8097</v>
      </c>
      <c r="IQE1" t="s">
        <v>8098</v>
      </c>
      <c r="IQF1" t="s">
        <v>8099</v>
      </c>
      <c r="IQG1" t="s">
        <v>8100</v>
      </c>
      <c r="IQH1" t="s">
        <v>8101</v>
      </c>
      <c r="IQI1" t="s">
        <v>8102</v>
      </c>
      <c r="IQJ1" t="s">
        <v>8103</v>
      </c>
      <c r="IQK1" t="s">
        <v>8104</v>
      </c>
      <c r="IQL1" t="s">
        <v>8105</v>
      </c>
      <c r="IQM1" t="s">
        <v>8106</v>
      </c>
      <c r="IQN1" t="s">
        <v>8107</v>
      </c>
      <c r="IQO1" t="s">
        <v>8108</v>
      </c>
      <c r="IQP1" t="s">
        <v>8109</v>
      </c>
      <c r="IQQ1" t="s">
        <v>8110</v>
      </c>
      <c r="IQR1" t="s">
        <v>8111</v>
      </c>
      <c r="IQS1" t="s">
        <v>8112</v>
      </c>
      <c r="IQT1" t="s">
        <v>8113</v>
      </c>
      <c r="IQU1" t="s">
        <v>8114</v>
      </c>
      <c r="IQV1" t="s">
        <v>8115</v>
      </c>
      <c r="IQW1" t="s">
        <v>8116</v>
      </c>
      <c r="IQX1" t="s">
        <v>8117</v>
      </c>
      <c r="IQY1" t="s">
        <v>8118</v>
      </c>
      <c r="IQZ1" t="s">
        <v>8119</v>
      </c>
      <c r="IRA1" t="s">
        <v>8120</v>
      </c>
      <c r="IRB1" t="s">
        <v>8121</v>
      </c>
      <c r="IRC1" t="s">
        <v>8122</v>
      </c>
      <c r="IRD1" t="s">
        <v>8123</v>
      </c>
      <c r="IRE1" t="s">
        <v>8124</v>
      </c>
      <c r="IRF1" t="s">
        <v>8125</v>
      </c>
      <c r="IRG1" t="s">
        <v>8126</v>
      </c>
      <c r="IRH1" t="s">
        <v>8127</v>
      </c>
      <c r="IRI1" t="s">
        <v>8128</v>
      </c>
      <c r="IRJ1" t="s">
        <v>8129</v>
      </c>
      <c r="IRK1" t="s">
        <v>8130</v>
      </c>
      <c r="IRL1" t="s">
        <v>8131</v>
      </c>
      <c r="IRM1" t="s">
        <v>8132</v>
      </c>
      <c r="IRN1" t="s">
        <v>8133</v>
      </c>
      <c r="IRO1" t="s">
        <v>8134</v>
      </c>
      <c r="IRP1" t="s">
        <v>8135</v>
      </c>
      <c r="IRQ1" t="s">
        <v>8136</v>
      </c>
      <c r="IRR1" t="s">
        <v>8137</v>
      </c>
      <c r="IRS1" t="s">
        <v>8138</v>
      </c>
      <c r="IRT1" t="s">
        <v>8139</v>
      </c>
      <c r="IRU1" t="s">
        <v>8140</v>
      </c>
      <c r="IRV1" t="s">
        <v>8141</v>
      </c>
      <c r="IRW1" t="s">
        <v>8142</v>
      </c>
      <c r="IRX1" t="s">
        <v>8143</v>
      </c>
      <c r="IRY1" t="s">
        <v>8144</v>
      </c>
      <c r="IRZ1" t="s">
        <v>8145</v>
      </c>
      <c r="ISA1" t="s">
        <v>8146</v>
      </c>
      <c r="ISB1" t="s">
        <v>8147</v>
      </c>
      <c r="ISC1" t="s">
        <v>8148</v>
      </c>
      <c r="ISD1" t="s">
        <v>8149</v>
      </c>
      <c r="ISE1" t="s">
        <v>8150</v>
      </c>
      <c r="ISF1" t="s">
        <v>8151</v>
      </c>
      <c r="ISG1" t="s">
        <v>8152</v>
      </c>
      <c r="ISH1" t="s">
        <v>8153</v>
      </c>
      <c r="ISI1" t="s">
        <v>8154</v>
      </c>
      <c r="ISJ1" t="s">
        <v>8155</v>
      </c>
      <c r="ISK1" t="s">
        <v>8156</v>
      </c>
      <c r="ISL1" t="s">
        <v>8157</v>
      </c>
      <c r="ISM1" t="s">
        <v>8158</v>
      </c>
      <c r="ISN1" t="s">
        <v>8159</v>
      </c>
      <c r="ISO1" t="s">
        <v>8160</v>
      </c>
      <c r="ISP1" t="s">
        <v>8161</v>
      </c>
      <c r="ISQ1" t="s">
        <v>8162</v>
      </c>
      <c r="ISR1" t="s">
        <v>8163</v>
      </c>
      <c r="ISS1" t="s">
        <v>8164</v>
      </c>
      <c r="IST1" t="s">
        <v>8165</v>
      </c>
      <c r="ISU1" t="s">
        <v>8166</v>
      </c>
      <c r="ISV1" t="s">
        <v>8167</v>
      </c>
      <c r="ISW1" t="s">
        <v>8168</v>
      </c>
      <c r="ISX1" t="s">
        <v>8169</v>
      </c>
      <c r="ISY1" t="s">
        <v>8170</v>
      </c>
      <c r="ISZ1" t="s">
        <v>8171</v>
      </c>
      <c r="ITA1" t="s">
        <v>8172</v>
      </c>
      <c r="ITB1" t="s">
        <v>8173</v>
      </c>
      <c r="ITC1" t="s">
        <v>8174</v>
      </c>
      <c r="ITD1" t="s">
        <v>8175</v>
      </c>
      <c r="ITE1" t="s">
        <v>8176</v>
      </c>
      <c r="ITF1" t="s">
        <v>8177</v>
      </c>
      <c r="ITG1" t="s">
        <v>8178</v>
      </c>
      <c r="ITH1" t="s">
        <v>8179</v>
      </c>
      <c r="ITI1" t="s">
        <v>8180</v>
      </c>
      <c r="ITJ1" t="s">
        <v>8181</v>
      </c>
      <c r="ITK1" t="s">
        <v>8182</v>
      </c>
      <c r="ITL1" t="s">
        <v>8183</v>
      </c>
      <c r="ITM1" t="s">
        <v>8184</v>
      </c>
      <c r="ITN1" t="s">
        <v>8185</v>
      </c>
      <c r="ITO1" t="s">
        <v>8186</v>
      </c>
      <c r="ITP1" t="s">
        <v>8187</v>
      </c>
      <c r="ITQ1" t="s">
        <v>8188</v>
      </c>
      <c r="ITR1" t="s">
        <v>8189</v>
      </c>
      <c r="ITS1" t="s">
        <v>8190</v>
      </c>
      <c r="ITT1" t="s">
        <v>8191</v>
      </c>
      <c r="ITU1" t="s">
        <v>8192</v>
      </c>
      <c r="ITV1" t="s">
        <v>8193</v>
      </c>
      <c r="ITW1" t="s">
        <v>8194</v>
      </c>
      <c r="ITX1" t="s">
        <v>8195</v>
      </c>
      <c r="ITY1" t="s">
        <v>8196</v>
      </c>
      <c r="ITZ1" t="s">
        <v>8197</v>
      </c>
      <c r="IUA1" t="s">
        <v>8198</v>
      </c>
      <c r="IUB1" t="s">
        <v>8199</v>
      </c>
      <c r="IUC1" t="s">
        <v>8200</v>
      </c>
      <c r="IUD1" t="s">
        <v>8201</v>
      </c>
      <c r="IUE1" t="s">
        <v>8202</v>
      </c>
      <c r="IUF1" t="s">
        <v>8203</v>
      </c>
      <c r="IUG1" t="s">
        <v>8204</v>
      </c>
      <c r="IUH1" t="s">
        <v>8205</v>
      </c>
      <c r="IUI1" t="s">
        <v>8206</v>
      </c>
      <c r="IUJ1" t="s">
        <v>8207</v>
      </c>
      <c r="IUK1" t="s">
        <v>8208</v>
      </c>
      <c r="IUL1" t="s">
        <v>8209</v>
      </c>
      <c r="IUM1" t="s">
        <v>8210</v>
      </c>
      <c r="IUN1" t="s">
        <v>8211</v>
      </c>
      <c r="IUO1" t="s">
        <v>8212</v>
      </c>
      <c r="IUP1" t="s">
        <v>8213</v>
      </c>
      <c r="IUQ1" t="s">
        <v>8214</v>
      </c>
      <c r="IUR1" t="s">
        <v>8215</v>
      </c>
      <c r="IUS1" t="s">
        <v>8216</v>
      </c>
      <c r="IUT1" t="s">
        <v>8217</v>
      </c>
      <c r="IUU1" t="s">
        <v>8218</v>
      </c>
      <c r="IUV1" t="s">
        <v>8219</v>
      </c>
      <c r="IUW1" t="s">
        <v>8220</v>
      </c>
      <c r="IUX1" t="s">
        <v>8221</v>
      </c>
      <c r="IUY1" t="s">
        <v>8222</v>
      </c>
      <c r="IUZ1" t="s">
        <v>8223</v>
      </c>
      <c r="IVA1" t="s">
        <v>8224</v>
      </c>
      <c r="IVB1" t="s">
        <v>8225</v>
      </c>
      <c r="IVC1" t="s">
        <v>8226</v>
      </c>
      <c r="IVD1" t="s">
        <v>8227</v>
      </c>
      <c r="IVE1" t="s">
        <v>8228</v>
      </c>
      <c r="IVF1" t="s">
        <v>8229</v>
      </c>
      <c r="IVG1" t="s">
        <v>8230</v>
      </c>
      <c r="IVH1" t="s">
        <v>8231</v>
      </c>
      <c r="IVI1" t="s">
        <v>8232</v>
      </c>
      <c r="IVJ1" t="s">
        <v>8233</v>
      </c>
      <c r="IVK1" t="s">
        <v>8234</v>
      </c>
      <c r="IVL1" t="s">
        <v>8235</v>
      </c>
      <c r="IVM1" t="s">
        <v>8236</v>
      </c>
      <c r="IVN1" t="s">
        <v>8237</v>
      </c>
      <c r="IVO1" t="s">
        <v>8238</v>
      </c>
      <c r="IVP1" t="s">
        <v>8239</v>
      </c>
      <c r="IVQ1" t="s">
        <v>8240</v>
      </c>
      <c r="IVR1" t="s">
        <v>8241</v>
      </c>
      <c r="IVS1" t="s">
        <v>8242</v>
      </c>
      <c r="IVT1" t="s">
        <v>8243</v>
      </c>
      <c r="IVU1" t="s">
        <v>8244</v>
      </c>
      <c r="IVV1" t="s">
        <v>8245</v>
      </c>
      <c r="IVW1" t="s">
        <v>8246</v>
      </c>
      <c r="IVX1" t="s">
        <v>8247</v>
      </c>
      <c r="IVY1" t="s">
        <v>8248</v>
      </c>
      <c r="IVZ1" t="s">
        <v>8249</v>
      </c>
      <c r="IWA1" t="s">
        <v>8250</v>
      </c>
      <c r="IWB1" t="s">
        <v>8251</v>
      </c>
      <c r="IWC1" t="s">
        <v>8252</v>
      </c>
      <c r="IWD1" t="s">
        <v>8253</v>
      </c>
      <c r="IWE1" t="s">
        <v>8254</v>
      </c>
      <c r="IWF1" t="s">
        <v>8255</v>
      </c>
      <c r="IWG1" t="s">
        <v>8256</v>
      </c>
      <c r="IWH1" t="s">
        <v>8257</v>
      </c>
      <c r="IWI1" t="s">
        <v>8258</v>
      </c>
      <c r="IWJ1" t="s">
        <v>8259</v>
      </c>
      <c r="IWK1" t="s">
        <v>8260</v>
      </c>
      <c r="IWL1" t="s">
        <v>8261</v>
      </c>
      <c r="IWM1" t="s">
        <v>8262</v>
      </c>
      <c r="IWN1" t="s">
        <v>8263</v>
      </c>
      <c r="IWO1" t="s">
        <v>8264</v>
      </c>
      <c r="IWP1" t="s">
        <v>8265</v>
      </c>
      <c r="IWQ1" t="s">
        <v>8266</v>
      </c>
      <c r="IWR1" t="s">
        <v>8267</v>
      </c>
      <c r="IWS1" t="s">
        <v>8268</v>
      </c>
      <c r="IWT1" t="s">
        <v>8269</v>
      </c>
      <c r="IWU1" t="s">
        <v>8270</v>
      </c>
      <c r="IWV1" t="s">
        <v>8271</v>
      </c>
      <c r="IWW1" t="s">
        <v>8272</v>
      </c>
      <c r="IWX1" t="s">
        <v>8273</v>
      </c>
      <c r="IWY1" t="s">
        <v>8274</v>
      </c>
      <c r="IWZ1" t="s">
        <v>8275</v>
      </c>
      <c r="IXA1" t="s">
        <v>8276</v>
      </c>
      <c r="IXB1" t="s">
        <v>8277</v>
      </c>
      <c r="IXC1" t="s">
        <v>8278</v>
      </c>
      <c r="IXD1" t="s">
        <v>8279</v>
      </c>
      <c r="IXE1" t="s">
        <v>8280</v>
      </c>
      <c r="IXF1" t="s">
        <v>8281</v>
      </c>
      <c r="IXG1" t="s">
        <v>8282</v>
      </c>
      <c r="IXH1" t="s">
        <v>8283</v>
      </c>
      <c r="IXI1" t="s">
        <v>8284</v>
      </c>
      <c r="IXJ1" t="s">
        <v>8285</v>
      </c>
      <c r="IXK1" t="s">
        <v>8286</v>
      </c>
      <c r="IXL1" t="s">
        <v>8287</v>
      </c>
      <c r="IXM1" t="s">
        <v>8288</v>
      </c>
      <c r="IXN1" t="s">
        <v>8289</v>
      </c>
      <c r="IXO1" t="s">
        <v>8290</v>
      </c>
      <c r="IXP1" t="s">
        <v>8291</v>
      </c>
      <c r="IXQ1" t="s">
        <v>8292</v>
      </c>
      <c r="IXR1" t="s">
        <v>8293</v>
      </c>
      <c r="IXS1" t="s">
        <v>8294</v>
      </c>
      <c r="IXT1" t="s">
        <v>8295</v>
      </c>
      <c r="IXU1" t="s">
        <v>8296</v>
      </c>
      <c r="IXV1" t="s">
        <v>8297</v>
      </c>
      <c r="IXW1" t="s">
        <v>8298</v>
      </c>
      <c r="IXX1" t="s">
        <v>8299</v>
      </c>
      <c r="IXY1" t="s">
        <v>8300</v>
      </c>
      <c r="IXZ1" t="s">
        <v>8301</v>
      </c>
      <c r="IYA1" t="s">
        <v>8302</v>
      </c>
      <c r="IYB1" t="s">
        <v>8303</v>
      </c>
      <c r="IYC1" t="s">
        <v>8304</v>
      </c>
      <c r="IYD1" t="s">
        <v>8305</v>
      </c>
      <c r="IYE1" t="s">
        <v>8306</v>
      </c>
      <c r="IYF1" t="s">
        <v>8307</v>
      </c>
      <c r="IYG1" t="s">
        <v>8308</v>
      </c>
      <c r="IYH1" t="s">
        <v>8309</v>
      </c>
      <c r="IYI1" t="s">
        <v>8310</v>
      </c>
      <c r="IYJ1" t="s">
        <v>8311</v>
      </c>
      <c r="IYK1" t="s">
        <v>8312</v>
      </c>
      <c r="IYL1" t="s">
        <v>8313</v>
      </c>
      <c r="IYM1" t="s">
        <v>8314</v>
      </c>
      <c r="IYN1" t="s">
        <v>8315</v>
      </c>
      <c r="IYO1" t="s">
        <v>8316</v>
      </c>
      <c r="IYP1" t="s">
        <v>8317</v>
      </c>
      <c r="IYQ1" t="s">
        <v>8318</v>
      </c>
      <c r="IYR1" t="s">
        <v>8319</v>
      </c>
      <c r="IYS1" t="s">
        <v>8320</v>
      </c>
      <c r="IYT1" t="s">
        <v>8321</v>
      </c>
      <c r="IYU1" t="s">
        <v>8322</v>
      </c>
      <c r="IYV1" t="s">
        <v>8323</v>
      </c>
      <c r="IYW1" t="s">
        <v>8324</v>
      </c>
      <c r="IYX1" t="s">
        <v>8325</v>
      </c>
      <c r="IYY1" t="s">
        <v>8326</v>
      </c>
      <c r="IYZ1" t="s">
        <v>8327</v>
      </c>
      <c r="IZA1" t="s">
        <v>8328</v>
      </c>
      <c r="IZB1" t="s">
        <v>8329</v>
      </c>
      <c r="IZC1" t="s">
        <v>8330</v>
      </c>
      <c r="IZD1" t="s">
        <v>8331</v>
      </c>
      <c r="IZE1" t="s">
        <v>8332</v>
      </c>
      <c r="IZF1" t="s">
        <v>8333</v>
      </c>
      <c r="IZG1" t="s">
        <v>8334</v>
      </c>
      <c r="IZH1" t="s">
        <v>8335</v>
      </c>
      <c r="IZI1" t="s">
        <v>8336</v>
      </c>
      <c r="IZJ1" t="s">
        <v>8337</v>
      </c>
      <c r="IZK1" t="s">
        <v>8338</v>
      </c>
      <c r="IZL1" t="s">
        <v>8339</v>
      </c>
      <c r="IZM1" t="s">
        <v>8340</v>
      </c>
      <c r="IZN1" t="s">
        <v>8341</v>
      </c>
      <c r="IZO1" t="s">
        <v>8342</v>
      </c>
      <c r="IZP1" t="s">
        <v>8343</v>
      </c>
      <c r="IZQ1" t="s">
        <v>8344</v>
      </c>
      <c r="IZR1" t="s">
        <v>8345</v>
      </c>
      <c r="IZS1" t="s">
        <v>8346</v>
      </c>
      <c r="IZT1" t="s">
        <v>8347</v>
      </c>
      <c r="IZU1" t="s">
        <v>8348</v>
      </c>
      <c r="IZV1" t="s">
        <v>8349</v>
      </c>
      <c r="IZW1" t="s">
        <v>8350</v>
      </c>
      <c r="IZX1" t="s">
        <v>8351</v>
      </c>
      <c r="IZY1" t="s">
        <v>8352</v>
      </c>
      <c r="IZZ1" t="s">
        <v>8353</v>
      </c>
      <c r="JAA1" t="s">
        <v>8354</v>
      </c>
      <c r="JAB1" t="s">
        <v>8355</v>
      </c>
      <c r="JAC1" t="s">
        <v>8356</v>
      </c>
      <c r="JAD1" t="s">
        <v>8357</v>
      </c>
      <c r="JAE1" t="s">
        <v>8358</v>
      </c>
      <c r="JAF1" t="s">
        <v>8359</v>
      </c>
      <c r="JAG1" t="s">
        <v>8360</v>
      </c>
      <c r="JAH1" t="s">
        <v>8361</v>
      </c>
      <c r="JAI1" t="s">
        <v>8362</v>
      </c>
      <c r="JAJ1" t="s">
        <v>8363</v>
      </c>
      <c r="JAK1" t="s">
        <v>8364</v>
      </c>
      <c r="JAL1" t="s">
        <v>8365</v>
      </c>
      <c r="JAM1" t="s">
        <v>8366</v>
      </c>
      <c r="JAN1" t="s">
        <v>8367</v>
      </c>
      <c r="JAO1" t="s">
        <v>8368</v>
      </c>
      <c r="JAP1" t="s">
        <v>8369</v>
      </c>
      <c r="JAQ1" t="s">
        <v>8370</v>
      </c>
      <c r="JAR1" t="s">
        <v>8371</v>
      </c>
      <c r="JAS1" t="s">
        <v>8372</v>
      </c>
      <c r="JAT1" t="s">
        <v>8373</v>
      </c>
      <c r="JAU1" t="s">
        <v>8374</v>
      </c>
      <c r="JAV1" t="s">
        <v>8375</v>
      </c>
      <c r="JAW1" t="s">
        <v>8376</v>
      </c>
      <c r="JAX1" t="s">
        <v>8377</v>
      </c>
      <c r="JAY1" t="s">
        <v>8378</v>
      </c>
      <c r="JAZ1" t="s">
        <v>8379</v>
      </c>
      <c r="JBA1" t="s">
        <v>8380</v>
      </c>
      <c r="JBB1" t="s">
        <v>8381</v>
      </c>
      <c r="JBC1" t="s">
        <v>8382</v>
      </c>
      <c r="JBD1" t="s">
        <v>8383</v>
      </c>
      <c r="JBE1" t="s">
        <v>8384</v>
      </c>
      <c r="JBF1" t="s">
        <v>8385</v>
      </c>
      <c r="JBG1" t="s">
        <v>8386</v>
      </c>
      <c r="JBH1" t="s">
        <v>8387</v>
      </c>
      <c r="JBI1" t="s">
        <v>8388</v>
      </c>
      <c r="JBJ1" t="s">
        <v>8389</v>
      </c>
      <c r="JBK1" t="s">
        <v>8390</v>
      </c>
      <c r="JBL1" t="s">
        <v>8391</v>
      </c>
      <c r="JBM1" t="s">
        <v>8392</v>
      </c>
      <c r="JBN1" t="s">
        <v>8393</v>
      </c>
      <c r="JBO1" t="s">
        <v>8394</v>
      </c>
      <c r="JBP1" t="s">
        <v>8395</v>
      </c>
      <c r="JBQ1" t="s">
        <v>8396</v>
      </c>
      <c r="JBR1" t="s">
        <v>8397</v>
      </c>
      <c r="JBS1" t="s">
        <v>8398</v>
      </c>
      <c r="JBT1" t="s">
        <v>8399</v>
      </c>
      <c r="JBU1" t="s">
        <v>8400</v>
      </c>
      <c r="JBV1" t="s">
        <v>8401</v>
      </c>
      <c r="JBW1" t="s">
        <v>8402</v>
      </c>
      <c r="JBX1" t="s">
        <v>8403</v>
      </c>
      <c r="JBY1" t="s">
        <v>8404</v>
      </c>
      <c r="JBZ1" t="s">
        <v>8405</v>
      </c>
      <c r="JCA1" t="s">
        <v>8406</v>
      </c>
      <c r="JCB1" t="s">
        <v>8407</v>
      </c>
      <c r="JCC1" t="s">
        <v>8408</v>
      </c>
      <c r="JCD1" t="s">
        <v>8409</v>
      </c>
      <c r="JCE1" t="s">
        <v>8410</v>
      </c>
      <c r="JCF1" t="s">
        <v>8411</v>
      </c>
      <c r="JCG1" t="s">
        <v>8412</v>
      </c>
      <c r="JCH1" t="s">
        <v>8413</v>
      </c>
      <c r="JCI1" t="s">
        <v>8414</v>
      </c>
      <c r="JCJ1" t="s">
        <v>8415</v>
      </c>
      <c r="JCK1" t="s">
        <v>8416</v>
      </c>
      <c r="JCL1" t="s">
        <v>8417</v>
      </c>
      <c r="JCM1" t="s">
        <v>8418</v>
      </c>
      <c r="JCN1" t="s">
        <v>8419</v>
      </c>
      <c r="JCO1" t="s">
        <v>8420</v>
      </c>
      <c r="JCP1" t="s">
        <v>8421</v>
      </c>
      <c r="JCQ1" t="s">
        <v>8422</v>
      </c>
      <c r="JCR1" t="s">
        <v>8423</v>
      </c>
      <c r="JCS1" t="s">
        <v>8424</v>
      </c>
      <c r="JCT1" t="s">
        <v>8425</v>
      </c>
      <c r="JCU1" t="s">
        <v>8426</v>
      </c>
      <c r="JCV1" t="s">
        <v>8427</v>
      </c>
      <c r="JCW1" t="s">
        <v>8428</v>
      </c>
      <c r="JCX1" t="s">
        <v>8429</v>
      </c>
      <c r="JCY1" t="s">
        <v>8430</v>
      </c>
      <c r="JCZ1" t="s">
        <v>8431</v>
      </c>
      <c r="JDA1" t="s">
        <v>8432</v>
      </c>
      <c r="JDB1" t="s">
        <v>8433</v>
      </c>
      <c r="JDC1" t="s">
        <v>8434</v>
      </c>
      <c r="JDD1" t="s">
        <v>8435</v>
      </c>
      <c r="JDE1" t="s">
        <v>8436</v>
      </c>
      <c r="JDF1" t="s">
        <v>8437</v>
      </c>
      <c r="JDG1" t="s">
        <v>8438</v>
      </c>
      <c r="JDH1" t="s">
        <v>8439</v>
      </c>
      <c r="JDI1" t="s">
        <v>8440</v>
      </c>
      <c r="JDJ1" t="s">
        <v>8441</v>
      </c>
      <c r="JDK1" t="s">
        <v>8442</v>
      </c>
      <c r="JDL1" t="s">
        <v>8443</v>
      </c>
      <c r="JDM1" t="s">
        <v>8444</v>
      </c>
      <c r="JDN1" t="s">
        <v>8445</v>
      </c>
      <c r="JDO1" t="s">
        <v>8446</v>
      </c>
      <c r="JDP1" t="s">
        <v>8447</v>
      </c>
      <c r="JDQ1" t="s">
        <v>8448</v>
      </c>
      <c r="JDR1" t="s">
        <v>8449</v>
      </c>
      <c r="JDS1" t="s">
        <v>8450</v>
      </c>
      <c r="JDT1" t="s">
        <v>8451</v>
      </c>
      <c r="JDU1" t="s">
        <v>8452</v>
      </c>
      <c r="JDV1" t="s">
        <v>8453</v>
      </c>
      <c r="JDW1" t="s">
        <v>8454</v>
      </c>
      <c r="JDX1" t="s">
        <v>8455</v>
      </c>
      <c r="JDY1" t="s">
        <v>8456</v>
      </c>
      <c r="JDZ1" t="s">
        <v>8457</v>
      </c>
      <c r="JEA1" t="s">
        <v>8458</v>
      </c>
      <c r="JEB1" t="s">
        <v>8459</v>
      </c>
      <c r="JEC1" t="s">
        <v>8460</v>
      </c>
      <c r="JED1" t="s">
        <v>8461</v>
      </c>
      <c r="JEE1" t="s">
        <v>8462</v>
      </c>
      <c r="JEF1" t="s">
        <v>8463</v>
      </c>
      <c r="JEG1" t="s">
        <v>8464</v>
      </c>
      <c r="JEH1" t="s">
        <v>8465</v>
      </c>
      <c r="JEI1" t="s">
        <v>8466</v>
      </c>
      <c r="JEJ1" t="s">
        <v>8467</v>
      </c>
      <c r="JEK1" t="s">
        <v>8468</v>
      </c>
      <c r="JEL1" t="s">
        <v>8469</v>
      </c>
      <c r="JEM1" t="s">
        <v>8470</v>
      </c>
      <c r="JEN1" t="s">
        <v>8471</v>
      </c>
      <c r="JEO1" t="s">
        <v>8472</v>
      </c>
      <c r="JEP1" t="s">
        <v>8473</v>
      </c>
      <c r="JEQ1" t="s">
        <v>8474</v>
      </c>
      <c r="JER1" t="s">
        <v>8475</v>
      </c>
      <c r="JES1" t="s">
        <v>8476</v>
      </c>
      <c r="JET1" t="s">
        <v>8477</v>
      </c>
      <c r="JEU1" t="s">
        <v>8478</v>
      </c>
      <c r="JEV1" t="s">
        <v>8479</v>
      </c>
      <c r="JEW1" t="s">
        <v>8480</v>
      </c>
      <c r="JEX1" t="s">
        <v>8481</v>
      </c>
      <c r="JEY1" t="s">
        <v>8482</v>
      </c>
      <c r="JEZ1" t="s">
        <v>8483</v>
      </c>
      <c r="JFA1" t="s">
        <v>8484</v>
      </c>
      <c r="JFB1" t="s">
        <v>8485</v>
      </c>
      <c r="JFC1" t="s">
        <v>8486</v>
      </c>
      <c r="JFD1" t="s">
        <v>8487</v>
      </c>
      <c r="JFE1" t="s">
        <v>8488</v>
      </c>
      <c r="JFF1" t="s">
        <v>8489</v>
      </c>
      <c r="JFG1" t="s">
        <v>8490</v>
      </c>
      <c r="JFH1" t="s">
        <v>8491</v>
      </c>
      <c r="JFI1" t="s">
        <v>8492</v>
      </c>
      <c r="JFJ1" t="s">
        <v>8493</v>
      </c>
      <c r="JFK1" t="s">
        <v>8494</v>
      </c>
      <c r="JFL1" t="s">
        <v>8495</v>
      </c>
      <c r="JFM1" t="s">
        <v>8496</v>
      </c>
      <c r="JFN1" t="s">
        <v>8497</v>
      </c>
      <c r="JFO1" t="s">
        <v>8498</v>
      </c>
      <c r="JFP1" t="s">
        <v>8499</v>
      </c>
      <c r="JFQ1" t="s">
        <v>8500</v>
      </c>
      <c r="JFR1" t="s">
        <v>8501</v>
      </c>
      <c r="JFS1" t="s">
        <v>8502</v>
      </c>
      <c r="JFT1" t="s">
        <v>8503</v>
      </c>
      <c r="JFU1" t="s">
        <v>8504</v>
      </c>
      <c r="JFV1" t="s">
        <v>8505</v>
      </c>
      <c r="JFW1" t="s">
        <v>8506</v>
      </c>
      <c r="JFX1" t="s">
        <v>8507</v>
      </c>
      <c r="JFY1" t="s">
        <v>8508</v>
      </c>
      <c r="JFZ1" t="s">
        <v>8509</v>
      </c>
      <c r="JGA1" t="s">
        <v>8510</v>
      </c>
      <c r="JGB1" t="s">
        <v>8511</v>
      </c>
      <c r="JGC1" t="s">
        <v>8512</v>
      </c>
      <c r="JGD1" t="s">
        <v>8513</v>
      </c>
      <c r="JGE1" t="s">
        <v>8514</v>
      </c>
      <c r="JGF1" t="s">
        <v>8515</v>
      </c>
      <c r="JGG1" t="s">
        <v>8516</v>
      </c>
      <c r="JGH1" t="s">
        <v>8517</v>
      </c>
      <c r="JGI1" t="s">
        <v>8518</v>
      </c>
      <c r="JGJ1" t="s">
        <v>8519</v>
      </c>
      <c r="JGK1" t="s">
        <v>8520</v>
      </c>
      <c r="JGL1" t="s">
        <v>8521</v>
      </c>
      <c r="JGM1" t="s">
        <v>8522</v>
      </c>
      <c r="JGN1" t="s">
        <v>8523</v>
      </c>
      <c r="JGO1" t="s">
        <v>8524</v>
      </c>
      <c r="JGP1" t="s">
        <v>8525</v>
      </c>
      <c r="JGQ1" t="s">
        <v>8526</v>
      </c>
      <c r="JGR1" t="s">
        <v>8527</v>
      </c>
      <c r="JGS1" t="s">
        <v>8528</v>
      </c>
      <c r="JGT1" t="s">
        <v>8529</v>
      </c>
      <c r="JGU1" t="s">
        <v>8530</v>
      </c>
      <c r="JGV1" t="s">
        <v>8531</v>
      </c>
      <c r="JGW1" t="s">
        <v>8532</v>
      </c>
      <c r="JGX1" t="s">
        <v>8533</v>
      </c>
      <c r="JGY1" t="s">
        <v>8534</v>
      </c>
      <c r="JGZ1" t="s">
        <v>8535</v>
      </c>
      <c r="JHA1" t="s">
        <v>8536</v>
      </c>
      <c r="JHB1" t="s">
        <v>8537</v>
      </c>
      <c r="JHC1" t="s">
        <v>8538</v>
      </c>
      <c r="JHD1" t="s">
        <v>8539</v>
      </c>
      <c r="JHE1" t="s">
        <v>8540</v>
      </c>
      <c r="JHF1" t="s">
        <v>8541</v>
      </c>
      <c r="JHG1" t="s">
        <v>8542</v>
      </c>
      <c r="JHH1" t="s">
        <v>8543</v>
      </c>
      <c r="JHI1" t="s">
        <v>8544</v>
      </c>
      <c r="JHJ1" t="s">
        <v>8545</v>
      </c>
      <c r="JHK1" t="s">
        <v>8546</v>
      </c>
      <c r="JHL1" t="s">
        <v>8547</v>
      </c>
      <c r="JHM1" t="s">
        <v>8548</v>
      </c>
      <c r="JHN1" t="s">
        <v>8549</v>
      </c>
      <c r="JHO1" t="s">
        <v>8550</v>
      </c>
      <c r="JHP1" t="s">
        <v>8551</v>
      </c>
      <c r="JHQ1" t="s">
        <v>8552</v>
      </c>
      <c r="JHR1" t="s">
        <v>8553</v>
      </c>
      <c r="JHS1" t="s">
        <v>8554</v>
      </c>
      <c r="JHT1" t="s">
        <v>8555</v>
      </c>
      <c r="JHU1" t="s">
        <v>8556</v>
      </c>
      <c r="JHV1" t="s">
        <v>8557</v>
      </c>
      <c r="JHW1" t="s">
        <v>8558</v>
      </c>
      <c r="JHX1" t="s">
        <v>8559</v>
      </c>
      <c r="JHY1" t="s">
        <v>8560</v>
      </c>
      <c r="JHZ1" t="s">
        <v>8561</v>
      </c>
      <c r="JIA1" t="s">
        <v>8562</v>
      </c>
      <c r="JIB1" t="s">
        <v>8563</v>
      </c>
      <c r="JIC1" t="s">
        <v>8564</v>
      </c>
      <c r="JID1" t="s">
        <v>8565</v>
      </c>
      <c r="JIE1" t="s">
        <v>8566</v>
      </c>
      <c r="JIF1" t="s">
        <v>8567</v>
      </c>
      <c r="JIG1" t="s">
        <v>8568</v>
      </c>
      <c r="JIH1" t="s">
        <v>8569</v>
      </c>
      <c r="JII1" t="s">
        <v>8570</v>
      </c>
      <c r="JIJ1" t="s">
        <v>8571</v>
      </c>
      <c r="JIK1" t="s">
        <v>8572</v>
      </c>
      <c r="JIL1" t="s">
        <v>8573</v>
      </c>
      <c r="JIM1" t="s">
        <v>8574</v>
      </c>
      <c r="JIN1" t="s">
        <v>8575</v>
      </c>
      <c r="JIO1" t="s">
        <v>8576</v>
      </c>
      <c r="JIP1" t="s">
        <v>8577</v>
      </c>
      <c r="JIQ1" t="s">
        <v>8578</v>
      </c>
      <c r="JIR1" t="s">
        <v>8579</v>
      </c>
      <c r="JIS1" t="s">
        <v>8580</v>
      </c>
      <c r="JIT1" t="s">
        <v>8581</v>
      </c>
      <c r="JIU1" t="s">
        <v>8582</v>
      </c>
      <c r="JIV1" t="s">
        <v>8583</v>
      </c>
      <c r="JIW1" t="s">
        <v>8584</v>
      </c>
      <c r="JIX1" t="s">
        <v>8585</v>
      </c>
      <c r="JIY1" t="s">
        <v>8586</v>
      </c>
      <c r="JIZ1" t="s">
        <v>8587</v>
      </c>
      <c r="JJA1" t="s">
        <v>8588</v>
      </c>
      <c r="JJB1" t="s">
        <v>8589</v>
      </c>
      <c r="JJC1" t="s">
        <v>8590</v>
      </c>
      <c r="JJD1" t="s">
        <v>8591</v>
      </c>
      <c r="JJE1" t="s">
        <v>8592</v>
      </c>
      <c r="JJF1" t="s">
        <v>8593</v>
      </c>
      <c r="JJG1" t="s">
        <v>8594</v>
      </c>
      <c r="JJH1" t="s">
        <v>8595</v>
      </c>
      <c r="JJI1" t="s">
        <v>8596</v>
      </c>
      <c r="JJJ1" t="s">
        <v>8597</v>
      </c>
      <c r="JJK1" t="s">
        <v>8598</v>
      </c>
      <c r="JJL1" t="s">
        <v>8599</v>
      </c>
      <c r="JJM1" t="s">
        <v>8600</v>
      </c>
      <c r="JJN1" t="s">
        <v>8601</v>
      </c>
      <c r="JJO1" t="s">
        <v>8602</v>
      </c>
      <c r="JJP1" t="s">
        <v>8603</v>
      </c>
      <c r="JJQ1" t="s">
        <v>8604</v>
      </c>
      <c r="JJR1" t="s">
        <v>8605</v>
      </c>
      <c r="JJS1" t="s">
        <v>8606</v>
      </c>
      <c r="JJT1" t="s">
        <v>8607</v>
      </c>
      <c r="JJU1" t="s">
        <v>8608</v>
      </c>
      <c r="JJV1" t="s">
        <v>8609</v>
      </c>
      <c r="JJW1" t="s">
        <v>8610</v>
      </c>
      <c r="JJX1" t="s">
        <v>8611</v>
      </c>
      <c r="JJY1" t="s">
        <v>8612</v>
      </c>
      <c r="JJZ1" t="s">
        <v>8613</v>
      </c>
      <c r="JKA1" t="s">
        <v>8614</v>
      </c>
      <c r="JKB1" t="s">
        <v>8615</v>
      </c>
      <c r="JKC1" t="s">
        <v>8616</v>
      </c>
      <c r="JKD1" t="s">
        <v>8617</v>
      </c>
      <c r="JKE1" t="s">
        <v>8618</v>
      </c>
      <c r="JKF1" t="s">
        <v>8619</v>
      </c>
      <c r="JKG1" t="s">
        <v>8620</v>
      </c>
      <c r="JKH1" t="s">
        <v>8621</v>
      </c>
      <c r="JKI1" t="s">
        <v>8622</v>
      </c>
      <c r="JKJ1" t="s">
        <v>8623</v>
      </c>
      <c r="JKK1" t="s">
        <v>8624</v>
      </c>
      <c r="JKL1" t="s">
        <v>8625</v>
      </c>
      <c r="JKM1" t="s">
        <v>8626</v>
      </c>
      <c r="JKN1" t="s">
        <v>8627</v>
      </c>
      <c r="JKO1" t="s">
        <v>8628</v>
      </c>
      <c r="JKP1" t="s">
        <v>8629</v>
      </c>
      <c r="JKQ1" t="s">
        <v>8630</v>
      </c>
      <c r="JKR1" t="s">
        <v>8631</v>
      </c>
      <c r="JKS1" t="s">
        <v>8632</v>
      </c>
      <c r="JKT1" t="s">
        <v>8633</v>
      </c>
      <c r="JKU1" t="s">
        <v>8634</v>
      </c>
      <c r="JKV1" t="s">
        <v>8635</v>
      </c>
      <c r="JKW1" t="s">
        <v>8636</v>
      </c>
      <c r="JKX1" t="s">
        <v>8637</v>
      </c>
      <c r="JKY1" t="s">
        <v>8638</v>
      </c>
      <c r="JKZ1" t="s">
        <v>8639</v>
      </c>
      <c r="JLA1" t="s">
        <v>8640</v>
      </c>
      <c r="JLB1" t="s">
        <v>8641</v>
      </c>
      <c r="JLC1" t="s">
        <v>8642</v>
      </c>
      <c r="JLD1" t="s">
        <v>8643</v>
      </c>
      <c r="JLE1" t="s">
        <v>8644</v>
      </c>
      <c r="JLF1" t="s">
        <v>8645</v>
      </c>
      <c r="JLG1" t="s">
        <v>8646</v>
      </c>
      <c r="JLH1" t="s">
        <v>8647</v>
      </c>
      <c r="JLI1" t="s">
        <v>8648</v>
      </c>
      <c r="JLJ1" t="s">
        <v>8649</v>
      </c>
      <c r="JLK1" t="s">
        <v>8650</v>
      </c>
      <c r="JLL1" t="s">
        <v>8651</v>
      </c>
      <c r="JLM1" t="s">
        <v>8652</v>
      </c>
      <c r="JLN1" t="s">
        <v>8653</v>
      </c>
      <c r="JLO1" t="s">
        <v>8654</v>
      </c>
      <c r="JLP1" t="s">
        <v>8655</v>
      </c>
      <c r="JLQ1" t="s">
        <v>8656</v>
      </c>
      <c r="JLR1" t="s">
        <v>8657</v>
      </c>
      <c r="JLS1" t="s">
        <v>8658</v>
      </c>
      <c r="JLT1" t="s">
        <v>8659</v>
      </c>
      <c r="JLU1" t="s">
        <v>8660</v>
      </c>
      <c r="JLV1" t="s">
        <v>8661</v>
      </c>
      <c r="JLW1" t="s">
        <v>8662</v>
      </c>
      <c r="JLX1" t="s">
        <v>8663</v>
      </c>
      <c r="JLY1" t="s">
        <v>8664</v>
      </c>
      <c r="JLZ1" t="s">
        <v>8665</v>
      </c>
      <c r="JMA1" t="s">
        <v>8666</v>
      </c>
      <c r="JMB1" t="s">
        <v>8667</v>
      </c>
      <c r="JMC1" t="s">
        <v>8668</v>
      </c>
      <c r="JMD1" t="s">
        <v>8669</v>
      </c>
      <c r="JME1" t="s">
        <v>8670</v>
      </c>
      <c r="JMF1" t="s">
        <v>8671</v>
      </c>
      <c r="JMG1" t="s">
        <v>8672</v>
      </c>
      <c r="JMH1" t="s">
        <v>8673</v>
      </c>
      <c r="JMI1" t="s">
        <v>8674</v>
      </c>
      <c r="JMJ1" t="s">
        <v>8675</v>
      </c>
      <c r="JMK1" t="s">
        <v>8676</v>
      </c>
      <c r="JML1" t="s">
        <v>8677</v>
      </c>
      <c r="JMM1" t="s">
        <v>8678</v>
      </c>
      <c r="JMN1" t="s">
        <v>8679</v>
      </c>
      <c r="JMO1" t="s">
        <v>8680</v>
      </c>
      <c r="JMP1" t="s">
        <v>8681</v>
      </c>
      <c r="JMQ1" t="s">
        <v>8682</v>
      </c>
      <c r="JMR1" t="s">
        <v>8683</v>
      </c>
      <c r="JMS1" t="s">
        <v>8684</v>
      </c>
      <c r="JMT1" t="s">
        <v>8685</v>
      </c>
      <c r="JMU1" t="s">
        <v>8686</v>
      </c>
      <c r="JMV1" t="s">
        <v>8687</v>
      </c>
      <c r="JMW1" t="s">
        <v>8688</v>
      </c>
      <c r="JMX1" t="s">
        <v>8689</v>
      </c>
      <c r="JMY1" t="s">
        <v>8690</v>
      </c>
      <c r="JMZ1" t="s">
        <v>8691</v>
      </c>
      <c r="JNA1" t="s">
        <v>8692</v>
      </c>
      <c r="JNB1" t="s">
        <v>8693</v>
      </c>
      <c r="JNC1" t="s">
        <v>8694</v>
      </c>
      <c r="JND1" t="s">
        <v>8695</v>
      </c>
      <c r="JNE1" t="s">
        <v>8696</v>
      </c>
      <c r="JNF1" t="s">
        <v>8697</v>
      </c>
      <c r="JNG1" t="s">
        <v>8698</v>
      </c>
      <c r="JNH1" t="s">
        <v>8699</v>
      </c>
      <c r="JNI1" t="s">
        <v>8700</v>
      </c>
      <c r="JNJ1" t="s">
        <v>8701</v>
      </c>
      <c r="JNK1" t="s">
        <v>8702</v>
      </c>
      <c r="JNL1" t="s">
        <v>8703</v>
      </c>
      <c r="JNM1" t="s">
        <v>8704</v>
      </c>
      <c r="JNN1" t="s">
        <v>8705</v>
      </c>
      <c r="JNO1" t="s">
        <v>8706</v>
      </c>
      <c r="JNP1" t="s">
        <v>8707</v>
      </c>
      <c r="JNQ1" t="s">
        <v>8708</v>
      </c>
      <c r="JNR1" t="s">
        <v>8709</v>
      </c>
      <c r="JNS1" t="s">
        <v>8710</v>
      </c>
      <c r="JNT1" t="s">
        <v>8711</v>
      </c>
      <c r="JNU1" t="s">
        <v>8712</v>
      </c>
      <c r="JNV1" t="s">
        <v>8713</v>
      </c>
      <c r="JNW1" t="s">
        <v>8714</v>
      </c>
      <c r="JNX1" t="s">
        <v>8715</v>
      </c>
      <c r="JNY1" t="s">
        <v>8716</v>
      </c>
      <c r="JNZ1" t="s">
        <v>8717</v>
      </c>
      <c r="JOA1" t="s">
        <v>8718</v>
      </c>
      <c r="JOB1" t="s">
        <v>8719</v>
      </c>
      <c r="JOC1" t="s">
        <v>8720</v>
      </c>
      <c r="JOD1" t="s">
        <v>8721</v>
      </c>
      <c r="JOE1" t="s">
        <v>8722</v>
      </c>
      <c r="JOF1" t="s">
        <v>8723</v>
      </c>
      <c r="JOG1" t="s">
        <v>8724</v>
      </c>
      <c r="JOH1" t="s">
        <v>8725</v>
      </c>
      <c r="JOI1" t="s">
        <v>8726</v>
      </c>
      <c r="JOJ1" t="s">
        <v>8727</v>
      </c>
      <c r="JOK1" t="s">
        <v>8728</v>
      </c>
      <c r="JOL1" t="s">
        <v>8729</v>
      </c>
      <c r="JOM1" t="s">
        <v>8730</v>
      </c>
      <c r="JON1" t="s">
        <v>8731</v>
      </c>
      <c r="JOO1" t="s">
        <v>8732</v>
      </c>
      <c r="JOP1" t="s">
        <v>8733</v>
      </c>
      <c r="JOQ1" t="s">
        <v>8734</v>
      </c>
      <c r="JOR1" t="s">
        <v>8735</v>
      </c>
      <c r="JOS1" t="s">
        <v>8736</v>
      </c>
      <c r="JOT1" t="s">
        <v>8737</v>
      </c>
      <c r="JOU1" t="s">
        <v>8738</v>
      </c>
      <c r="JOV1" t="s">
        <v>8739</v>
      </c>
      <c r="JOW1" t="s">
        <v>8740</v>
      </c>
      <c r="JOX1" t="s">
        <v>8741</v>
      </c>
      <c r="JOY1" t="s">
        <v>8742</v>
      </c>
      <c r="JOZ1" t="s">
        <v>8743</v>
      </c>
      <c r="JPA1" t="s">
        <v>8744</v>
      </c>
      <c r="JPB1" t="s">
        <v>8745</v>
      </c>
      <c r="JPC1" t="s">
        <v>8746</v>
      </c>
      <c r="JPD1" t="s">
        <v>8747</v>
      </c>
      <c r="JPE1" t="s">
        <v>8748</v>
      </c>
      <c r="JPF1" t="s">
        <v>8749</v>
      </c>
      <c r="JPG1" t="s">
        <v>8750</v>
      </c>
      <c r="JPH1" t="s">
        <v>8751</v>
      </c>
      <c r="JPI1" t="s">
        <v>8752</v>
      </c>
      <c r="JPJ1" t="s">
        <v>8753</v>
      </c>
      <c r="JPK1" t="s">
        <v>8754</v>
      </c>
      <c r="JPL1" t="s">
        <v>8755</v>
      </c>
      <c r="JPM1" t="s">
        <v>8756</v>
      </c>
      <c r="JPN1" t="s">
        <v>8757</v>
      </c>
      <c r="JPO1" t="s">
        <v>8758</v>
      </c>
      <c r="JPP1" t="s">
        <v>8759</v>
      </c>
      <c r="JPQ1" t="s">
        <v>8760</v>
      </c>
      <c r="JPR1" t="s">
        <v>8761</v>
      </c>
      <c r="JPS1" t="s">
        <v>8762</v>
      </c>
      <c r="JPT1" t="s">
        <v>8763</v>
      </c>
      <c r="JPU1" t="s">
        <v>8764</v>
      </c>
      <c r="JPV1" t="s">
        <v>8765</v>
      </c>
      <c r="JPW1" t="s">
        <v>8766</v>
      </c>
      <c r="JPX1" t="s">
        <v>8767</v>
      </c>
      <c r="JPY1" t="s">
        <v>8768</v>
      </c>
      <c r="JPZ1" t="s">
        <v>8769</v>
      </c>
      <c r="JQA1" t="s">
        <v>8770</v>
      </c>
      <c r="JQB1" t="s">
        <v>8771</v>
      </c>
      <c r="JQC1" t="s">
        <v>8772</v>
      </c>
      <c r="JQD1" t="s">
        <v>8773</v>
      </c>
      <c r="JQE1" t="s">
        <v>8774</v>
      </c>
      <c r="JQF1" t="s">
        <v>8775</v>
      </c>
      <c r="JQG1" t="s">
        <v>8776</v>
      </c>
      <c r="JQH1" t="s">
        <v>8777</v>
      </c>
      <c r="JQI1" t="s">
        <v>8778</v>
      </c>
      <c r="JQJ1" t="s">
        <v>8779</v>
      </c>
      <c r="JQK1" t="s">
        <v>8780</v>
      </c>
      <c r="JQL1" t="s">
        <v>8781</v>
      </c>
      <c r="JQM1" t="s">
        <v>8782</v>
      </c>
      <c r="JQN1" t="s">
        <v>8783</v>
      </c>
      <c r="JQO1" t="s">
        <v>8784</v>
      </c>
      <c r="JQP1" t="s">
        <v>8785</v>
      </c>
      <c r="JQQ1" t="s">
        <v>8786</v>
      </c>
      <c r="JQR1" t="s">
        <v>8787</v>
      </c>
      <c r="JQS1" t="s">
        <v>8788</v>
      </c>
      <c r="JQT1" t="s">
        <v>8789</v>
      </c>
      <c r="JQU1" t="s">
        <v>8790</v>
      </c>
      <c r="JQV1" t="s">
        <v>8791</v>
      </c>
      <c r="JQW1" t="s">
        <v>8792</v>
      </c>
      <c r="JQX1" t="s">
        <v>8793</v>
      </c>
      <c r="JQY1" t="s">
        <v>8794</v>
      </c>
      <c r="JQZ1" t="s">
        <v>8795</v>
      </c>
      <c r="JRA1" t="s">
        <v>8796</v>
      </c>
      <c r="JRB1" t="s">
        <v>8797</v>
      </c>
      <c r="JRC1" t="s">
        <v>8798</v>
      </c>
      <c r="JRD1" t="s">
        <v>8799</v>
      </c>
      <c r="JRE1" t="s">
        <v>8800</v>
      </c>
      <c r="JRF1" t="s">
        <v>8801</v>
      </c>
      <c r="JRG1" t="s">
        <v>8802</v>
      </c>
      <c r="JRH1" t="s">
        <v>8803</v>
      </c>
      <c r="JRI1" t="s">
        <v>8804</v>
      </c>
      <c r="JRJ1" t="s">
        <v>8805</v>
      </c>
      <c r="JRK1" t="s">
        <v>8806</v>
      </c>
      <c r="JRL1" t="s">
        <v>8807</v>
      </c>
      <c r="JRM1" t="s">
        <v>8808</v>
      </c>
      <c r="JRN1" t="s">
        <v>8809</v>
      </c>
      <c r="JRO1" t="s">
        <v>8810</v>
      </c>
      <c r="JRP1" t="s">
        <v>8811</v>
      </c>
      <c r="JRQ1" t="s">
        <v>8812</v>
      </c>
      <c r="JRR1" t="s">
        <v>8813</v>
      </c>
      <c r="JRS1" t="s">
        <v>8814</v>
      </c>
      <c r="JRT1" t="s">
        <v>8815</v>
      </c>
      <c r="JRU1" t="s">
        <v>8816</v>
      </c>
      <c r="JRV1" t="s">
        <v>8817</v>
      </c>
      <c r="JRW1" t="s">
        <v>8818</v>
      </c>
      <c r="JRX1" t="s">
        <v>8819</v>
      </c>
      <c r="JRY1" t="s">
        <v>8820</v>
      </c>
      <c r="JRZ1" t="s">
        <v>8821</v>
      </c>
      <c r="JSA1" t="s">
        <v>8822</v>
      </c>
      <c r="JSB1" t="s">
        <v>8823</v>
      </c>
      <c r="JSC1" t="s">
        <v>8824</v>
      </c>
      <c r="JSD1" t="s">
        <v>8825</v>
      </c>
      <c r="JSE1" t="s">
        <v>8826</v>
      </c>
      <c r="JSF1" t="s">
        <v>8827</v>
      </c>
      <c r="JSG1" t="s">
        <v>8828</v>
      </c>
      <c r="JSH1" t="s">
        <v>8829</v>
      </c>
      <c r="JSI1" t="s">
        <v>8830</v>
      </c>
      <c r="JSJ1" t="s">
        <v>8831</v>
      </c>
      <c r="JSK1" t="s">
        <v>8832</v>
      </c>
      <c r="JSL1" t="s">
        <v>8833</v>
      </c>
      <c r="JSM1" t="s">
        <v>8834</v>
      </c>
      <c r="JSN1" t="s">
        <v>8835</v>
      </c>
      <c r="JSO1" t="s">
        <v>8836</v>
      </c>
      <c r="JSP1" t="s">
        <v>8837</v>
      </c>
      <c r="JSQ1" t="s">
        <v>8838</v>
      </c>
      <c r="JSR1" t="s">
        <v>8839</v>
      </c>
      <c r="JSS1" t="s">
        <v>8840</v>
      </c>
      <c r="JST1" t="s">
        <v>8841</v>
      </c>
      <c r="JSU1" t="s">
        <v>8842</v>
      </c>
      <c r="JSV1" t="s">
        <v>8843</v>
      </c>
      <c r="JSW1" t="s">
        <v>8844</v>
      </c>
      <c r="JSX1" t="s">
        <v>8845</v>
      </c>
      <c r="JSY1" t="s">
        <v>8846</v>
      </c>
      <c r="JSZ1" t="s">
        <v>8847</v>
      </c>
      <c r="JTA1" t="s">
        <v>8848</v>
      </c>
      <c r="JTB1" t="s">
        <v>8849</v>
      </c>
      <c r="JTC1" t="s">
        <v>8850</v>
      </c>
      <c r="JTD1" t="s">
        <v>8851</v>
      </c>
      <c r="JTE1" t="s">
        <v>8852</v>
      </c>
      <c r="JTF1" t="s">
        <v>8853</v>
      </c>
      <c r="JTG1" t="s">
        <v>8854</v>
      </c>
      <c r="JTH1" t="s">
        <v>8855</v>
      </c>
      <c r="JTI1" t="s">
        <v>8856</v>
      </c>
      <c r="JTJ1" t="s">
        <v>8857</v>
      </c>
      <c r="JTK1" t="s">
        <v>8858</v>
      </c>
      <c r="JTL1" t="s">
        <v>8859</v>
      </c>
      <c r="JTM1" t="s">
        <v>8860</v>
      </c>
      <c r="JTN1" t="s">
        <v>8861</v>
      </c>
      <c r="JTO1" t="s">
        <v>8862</v>
      </c>
      <c r="JTP1" t="s">
        <v>8863</v>
      </c>
      <c r="JTQ1" t="s">
        <v>8864</v>
      </c>
      <c r="JTR1" t="s">
        <v>8865</v>
      </c>
      <c r="JTS1" t="s">
        <v>8866</v>
      </c>
      <c r="JTT1" t="s">
        <v>8867</v>
      </c>
      <c r="JTU1" t="s">
        <v>8868</v>
      </c>
      <c r="JTV1" t="s">
        <v>8869</v>
      </c>
      <c r="JTW1" t="s">
        <v>8870</v>
      </c>
      <c r="JTX1" t="s">
        <v>8871</v>
      </c>
      <c r="JTY1" t="s">
        <v>8872</v>
      </c>
      <c r="JTZ1" t="s">
        <v>8873</v>
      </c>
      <c r="JUA1" t="s">
        <v>8874</v>
      </c>
      <c r="JUB1" t="s">
        <v>8875</v>
      </c>
      <c r="JUC1" t="s">
        <v>8876</v>
      </c>
      <c r="JUD1" t="s">
        <v>8877</v>
      </c>
      <c r="JUE1" t="s">
        <v>8878</v>
      </c>
      <c r="JUF1" t="s">
        <v>8879</v>
      </c>
      <c r="JUG1" t="s">
        <v>8880</v>
      </c>
      <c r="JUH1" t="s">
        <v>8881</v>
      </c>
      <c r="JUI1" t="s">
        <v>8882</v>
      </c>
      <c r="JUJ1" t="s">
        <v>8883</v>
      </c>
      <c r="JUK1" t="s">
        <v>8884</v>
      </c>
      <c r="JUL1" t="s">
        <v>8885</v>
      </c>
      <c r="JUM1" t="s">
        <v>8886</v>
      </c>
      <c r="JUN1" t="s">
        <v>8887</v>
      </c>
      <c r="JUO1" t="s">
        <v>8888</v>
      </c>
      <c r="JUP1" t="s">
        <v>8889</v>
      </c>
      <c r="JUQ1" t="s">
        <v>8890</v>
      </c>
      <c r="JUR1" t="s">
        <v>8891</v>
      </c>
      <c r="JUS1" t="s">
        <v>8892</v>
      </c>
      <c r="JUT1" t="s">
        <v>8893</v>
      </c>
      <c r="JUU1" t="s">
        <v>8894</v>
      </c>
      <c r="JUV1" t="s">
        <v>8895</v>
      </c>
      <c r="JUW1" t="s">
        <v>8896</v>
      </c>
      <c r="JUX1" t="s">
        <v>8897</v>
      </c>
      <c r="JUY1" t="s">
        <v>8898</v>
      </c>
      <c r="JUZ1" t="s">
        <v>8899</v>
      </c>
      <c r="JVA1" t="s">
        <v>8900</v>
      </c>
      <c r="JVB1" t="s">
        <v>8901</v>
      </c>
      <c r="JVC1" t="s">
        <v>8902</v>
      </c>
      <c r="JVD1" t="s">
        <v>8903</v>
      </c>
      <c r="JVE1" t="s">
        <v>8904</v>
      </c>
      <c r="JVF1" t="s">
        <v>8905</v>
      </c>
      <c r="JVG1" t="s">
        <v>8906</v>
      </c>
      <c r="JVH1" t="s">
        <v>8907</v>
      </c>
      <c r="JVI1" t="s">
        <v>8908</v>
      </c>
      <c r="JVJ1" t="s">
        <v>8909</v>
      </c>
      <c r="JVK1" t="s">
        <v>8910</v>
      </c>
      <c r="JVL1" t="s">
        <v>8911</v>
      </c>
      <c r="JVM1" t="s">
        <v>8912</v>
      </c>
      <c r="JVN1" t="s">
        <v>8913</v>
      </c>
      <c r="JVO1" t="s">
        <v>8914</v>
      </c>
      <c r="JVP1" t="s">
        <v>8915</v>
      </c>
      <c r="JVQ1" t="s">
        <v>8916</v>
      </c>
      <c r="JVR1" t="s">
        <v>8917</v>
      </c>
      <c r="JVS1" t="s">
        <v>8918</v>
      </c>
      <c r="JVT1" t="s">
        <v>8919</v>
      </c>
      <c r="JVU1" t="s">
        <v>8920</v>
      </c>
      <c r="JVV1" t="s">
        <v>8921</v>
      </c>
      <c r="JVW1" t="s">
        <v>8922</v>
      </c>
      <c r="JVX1" t="s">
        <v>8923</v>
      </c>
      <c r="JVY1" t="s">
        <v>8924</v>
      </c>
      <c r="JVZ1" t="s">
        <v>8925</v>
      </c>
      <c r="JWA1" t="s">
        <v>8926</v>
      </c>
      <c r="JWB1" t="s">
        <v>8927</v>
      </c>
      <c r="JWC1" t="s">
        <v>8928</v>
      </c>
      <c r="JWD1" t="s">
        <v>8929</v>
      </c>
      <c r="JWE1" t="s">
        <v>8930</v>
      </c>
      <c r="JWF1" t="s">
        <v>8931</v>
      </c>
      <c r="JWG1" t="s">
        <v>8932</v>
      </c>
      <c r="JWH1" t="s">
        <v>8933</v>
      </c>
      <c r="JWI1" t="s">
        <v>8934</v>
      </c>
      <c r="JWJ1" t="s">
        <v>8935</v>
      </c>
      <c r="JWK1" t="s">
        <v>8936</v>
      </c>
      <c r="JWL1" t="s">
        <v>8937</v>
      </c>
      <c r="JWM1" t="s">
        <v>8938</v>
      </c>
      <c r="JWN1" t="s">
        <v>8939</v>
      </c>
      <c r="JWO1" t="s">
        <v>8940</v>
      </c>
      <c r="JWP1" t="s">
        <v>8941</v>
      </c>
      <c r="JWQ1" t="s">
        <v>8942</v>
      </c>
      <c r="JWR1" t="s">
        <v>8943</v>
      </c>
      <c r="JWS1" t="s">
        <v>8944</v>
      </c>
      <c r="JWT1" t="s">
        <v>8945</v>
      </c>
      <c r="JWU1" t="s">
        <v>8946</v>
      </c>
      <c r="JWV1" t="s">
        <v>8947</v>
      </c>
      <c r="JWW1" t="s">
        <v>8948</v>
      </c>
      <c r="JWX1" t="s">
        <v>8949</v>
      </c>
      <c r="JWY1" t="s">
        <v>8950</v>
      </c>
      <c r="JWZ1" t="s">
        <v>8951</v>
      </c>
      <c r="JXA1" t="s">
        <v>8952</v>
      </c>
      <c r="JXB1" t="s">
        <v>8953</v>
      </c>
      <c r="JXC1" t="s">
        <v>8954</v>
      </c>
      <c r="JXD1" t="s">
        <v>8955</v>
      </c>
      <c r="JXE1" t="s">
        <v>8956</v>
      </c>
      <c r="JXF1" t="s">
        <v>8957</v>
      </c>
      <c r="JXG1" t="s">
        <v>8958</v>
      </c>
      <c r="JXH1" t="s">
        <v>8959</v>
      </c>
      <c r="JXI1" t="s">
        <v>8960</v>
      </c>
      <c r="JXJ1" t="s">
        <v>8961</v>
      </c>
      <c r="JXK1" t="s">
        <v>8962</v>
      </c>
      <c r="JXL1" t="s">
        <v>8963</v>
      </c>
      <c r="JXM1" t="s">
        <v>8964</v>
      </c>
      <c r="JXN1" t="s">
        <v>8965</v>
      </c>
      <c r="JXO1" t="s">
        <v>8966</v>
      </c>
      <c r="JXP1" t="s">
        <v>8967</v>
      </c>
      <c r="JXQ1" t="s">
        <v>8968</v>
      </c>
      <c r="JXR1" t="s">
        <v>8969</v>
      </c>
      <c r="JXS1" t="s">
        <v>8970</v>
      </c>
      <c r="JXT1" t="s">
        <v>8971</v>
      </c>
      <c r="JXU1" t="s">
        <v>8972</v>
      </c>
      <c r="JXV1" t="s">
        <v>8973</v>
      </c>
      <c r="JXW1" t="s">
        <v>8974</v>
      </c>
      <c r="JXX1" t="s">
        <v>8975</v>
      </c>
      <c r="JXY1" t="s">
        <v>8976</v>
      </c>
      <c r="JXZ1" t="s">
        <v>8977</v>
      </c>
      <c r="JYA1" t="s">
        <v>8978</v>
      </c>
      <c r="JYB1" t="s">
        <v>8979</v>
      </c>
      <c r="JYC1" t="s">
        <v>8980</v>
      </c>
      <c r="JYD1" t="s">
        <v>8981</v>
      </c>
      <c r="JYE1" t="s">
        <v>8982</v>
      </c>
      <c r="JYF1" t="s">
        <v>8983</v>
      </c>
      <c r="JYG1" t="s">
        <v>8984</v>
      </c>
      <c r="JYH1" t="s">
        <v>8985</v>
      </c>
      <c r="JYI1" t="s">
        <v>8986</v>
      </c>
      <c r="JYJ1" t="s">
        <v>8987</v>
      </c>
      <c r="JYK1" t="s">
        <v>8988</v>
      </c>
      <c r="JYL1" t="s">
        <v>8989</v>
      </c>
      <c r="JYM1" t="s">
        <v>8990</v>
      </c>
      <c r="JYN1" t="s">
        <v>8991</v>
      </c>
      <c r="JYO1" t="s">
        <v>8992</v>
      </c>
      <c r="JYP1" t="s">
        <v>8993</v>
      </c>
      <c r="JYQ1" t="s">
        <v>8994</v>
      </c>
      <c r="JYR1" t="s">
        <v>8995</v>
      </c>
      <c r="JYS1" t="s">
        <v>8996</v>
      </c>
      <c r="JYT1" t="s">
        <v>8997</v>
      </c>
      <c r="JYU1" t="s">
        <v>8998</v>
      </c>
      <c r="JYV1" t="s">
        <v>8999</v>
      </c>
      <c r="JYW1" t="s">
        <v>9000</v>
      </c>
      <c r="JYX1" t="s">
        <v>9001</v>
      </c>
      <c r="JYY1" t="s">
        <v>9002</v>
      </c>
      <c r="JYZ1" t="s">
        <v>9003</v>
      </c>
      <c r="JZA1" t="s">
        <v>9004</v>
      </c>
      <c r="JZB1" t="s">
        <v>9005</v>
      </c>
      <c r="JZC1" t="s">
        <v>9006</v>
      </c>
      <c r="JZD1" t="s">
        <v>9007</v>
      </c>
      <c r="JZE1" t="s">
        <v>9008</v>
      </c>
      <c r="JZF1" t="s">
        <v>9009</v>
      </c>
      <c r="JZG1" t="s">
        <v>9010</v>
      </c>
      <c r="JZH1" t="s">
        <v>9011</v>
      </c>
      <c r="JZI1" t="s">
        <v>9012</v>
      </c>
      <c r="JZJ1" t="s">
        <v>9013</v>
      </c>
      <c r="JZK1" t="s">
        <v>9014</v>
      </c>
      <c r="JZL1" t="s">
        <v>9015</v>
      </c>
      <c r="JZM1" t="s">
        <v>9016</v>
      </c>
      <c r="JZN1" t="s">
        <v>9017</v>
      </c>
      <c r="JZO1" t="s">
        <v>9018</v>
      </c>
      <c r="JZP1" t="s">
        <v>9019</v>
      </c>
      <c r="JZQ1" t="s">
        <v>9020</v>
      </c>
      <c r="JZR1" t="s">
        <v>9021</v>
      </c>
      <c r="JZS1" t="s">
        <v>9022</v>
      </c>
      <c r="JZT1" t="s">
        <v>9023</v>
      </c>
      <c r="JZU1" t="s">
        <v>9024</v>
      </c>
      <c r="JZV1" t="s">
        <v>9025</v>
      </c>
      <c r="JZW1" t="s">
        <v>9026</v>
      </c>
      <c r="JZX1" t="s">
        <v>9027</v>
      </c>
      <c r="JZY1" t="s">
        <v>9028</v>
      </c>
      <c r="JZZ1" t="s">
        <v>9029</v>
      </c>
      <c r="KAA1" t="s">
        <v>9030</v>
      </c>
      <c r="KAB1" t="s">
        <v>9031</v>
      </c>
      <c r="KAC1" t="s">
        <v>9032</v>
      </c>
      <c r="KAD1" t="s">
        <v>9033</v>
      </c>
      <c r="KAE1" t="s">
        <v>9034</v>
      </c>
      <c r="KAF1" t="s">
        <v>9035</v>
      </c>
      <c r="KAG1" t="s">
        <v>9036</v>
      </c>
      <c r="KAH1" t="s">
        <v>9037</v>
      </c>
      <c r="KAI1" t="s">
        <v>9038</v>
      </c>
      <c r="KAJ1" t="s">
        <v>9039</v>
      </c>
      <c r="KAK1" t="s">
        <v>9040</v>
      </c>
      <c r="KAL1" t="s">
        <v>9041</v>
      </c>
      <c r="KAM1" t="s">
        <v>9042</v>
      </c>
      <c r="KAN1" t="s">
        <v>9043</v>
      </c>
      <c r="KAO1" t="s">
        <v>9044</v>
      </c>
      <c r="KAP1" t="s">
        <v>9045</v>
      </c>
      <c r="KAQ1" t="s">
        <v>9046</v>
      </c>
      <c r="KAR1" t="s">
        <v>9047</v>
      </c>
      <c r="KAS1" t="s">
        <v>9048</v>
      </c>
      <c r="KAT1" t="s">
        <v>9049</v>
      </c>
      <c r="KAU1" t="s">
        <v>9050</v>
      </c>
      <c r="KAV1" t="s">
        <v>9051</v>
      </c>
      <c r="KAW1" t="s">
        <v>9052</v>
      </c>
      <c r="KAX1" t="s">
        <v>9053</v>
      </c>
      <c r="KAY1" t="s">
        <v>9054</v>
      </c>
      <c r="KAZ1" t="s">
        <v>9055</v>
      </c>
      <c r="KBA1" t="s">
        <v>9056</v>
      </c>
      <c r="KBB1" t="s">
        <v>9057</v>
      </c>
      <c r="KBC1" t="s">
        <v>9058</v>
      </c>
      <c r="KBD1" t="s">
        <v>9059</v>
      </c>
      <c r="KBE1" t="s">
        <v>9060</v>
      </c>
      <c r="KBF1" t="s">
        <v>9061</v>
      </c>
      <c r="KBG1" t="s">
        <v>9062</v>
      </c>
      <c r="KBH1" t="s">
        <v>9063</v>
      </c>
      <c r="KBI1" t="s">
        <v>9064</v>
      </c>
      <c r="KBJ1" t="s">
        <v>9065</v>
      </c>
      <c r="KBK1" t="s">
        <v>9066</v>
      </c>
      <c r="KBL1" t="s">
        <v>9067</v>
      </c>
      <c r="KBM1" t="s">
        <v>9068</v>
      </c>
      <c r="KBN1" t="s">
        <v>9069</v>
      </c>
      <c r="KBO1" t="s">
        <v>9070</v>
      </c>
      <c r="KBP1" t="s">
        <v>9071</v>
      </c>
      <c r="KBQ1" t="s">
        <v>9072</v>
      </c>
      <c r="KBR1" t="s">
        <v>9073</v>
      </c>
      <c r="KBS1" t="s">
        <v>9074</v>
      </c>
      <c r="KBT1" t="s">
        <v>9075</v>
      </c>
      <c r="KBU1" t="s">
        <v>9076</v>
      </c>
      <c r="KBV1" t="s">
        <v>9077</v>
      </c>
      <c r="KBW1" t="s">
        <v>9078</v>
      </c>
      <c r="KBX1" t="s">
        <v>9079</v>
      </c>
      <c r="KBY1" t="s">
        <v>9080</v>
      </c>
      <c r="KBZ1" t="s">
        <v>9081</v>
      </c>
      <c r="KCA1" t="s">
        <v>9082</v>
      </c>
      <c r="KCB1" t="s">
        <v>9083</v>
      </c>
      <c r="KCC1" t="s">
        <v>9084</v>
      </c>
      <c r="KCD1" t="s">
        <v>9085</v>
      </c>
      <c r="KCE1" t="s">
        <v>9086</v>
      </c>
      <c r="KCF1" t="s">
        <v>9087</v>
      </c>
      <c r="KCG1" t="s">
        <v>9088</v>
      </c>
      <c r="KCH1" t="s">
        <v>9089</v>
      </c>
      <c r="KCI1" t="s">
        <v>9090</v>
      </c>
      <c r="KCJ1" t="s">
        <v>9091</v>
      </c>
      <c r="KCK1" t="s">
        <v>9092</v>
      </c>
      <c r="KCL1" t="s">
        <v>9093</v>
      </c>
      <c r="KCM1" t="s">
        <v>9094</v>
      </c>
      <c r="KCN1" t="s">
        <v>9095</v>
      </c>
      <c r="KCO1" t="s">
        <v>9096</v>
      </c>
      <c r="KCP1" t="s">
        <v>9097</v>
      </c>
      <c r="KCQ1" t="s">
        <v>9098</v>
      </c>
      <c r="KCR1" t="s">
        <v>9099</v>
      </c>
      <c r="KCS1" t="s">
        <v>9100</v>
      </c>
      <c r="KCT1" t="s">
        <v>9101</v>
      </c>
      <c r="KCU1" t="s">
        <v>9102</v>
      </c>
      <c r="KCV1" t="s">
        <v>9103</v>
      </c>
      <c r="KCW1" t="s">
        <v>9104</v>
      </c>
      <c r="KCX1" t="s">
        <v>9105</v>
      </c>
      <c r="KCY1" t="s">
        <v>9106</v>
      </c>
      <c r="KCZ1" t="s">
        <v>9107</v>
      </c>
      <c r="KDA1" t="s">
        <v>9108</v>
      </c>
      <c r="KDB1" t="s">
        <v>9109</v>
      </c>
      <c r="KDC1" t="s">
        <v>9110</v>
      </c>
      <c r="KDD1" t="s">
        <v>9111</v>
      </c>
      <c r="KDE1" t="s">
        <v>9112</v>
      </c>
      <c r="KDF1" t="s">
        <v>9113</v>
      </c>
      <c r="KDG1" t="s">
        <v>9114</v>
      </c>
      <c r="KDH1" t="s">
        <v>9115</v>
      </c>
      <c r="KDI1" t="s">
        <v>9116</v>
      </c>
      <c r="KDJ1" t="s">
        <v>9117</v>
      </c>
      <c r="KDK1" t="s">
        <v>9118</v>
      </c>
      <c r="KDL1" t="s">
        <v>9119</v>
      </c>
      <c r="KDM1" t="s">
        <v>9120</v>
      </c>
      <c r="KDN1" t="s">
        <v>9121</v>
      </c>
      <c r="KDO1" t="s">
        <v>9122</v>
      </c>
      <c r="KDP1" t="s">
        <v>9123</v>
      </c>
      <c r="KDQ1" t="s">
        <v>9124</v>
      </c>
      <c r="KDR1" t="s">
        <v>9125</v>
      </c>
      <c r="KDS1" t="s">
        <v>9126</v>
      </c>
      <c r="KDT1" t="s">
        <v>9127</v>
      </c>
      <c r="KDU1" t="s">
        <v>9128</v>
      </c>
      <c r="KDV1" t="s">
        <v>9129</v>
      </c>
      <c r="KDW1" t="s">
        <v>9130</v>
      </c>
      <c r="KDX1" t="s">
        <v>9131</v>
      </c>
      <c r="KDY1" t="s">
        <v>9132</v>
      </c>
      <c r="KDZ1" t="s">
        <v>9133</v>
      </c>
      <c r="KEA1" t="s">
        <v>9134</v>
      </c>
      <c r="KEB1" t="s">
        <v>9135</v>
      </c>
      <c r="KEC1" t="s">
        <v>9136</v>
      </c>
      <c r="KED1" t="s">
        <v>9137</v>
      </c>
      <c r="KEE1" t="s">
        <v>9138</v>
      </c>
      <c r="KEF1" t="s">
        <v>9139</v>
      </c>
      <c r="KEG1" t="s">
        <v>9140</v>
      </c>
      <c r="KEH1" t="s">
        <v>9141</v>
      </c>
      <c r="KEI1" t="s">
        <v>9142</v>
      </c>
      <c r="KEJ1" t="s">
        <v>9143</v>
      </c>
      <c r="KEK1" t="s">
        <v>9144</v>
      </c>
      <c r="KEL1" t="s">
        <v>9145</v>
      </c>
      <c r="KEM1" t="s">
        <v>9146</v>
      </c>
      <c r="KEN1" t="s">
        <v>9147</v>
      </c>
      <c r="KEO1" t="s">
        <v>9148</v>
      </c>
      <c r="KEP1" t="s">
        <v>9149</v>
      </c>
      <c r="KEQ1" t="s">
        <v>9150</v>
      </c>
      <c r="KER1" t="s">
        <v>9151</v>
      </c>
      <c r="KES1" t="s">
        <v>9152</v>
      </c>
      <c r="KET1" t="s">
        <v>9153</v>
      </c>
      <c r="KEU1" t="s">
        <v>9154</v>
      </c>
      <c r="KEV1" t="s">
        <v>9155</v>
      </c>
      <c r="KEW1" t="s">
        <v>9156</v>
      </c>
      <c r="KEX1" t="s">
        <v>9157</v>
      </c>
      <c r="KEY1" t="s">
        <v>9158</v>
      </c>
      <c r="KEZ1" t="s">
        <v>9159</v>
      </c>
      <c r="KFA1" t="s">
        <v>9160</v>
      </c>
      <c r="KFB1" t="s">
        <v>9161</v>
      </c>
      <c r="KFC1" t="s">
        <v>9162</v>
      </c>
      <c r="KFD1" t="s">
        <v>9163</v>
      </c>
      <c r="KFE1" t="s">
        <v>9164</v>
      </c>
      <c r="KFF1" t="s">
        <v>9165</v>
      </c>
      <c r="KFG1" t="s">
        <v>9166</v>
      </c>
      <c r="KFH1" t="s">
        <v>9167</v>
      </c>
      <c r="KFI1" t="s">
        <v>9168</v>
      </c>
      <c r="KFJ1" t="s">
        <v>9169</v>
      </c>
      <c r="KFK1" t="s">
        <v>9170</v>
      </c>
      <c r="KFL1" t="s">
        <v>9171</v>
      </c>
      <c r="KFM1" t="s">
        <v>9172</v>
      </c>
      <c r="KFN1" t="s">
        <v>9173</v>
      </c>
      <c r="KFO1" t="s">
        <v>9174</v>
      </c>
      <c r="KFP1" t="s">
        <v>9175</v>
      </c>
      <c r="KFQ1" t="s">
        <v>9176</v>
      </c>
      <c r="KFR1" t="s">
        <v>9177</v>
      </c>
      <c r="KFS1" t="s">
        <v>9178</v>
      </c>
      <c r="KFT1" t="s">
        <v>9179</v>
      </c>
      <c r="KFU1" t="s">
        <v>9180</v>
      </c>
      <c r="KFV1" t="s">
        <v>9181</v>
      </c>
      <c r="KFW1" t="s">
        <v>9182</v>
      </c>
      <c r="KFX1" t="s">
        <v>9183</v>
      </c>
      <c r="KFY1" t="s">
        <v>9184</v>
      </c>
      <c r="KFZ1" t="s">
        <v>9185</v>
      </c>
      <c r="KGA1" t="s">
        <v>9186</v>
      </c>
      <c r="KGB1" t="s">
        <v>9187</v>
      </c>
      <c r="KGC1" t="s">
        <v>9188</v>
      </c>
      <c r="KGD1" t="s">
        <v>9189</v>
      </c>
      <c r="KGE1" t="s">
        <v>9190</v>
      </c>
      <c r="KGF1" t="s">
        <v>9191</v>
      </c>
      <c r="KGG1" t="s">
        <v>9192</v>
      </c>
      <c r="KGH1" t="s">
        <v>9193</v>
      </c>
      <c r="KGI1" t="s">
        <v>9194</v>
      </c>
      <c r="KGJ1" t="s">
        <v>9195</v>
      </c>
      <c r="KGK1" t="s">
        <v>9196</v>
      </c>
      <c r="KGL1" t="s">
        <v>9197</v>
      </c>
      <c r="KGM1" t="s">
        <v>9198</v>
      </c>
      <c r="KGN1" t="s">
        <v>9199</v>
      </c>
      <c r="KGO1" t="s">
        <v>9200</v>
      </c>
      <c r="KGP1" t="s">
        <v>9201</v>
      </c>
      <c r="KGQ1" t="s">
        <v>9202</v>
      </c>
      <c r="KGR1" t="s">
        <v>9203</v>
      </c>
      <c r="KGS1" t="s">
        <v>9204</v>
      </c>
      <c r="KGT1" t="s">
        <v>9205</v>
      </c>
      <c r="KGU1" t="s">
        <v>9206</v>
      </c>
      <c r="KGV1" t="s">
        <v>9207</v>
      </c>
      <c r="KGW1" t="s">
        <v>9208</v>
      </c>
      <c r="KGX1" t="s">
        <v>9209</v>
      </c>
      <c r="KGY1" t="s">
        <v>9210</v>
      </c>
      <c r="KGZ1" t="s">
        <v>9211</v>
      </c>
      <c r="KHA1" t="s">
        <v>9212</v>
      </c>
      <c r="KHB1" t="s">
        <v>9213</v>
      </c>
      <c r="KHC1" t="s">
        <v>9214</v>
      </c>
      <c r="KHD1" t="s">
        <v>9215</v>
      </c>
      <c r="KHE1" t="s">
        <v>9216</v>
      </c>
      <c r="KHF1" t="s">
        <v>9217</v>
      </c>
      <c r="KHG1" t="s">
        <v>9218</v>
      </c>
      <c r="KHH1" t="s">
        <v>9219</v>
      </c>
      <c r="KHI1" t="s">
        <v>9220</v>
      </c>
      <c r="KHJ1" t="s">
        <v>9221</v>
      </c>
      <c r="KHK1" t="s">
        <v>9222</v>
      </c>
      <c r="KHL1" t="s">
        <v>9223</v>
      </c>
      <c r="KHM1" t="s">
        <v>9224</v>
      </c>
      <c r="KHN1" t="s">
        <v>9225</v>
      </c>
      <c r="KHO1" t="s">
        <v>9226</v>
      </c>
      <c r="KHP1" t="s">
        <v>9227</v>
      </c>
      <c r="KHQ1" t="s">
        <v>9228</v>
      </c>
      <c r="KHR1" t="s">
        <v>9229</v>
      </c>
      <c r="KHS1" t="s">
        <v>9230</v>
      </c>
      <c r="KHT1" t="s">
        <v>9231</v>
      </c>
      <c r="KHU1" t="s">
        <v>9232</v>
      </c>
      <c r="KHV1" t="s">
        <v>9233</v>
      </c>
      <c r="KHW1" t="s">
        <v>9234</v>
      </c>
      <c r="KHX1" t="s">
        <v>9235</v>
      </c>
      <c r="KHY1" t="s">
        <v>9236</v>
      </c>
      <c r="KHZ1" t="s">
        <v>9237</v>
      </c>
      <c r="KIA1" t="s">
        <v>9238</v>
      </c>
      <c r="KIB1" t="s">
        <v>9239</v>
      </c>
      <c r="KIC1" t="s">
        <v>9240</v>
      </c>
      <c r="KID1" t="s">
        <v>9241</v>
      </c>
      <c r="KIE1" t="s">
        <v>9242</v>
      </c>
      <c r="KIF1" t="s">
        <v>9243</v>
      </c>
      <c r="KIG1" t="s">
        <v>9244</v>
      </c>
      <c r="KIH1" t="s">
        <v>9245</v>
      </c>
      <c r="KII1" t="s">
        <v>9246</v>
      </c>
      <c r="KIJ1" t="s">
        <v>9247</v>
      </c>
      <c r="KIK1" t="s">
        <v>9248</v>
      </c>
      <c r="KIL1" t="s">
        <v>9249</v>
      </c>
      <c r="KIM1" t="s">
        <v>9250</v>
      </c>
      <c r="KIN1" t="s">
        <v>9251</v>
      </c>
      <c r="KIO1" t="s">
        <v>9252</v>
      </c>
      <c r="KIP1" t="s">
        <v>9253</v>
      </c>
      <c r="KIQ1" t="s">
        <v>9254</v>
      </c>
      <c r="KIR1" t="s">
        <v>9255</v>
      </c>
      <c r="KIS1" t="s">
        <v>9256</v>
      </c>
      <c r="KIT1" t="s">
        <v>9257</v>
      </c>
      <c r="KIU1" t="s">
        <v>9258</v>
      </c>
      <c r="KIV1" t="s">
        <v>9259</v>
      </c>
      <c r="KIW1" t="s">
        <v>9260</v>
      </c>
      <c r="KIX1" t="s">
        <v>9261</v>
      </c>
      <c r="KIY1" t="s">
        <v>9262</v>
      </c>
      <c r="KIZ1" t="s">
        <v>9263</v>
      </c>
      <c r="KJA1" t="s">
        <v>9264</v>
      </c>
      <c r="KJB1" t="s">
        <v>9265</v>
      </c>
      <c r="KJC1" t="s">
        <v>9266</v>
      </c>
      <c r="KJD1" t="s">
        <v>9267</v>
      </c>
      <c r="KJE1" t="s">
        <v>9268</v>
      </c>
      <c r="KJF1" t="s">
        <v>9269</v>
      </c>
      <c r="KJG1" t="s">
        <v>9270</v>
      </c>
      <c r="KJH1" t="s">
        <v>9271</v>
      </c>
      <c r="KJI1" t="s">
        <v>9272</v>
      </c>
      <c r="KJJ1" t="s">
        <v>9273</v>
      </c>
      <c r="KJK1" t="s">
        <v>9274</v>
      </c>
      <c r="KJL1" t="s">
        <v>9275</v>
      </c>
      <c r="KJM1" t="s">
        <v>9276</v>
      </c>
      <c r="KJN1" t="s">
        <v>9277</v>
      </c>
      <c r="KJO1" t="s">
        <v>9278</v>
      </c>
      <c r="KJP1" t="s">
        <v>9279</v>
      </c>
      <c r="KJQ1" t="s">
        <v>9280</v>
      </c>
      <c r="KJR1" t="s">
        <v>9281</v>
      </c>
      <c r="KJS1" t="s">
        <v>9282</v>
      </c>
      <c r="KJT1" t="s">
        <v>9283</v>
      </c>
      <c r="KJU1" t="s">
        <v>9284</v>
      </c>
      <c r="KJV1" t="s">
        <v>9285</v>
      </c>
      <c r="KJW1" t="s">
        <v>9286</v>
      </c>
      <c r="KJX1" t="s">
        <v>9287</v>
      </c>
      <c r="KJY1" t="s">
        <v>9288</v>
      </c>
      <c r="KJZ1" t="s">
        <v>9289</v>
      </c>
      <c r="KKA1" t="s">
        <v>9290</v>
      </c>
      <c r="KKB1" t="s">
        <v>9291</v>
      </c>
      <c r="KKC1" t="s">
        <v>9292</v>
      </c>
      <c r="KKD1" t="s">
        <v>9293</v>
      </c>
      <c r="KKE1" t="s">
        <v>9294</v>
      </c>
      <c r="KKF1" t="s">
        <v>9295</v>
      </c>
      <c r="KKG1" t="s">
        <v>9296</v>
      </c>
      <c r="KKH1" t="s">
        <v>9297</v>
      </c>
      <c r="KKI1" t="s">
        <v>9298</v>
      </c>
      <c r="KKJ1" t="s">
        <v>9299</v>
      </c>
      <c r="KKK1" t="s">
        <v>9300</v>
      </c>
      <c r="KKL1" t="s">
        <v>9301</v>
      </c>
      <c r="KKM1" t="s">
        <v>9302</v>
      </c>
      <c r="KKN1" t="s">
        <v>9303</v>
      </c>
      <c r="KKO1" t="s">
        <v>9304</v>
      </c>
      <c r="KKP1" t="s">
        <v>9305</v>
      </c>
      <c r="KKQ1" t="s">
        <v>9306</v>
      </c>
      <c r="KKR1" t="s">
        <v>9307</v>
      </c>
      <c r="KKS1" t="s">
        <v>9308</v>
      </c>
      <c r="KKT1" t="s">
        <v>9309</v>
      </c>
      <c r="KKU1" t="s">
        <v>9310</v>
      </c>
      <c r="KKV1" t="s">
        <v>9311</v>
      </c>
      <c r="KKW1" t="s">
        <v>9312</v>
      </c>
      <c r="KKX1" t="s">
        <v>9313</v>
      </c>
      <c r="KKY1" t="s">
        <v>9314</v>
      </c>
      <c r="KKZ1" t="s">
        <v>9315</v>
      </c>
      <c r="KLA1" t="s">
        <v>9316</v>
      </c>
      <c r="KLB1" t="s">
        <v>9317</v>
      </c>
      <c r="KLC1" t="s">
        <v>9318</v>
      </c>
      <c r="KLD1" t="s">
        <v>9319</v>
      </c>
      <c r="KLE1" t="s">
        <v>9320</v>
      </c>
      <c r="KLF1" t="s">
        <v>9321</v>
      </c>
      <c r="KLG1" t="s">
        <v>9322</v>
      </c>
      <c r="KLH1" t="s">
        <v>9323</v>
      </c>
      <c r="KLI1" t="s">
        <v>9324</v>
      </c>
      <c r="KLJ1" t="s">
        <v>9325</v>
      </c>
      <c r="KLK1" t="s">
        <v>9326</v>
      </c>
      <c r="KLL1" t="s">
        <v>9327</v>
      </c>
      <c r="KLM1" t="s">
        <v>9328</v>
      </c>
      <c r="KLN1" t="s">
        <v>9329</v>
      </c>
      <c r="KLO1" t="s">
        <v>9330</v>
      </c>
      <c r="KLP1" t="s">
        <v>9331</v>
      </c>
      <c r="KLQ1" t="s">
        <v>9332</v>
      </c>
      <c r="KLR1" t="s">
        <v>9333</v>
      </c>
      <c r="KLS1" t="s">
        <v>9334</v>
      </c>
      <c r="KLT1" t="s">
        <v>9335</v>
      </c>
      <c r="KLU1" t="s">
        <v>9336</v>
      </c>
      <c r="KLV1" t="s">
        <v>9337</v>
      </c>
      <c r="KLW1" t="s">
        <v>9338</v>
      </c>
      <c r="KLX1" t="s">
        <v>9339</v>
      </c>
      <c r="KLY1" t="s">
        <v>9340</v>
      </c>
      <c r="KLZ1" t="s">
        <v>9341</v>
      </c>
      <c r="KMA1" t="s">
        <v>9342</v>
      </c>
      <c r="KMB1" t="s">
        <v>9343</v>
      </c>
      <c r="KMC1" t="s">
        <v>9344</v>
      </c>
      <c r="KMD1" t="s">
        <v>9345</v>
      </c>
      <c r="KME1" t="s">
        <v>9346</v>
      </c>
      <c r="KMF1" t="s">
        <v>9347</v>
      </c>
      <c r="KMG1" t="s">
        <v>9348</v>
      </c>
      <c r="KMH1" t="s">
        <v>9349</v>
      </c>
      <c r="KMI1" t="s">
        <v>9350</v>
      </c>
      <c r="KMJ1" t="s">
        <v>9351</v>
      </c>
      <c r="KMK1" t="s">
        <v>9352</v>
      </c>
      <c r="KML1" t="s">
        <v>9353</v>
      </c>
      <c r="KMM1" t="s">
        <v>9354</v>
      </c>
      <c r="KMN1" t="s">
        <v>9355</v>
      </c>
      <c r="KMO1" t="s">
        <v>9356</v>
      </c>
      <c r="KMP1" t="s">
        <v>9357</v>
      </c>
      <c r="KMQ1" t="s">
        <v>9358</v>
      </c>
      <c r="KMR1" t="s">
        <v>9359</v>
      </c>
      <c r="KMS1" t="s">
        <v>9360</v>
      </c>
      <c r="KMT1" t="s">
        <v>9361</v>
      </c>
      <c r="KMU1" t="s">
        <v>9362</v>
      </c>
      <c r="KMV1" t="s">
        <v>9363</v>
      </c>
      <c r="KMW1" t="s">
        <v>9364</v>
      </c>
      <c r="KMX1" t="s">
        <v>9365</v>
      </c>
      <c r="KMY1" t="s">
        <v>9366</v>
      </c>
      <c r="KMZ1" t="s">
        <v>9367</v>
      </c>
      <c r="KNA1" t="s">
        <v>9368</v>
      </c>
      <c r="KNB1" t="s">
        <v>9369</v>
      </c>
      <c r="KNC1" t="s">
        <v>9370</v>
      </c>
      <c r="KND1" t="s">
        <v>9371</v>
      </c>
      <c r="KNE1" t="s">
        <v>9372</v>
      </c>
      <c r="KNF1" t="s">
        <v>9373</v>
      </c>
      <c r="KNG1" t="s">
        <v>9374</v>
      </c>
      <c r="KNH1" t="s">
        <v>9375</v>
      </c>
      <c r="KNI1" t="s">
        <v>9376</v>
      </c>
      <c r="KNJ1" t="s">
        <v>9377</v>
      </c>
      <c r="KNK1" t="s">
        <v>9378</v>
      </c>
      <c r="KNL1" t="s">
        <v>9379</v>
      </c>
      <c r="KNM1" t="s">
        <v>9380</v>
      </c>
      <c r="KNN1" t="s">
        <v>9381</v>
      </c>
      <c r="KNO1" t="s">
        <v>9382</v>
      </c>
      <c r="KNP1" t="s">
        <v>9383</v>
      </c>
      <c r="KNQ1" t="s">
        <v>9384</v>
      </c>
      <c r="KNR1" t="s">
        <v>9385</v>
      </c>
      <c r="KNS1" t="s">
        <v>9386</v>
      </c>
      <c r="KNT1" t="s">
        <v>9387</v>
      </c>
      <c r="KNU1" t="s">
        <v>9388</v>
      </c>
      <c r="KNV1" t="s">
        <v>9389</v>
      </c>
      <c r="KNW1" t="s">
        <v>9390</v>
      </c>
      <c r="KNX1" t="s">
        <v>9391</v>
      </c>
      <c r="KNY1" t="s">
        <v>9392</v>
      </c>
      <c r="KNZ1" t="s">
        <v>9393</v>
      </c>
      <c r="KOA1" t="s">
        <v>9394</v>
      </c>
      <c r="KOB1" t="s">
        <v>9395</v>
      </c>
      <c r="KOC1" t="s">
        <v>9396</v>
      </c>
      <c r="KOD1" t="s">
        <v>9397</v>
      </c>
      <c r="KOE1" t="s">
        <v>9398</v>
      </c>
      <c r="KOF1" t="s">
        <v>9399</v>
      </c>
      <c r="KOG1" t="s">
        <v>9400</v>
      </c>
      <c r="KOH1" t="s">
        <v>9401</v>
      </c>
      <c r="KOI1" t="s">
        <v>9402</v>
      </c>
      <c r="KOJ1" t="s">
        <v>9403</v>
      </c>
      <c r="KOK1" t="s">
        <v>9404</v>
      </c>
      <c r="KOL1" t="s">
        <v>9405</v>
      </c>
      <c r="KOM1" t="s">
        <v>9406</v>
      </c>
      <c r="KON1" t="s">
        <v>9407</v>
      </c>
      <c r="KOO1" t="s">
        <v>9408</v>
      </c>
      <c r="KOP1" t="s">
        <v>9409</v>
      </c>
      <c r="KOQ1" t="s">
        <v>9410</v>
      </c>
      <c r="KOR1" t="s">
        <v>9411</v>
      </c>
      <c r="KOS1" t="s">
        <v>9412</v>
      </c>
      <c r="KOT1" t="s">
        <v>9413</v>
      </c>
      <c r="KOU1" t="s">
        <v>9414</v>
      </c>
      <c r="KOV1" t="s">
        <v>9415</v>
      </c>
      <c r="KOW1" t="s">
        <v>9416</v>
      </c>
      <c r="KOX1" t="s">
        <v>9417</v>
      </c>
      <c r="KOY1" t="s">
        <v>9418</v>
      </c>
      <c r="KOZ1" t="s">
        <v>9419</v>
      </c>
      <c r="KPA1" t="s">
        <v>9420</v>
      </c>
      <c r="KPB1" t="s">
        <v>9421</v>
      </c>
      <c r="KPC1" t="s">
        <v>9422</v>
      </c>
      <c r="KPD1" t="s">
        <v>9423</v>
      </c>
      <c r="KPE1" t="s">
        <v>9424</v>
      </c>
      <c r="KPF1" t="s">
        <v>9425</v>
      </c>
      <c r="KPG1" t="s">
        <v>9426</v>
      </c>
      <c r="KPH1" t="s">
        <v>9427</v>
      </c>
      <c r="KPI1" t="s">
        <v>9428</v>
      </c>
      <c r="KPJ1" t="s">
        <v>9429</v>
      </c>
      <c r="KPK1" t="s">
        <v>9430</v>
      </c>
      <c r="KPL1" t="s">
        <v>9431</v>
      </c>
      <c r="KPM1" t="s">
        <v>9432</v>
      </c>
      <c r="KPN1" t="s">
        <v>9433</v>
      </c>
      <c r="KPO1" t="s">
        <v>9434</v>
      </c>
      <c r="KPP1" t="s">
        <v>9435</v>
      </c>
      <c r="KPQ1" t="s">
        <v>9436</v>
      </c>
      <c r="KPR1" t="s">
        <v>9437</v>
      </c>
      <c r="KPS1" t="s">
        <v>9438</v>
      </c>
      <c r="KPT1" t="s">
        <v>9439</v>
      </c>
      <c r="KPU1" t="s">
        <v>9440</v>
      </c>
      <c r="KPV1" t="s">
        <v>9441</v>
      </c>
      <c r="KPW1" t="s">
        <v>9442</v>
      </c>
      <c r="KPX1" t="s">
        <v>9443</v>
      </c>
      <c r="KPY1" t="s">
        <v>9444</v>
      </c>
      <c r="KPZ1" t="s">
        <v>9445</v>
      </c>
      <c r="KQA1" t="s">
        <v>9446</v>
      </c>
      <c r="KQB1" t="s">
        <v>9447</v>
      </c>
      <c r="KQC1" t="s">
        <v>9448</v>
      </c>
      <c r="KQD1" t="s">
        <v>9449</v>
      </c>
      <c r="KQE1" t="s">
        <v>9450</v>
      </c>
      <c r="KQF1" t="s">
        <v>9451</v>
      </c>
      <c r="KQG1" t="s">
        <v>9452</v>
      </c>
      <c r="KQH1" t="s">
        <v>9453</v>
      </c>
      <c r="KQI1" t="s">
        <v>9454</v>
      </c>
      <c r="KQJ1" t="s">
        <v>9455</v>
      </c>
      <c r="KQK1" t="s">
        <v>9456</v>
      </c>
      <c r="KQL1" t="s">
        <v>9457</v>
      </c>
      <c r="KQM1" t="s">
        <v>9458</v>
      </c>
      <c r="KQN1" t="s">
        <v>9459</v>
      </c>
      <c r="KQO1" t="s">
        <v>9460</v>
      </c>
      <c r="KQP1" t="s">
        <v>9461</v>
      </c>
      <c r="KQQ1" t="s">
        <v>9462</v>
      </c>
      <c r="KQR1" t="s">
        <v>9463</v>
      </c>
      <c r="KQS1" t="s">
        <v>9464</v>
      </c>
      <c r="KQT1" t="s">
        <v>9465</v>
      </c>
      <c r="KQU1" t="s">
        <v>9466</v>
      </c>
      <c r="KQV1" t="s">
        <v>9467</v>
      </c>
      <c r="KQW1" t="s">
        <v>9468</v>
      </c>
      <c r="KQX1" t="s">
        <v>9469</v>
      </c>
      <c r="KQY1" t="s">
        <v>9470</v>
      </c>
      <c r="KQZ1" t="s">
        <v>9471</v>
      </c>
      <c r="KRA1" t="s">
        <v>9472</v>
      </c>
      <c r="KRB1" t="s">
        <v>9473</v>
      </c>
      <c r="KRC1" t="s">
        <v>9474</v>
      </c>
      <c r="KRD1" t="s">
        <v>9475</v>
      </c>
      <c r="KRE1" t="s">
        <v>9476</v>
      </c>
      <c r="KRF1" t="s">
        <v>9477</v>
      </c>
      <c r="KRG1" t="s">
        <v>9478</v>
      </c>
      <c r="KRH1" t="s">
        <v>9479</v>
      </c>
      <c r="KRI1" t="s">
        <v>9480</v>
      </c>
      <c r="KRJ1" t="s">
        <v>9481</v>
      </c>
      <c r="KRK1" t="s">
        <v>9482</v>
      </c>
      <c r="KRL1" t="s">
        <v>9483</v>
      </c>
      <c r="KRM1" t="s">
        <v>9484</v>
      </c>
      <c r="KRN1" t="s">
        <v>9485</v>
      </c>
      <c r="KRO1" t="s">
        <v>9486</v>
      </c>
      <c r="KRP1" t="s">
        <v>9487</v>
      </c>
      <c r="KRQ1" t="s">
        <v>9488</v>
      </c>
      <c r="KRR1" t="s">
        <v>9489</v>
      </c>
      <c r="KRS1" t="s">
        <v>9490</v>
      </c>
      <c r="KRT1" t="s">
        <v>9491</v>
      </c>
      <c r="KRU1" t="s">
        <v>9492</v>
      </c>
      <c r="KRV1" t="s">
        <v>9493</v>
      </c>
      <c r="KRW1" t="s">
        <v>9494</v>
      </c>
      <c r="KRX1" t="s">
        <v>9495</v>
      </c>
      <c r="KRY1" t="s">
        <v>9496</v>
      </c>
      <c r="KRZ1" t="s">
        <v>9497</v>
      </c>
      <c r="KSA1" t="s">
        <v>9498</v>
      </c>
      <c r="KSB1" t="s">
        <v>9499</v>
      </c>
      <c r="KSC1" t="s">
        <v>9500</v>
      </c>
      <c r="KSD1" t="s">
        <v>9501</v>
      </c>
      <c r="KSE1" t="s">
        <v>9502</v>
      </c>
      <c r="KSF1" t="s">
        <v>9503</v>
      </c>
      <c r="KSG1" t="s">
        <v>9504</v>
      </c>
      <c r="KSH1" t="s">
        <v>9505</v>
      </c>
      <c r="KSI1" t="s">
        <v>9506</v>
      </c>
      <c r="KSJ1" t="s">
        <v>9507</v>
      </c>
      <c r="KSK1" t="s">
        <v>9508</v>
      </c>
      <c r="KSL1" t="s">
        <v>9509</v>
      </c>
      <c r="KSM1" t="s">
        <v>9510</v>
      </c>
      <c r="KSN1" t="s">
        <v>9511</v>
      </c>
      <c r="KSO1" t="s">
        <v>9512</v>
      </c>
      <c r="KSP1" t="s">
        <v>9513</v>
      </c>
      <c r="KSQ1" t="s">
        <v>9514</v>
      </c>
      <c r="KSR1" t="s">
        <v>9515</v>
      </c>
      <c r="KSS1" t="s">
        <v>9516</v>
      </c>
      <c r="KST1" t="s">
        <v>9517</v>
      </c>
      <c r="KSU1" t="s">
        <v>9518</v>
      </c>
      <c r="KSV1" t="s">
        <v>9519</v>
      </c>
      <c r="KSW1" t="s">
        <v>9520</v>
      </c>
      <c r="KSX1" t="s">
        <v>9521</v>
      </c>
      <c r="KSY1" t="s">
        <v>9522</v>
      </c>
      <c r="KSZ1" t="s">
        <v>9523</v>
      </c>
      <c r="KTA1" t="s">
        <v>9524</v>
      </c>
      <c r="KTB1" t="s">
        <v>9525</v>
      </c>
      <c r="KTC1" t="s">
        <v>9526</v>
      </c>
      <c r="KTD1" t="s">
        <v>9527</v>
      </c>
      <c r="KTE1" t="s">
        <v>9528</v>
      </c>
      <c r="KTF1" t="s">
        <v>9529</v>
      </c>
      <c r="KTG1" t="s">
        <v>9530</v>
      </c>
      <c r="KTH1" t="s">
        <v>9531</v>
      </c>
      <c r="KTI1" t="s">
        <v>9532</v>
      </c>
      <c r="KTJ1" t="s">
        <v>9533</v>
      </c>
      <c r="KTK1" t="s">
        <v>9534</v>
      </c>
      <c r="KTL1" t="s">
        <v>9535</v>
      </c>
      <c r="KTM1" t="s">
        <v>9536</v>
      </c>
      <c r="KTN1" t="s">
        <v>9537</v>
      </c>
      <c r="KTO1" t="s">
        <v>9538</v>
      </c>
      <c r="KTP1" t="s">
        <v>9539</v>
      </c>
      <c r="KTQ1" t="s">
        <v>9540</v>
      </c>
      <c r="KTR1" t="s">
        <v>9541</v>
      </c>
      <c r="KTS1" t="s">
        <v>9542</v>
      </c>
      <c r="KTT1" t="s">
        <v>9543</v>
      </c>
      <c r="KTU1" t="s">
        <v>9544</v>
      </c>
      <c r="KTV1" t="s">
        <v>9545</v>
      </c>
      <c r="KTW1" t="s">
        <v>9546</v>
      </c>
      <c r="KTX1" t="s">
        <v>9547</v>
      </c>
      <c r="KTY1" t="s">
        <v>9548</v>
      </c>
      <c r="KTZ1" t="s">
        <v>9549</v>
      </c>
      <c r="KUA1" t="s">
        <v>9550</v>
      </c>
      <c r="KUB1" t="s">
        <v>9551</v>
      </c>
      <c r="KUC1" t="s">
        <v>9552</v>
      </c>
      <c r="KUD1" t="s">
        <v>9553</v>
      </c>
      <c r="KUE1" t="s">
        <v>9554</v>
      </c>
      <c r="KUF1" t="s">
        <v>9555</v>
      </c>
      <c r="KUG1" t="s">
        <v>9556</v>
      </c>
      <c r="KUH1" t="s">
        <v>9557</v>
      </c>
      <c r="KUI1" t="s">
        <v>9558</v>
      </c>
      <c r="KUJ1" t="s">
        <v>9559</v>
      </c>
      <c r="KUK1" t="s">
        <v>9560</v>
      </c>
      <c r="KUL1" t="s">
        <v>9561</v>
      </c>
      <c r="KUM1" t="s">
        <v>9562</v>
      </c>
      <c r="KUN1" t="s">
        <v>9563</v>
      </c>
      <c r="KUO1" t="s">
        <v>9564</v>
      </c>
      <c r="KUP1" t="s">
        <v>9565</v>
      </c>
      <c r="KUQ1" t="s">
        <v>9566</v>
      </c>
      <c r="KUR1" t="s">
        <v>9567</v>
      </c>
      <c r="KUS1" t="s">
        <v>9568</v>
      </c>
      <c r="KUT1" t="s">
        <v>9569</v>
      </c>
      <c r="KUU1" t="s">
        <v>9570</v>
      </c>
      <c r="KUV1" t="s">
        <v>9571</v>
      </c>
      <c r="KUW1" t="s">
        <v>9572</v>
      </c>
      <c r="KUX1" t="s">
        <v>9573</v>
      </c>
      <c r="KUY1" t="s">
        <v>9574</v>
      </c>
      <c r="KUZ1" t="s">
        <v>9575</v>
      </c>
      <c r="KVA1" t="s">
        <v>9576</v>
      </c>
      <c r="KVB1" t="s">
        <v>9577</v>
      </c>
      <c r="KVC1" t="s">
        <v>9578</v>
      </c>
      <c r="KVD1" t="s">
        <v>9579</v>
      </c>
      <c r="KVE1" t="s">
        <v>9580</v>
      </c>
      <c r="KVF1" t="s">
        <v>9581</v>
      </c>
      <c r="KVG1" t="s">
        <v>9582</v>
      </c>
      <c r="KVH1" t="s">
        <v>9583</v>
      </c>
      <c r="KVI1" t="s">
        <v>9584</v>
      </c>
      <c r="KVJ1" t="s">
        <v>9585</v>
      </c>
      <c r="KVK1" t="s">
        <v>9586</v>
      </c>
      <c r="KVL1" t="s">
        <v>9587</v>
      </c>
      <c r="KVM1" t="s">
        <v>9588</v>
      </c>
      <c r="KVN1" t="s">
        <v>9589</v>
      </c>
      <c r="KVO1" t="s">
        <v>9590</v>
      </c>
      <c r="KVP1" t="s">
        <v>9591</v>
      </c>
      <c r="KVQ1" t="s">
        <v>9592</v>
      </c>
      <c r="KVR1" t="s">
        <v>9593</v>
      </c>
      <c r="KVS1" t="s">
        <v>9594</v>
      </c>
      <c r="KVT1" t="s">
        <v>9595</v>
      </c>
      <c r="KVU1" t="s">
        <v>9596</v>
      </c>
      <c r="KVV1" t="s">
        <v>9597</v>
      </c>
      <c r="KVW1" t="s">
        <v>9598</v>
      </c>
      <c r="KVX1" t="s">
        <v>9599</v>
      </c>
      <c r="KVY1" t="s">
        <v>9600</v>
      </c>
      <c r="KVZ1" t="s">
        <v>9601</v>
      </c>
      <c r="KWA1" t="s">
        <v>9602</v>
      </c>
      <c r="KWB1" t="s">
        <v>9603</v>
      </c>
      <c r="KWC1" t="s">
        <v>9604</v>
      </c>
      <c r="KWD1" t="s">
        <v>9605</v>
      </c>
      <c r="KWE1" t="s">
        <v>9606</v>
      </c>
      <c r="KWF1" t="s">
        <v>9607</v>
      </c>
      <c r="KWG1" t="s">
        <v>9608</v>
      </c>
      <c r="KWH1" t="s">
        <v>9609</v>
      </c>
      <c r="KWI1" t="s">
        <v>9610</v>
      </c>
      <c r="KWJ1" t="s">
        <v>9611</v>
      </c>
      <c r="KWK1" t="s">
        <v>9612</v>
      </c>
      <c r="KWL1" t="s">
        <v>9613</v>
      </c>
      <c r="KWM1" t="s">
        <v>9614</v>
      </c>
      <c r="KWN1" t="s">
        <v>9615</v>
      </c>
      <c r="KWO1" t="s">
        <v>9616</v>
      </c>
      <c r="KWP1" t="s">
        <v>9617</v>
      </c>
      <c r="KWQ1" t="s">
        <v>9618</v>
      </c>
      <c r="KWR1" t="s">
        <v>9619</v>
      </c>
      <c r="KWS1" t="s">
        <v>9620</v>
      </c>
      <c r="KWT1" t="s">
        <v>9621</v>
      </c>
      <c r="KWU1" t="s">
        <v>9622</v>
      </c>
      <c r="KWV1" t="s">
        <v>9623</v>
      </c>
      <c r="KWW1" t="s">
        <v>9624</v>
      </c>
      <c r="KWX1" t="s">
        <v>9625</v>
      </c>
      <c r="KWY1" t="s">
        <v>9626</v>
      </c>
      <c r="KWZ1" t="s">
        <v>9627</v>
      </c>
      <c r="KXA1" t="s">
        <v>9628</v>
      </c>
      <c r="KXB1" t="s">
        <v>9629</v>
      </c>
      <c r="KXC1" t="s">
        <v>9630</v>
      </c>
      <c r="KXD1" t="s">
        <v>9631</v>
      </c>
      <c r="KXE1" t="s">
        <v>9632</v>
      </c>
      <c r="KXF1" t="s">
        <v>9633</v>
      </c>
      <c r="KXG1" t="s">
        <v>9634</v>
      </c>
      <c r="KXH1" t="s">
        <v>9635</v>
      </c>
      <c r="KXI1" t="s">
        <v>9636</v>
      </c>
      <c r="KXJ1" t="s">
        <v>9637</v>
      </c>
      <c r="KXK1" t="s">
        <v>9638</v>
      </c>
      <c r="KXL1" t="s">
        <v>9639</v>
      </c>
      <c r="KXM1" t="s">
        <v>9640</v>
      </c>
      <c r="KXN1" t="s">
        <v>9641</v>
      </c>
      <c r="KXO1" t="s">
        <v>9642</v>
      </c>
      <c r="KXP1" t="s">
        <v>9643</v>
      </c>
      <c r="KXQ1" t="s">
        <v>9644</v>
      </c>
      <c r="KXR1" t="s">
        <v>9645</v>
      </c>
      <c r="KXS1" t="s">
        <v>9646</v>
      </c>
      <c r="KXT1" t="s">
        <v>9647</v>
      </c>
      <c r="KXU1" t="s">
        <v>9648</v>
      </c>
      <c r="KXV1" t="s">
        <v>9649</v>
      </c>
      <c r="KXW1" t="s">
        <v>9650</v>
      </c>
      <c r="KXX1" t="s">
        <v>9651</v>
      </c>
      <c r="KXY1" t="s">
        <v>9652</v>
      </c>
      <c r="KXZ1" t="s">
        <v>9653</v>
      </c>
      <c r="KYA1" t="s">
        <v>9654</v>
      </c>
      <c r="KYB1" t="s">
        <v>9655</v>
      </c>
      <c r="KYC1" t="s">
        <v>9656</v>
      </c>
      <c r="KYD1" t="s">
        <v>9657</v>
      </c>
      <c r="KYE1" t="s">
        <v>9658</v>
      </c>
      <c r="KYF1" t="s">
        <v>9659</v>
      </c>
      <c r="KYG1" t="s">
        <v>9660</v>
      </c>
      <c r="KYH1" t="s">
        <v>9661</v>
      </c>
      <c r="KYI1" t="s">
        <v>9662</v>
      </c>
      <c r="KYJ1" t="s">
        <v>9663</v>
      </c>
      <c r="KYK1" t="s">
        <v>9664</v>
      </c>
      <c r="KYL1" t="s">
        <v>9665</v>
      </c>
      <c r="KYM1" t="s">
        <v>9666</v>
      </c>
      <c r="KYN1" t="s">
        <v>9667</v>
      </c>
      <c r="KYO1" t="s">
        <v>9668</v>
      </c>
      <c r="KYP1" t="s">
        <v>9669</v>
      </c>
      <c r="KYQ1" t="s">
        <v>9670</v>
      </c>
      <c r="KYR1" t="s">
        <v>9671</v>
      </c>
      <c r="KYS1" t="s">
        <v>9672</v>
      </c>
      <c r="KYT1" t="s">
        <v>9673</v>
      </c>
      <c r="KYU1" t="s">
        <v>9674</v>
      </c>
      <c r="KYV1" t="s">
        <v>9675</v>
      </c>
      <c r="KYW1" t="s">
        <v>9676</v>
      </c>
      <c r="KYX1" t="s">
        <v>9677</v>
      </c>
      <c r="KYY1" t="s">
        <v>9678</v>
      </c>
      <c r="KYZ1" t="s">
        <v>9679</v>
      </c>
      <c r="KZA1" t="s">
        <v>9680</v>
      </c>
      <c r="KZB1" t="s">
        <v>9681</v>
      </c>
      <c r="KZC1" t="s">
        <v>9682</v>
      </c>
      <c r="KZD1" t="s">
        <v>9683</v>
      </c>
      <c r="KZE1" t="s">
        <v>9684</v>
      </c>
      <c r="KZF1" t="s">
        <v>9685</v>
      </c>
      <c r="KZG1" t="s">
        <v>9686</v>
      </c>
      <c r="KZH1" t="s">
        <v>9687</v>
      </c>
      <c r="KZI1" t="s">
        <v>9688</v>
      </c>
      <c r="KZJ1" t="s">
        <v>9689</v>
      </c>
      <c r="KZK1" t="s">
        <v>9690</v>
      </c>
      <c r="KZL1" t="s">
        <v>9691</v>
      </c>
      <c r="KZM1" t="s">
        <v>9692</v>
      </c>
      <c r="KZN1" t="s">
        <v>9693</v>
      </c>
      <c r="KZO1" t="s">
        <v>9694</v>
      </c>
      <c r="KZP1" t="s">
        <v>9695</v>
      </c>
      <c r="KZQ1" t="s">
        <v>9696</v>
      </c>
      <c r="KZR1" t="s">
        <v>9697</v>
      </c>
      <c r="KZS1" t="s">
        <v>9698</v>
      </c>
      <c r="KZT1" t="s">
        <v>9699</v>
      </c>
      <c r="KZU1" t="s">
        <v>9700</v>
      </c>
      <c r="KZV1" t="s">
        <v>9701</v>
      </c>
      <c r="KZW1" t="s">
        <v>9702</v>
      </c>
      <c r="KZX1" t="s">
        <v>9703</v>
      </c>
      <c r="KZY1" t="s">
        <v>9704</v>
      </c>
      <c r="KZZ1" t="s">
        <v>9705</v>
      </c>
      <c r="LAA1" t="s">
        <v>9706</v>
      </c>
      <c r="LAB1" t="s">
        <v>9707</v>
      </c>
      <c r="LAC1" t="s">
        <v>9708</v>
      </c>
      <c r="LAD1" t="s">
        <v>9709</v>
      </c>
      <c r="LAE1" t="s">
        <v>9710</v>
      </c>
      <c r="LAF1" t="s">
        <v>9711</v>
      </c>
      <c r="LAG1" t="s">
        <v>9712</v>
      </c>
      <c r="LAH1" t="s">
        <v>9713</v>
      </c>
      <c r="LAI1" t="s">
        <v>9714</v>
      </c>
      <c r="LAJ1" t="s">
        <v>9715</v>
      </c>
      <c r="LAK1" t="s">
        <v>9716</v>
      </c>
      <c r="LAL1" t="s">
        <v>9717</v>
      </c>
      <c r="LAM1" t="s">
        <v>9718</v>
      </c>
      <c r="LAN1" t="s">
        <v>9719</v>
      </c>
      <c r="LAO1" t="s">
        <v>9720</v>
      </c>
      <c r="LAP1" t="s">
        <v>9721</v>
      </c>
      <c r="LAQ1" t="s">
        <v>9722</v>
      </c>
      <c r="LAR1" t="s">
        <v>9723</v>
      </c>
      <c r="LAS1" t="s">
        <v>9724</v>
      </c>
      <c r="LAT1" t="s">
        <v>9725</v>
      </c>
      <c r="LAU1" t="s">
        <v>9726</v>
      </c>
      <c r="LAV1" t="s">
        <v>9727</v>
      </c>
      <c r="LAW1" t="s">
        <v>9728</v>
      </c>
      <c r="LAX1" t="s">
        <v>9729</v>
      </c>
      <c r="LAY1" t="s">
        <v>9730</v>
      </c>
      <c r="LAZ1" t="s">
        <v>9731</v>
      </c>
      <c r="LBA1" t="s">
        <v>9732</v>
      </c>
      <c r="LBB1" t="s">
        <v>9733</v>
      </c>
      <c r="LBC1" t="s">
        <v>9734</v>
      </c>
      <c r="LBD1" t="s">
        <v>9735</v>
      </c>
      <c r="LBE1" t="s">
        <v>9736</v>
      </c>
      <c r="LBF1" t="s">
        <v>9737</v>
      </c>
      <c r="LBG1" t="s">
        <v>9738</v>
      </c>
      <c r="LBH1" t="s">
        <v>9739</v>
      </c>
      <c r="LBI1" t="s">
        <v>9740</v>
      </c>
      <c r="LBJ1" t="s">
        <v>9741</v>
      </c>
      <c r="LBK1" t="s">
        <v>9742</v>
      </c>
      <c r="LBL1" t="s">
        <v>9743</v>
      </c>
      <c r="LBM1" t="s">
        <v>9744</v>
      </c>
      <c r="LBN1" t="s">
        <v>9745</v>
      </c>
      <c r="LBO1" t="s">
        <v>9746</v>
      </c>
      <c r="LBP1" t="s">
        <v>9747</v>
      </c>
      <c r="LBQ1" t="s">
        <v>9748</v>
      </c>
      <c r="LBR1" t="s">
        <v>9749</v>
      </c>
      <c r="LBS1" t="s">
        <v>9750</v>
      </c>
      <c r="LBT1" t="s">
        <v>9751</v>
      </c>
      <c r="LBU1" t="s">
        <v>9752</v>
      </c>
      <c r="LBV1" t="s">
        <v>9753</v>
      </c>
      <c r="LBW1" t="s">
        <v>9754</v>
      </c>
      <c r="LBX1" t="s">
        <v>9755</v>
      </c>
      <c r="LBY1" t="s">
        <v>9756</v>
      </c>
      <c r="LBZ1" t="s">
        <v>9757</v>
      </c>
      <c r="LCA1" t="s">
        <v>9758</v>
      </c>
      <c r="LCB1" t="s">
        <v>9759</v>
      </c>
      <c r="LCC1" t="s">
        <v>9760</v>
      </c>
      <c r="LCD1" t="s">
        <v>9761</v>
      </c>
      <c r="LCE1" t="s">
        <v>9762</v>
      </c>
      <c r="LCF1" t="s">
        <v>9763</v>
      </c>
      <c r="LCG1" t="s">
        <v>9764</v>
      </c>
      <c r="LCH1" t="s">
        <v>9765</v>
      </c>
      <c r="LCI1" t="s">
        <v>9766</v>
      </c>
      <c r="LCJ1" t="s">
        <v>9767</v>
      </c>
      <c r="LCK1" t="s">
        <v>9768</v>
      </c>
      <c r="LCL1" t="s">
        <v>9769</v>
      </c>
      <c r="LCM1" t="s">
        <v>9770</v>
      </c>
      <c r="LCN1" t="s">
        <v>9771</v>
      </c>
      <c r="LCO1" t="s">
        <v>9772</v>
      </c>
      <c r="LCP1" t="s">
        <v>9773</v>
      </c>
      <c r="LCQ1" t="s">
        <v>9774</v>
      </c>
      <c r="LCR1" t="s">
        <v>9775</v>
      </c>
      <c r="LCS1" t="s">
        <v>9776</v>
      </c>
      <c r="LCT1" t="s">
        <v>9777</v>
      </c>
      <c r="LCU1" t="s">
        <v>9778</v>
      </c>
      <c r="LCV1" t="s">
        <v>9779</v>
      </c>
      <c r="LCW1" t="s">
        <v>9780</v>
      </c>
      <c r="LCX1" t="s">
        <v>9781</v>
      </c>
      <c r="LCY1" t="s">
        <v>9782</v>
      </c>
      <c r="LCZ1" t="s">
        <v>9783</v>
      </c>
      <c r="LDA1" t="s">
        <v>9784</v>
      </c>
      <c r="LDB1" t="s">
        <v>9785</v>
      </c>
      <c r="LDC1" t="s">
        <v>9786</v>
      </c>
      <c r="LDD1" t="s">
        <v>9787</v>
      </c>
      <c r="LDE1" t="s">
        <v>9788</v>
      </c>
      <c r="LDF1" t="s">
        <v>9789</v>
      </c>
      <c r="LDG1" t="s">
        <v>9790</v>
      </c>
      <c r="LDH1" t="s">
        <v>9791</v>
      </c>
      <c r="LDI1" t="s">
        <v>9792</v>
      </c>
      <c r="LDJ1" t="s">
        <v>9793</v>
      </c>
      <c r="LDK1" t="s">
        <v>9794</v>
      </c>
      <c r="LDL1" t="s">
        <v>9795</v>
      </c>
      <c r="LDM1" t="s">
        <v>9796</v>
      </c>
      <c r="LDN1" t="s">
        <v>9797</v>
      </c>
      <c r="LDO1" t="s">
        <v>9798</v>
      </c>
      <c r="LDP1" t="s">
        <v>9799</v>
      </c>
      <c r="LDQ1" t="s">
        <v>9800</v>
      </c>
      <c r="LDR1" t="s">
        <v>9801</v>
      </c>
      <c r="LDS1" t="s">
        <v>9802</v>
      </c>
      <c r="LDT1" t="s">
        <v>9803</v>
      </c>
      <c r="LDU1" t="s">
        <v>9804</v>
      </c>
      <c r="LDV1" t="s">
        <v>9805</v>
      </c>
      <c r="LDW1" t="s">
        <v>9806</v>
      </c>
      <c r="LDX1" t="s">
        <v>9807</v>
      </c>
      <c r="LDY1" t="s">
        <v>9808</v>
      </c>
      <c r="LDZ1" t="s">
        <v>9809</v>
      </c>
      <c r="LEA1" t="s">
        <v>9810</v>
      </c>
      <c r="LEB1" t="s">
        <v>9811</v>
      </c>
      <c r="LEC1" t="s">
        <v>9812</v>
      </c>
      <c r="LED1" t="s">
        <v>9813</v>
      </c>
      <c r="LEE1" t="s">
        <v>9814</v>
      </c>
      <c r="LEF1" t="s">
        <v>9815</v>
      </c>
      <c r="LEG1" t="s">
        <v>9816</v>
      </c>
      <c r="LEH1" t="s">
        <v>9817</v>
      </c>
      <c r="LEI1" t="s">
        <v>9818</v>
      </c>
      <c r="LEJ1" t="s">
        <v>9819</v>
      </c>
      <c r="LEK1" t="s">
        <v>9820</v>
      </c>
      <c r="LEL1" t="s">
        <v>9821</v>
      </c>
      <c r="LEM1" t="s">
        <v>9822</v>
      </c>
      <c r="LEN1" t="s">
        <v>9823</v>
      </c>
      <c r="LEO1" t="s">
        <v>9824</v>
      </c>
      <c r="LEP1" t="s">
        <v>9825</v>
      </c>
      <c r="LEQ1" t="s">
        <v>9826</v>
      </c>
      <c r="LER1" t="s">
        <v>9827</v>
      </c>
      <c r="LES1" t="s">
        <v>9828</v>
      </c>
      <c r="LET1" t="s">
        <v>9829</v>
      </c>
      <c r="LEU1" t="s">
        <v>9830</v>
      </c>
      <c r="LEV1" t="s">
        <v>9831</v>
      </c>
      <c r="LEW1" t="s">
        <v>9832</v>
      </c>
      <c r="LEX1" t="s">
        <v>9833</v>
      </c>
      <c r="LEY1" t="s">
        <v>9834</v>
      </c>
      <c r="LEZ1" t="s">
        <v>9835</v>
      </c>
      <c r="LFA1" t="s">
        <v>9836</v>
      </c>
      <c r="LFB1" t="s">
        <v>9837</v>
      </c>
      <c r="LFC1" t="s">
        <v>9838</v>
      </c>
      <c r="LFD1" t="s">
        <v>9839</v>
      </c>
      <c r="LFE1" t="s">
        <v>9840</v>
      </c>
      <c r="LFF1" t="s">
        <v>9841</v>
      </c>
      <c r="LFG1" t="s">
        <v>9842</v>
      </c>
      <c r="LFH1" t="s">
        <v>9843</v>
      </c>
      <c r="LFI1" t="s">
        <v>9844</v>
      </c>
      <c r="LFJ1" t="s">
        <v>9845</v>
      </c>
      <c r="LFK1" t="s">
        <v>9846</v>
      </c>
      <c r="LFL1" t="s">
        <v>9847</v>
      </c>
      <c r="LFM1" t="s">
        <v>9848</v>
      </c>
      <c r="LFN1" t="s">
        <v>9849</v>
      </c>
      <c r="LFO1" t="s">
        <v>9850</v>
      </c>
      <c r="LFP1" t="s">
        <v>9851</v>
      </c>
      <c r="LFQ1" t="s">
        <v>9852</v>
      </c>
      <c r="LFR1" t="s">
        <v>9853</v>
      </c>
      <c r="LFS1" t="s">
        <v>9854</v>
      </c>
      <c r="LFT1" t="s">
        <v>9855</v>
      </c>
      <c r="LFU1" t="s">
        <v>9856</v>
      </c>
      <c r="LFV1" t="s">
        <v>9857</v>
      </c>
      <c r="LFW1" t="s">
        <v>9858</v>
      </c>
      <c r="LFX1" t="s">
        <v>9859</v>
      </c>
      <c r="LFY1" t="s">
        <v>9860</v>
      </c>
      <c r="LFZ1" t="s">
        <v>9861</v>
      </c>
      <c r="LGA1" t="s">
        <v>9862</v>
      </c>
      <c r="LGB1" t="s">
        <v>9863</v>
      </c>
      <c r="LGC1" t="s">
        <v>9864</v>
      </c>
      <c r="LGD1" t="s">
        <v>9865</v>
      </c>
      <c r="LGE1" t="s">
        <v>9866</v>
      </c>
      <c r="LGF1" t="s">
        <v>9867</v>
      </c>
      <c r="LGG1" t="s">
        <v>9868</v>
      </c>
      <c r="LGH1" t="s">
        <v>9869</v>
      </c>
      <c r="LGI1" t="s">
        <v>9870</v>
      </c>
      <c r="LGJ1" t="s">
        <v>9871</v>
      </c>
      <c r="LGK1" t="s">
        <v>9872</v>
      </c>
      <c r="LGL1" t="s">
        <v>9873</v>
      </c>
      <c r="LGM1" t="s">
        <v>9874</v>
      </c>
      <c r="LGN1" t="s">
        <v>9875</v>
      </c>
      <c r="LGO1" t="s">
        <v>9876</v>
      </c>
      <c r="LGP1" t="s">
        <v>9877</v>
      </c>
      <c r="LGQ1" t="s">
        <v>9878</v>
      </c>
      <c r="LGR1" t="s">
        <v>9879</v>
      </c>
      <c r="LGS1" t="s">
        <v>9880</v>
      </c>
      <c r="LGT1" t="s">
        <v>9881</v>
      </c>
      <c r="LGU1" t="s">
        <v>9882</v>
      </c>
      <c r="LGV1" t="s">
        <v>9883</v>
      </c>
      <c r="LGW1" t="s">
        <v>9884</v>
      </c>
      <c r="LGX1" t="s">
        <v>9885</v>
      </c>
      <c r="LGY1" t="s">
        <v>9886</v>
      </c>
      <c r="LGZ1" t="s">
        <v>9887</v>
      </c>
      <c r="LHA1" t="s">
        <v>9888</v>
      </c>
      <c r="LHB1" t="s">
        <v>9889</v>
      </c>
      <c r="LHC1" t="s">
        <v>9890</v>
      </c>
      <c r="LHD1" t="s">
        <v>9891</v>
      </c>
      <c r="LHE1" t="s">
        <v>9892</v>
      </c>
      <c r="LHF1" t="s">
        <v>9893</v>
      </c>
      <c r="LHG1" t="s">
        <v>9894</v>
      </c>
      <c r="LHH1" t="s">
        <v>9895</v>
      </c>
      <c r="LHI1" t="s">
        <v>9896</v>
      </c>
      <c r="LHJ1" t="s">
        <v>9897</v>
      </c>
      <c r="LHK1" t="s">
        <v>9898</v>
      </c>
      <c r="LHL1" t="s">
        <v>9899</v>
      </c>
      <c r="LHM1" t="s">
        <v>9900</v>
      </c>
      <c r="LHN1" t="s">
        <v>9901</v>
      </c>
      <c r="LHO1" t="s">
        <v>9902</v>
      </c>
      <c r="LHP1" t="s">
        <v>9903</v>
      </c>
      <c r="LHQ1" t="s">
        <v>9904</v>
      </c>
      <c r="LHR1" t="s">
        <v>9905</v>
      </c>
      <c r="LHS1" t="s">
        <v>9906</v>
      </c>
      <c r="LHT1" t="s">
        <v>9907</v>
      </c>
      <c r="LHU1" t="s">
        <v>9908</v>
      </c>
      <c r="LHV1" t="s">
        <v>9909</v>
      </c>
      <c r="LHW1" t="s">
        <v>9910</v>
      </c>
      <c r="LHX1" t="s">
        <v>9911</v>
      </c>
      <c r="LHY1" t="s">
        <v>9912</v>
      </c>
      <c r="LHZ1" t="s">
        <v>9913</v>
      </c>
      <c r="LIA1" t="s">
        <v>9914</v>
      </c>
      <c r="LIB1" t="s">
        <v>9915</v>
      </c>
      <c r="LIC1" t="s">
        <v>9916</v>
      </c>
      <c r="LID1" t="s">
        <v>9917</v>
      </c>
      <c r="LIE1" t="s">
        <v>9918</v>
      </c>
      <c r="LIF1" t="s">
        <v>9919</v>
      </c>
      <c r="LIG1" t="s">
        <v>9920</v>
      </c>
      <c r="LIH1" t="s">
        <v>9921</v>
      </c>
      <c r="LII1" t="s">
        <v>9922</v>
      </c>
      <c r="LIJ1" t="s">
        <v>9923</v>
      </c>
      <c r="LIK1" t="s">
        <v>9924</v>
      </c>
      <c r="LIL1" t="s">
        <v>9925</v>
      </c>
      <c r="LIM1" t="s">
        <v>9926</v>
      </c>
      <c r="LIN1" t="s">
        <v>9927</v>
      </c>
      <c r="LIO1" t="s">
        <v>9928</v>
      </c>
      <c r="LIP1" t="s">
        <v>9929</v>
      </c>
      <c r="LIQ1" t="s">
        <v>9930</v>
      </c>
      <c r="LIR1" t="s">
        <v>9931</v>
      </c>
      <c r="LIS1" t="s">
        <v>9932</v>
      </c>
      <c r="LIT1" t="s">
        <v>9933</v>
      </c>
      <c r="LIU1" t="s">
        <v>9934</v>
      </c>
      <c r="LIV1" t="s">
        <v>9935</v>
      </c>
      <c r="LIW1" t="s">
        <v>9936</v>
      </c>
      <c r="LIX1" t="s">
        <v>9937</v>
      </c>
      <c r="LIY1" t="s">
        <v>9938</v>
      </c>
      <c r="LIZ1" t="s">
        <v>9939</v>
      </c>
      <c r="LJA1" t="s">
        <v>9940</v>
      </c>
      <c r="LJB1" t="s">
        <v>9941</v>
      </c>
      <c r="LJC1" t="s">
        <v>9942</v>
      </c>
      <c r="LJD1" t="s">
        <v>9943</v>
      </c>
      <c r="LJE1" t="s">
        <v>9944</v>
      </c>
      <c r="LJF1" t="s">
        <v>9945</v>
      </c>
      <c r="LJG1" t="s">
        <v>9946</v>
      </c>
      <c r="LJH1" t="s">
        <v>9947</v>
      </c>
      <c r="LJI1" t="s">
        <v>9948</v>
      </c>
      <c r="LJJ1" t="s">
        <v>9949</v>
      </c>
      <c r="LJK1" t="s">
        <v>9950</v>
      </c>
      <c r="LJL1" t="s">
        <v>9951</v>
      </c>
      <c r="LJM1" t="s">
        <v>9952</v>
      </c>
      <c r="LJN1" t="s">
        <v>9953</v>
      </c>
      <c r="LJO1" t="s">
        <v>9954</v>
      </c>
      <c r="LJP1" t="s">
        <v>9955</v>
      </c>
      <c r="LJQ1" t="s">
        <v>9956</v>
      </c>
      <c r="LJR1" t="s">
        <v>9957</v>
      </c>
      <c r="LJS1" t="s">
        <v>9958</v>
      </c>
      <c r="LJT1" t="s">
        <v>9959</v>
      </c>
      <c r="LJU1" t="s">
        <v>9960</v>
      </c>
      <c r="LJV1" t="s">
        <v>9961</v>
      </c>
      <c r="LJW1" t="s">
        <v>9962</v>
      </c>
      <c r="LJX1" t="s">
        <v>9963</v>
      </c>
      <c r="LJY1" t="s">
        <v>9964</v>
      </c>
      <c r="LJZ1" t="s">
        <v>9965</v>
      </c>
      <c r="LKA1" t="s">
        <v>9966</v>
      </c>
      <c r="LKB1" t="s">
        <v>9967</v>
      </c>
      <c r="LKC1" t="s">
        <v>9968</v>
      </c>
      <c r="LKD1" t="s">
        <v>9969</v>
      </c>
      <c r="LKE1" t="s">
        <v>9970</v>
      </c>
      <c r="LKF1" t="s">
        <v>9971</v>
      </c>
      <c r="LKG1" t="s">
        <v>9972</v>
      </c>
      <c r="LKH1" t="s">
        <v>9973</v>
      </c>
      <c r="LKI1" t="s">
        <v>9974</v>
      </c>
      <c r="LKJ1" t="s">
        <v>9975</v>
      </c>
      <c r="LKK1" t="s">
        <v>9976</v>
      </c>
      <c r="LKL1" t="s">
        <v>9977</v>
      </c>
      <c r="LKM1" t="s">
        <v>9978</v>
      </c>
      <c r="LKN1" t="s">
        <v>9979</v>
      </c>
      <c r="LKO1" t="s">
        <v>9980</v>
      </c>
      <c r="LKP1" t="s">
        <v>9981</v>
      </c>
      <c r="LKQ1" t="s">
        <v>9982</v>
      </c>
      <c r="LKR1" t="s">
        <v>9983</v>
      </c>
      <c r="LKS1" t="s">
        <v>9984</v>
      </c>
      <c r="LKT1" t="s">
        <v>9985</v>
      </c>
      <c r="LKU1" t="s">
        <v>9986</v>
      </c>
      <c r="LKV1" t="s">
        <v>9987</v>
      </c>
      <c r="LKW1" t="s">
        <v>9988</v>
      </c>
      <c r="LKX1" t="s">
        <v>9989</v>
      </c>
      <c r="LKY1" t="s">
        <v>9990</v>
      </c>
      <c r="LKZ1" t="s">
        <v>9991</v>
      </c>
      <c r="LLA1" t="s">
        <v>9992</v>
      </c>
      <c r="LLB1" t="s">
        <v>9993</v>
      </c>
      <c r="LLC1" t="s">
        <v>9994</v>
      </c>
      <c r="LLD1" t="s">
        <v>9995</v>
      </c>
      <c r="LLE1" t="s">
        <v>9996</v>
      </c>
      <c r="LLF1" t="s">
        <v>9997</v>
      </c>
      <c r="LLG1" t="s">
        <v>9998</v>
      </c>
      <c r="LLH1" t="s">
        <v>9999</v>
      </c>
      <c r="LLI1" t="s">
        <v>10000</v>
      </c>
      <c r="LLJ1" t="s">
        <v>10001</v>
      </c>
      <c r="LLK1" t="s">
        <v>10002</v>
      </c>
      <c r="LLL1" t="s">
        <v>10003</v>
      </c>
      <c r="LLM1" t="s">
        <v>10004</v>
      </c>
      <c r="LLN1" t="s">
        <v>10005</v>
      </c>
      <c r="LLO1" t="s">
        <v>10006</v>
      </c>
      <c r="LLP1" t="s">
        <v>10007</v>
      </c>
      <c r="LLQ1" t="s">
        <v>10008</v>
      </c>
      <c r="LLR1" t="s">
        <v>10009</v>
      </c>
      <c r="LLS1" t="s">
        <v>10010</v>
      </c>
      <c r="LLT1" t="s">
        <v>10011</v>
      </c>
      <c r="LLU1" t="s">
        <v>10012</v>
      </c>
      <c r="LLV1" t="s">
        <v>10013</v>
      </c>
      <c r="LLW1" t="s">
        <v>10014</v>
      </c>
      <c r="LLX1" t="s">
        <v>10015</v>
      </c>
      <c r="LLY1" t="s">
        <v>10016</v>
      </c>
      <c r="LLZ1" t="s">
        <v>10017</v>
      </c>
      <c r="LMA1" t="s">
        <v>10018</v>
      </c>
      <c r="LMB1" t="s">
        <v>10019</v>
      </c>
      <c r="LMC1" t="s">
        <v>10020</v>
      </c>
      <c r="LMD1" t="s">
        <v>10021</v>
      </c>
      <c r="LME1" t="s">
        <v>10022</v>
      </c>
      <c r="LMF1" t="s">
        <v>10023</v>
      </c>
      <c r="LMG1" t="s">
        <v>10024</v>
      </c>
      <c r="LMH1" t="s">
        <v>10025</v>
      </c>
      <c r="LMI1" t="s">
        <v>10026</v>
      </c>
      <c r="LMJ1" t="s">
        <v>10027</v>
      </c>
      <c r="LMK1" t="s">
        <v>10028</v>
      </c>
      <c r="LML1" t="s">
        <v>10029</v>
      </c>
      <c r="LMM1" t="s">
        <v>10030</v>
      </c>
      <c r="LMN1" t="s">
        <v>10031</v>
      </c>
      <c r="LMO1" t="s">
        <v>10032</v>
      </c>
      <c r="LMP1" t="s">
        <v>10033</v>
      </c>
      <c r="LMQ1" t="s">
        <v>10034</v>
      </c>
      <c r="LMR1" t="s">
        <v>10035</v>
      </c>
      <c r="LMS1" t="s">
        <v>10036</v>
      </c>
      <c r="LMT1" t="s">
        <v>10037</v>
      </c>
      <c r="LMU1" t="s">
        <v>10038</v>
      </c>
      <c r="LMV1" t="s">
        <v>10039</v>
      </c>
      <c r="LMW1" t="s">
        <v>10040</v>
      </c>
      <c r="LMX1" t="s">
        <v>10041</v>
      </c>
      <c r="LMY1" t="s">
        <v>10042</v>
      </c>
      <c r="LMZ1" t="s">
        <v>10043</v>
      </c>
      <c r="LNA1" t="s">
        <v>10044</v>
      </c>
      <c r="LNB1" t="s">
        <v>10045</v>
      </c>
      <c r="LNC1" t="s">
        <v>10046</v>
      </c>
      <c r="LND1" t="s">
        <v>10047</v>
      </c>
      <c r="LNE1" t="s">
        <v>10048</v>
      </c>
      <c r="LNF1" t="s">
        <v>10049</v>
      </c>
      <c r="LNG1" t="s">
        <v>10050</v>
      </c>
      <c r="LNH1" t="s">
        <v>10051</v>
      </c>
      <c r="LNI1" t="s">
        <v>10052</v>
      </c>
      <c r="LNJ1" t="s">
        <v>10053</v>
      </c>
      <c r="LNK1" t="s">
        <v>10054</v>
      </c>
      <c r="LNL1" t="s">
        <v>10055</v>
      </c>
      <c r="LNM1" t="s">
        <v>10056</v>
      </c>
      <c r="LNN1" t="s">
        <v>10057</v>
      </c>
      <c r="LNO1" t="s">
        <v>10058</v>
      </c>
      <c r="LNP1" t="s">
        <v>10059</v>
      </c>
      <c r="LNQ1" t="s">
        <v>10060</v>
      </c>
      <c r="LNR1" t="s">
        <v>10061</v>
      </c>
      <c r="LNS1" t="s">
        <v>10062</v>
      </c>
      <c r="LNT1" t="s">
        <v>10063</v>
      </c>
      <c r="LNU1" t="s">
        <v>10064</v>
      </c>
      <c r="LNV1" t="s">
        <v>10065</v>
      </c>
      <c r="LNW1" t="s">
        <v>10066</v>
      </c>
      <c r="LNX1" t="s">
        <v>10067</v>
      </c>
      <c r="LNY1" t="s">
        <v>10068</v>
      </c>
      <c r="LNZ1" t="s">
        <v>10069</v>
      </c>
      <c r="LOA1" t="s">
        <v>10070</v>
      </c>
      <c r="LOB1" t="s">
        <v>10071</v>
      </c>
      <c r="LOC1" t="s">
        <v>10072</v>
      </c>
      <c r="LOD1" t="s">
        <v>10073</v>
      </c>
      <c r="LOE1" t="s">
        <v>10074</v>
      </c>
      <c r="LOF1" t="s">
        <v>10075</v>
      </c>
      <c r="LOG1" t="s">
        <v>10076</v>
      </c>
      <c r="LOH1" t="s">
        <v>10077</v>
      </c>
      <c r="LOI1" t="s">
        <v>10078</v>
      </c>
      <c r="LOJ1" t="s">
        <v>10079</v>
      </c>
      <c r="LOK1" t="s">
        <v>10080</v>
      </c>
      <c r="LOL1" t="s">
        <v>10081</v>
      </c>
      <c r="LOM1" t="s">
        <v>10082</v>
      </c>
      <c r="LON1" t="s">
        <v>10083</v>
      </c>
      <c r="LOO1" t="s">
        <v>10084</v>
      </c>
      <c r="LOP1" t="s">
        <v>10085</v>
      </c>
      <c r="LOQ1" t="s">
        <v>10086</v>
      </c>
      <c r="LOR1" t="s">
        <v>10087</v>
      </c>
      <c r="LOS1" t="s">
        <v>10088</v>
      </c>
      <c r="LOT1" t="s">
        <v>10089</v>
      </c>
      <c r="LOU1" t="s">
        <v>10090</v>
      </c>
      <c r="LOV1" t="s">
        <v>10091</v>
      </c>
      <c r="LOW1" t="s">
        <v>10092</v>
      </c>
      <c r="LOX1" t="s">
        <v>10093</v>
      </c>
      <c r="LOY1" t="s">
        <v>10094</v>
      </c>
      <c r="LOZ1" t="s">
        <v>10095</v>
      </c>
      <c r="LPA1" t="s">
        <v>10096</v>
      </c>
      <c r="LPB1" t="s">
        <v>10097</v>
      </c>
      <c r="LPC1" t="s">
        <v>10098</v>
      </c>
      <c r="LPD1" t="s">
        <v>10099</v>
      </c>
      <c r="LPE1" t="s">
        <v>10100</v>
      </c>
      <c r="LPF1" t="s">
        <v>10101</v>
      </c>
      <c r="LPG1" t="s">
        <v>10102</v>
      </c>
      <c r="LPH1" t="s">
        <v>10103</v>
      </c>
      <c r="LPI1" t="s">
        <v>10104</v>
      </c>
      <c r="LPJ1" t="s">
        <v>10105</v>
      </c>
      <c r="LPK1" t="s">
        <v>10106</v>
      </c>
      <c r="LPL1" t="s">
        <v>10107</v>
      </c>
      <c r="LPM1" t="s">
        <v>10108</v>
      </c>
      <c r="LPN1" t="s">
        <v>10109</v>
      </c>
      <c r="LPO1" t="s">
        <v>10110</v>
      </c>
      <c r="LPP1" t="s">
        <v>10111</v>
      </c>
      <c r="LPQ1" t="s">
        <v>10112</v>
      </c>
      <c r="LPR1" t="s">
        <v>10113</v>
      </c>
      <c r="LPS1" t="s">
        <v>10114</v>
      </c>
      <c r="LPT1" t="s">
        <v>10115</v>
      </c>
      <c r="LPU1" t="s">
        <v>10116</v>
      </c>
      <c r="LPV1" t="s">
        <v>10117</v>
      </c>
      <c r="LPW1" t="s">
        <v>10118</v>
      </c>
      <c r="LPX1" t="s">
        <v>10119</v>
      </c>
      <c r="LPY1" t="s">
        <v>10120</v>
      </c>
      <c r="LPZ1" t="s">
        <v>10121</v>
      </c>
      <c r="LQA1" t="s">
        <v>10122</v>
      </c>
      <c r="LQB1" t="s">
        <v>10123</v>
      </c>
      <c r="LQC1" t="s">
        <v>10124</v>
      </c>
      <c r="LQD1" t="s">
        <v>10125</v>
      </c>
      <c r="LQE1" t="s">
        <v>10126</v>
      </c>
      <c r="LQF1" t="s">
        <v>10127</v>
      </c>
      <c r="LQG1" t="s">
        <v>10128</v>
      </c>
      <c r="LQH1" t="s">
        <v>10129</v>
      </c>
      <c r="LQI1" t="s">
        <v>10130</v>
      </c>
      <c r="LQJ1" t="s">
        <v>10131</v>
      </c>
      <c r="LQK1" t="s">
        <v>10132</v>
      </c>
      <c r="LQL1" t="s">
        <v>10133</v>
      </c>
      <c r="LQM1" t="s">
        <v>10134</v>
      </c>
      <c r="LQN1" t="s">
        <v>10135</v>
      </c>
      <c r="LQO1" t="s">
        <v>10136</v>
      </c>
      <c r="LQP1" t="s">
        <v>10137</v>
      </c>
      <c r="LQQ1" t="s">
        <v>10138</v>
      </c>
      <c r="LQR1" t="s">
        <v>10139</v>
      </c>
      <c r="LQS1" t="s">
        <v>10140</v>
      </c>
      <c r="LQT1" t="s">
        <v>10141</v>
      </c>
      <c r="LQU1" t="s">
        <v>10142</v>
      </c>
      <c r="LQV1" t="s">
        <v>10143</v>
      </c>
      <c r="LQW1" t="s">
        <v>10144</v>
      </c>
      <c r="LQX1" t="s">
        <v>10145</v>
      </c>
      <c r="LQY1" t="s">
        <v>10146</v>
      </c>
      <c r="LQZ1" t="s">
        <v>10147</v>
      </c>
      <c r="LRA1" t="s">
        <v>10148</v>
      </c>
      <c r="LRB1" t="s">
        <v>10149</v>
      </c>
      <c r="LRC1" t="s">
        <v>10150</v>
      </c>
      <c r="LRD1" t="s">
        <v>10151</v>
      </c>
      <c r="LRE1" t="s">
        <v>10152</v>
      </c>
      <c r="LRF1" t="s">
        <v>10153</v>
      </c>
      <c r="LRG1" t="s">
        <v>10154</v>
      </c>
      <c r="LRH1" t="s">
        <v>10155</v>
      </c>
      <c r="LRI1" t="s">
        <v>10156</v>
      </c>
      <c r="LRJ1" t="s">
        <v>10157</v>
      </c>
      <c r="LRK1" t="s">
        <v>10158</v>
      </c>
      <c r="LRL1" t="s">
        <v>10159</v>
      </c>
      <c r="LRM1" t="s">
        <v>10160</v>
      </c>
      <c r="LRN1" t="s">
        <v>10161</v>
      </c>
      <c r="LRO1" t="s">
        <v>10162</v>
      </c>
      <c r="LRP1" t="s">
        <v>10163</v>
      </c>
      <c r="LRQ1" t="s">
        <v>10164</v>
      </c>
      <c r="LRR1" t="s">
        <v>10165</v>
      </c>
      <c r="LRS1" t="s">
        <v>10166</v>
      </c>
      <c r="LRT1" t="s">
        <v>10167</v>
      </c>
      <c r="LRU1" t="s">
        <v>10168</v>
      </c>
      <c r="LRV1" t="s">
        <v>10169</v>
      </c>
      <c r="LRW1" t="s">
        <v>10170</v>
      </c>
      <c r="LRX1" t="s">
        <v>10171</v>
      </c>
      <c r="LRY1" t="s">
        <v>10172</v>
      </c>
      <c r="LRZ1" t="s">
        <v>10173</v>
      </c>
      <c r="LSA1" t="s">
        <v>10174</v>
      </c>
      <c r="LSB1" t="s">
        <v>10175</v>
      </c>
      <c r="LSC1" t="s">
        <v>10176</v>
      </c>
      <c r="LSD1" t="s">
        <v>10177</v>
      </c>
      <c r="LSE1" t="s">
        <v>10178</v>
      </c>
      <c r="LSF1" t="s">
        <v>10179</v>
      </c>
      <c r="LSG1" t="s">
        <v>10180</v>
      </c>
      <c r="LSH1" t="s">
        <v>10181</v>
      </c>
      <c r="LSI1" t="s">
        <v>10182</v>
      </c>
      <c r="LSJ1" t="s">
        <v>10183</v>
      </c>
      <c r="LSK1" t="s">
        <v>10184</v>
      </c>
      <c r="LSL1" t="s">
        <v>10185</v>
      </c>
      <c r="LSM1" t="s">
        <v>10186</v>
      </c>
      <c r="LSN1" t="s">
        <v>10187</v>
      </c>
      <c r="LSO1" t="s">
        <v>10188</v>
      </c>
      <c r="LSP1" t="s">
        <v>10189</v>
      </c>
      <c r="LSQ1" t="s">
        <v>10190</v>
      </c>
      <c r="LSR1" t="s">
        <v>10191</v>
      </c>
      <c r="LSS1" t="s">
        <v>10192</v>
      </c>
      <c r="LST1" t="s">
        <v>10193</v>
      </c>
      <c r="LSU1" t="s">
        <v>10194</v>
      </c>
      <c r="LSV1" t="s">
        <v>10195</v>
      </c>
      <c r="LSW1" t="s">
        <v>10196</v>
      </c>
      <c r="LSX1" t="s">
        <v>10197</v>
      </c>
      <c r="LSY1" t="s">
        <v>10198</v>
      </c>
      <c r="LSZ1" t="s">
        <v>10199</v>
      </c>
      <c r="LTA1" t="s">
        <v>10200</v>
      </c>
      <c r="LTB1" t="s">
        <v>10201</v>
      </c>
      <c r="LTC1" t="s">
        <v>10202</v>
      </c>
      <c r="LTD1" t="s">
        <v>10203</v>
      </c>
      <c r="LTE1" t="s">
        <v>10204</v>
      </c>
      <c r="LTF1" t="s">
        <v>10205</v>
      </c>
      <c r="LTG1" t="s">
        <v>10206</v>
      </c>
      <c r="LTH1" t="s">
        <v>10207</v>
      </c>
      <c r="LTI1" t="s">
        <v>10208</v>
      </c>
      <c r="LTJ1" t="s">
        <v>10209</v>
      </c>
      <c r="LTK1" t="s">
        <v>10210</v>
      </c>
      <c r="LTL1" t="s">
        <v>10211</v>
      </c>
      <c r="LTM1" t="s">
        <v>10212</v>
      </c>
      <c r="LTN1" t="s">
        <v>10213</v>
      </c>
      <c r="LTO1" t="s">
        <v>10214</v>
      </c>
      <c r="LTP1" t="s">
        <v>10215</v>
      </c>
      <c r="LTQ1" t="s">
        <v>10216</v>
      </c>
      <c r="LTR1" t="s">
        <v>10217</v>
      </c>
      <c r="LTS1" t="s">
        <v>10218</v>
      </c>
      <c r="LTT1" t="s">
        <v>10219</v>
      </c>
      <c r="LTU1" t="s">
        <v>10220</v>
      </c>
      <c r="LTV1" t="s">
        <v>10221</v>
      </c>
      <c r="LTW1" t="s">
        <v>10222</v>
      </c>
      <c r="LTX1" t="s">
        <v>10223</v>
      </c>
      <c r="LTY1" t="s">
        <v>10224</v>
      </c>
      <c r="LTZ1" t="s">
        <v>10225</v>
      </c>
      <c r="LUA1" t="s">
        <v>10226</v>
      </c>
      <c r="LUB1" t="s">
        <v>10227</v>
      </c>
      <c r="LUC1" t="s">
        <v>10228</v>
      </c>
      <c r="LUD1" t="s">
        <v>10229</v>
      </c>
      <c r="LUE1" t="s">
        <v>10230</v>
      </c>
      <c r="LUF1" t="s">
        <v>10231</v>
      </c>
      <c r="LUG1" t="s">
        <v>10232</v>
      </c>
      <c r="LUH1" t="s">
        <v>10233</v>
      </c>
      <c r="LUI1" t="s">
        <v>10234</v>
      </c>
      <c r="LUJ1" t="s">
        <v>10235</v>
      </c>
      <c r="LUK1" t="s">
        <v>10236</v>
      </c>
      <c r="LUL1" t="s">
        <v>10237</v>
      </c>
      <c r="LUM1" t="s">
        <v>10238</v>
      </c>
      <c r="LUN1" t="s">
        <v>10239</v>
      </c>
      <c r="LUO1" t="s">
        <v>10240</v>
      </c>
      <c r="LUP1" t="s">
        <v>10241</v>
      </c>
      <c r="LUQ1" t="s">
        <v>10242</v>
      </c>
      <c r="LUR1" t="s">
        <v>10243</v>
      </c>
      <c r="LUS1" t="s">
        <v>10244</v>
      </c>
      <c r="LUT1" t="s">
        <v>10245</v>
      </c>
      <c r="LUU1" t="s">
        <v>10246</v>
      </c>
      <c r="LUV1" t="s">
        <v>10247</v>
      </c>
      <c r="LUW1" t="s">
        <v>10248</v>
      </c>
      <c r="LUX1" t="s">
        <v>10249</v>
      </c>
      <c r="LUY1" t="s">
        <v>10250</v>
      </c>
      <c r="LUZ1" t="s">
        <v>10251</v>
      </c>
      <c r="LVA1" t="s">
        <v>10252</v>
      </c>
      <c r="LVB1" t="s">
        <v>10253</v>
      </c>
      <c r="LVC1" t="s">
        <v>10254</v>
      </c>
      <c r="LVD1" t="s">
        <v>10255</v>
      </c>
      <c r="LVE1" t="s">
        <v>10256</v>
      </c>
      <c r="LVF1" t="s">
        <v>10257</v>
      </c>
      <c r="LVG1" t="s">
        <v>10258</v>
      </c>
      <c r="LVH1" t="s">
        <v>10259</v>
      </c>
      <c r="LVI1" t="s">
        <v>10260</v>
      </c>
      <c r="LVJ1" t="s">
        <v>10261</v>
      </c>
      <c r="LVK1" t="s">
        <v>10262</v>
      </c>
      <c r="LVL1" t="s">
        <v>10263</v>
      </c>
      <c r="LVM1" t="s">
        <v>10264</v>
      </c>
      <c r="LVN1" t="s">
        <v>10265</v>
      </c>
      <c r="LVO1" t="s">
        <v>10266</v>
      </c>
      <c r="LVP1" t="s">
        <v>10267</v>
      </c>
      <c r="LVQ1" t="s">
        <v>10268</v>
      </c>
      <c r="LVR1" t="s">
        <v>10269</v>
      </c>
      <c r="LVS1" t="s">
        <v>10270</v>
      </c>
      <c r="LVT1" t="s">
        <v>10271</v>
      </c>
      <c r="LVU1" t="s">
        <v>10272</v>
      </c>
      <c r="LVV1" t="s">
        <v>10273</v>
      </c>
      <c r="LVW1" t="s">
        <v>10274</v>
      </c>
      <c r="LVX1" t="s">
        <v>10275</v>
      </c>
      <c r="LVY1" t="s">
        <v>10276</v>
      </c>
      <c r="LVZ1" t="s">
        <v>10277</v>
      </c>
      <c r="LWA1" t="s">
        <v>10278</v>
      </c>
      <c r="LWB1" t="s">
        <v>10279</v>
      </c>
      <c r="LWC1" t="s">
        <v>10280</v>
      </c>
      <c r="LWD1" t="s">
        <v>10281</v>
      </c>
      <c r="LWE1" t="s">
        <v>10282</v>
      </c>
      <c r="LWF1" t="s">
        <v>10283</v>
      </c>
      <c r="LWG1" t="s">
        <v>10284</v>
      </c>
      <c r="LWH1" t="s">
        <v>10285</v>
      </c>
      <c r="LWI1" t="s">
        <v>10286</v>
      </c>
      <c r="LWJ1" t="s">
        <v>10287</v>
      </c>
      <c r="LWK1" t="s">
        <v>10288</v>
      </c>
      <c r="LWL1" t="s">
        <v>10289</v>
      </c>
      <c r="LWM1" t="s">
        <v>10290</v>
      </c>
      <c r="LWN1" t="s">
        <v>10291</v>
      </c>
      <c r="LWO1" t="s">
        <v>10292</v>
      </c>
      <c r="LWP1" t="s">
        <v>10293</v>
      </c>
      <c r="LWQ1" t="s">
        <v>10294</v>
      </c>
      <c r="LWR1" t="s">
        <v>10295</v>
      </c>
      <c r="LWS1" t="s">
        <v>10296</v>
      </c>
      <c r="LWT1" t="s">
        <v>10297</v>
      </c>
      <c r="LWU1" t="s">
        <v>10298</v>
      </c>
      <c r="LWV1" t="s">
        <v>10299</v>
      </c>
      <c r="LWW1" t="s">
        <v>10300</v>
      </c>
      <c r="LWX1" t="s">
        <v>10301</v>
      </c>
      <c r="LWY1" t="s">
        <v>10302</v>
      </c>
      <c r="LWZ1" t="s">
        <v>10303</v>
      </c>
      <c r="LXA1" t="s">
        <v>10304</v>
      </c>
      <c r="LXB1" t="s">
        <v>10305</v>
      </c>
      <c r="LXC1" t="s">
        <v>10306</v>
      </c>
      <c r="LXD1" t="s">
        <v>10307</v>
      </c>
      <c r="LXE1" t="s">
        <v>10308</v>
      </c>
      <c r="LXF1" t="s">
        <v>10309</v>
      </c>
      <c r="LXG1" t="s">
        <v>10310</v>
      </c>
      <c r="LXH1" t="s">
        <v>10311</v>
      </c>
      <c r="LXI1" t="s">
        <v>10312</v>
      </c>
      <c r="LXJ1" t="s">
        <v>10313</v>
      </c>
      <c r="LXK1" t="s">
        <v>10314</v>
      </c>
      <c r="LXL1" t="s">
        <v>10315</v>
      </c>
      <c r="LXM1" t="s">
        <v>10316</v>
      </c>
      <c r="LXN1" t="s">
        <v>10317</v>
      </c>
      <c r="LXO1" t="s">
        <v>10318</v>
      </c>
      <c r="LXP1" t="s">
        <v>10319</v>
      </c>
      <c r="LXQ1" t="s">
        <v>10320</v>
      </c>
      <c r="LXR1" t="s">
        <v>10321</v>
      </c>
      <c r="LXS1" t="s">
        <v>10322</v>
      </c>
      <c r="LXT1" t="s">
        <v>10323</v>
      </c>
      <c r="LXU1" t="s">
        <v>10324</v>
      </c>
      <c r="LXV1" t="s">
        <v>10325</v>
      </c>
      <c r="LXW1" t="s">
        <v>10326</v>
      </c>
      <c r="LXX1" t="s">
        <v>10327</v>
      </c>
      <c r="LXY1" t="s">
        <v>10328</v>
      </c>
      <c r="LXZ1" t="s">
        <v>10329</v>
      </c>
      <c r="LYA1" t="s">
        <v>10330</v>
      </c>
      <c r="LYB1" t="s">
        <v>10331</v>
      </c>
      <c r="LYC1" t="s">
        <v>10332</v>
      </c>
      <c r="LYD1" t="s">
        <v>10333</v>
      </c>
      <c r="LYE1" t="s">
        <v>10334</v>
      </c>
      <c r="LYF1" t="s">
        <v>10335</v>
      </c>
      <c r="LYG1" t="s">
        <v>10336</v>
      </c>
      <c r="LYH1" t="s">
        <v>10337</v>
      </c>
      <c r="LYI1" t="s">
        <v>10338</v>
      </c>
      <c r="LYJ1" t="s">
        <v>10339</v>
      </c>
      <c r="LYK1" t="s">
        <v>10340</v>
      </c>
      <c r="LYL1" t="s">
        <v>10341</v>
      </c>
      <c r="LYM1" t="s">
        <v>10342</v>
      </c>
      <c r="LYN1" t="s">
        <v>10343</v>
      </c>
      <c r="LYO1" t="s">
        <v>10344</v>
      </c>
      <c r="LYP1" t="s">
        <v>10345</v>
      </c>
      <c r="LYQ1" t="s">
        <v>10346</v>
      </c>
      <c r="LYR1" t="s">
        <v>10347</v>
      </c>
      <c r="LYS1" t="s">
        <v>10348</v>
      </c>
      <c r="LYT1" t="s">
        <v>10349</v>
      </c>
      <c r="LYU1" t="s">
        <v>10350</v>
      </c>
      <c r="LYV1" t="s">
        <v>10351</v>
      </c>
      <c r="LYW1" t="s">
        <v>10352</v>
      </c>
      <c r="LYX1" t="s">
        <v>10353</v>
      </c>
      <c r="LYY1" t="s">
        <v>10354</v>
      </c>
      <c r="LYZ1" t="s">
        <v>10355</v>
      </c>
      <c r="LZA1" t="s">
        <v>10356</v>
      </c>
      <c r="LZB1" t="s">
        <v>10357</v>
      </c>
      <c r="LZC1" t="s">
        <v>10358</v>
      </c>
      <c r="LZD1" t="s">
        <v>10359</v>
      </c>
      <c r="LZE1" t="s">
        <v>10360</v>
      </c>
      <c r="LZF1" t="s">
        <v>10361</v>
      </c>
      <c r="LZG1" t="s">
        <v>10362</v>
      </c>
      <c r="LZH1" t="s">
        <v>10363</v>
      </c>
      <c r="LZI1" t="s">
        <v>10364</v>
      </c>
      <c r="LZJ1" t="s">
        <v>10365</v>
      </c>
      <c r="LZK1" t="s">
        <v>10366</v>
      </c>
      <c r="LZL1" t="s">
        <v>10367</v>
      </c>
      <c r="LZM1" t="s">
        <v>10368</v>
      </c>
      <c r="LZN1" t="s">
        <v>10369</v>
      </c>
      <c r="LZO1" t="s">
        <v>10370</v>
      </c>
      <c r="LZP1" t="s">
        <v>10371</v>
      </c>
      <c r="LZQ1" t="s">
        <v>10372</v>
      </c>
      <c r="LZR1" t="s">
        <v>10373</v>
      </c>
      <c r="LZS1" t="s">
        <v>10374</v>
      </c>
      <c r="LZT1" t="s">
        <v>10375</v>
      </c>
      <c r="LZU1" t="s">
        <v>10376</v>
      </c>
      <c r="LZV1" t="s">
        <v>10377</v>
      </c>
      <c r="LZW1" t="s">
        <v>10378</v>
      </c>
      <c r="LZX1" t="s">
        <v>10379</v>
      </c>
      <c r="LZY1" t="s">
        <v>10380</v>
      </c>
      <c r="LZZ1" t="s">
        <v>10381</v>
      </c>
      <c r="MAA1" t="s">
        <v>10382</v>
      </c>
      <c r="MAB1" t="s">
        <v>10383</v>
      </c>
      <c r="MAC1" t="s">
        <v>10384</v>
      </c>
      <c r="MAD1" t="s">
        <v>10385</v>
      </c>
      <c r="MAE1" t="s">
        <v>10386</v>
      </c>
      <c r="MAF1" t="s">
        <v>10387</v>
      </c>
      <c r="MAG1" t="s">
        <v>10388</v>
      </c>
      <c r="MAH1" t="s">
        <v>10389</v>
      </c>
      <c r="MAI1" t="s">
        <v>10390</v>
      </c>
      <c r="MAJ1" t="s">
        <v>10391</v>
      </c>
      <c r="MAK1" t="s">
        <v>10392</v>
      </c>
      <c r="MAL1" t="s">
        <v>10393</v>
      </c>
      <c r="MAM1" t="s">
        <v>10394</v>
      </c>
      <c r="MAN1" t="s">
        <v>10395</v>
      </c>
      <c r="MAO1" t="s">
        <v>10396</v>
      </c>
      <c r="MAP1" t="s">
        <v>10397</v>
      </c>
      <c r="MAQ1" t="s">
        <v>10398</v>
      </c>
      <c r="MAR1" t="s">
        <v>10399</v>
      </c>
      <c r="MAS1" t="s">
        <v>10400</v>
      </c>
      <c r="MAT1" t="s">
        <v>10401</v>
      </c>
      <c r="MAU1" t="s">
        <v>10402</v>
      </c>
      <c r="MAV1" t="s">
        <v>10403</v>
      </c>
      <c r="MAW1" t="s">
        <v>10404</v>
      </c>
      <c r="MAX1" t="s">
        <v>10405</v>
      </c>
      <c r="MAY1" t="s">
        <v>10406</v>
      </c>
      <c r="MAZ1" t="s">
        <v>10407</v>
      </c>
      <c r="MBA1" t="s">
        <v>10408</v>
      </c>
      <c r="MBB1" t="s">
        <v>10409</v>
      </c>
      <c r="MBC1" t="s">
        <v>10410</v>
      </c>
      <c r="MBD1" t="s">
        <v>10411</v>
      </c>
      <c r="MBE1" t="s">
        <v>10412</v>
      </c>
      <c r="MBF1" t="s">
        <v>10413</v>
      </c>
      <c r="MBG1" t="s">
        <v>10414</v>
      </c>
      <c r="MBH1" t="s">
        <v>10415</v>
      </c>
      <c r="MBI1" t="s">
        <v>10416</v>
      </c>
      <c r="MBJ1" t="s">
        <v>10417</v>
      </c>
      <c r="MBK1" t="s">
        <v>10418</v>
      </c>
      <c r="MBL1" t="s">
        <v>10419</v>
      </c>
      <c r="MBM1" t="s">
        <v>10420</v>
      </c>
      <c r="MBN1" t="s">
        <v>10421</v>
      </c>
      <c r="MBO1" t="s">
        <v>10422</v>
      </c>
      <c r="MBP1" t="s">
        <v>10423</v>
      </c>
      <c r="MBQ1" t="s">
        <v>10424</v>
      </c>
      <c r="MBR1" t="s">
        <v>10425</v>
      </c>
      <c r="MBS1" t="s">
        <v>10426</v>
      </c>
      <c r="MBT1" t="s">
        <v>10427</v>
      </c>
      <c r="MBU1" t="s">
        <v>10428</v>
      </c>
      <c r="MBV1" t="s">
        <v>10429</v>
      </c>
      <c r="MBW1" t="s">
        <v>10430</v>
      </c>
      <c r="MBX1" t="s">
        <v>10431</v>
      </c>
      <c r="MBY1" t="s">
        <v>10432</v>
      </c>
      <c r="MBZ1" t="s">
        <v>10433</v>
      </c>
      <c r="MCA1" t="s">
        <v>10434</v>
      </c>
      <c r="MCB1" t="s">
        <v>10435</v>
      </c>
      <c r="MCC1" t="s">
        <v>10436</v>
      </c>
      <c r="MCD1" t="s">
        <v>10437</v>
      </c>
      <c r="MCE1" t="s">
        <v>10438</v>
      </c>
      <c r="MCF1" t="s">
        <v>10439</v>
      </c>
      <c r="MCG1" t="s">
        <v>10440</v>
      </c>
      <c r="MCH1" t="s">
        <v>10441</v>
      </c>
      <c r="MCI1" t="s">
        <v>10442</v>
      </c>
      <c r="MCJ1" t="s">
        <v>10443</v>
      </c>
      <c r="MCK1" t="s">
        <v>10444</v>
      </c>
      <c r="MCL1" t="s">
        <v>10445</v>
      </c>
      <c r="MCM1" t="s">
        <v>10446</v>
      </c>
      <c r="MCN1" t="s">
        <v>10447</v>
      </c>
      <c r="MCO1" t="s">
        <v>10448</v>
      </c>
      <c r="MCP1" t="s">
        <v>10449</v>
      </c>
      <c r="MCQ1" t="s">
        <v>10450</v>
      </c>
      <c r="MCR1" t="s">
        <v>10451</v>
      </c>
      <c r="MCS1" t="s">
        <v>10452</v>
      </c>
      <c r="MCT1" t="s">
        <v>10453</v>
      </c>
      <c r="MCU1" t="s">
        <v>10454</v>
      </c>
      <c r="MCV1" t="s">
        <v>10455</v>
      </c>
      <c r="MCW1" t="s">
        <v>10456</v>
      </c>
      <c r="MCX1" t="s">
        <v>10457</v>
      </c>
      <c r="MCY1" t="s">
        <v>10458</v>
      </c>
      <c r="MCZ1" t="s">
        <v>10459</v>
      </c>
      <c r="MDA1" t="s">
        <v>10460</v>
      </c>
      <c r="MDB1" t="s">
        <v>10461</v>
      </c>
      <c r="MDC1" t="s">
        <v>10462</v>
      </c>
      <c r="MDD1" t="s">
        <v>10463</v>
      </c>
      <c r="MDE1" t="s">
        <v>10464</v>
      </c>
      <c r="MDF1" t="s">
        <v>10465</v>
      </c>
      <c r="MDG1" t="s">
        <v>10466</v>
      </c>
      <c r="MDH1" t="s">
        <v>10467</v>
      </c>
      <c r="MDI1" t="s">
        <v>10468</v>
      </c>
      <c r="MDJ1" t="s">
        <v>10469</v>
      </c>
      <c r="MDK1" t="s">
        <v>10470</v>
      </c>
      <c r="MDL1" t="s">
        <v>10471</v>
      </c>
      <c r="MDM1" t="s">
        <v>10472</v>
      </c>
      <c r="MDN1" t="s">
        <v>10473</v>
      </c>
      <c r="MDO1" t="s">
        <v>10474</v>
      </c>
      <c r="MDP1" t="s">
        <v>10475</v>
      </c>
      <c r="MDQ1" t="s">
        <v>10476</v>
      </c>
      <c r="MDR1" t="s">
        <v>10477</v>
      </c>
      <c r="MDS1" t="s">
        <v>10478</v>
      </c>
      <c r="MDT1" t="s">
        <v>10479</v>
      </c>
      <c r="MDU1" t="s">
        <v>10480</v>
      </c>
      <c r="MDV1" t="s">
        <v>10481</v>
      </c>
      <c r="MDW1" t="s">
        <v>10482</v>
      </c>
      <c r="MDX1" t="s">
        <v>10483</v>
      </c>
      <c r="MDY1" t="s">
        <v>10484</v>
      </c>
      <c r="MDZ1" t="s">
        <v>10485</v>
      </c>
      <c r="MEA1" t="s">
        <v>10486</v>
      </c>
      <c r="MEB1" t="s">
        <v>10487</v>
      </c>
      <c r="MEC1" t="s">
        <v>10488</v>
      </c>
      <c r="MED1" t="s">
        <v>10489</v>
      </c>
      <c r="MEE1" t="s">
        <v>10490</v>
      </c>
      <c r="MEF1" t="s">
        <v>10491</v>
      </c>
      <c r="MEG1" t="s">
        <v>10492</v>
      </c>
      <c r="MEH1" t="s">
        <v>10493</v>
      </c>
      <c r="MEI1" t="s">
        <v>10494</v>
      </c>
      <c r="MEJ1" t="s">
        <v>10495</v>
      </c>
      <c r="MEK1" t="s">
        <v>10496</v>
      </c>
      <c r="MEL1" t="s">
        <v>10497</v>
      </c>
      <c r="MEM1" t="s">
        <v>10498</v>
      </c>
      <c r="MEN1" t="s">
        <v>10499</v>
      </c>
      <c r="MEO1" t="s">
        <v>10500</v>
      </c>
      <c r="MEP1" t="s">
        <v>10501</v>
      </c>
      <c r="MEQ1" t="s">
        <v>10502</v>
      </c>
      <c r="MER1" t="s">
        <v>10503</v>
      </c>
      <c r="MES1" t="s">
        <v>10504</v>
      </c>
      <c r="MET1" t="s">
        <v>10505</v>
      </c>
      <c r="MEU1" t="s">
        <v>10506</v>
      </c>
      <c r="MEV1" t="s">
        <v>10507</v>
      </c>
      <c r="MEW1" t="s">
        <v>10508</v>
      </c>
      <c r="MEX1" t="s">
        <v>10509</v>
      </c>
      <c r="MEY1" t="s">
        <v>10510</v>
      </c>
      <c r="MEZ1" t="s">
        <v>10511</v>
      </c>
      <c r="MFA1" t="s">
        <v>10512</v>
      </c>
      <c r="MFB1" t="s">
        <v>10513</v>
      </c>
      <c r="MFC1" t="s">
        <v>10514</v>
      </c>
      <c r="MFD1" t="s">
        <v>10515</v>
      </c>
      <c r="MFE1" t="s">
        <v>10516</v>
      </c>
      <c r="MFF1" t="s">
        <v>10517</v>
      </c>
      <c r="MFG1" t="s">
        <v>10518</v>
      </c>
      <c r="MFH1" t="s">
        <v>10519</v>
      </c>
      <c r="MFI1" t="s">
        <v>10520</v>
      </c>
      <c r="MFJ1" t="s">
        <v>10521</v>
      </c>
      <c r="MFK1" t="s">
        <v>10522</v>
      </c>
      <c r="MFL1" t="s">
        <v>10523</v>
      </c>
      <c r="MFM1" t="s">
        <v>10524</v>
      </c>
      <c r="MFN1" t="s">
        <v>10525</v>
      </c>
      <c r="MFO1" t="s">
        <v>10526</v>
      </c>
      <c r="MFP1" t="s">
        <v>10527</v>
      </c>
      <c r="MFQ1" t="s">
        <v>10528</v>
      </c>
      <c r="MFR1" t="s">
        <v>10529</v>
      </c>
      <c r="MFS1" t="s">
        <v>10530</v>
      </c>
      <c r="MFT1" t="s">
        <v>10531</v>
      </c>
      <c r="MFU1" t="s">
        <v>10532</v>
      </c>
      <c r="MFV1" t="s">
        <v>10533</v>
      </c>
      <c r="MFW1" t="s">
        <v>10534</v>
      </c>
      <c r="MFX1" t="s">
        <v>10535</v>
      </c>
      <c r="MFY1" t="s">
        <v>10536</v>
      </c>
      <c r="MFZ1" t="s">
        <v>10537</v>
      </c>
      <c r="MGA1" t="s">
        <v>10538</v>
      </c>
      <c r="MGB1" t="s">
        <v>10539</v>
      </c>
      <c r="MGC1" t="s">
        <v>10540</v>
      </c>
      <c r="MGD1" t="s">
        <v>10541</v>
      </c>
      <c r="MGE1" t="s">
        <v>10542</v>
      </c>
      <c r="MGF1" t="s">
        <v>10543</v>
      </c>
      <c r="MGG1" t="s">
        <v>10544</v>
      </c>
      <c r="MGH1" t="s">
        <v>10545</v>
      </c>
      <c r="MGI1" t="s">
        <v>10546</v>
      </c>
      <c r="MGJ1" t="s">
        <v>10547</v>
      </c>
      <c r="MGK1" t="s">
        <v>10548</v>
      </c>
      <c r="MGL1" t="s">
        <v>10549</v>
      </c>
      <c r="MGM1" t="s">
        <v>10550</v>
      </c>
      <c r="MGN1" t="s">
        <v>10551</v>
      </c>
      <c r="MGO1" t="s">
        <v>10552</v>
      </c>
      <c r="MGP1" t="s">
        <v>10553</v>
      </c>
      <c r="MGQ1" t="s">
        <v>10554</v>
      </c>
      <c r="MGR1" t="s">
        <v>10555</v>
      </c>
      <c r="MGS1" t="s">
        <v>10556</v>
      </c>
      <c r="MGT1" t="s">
        <v>10557</v>
      </c>
      <c r="MGU1" t="s">
        <v>10558</v>
      </c>
      <c r="MGV1" t="s">
        <v>10559</v>
      </c>
      <c r="MGW1" t="s">
        <v>10560</v>
      </c>
      <c r="MGX1" t="s">
        <v>10561</v>
      </c>
      <c r="MGY1" t="s">
        <v>10562</v>
      </c>
      <c r="MGZ1" t="s">
        <v>10563</v>
      </c>
      <c r="MHA1" t="s">
        <v>10564</v>
      </c>
      <c r="MHB1" t="s">
        <v>10565</v>
      </c>
      <c r="MHC1" t="s">
        <v>10566</v>
      </c>
      <c r="MHD1" t="s">
        <v>10567</v>
      </c>
      <c r="MHE1" t="s">
        <v>10568</v>
      </c>
      <c r="MHF1" t="s">
        <v>10569</v>
      </c>
      <c r="MHG1" t="s">
        <v>10570</v>
      </c>
      <c r="MHH1" t="s">
        <v>10571</v>
      </c>
      <c r="MHI1" t="s">
        <v>10572</v>
      </c>
      <c r="MHJ1" t="s">
        <v>10573</v>
      </c>
      <c r="MHK1" t="s">
        <v>10574</v>
      </c>
      <c r="MHL1" t="s">
        <v>10575</v>
      </c>
      <c r="MHM1" t="s">
        <v>10576</v>
      </c>
      <c r="MHN1" t="s">
        <v>10577</v>
      </c>
      <c r="MHO1" t="s">
        <v>10578</v>
      </c>
      <c r="MHP1" t="s">
        <v>10579</v>
      </c>
      <c r="MHQ1" t="s">
        <v>10580</v>
      </c>
      <c r="MHR1" t="s">
        <v>10581</v>
      </c>
      <c r="MHS1" t="s">
        <v>10582</v>
      </c>
      <c r="MHT1" t="s">
        <v>10583</v>
      </c>
      <c r="MHU1" t="s">
        <v>10584</v>
      </c>
      <c r="MHV1" t="s">
        <v>10585</v>
      </c>
      <c r="MHW1" t="s">
        <v>10586</v>
      </c>
      <c r="MHX1" t="s">
        <v>10587</v>
      </c>
      <c r="MHY1" t="s">
        <v>10588</v>
      </c>
      <c r="MHZ1" t="s">
        <v>10589</v>
      </c>
      <c r="MIA1" t="s">
        <v>10590</v>
      </c>
      <c r="MIB1" t="s">
        <v>10591</v>
      </c>
      <c r="MIC1" t="s">
        <v>10592</v>
      </c>
      <c r="MID1" t="s">
        <v>10593</v>
      </c>
      <c r="MIE1" t="s">
        <v>10594</v>
      </c>
      <c r="MIF1" t="s">
        <v>10595</v>
      </c>
      <c r="MIG1" t="s">
        <v>10596</v>
      </c>
      <c r="MIH1" t="s">
        <v>10597</v>
      </c>
      <c r="MII1" t="s">
        <v>10598</v>
      </c>
      <c r="MIJ1" t="s">
        <v>10599</v>
      </c>
      <c r="MIK1" t="s">
        <v>10600</v>
      </c>
      <c r="MIL1" t="s">
        <v>10601</v>
      </c>
      <c r="MIM1" t="s">
        <v>10602</v>
      </c>
      <c r="MIN1" t="s">
        <v>10603</v>
      </c>
      <c r="MIO1" t="s">
        <v>10604</v>
      </c>
      <c r="MIP1" t="s">
        <v>10605</v>
      </c>
      <c r="MIQ1" t="s">
        <v>10606</v>
      </c>
      <c r="MIR1" t="s">
        <v>10607</v>
      </c>
      <c r="MIS1" t="s">
        <v>10608</v>
      </c>
      <c r="MIT1" t="s">
        <v>10609</v>
      </c>
      <c r="MIU1" t="s">
        <v>10610</v>
      </c>
      <c r="MIV1" t="s">
        <v>10611</v>
      </c>
      <c r="MIW1" t="s">
        <v>10612</v>
      </c>
      <c r="MIX1" t="s">
        <v>10613</v>
      </c>
      <c r="MIY1" t="s">
        <v>10614</v>
      </c>
      <c r="MIZ1" t="s">
        <v>10615</v>
      </c>
      <c r="MJA1" t="s">
        <v>10616</v>
      </c>
      <c r="MJB1" t="s">
        <v>10617</v>
      </c>
      <c r="MJC1" t="s">
        <v>10618</v>
      </c>
      <c r="MJD1" t="s">
        <v>10619</v>
      </c>
      <c r="MJE1" t="s">
        <v>10620</v>
      </c>
      <c r="MJF1" t="s">
        <v>10621</v>
      </c>
      <c r="MJG1" t="s">
        <v>10622</v>
      </c>
      <c r="MJH1" t="s">
        <v>10623</v>
      </c>
      <c r="MJI1" t="s">
        <v>10624</v>
      </c>
      <c r="MJJ1" t="s">
        <v>10625</v>
      </c>
      <c r="MJK1" t="s">
        <v>10626</v>
      </c>
      <c r="MJL1" t="s">
        <v>10627</v>
      </c>
      <c r="MJM1" t="s">
        <v>10628</v>
      </c>
      <c r="MJN1" t="s">
        <v>10629</v>
      </c>
      <c r="MJO1" t="s">
        <v>10630</v>
      </c>
      <c r="MJP1" t="s">
        <v>10631</v>
      </c>
      <c r="MJQ1" t="s">
        <v>10632</v>
      </c>
      <c r="MJR1" t="s">
        <v>10633</v>
      </c>
      <c r="MJS1" t="s">
        <v>10634</v>
      </c>
      <c r="MJT1" t="s">
        <v>10635</v>
      </c>
      <c r="MJU1" t="s">
        <v>10636</v>
      </c>
      <c r="MJV1" t="s">
        <v>10637</v>
      </c>
      <c r="MJW1" t="s">
        <v>10638</v>
      </c>
      <c r="MJX1" t="s">
        <v>10639</v>
      </c>
      <c r="MJY1" t="s">
        <v>10640</v>
      </c>
      <c r="MJZ1" t="s">
        <v>10641</v>
      </c>
      <c r="MKA1" t="s">
        <v>10642</v>
      </c>
      <c r="MKB1" t="s">
        <v>10643</v>
      </c>
      <c r="MKC1" t="s">
        <v>10644</v>
      </c>
      <c r="MKD1" t="s">
        <v>10645</v>
      </c>
      <c r="MKE1" t="s">
        <v>10646</v>
      </c>
      <c r="MKF1" t="s">
        <v>10647</v>
      </c>
      <c r="MKG1" t="s">
        <v>10648</v>
      </c>
      <c r="MKH1" t="s">
        <v>10649</v>
      </c>
      <c r="MKI1" t="s">
        <v>10650</v>
      </c>
      <c r="MKJ1" t="s">
        <v>10651</v>
      </c>
      <c r="MKK1" t="s">
        <v>10652</v>
      </c>
      <c r="MKL1" t="s">
        <v>10653</v>
      </c>
      <c r="MKM1" t="s">
        <v>10654</v>
      </c>
      <c r="MKN1" t="s">
        <v>10655</v>
      </c>
      <c r="MKO1" t="s">
        <v>10656</v>
      </c>
      <c r="MKP1" t="s">
        <v>10657</v>
      </c>
      <c r="MKQ1" t="s">
        <v>10658</v>
      </c>
      <c r="MKR1" t="s">
        <v>10659</v>
      </c>
      <c r="MKS1" t="s">
        <v>10660</v>
      </c>
      <c r="MKT1" t="s">
        <v>10661</v>
      </c>
      <c r="MKU1" t="s">
        <v>10662</v>
      </c>
      <c r="MKV1" t="s">
        <v>10663</v>
      </c>
      <c r="MKW1" t="s">
        <v>10664</v>
      </c>
      <c r="MKX1" t="s">
        <v>10665</v>
      </c>
      <c r="MKY1" t="s">
        <v>10666</v>
      </c>
      <c r="MKZ1" t="s">
        <v>10667</v>
      </c>
      <c r="MLA1" t="s">
        <v>10668</v>
      </c>
      <c r="MLB1" t="s">
        <v>10669</v>
      </c>
      <c r="MLC1" t="s">
        <v>10670</v>
      </c>
      <c r="MLD1" t="s">
        <v>10671</v>
      </c>
      <c r="MLE1" t="s">
        <v>10672</v>
      </c>
      <c r="MLF1" t="s">
        <v>10673</v>
      </c>
      <c r="MLG1" t="s">
        <v>10674</v>
      </c>
      <c r="MLH1" t="s">
        <v>10675</v>
      </c>
      <c r="MLI1" t="s">
        <v>10676</v>
      </c>
      <c r="MLJ1" t="s">
        <v>10677</v>
      </c>
      <c r="MLK1" t="s">
        <v>10678</v>
      </c>
      <c r="MLL1" t="s">
        <v>10679</v>
      </c>
      <c r="MLM1" t="s">
        <v>10680</v>
      </c>
      <c r="MLN1" t="s">
        <v>10681</v>
      </c>
      <c r="MLO1" t="s">
        <v>10682</v>
      </c>
      <c r="MLP1" t="s">
        <v>10683</v>
      </c>
      <c r="MLQ1" t="s">
        <v>10684</v>
      </c>
      <c r="MLR1" t="s">
        <v>10685</v>
      </c>
      <c r="MLS1" t="s">
        <v>10686</v>
      </c>
      <c r="MLT1" t="s">
        <v>10687</v>
      </c>
      <c r="MLU1" t="s">
        <v>10688</v>
      </c>
      <c r="MLV1" t="s">
        <v>10689</v>
      </c>
      <c r="MLW1" t="s">
        <v>10690</v>
      </c>
      <c r="MLX1" t="s">
        <v>10691</v>
      </c>
      <c r="MLY1" t="s">
        <v>10692</v>
      </c>
      <c r="MLZ1" t="s">
        <v>10693</v>
      </c>
      <c r="MMA1" t="s">
        <v>10694</v>
      </c>
      <c r="MMB1" t="s">
        <v>10695</v>
      </c>
      <c r="MMC1" t="s">
        <v>10696</v>
      </c>
      <c r="MMD1" t="s">
        <v>10697</v>
      </c>
      <c r="MME1" t="s">
        <v>10698</v>
      </c>
      <c r="MMF1" t="s">
        <v>10699</v>
      </c>
      <c r="MMG1" t="s">
        <v>10700</v>
      </c>
      <c r="MMH1" t="s">
        <v>10701</v>
      </c>
      <c r="MMI1" t="s">
        <v>10702</v>
      </c>
      <c r="MMJ1" t="s">
        <v>10703</v>
      </c>
      <c r="MMK1" t="s">
        <v>10704</v>
      </c>
      <c r="MML1" t="s">
        <v>10705</v>
      </c>
      <c r="MMM1" t="s">
        <v>10706</v>
      </c>
      <c r="MMN1" t="s">
        <v>10707</v>
      </c>
      <c r="MMO1" t="s">
        <v>10708</v>
      </c>
      <c r="MMP1" t="s">
        <v>10709</v>
      </c>
      <c r="MMQ1" t="s">
        <v>10710</v>
      </c>
      <c r="MMR1" t="s">
        <v>10711</v>
      </c>
      <c r="MMS1" t="s">
        <v>10712</v>
      </c>
      <c r="MMT1" t="s">
        <v>10713</v>
      </c>
      <c r="MMU1" t="s">
        <v>10714</v>
      </c>
      <c r="MMV1" t="s">
        <v>10715</v>
      </c>
      <c r="MMW1" t="s">
        <v>10716</v>
      </c>
      <c r="MMX1" t="s">
        <v>10717</v>
      </c>
      <c r="MMY1" t="s">
        <v>10718</v>
      </c>
      <c r="MMZ1" t="s">
        <v>10719</v>
      </c>
      <c r="MNA1" t="s">
        <v>10720</v>
      </c>
      <c r="MNB1" t="s">
        <v>10721</v>
      </c>
      <c r="MNC1" t="s">
        <v>10722</v>
      </c>
      <c r="MND1" t="s">
        <v>10723</v>
      </c>
      <c r="MNE1" t="s">
        <v>10724</v>
      </c>
      <c r="MNF1" t="s">
        <v>10725</v>
      </c>
      <c r="MNG1" t="s">
        <v>10726</v>
      </c>
      <c r="MNH1" t="s">
        <v>10727</v>
      </c>
      <c r="MNI1" t="s">
        <v>10728</v>
      </c>
      <c r="MNJ1" t="s">
        <v>10729</v>
      </c>
      <c r="MNK1" t="s">
        <v>10730</v>
      </c>
      <c r="MNL1" t="s">
        <v>10731</v>
      </c>
      <c r="MNM1" t="s">
        <v>10732</v>
      </c>
      <c r="MNN1" t="s">
        <v>10733</v>
      </c>
      <c r="MNO1" t="s">
        <v>10734</v>
      </c>
      <c r="MNP1" t="s">
        <v>10735</v>
      </c>
      <c r="MNQ1" t="s">
        <v>10736</v>
      </c>
      <c r="MNR1" t="s">
        <v>10737</v>
      </c>
      <c r="MNS1" t="s">
        <v>10738</v>
      </c>
      <c r="MNT1" t="s">
        <v>10739</v>
      </c>
      <c r="MNU1" t="s">
        <v>10740</v>
      </c>
      <c r="MNV1" t="s">
        <v>10741</v>
      </c>
      <c r="MNW1" t="s">
        <v>10742</v>
      </c>
      <c r="MNX1" t="s">
        <v>10743</v>
      </c>
      <c r="MNY1" t="s">
        <v>10744</v>
      </c>
      <c r="MNZ1" t="s">
        <v>10745</v>
      </c>
      <c r="MOA1" t="s">
        <v>10746</v>
      </c>
      <c r="MOB1" t="s">
        <v>10747</v>
      </c>
      <c r="MOC1" t="s">
        <v>10748</v>
      </c>
      <c r="MOD1" t="s">
        <v>10749</v>
      </c>
      <c r="MOE1" t="s">
        <v>10750</v>
      </c>
      <c r="MOF1" t="s">
        <v>10751</v>
      </c>
      <c r="MOG1" t="s">
        <v>10752</v>
      </c>
      <c r="MOH1" t="s">
        <v>10753</v>
      </c>
      <c r="MOI1" t="s">
        <v>10754</v>
      </c>
      <c r="MOJ1" t="s">
        <v>10755</v>
      </c>
      <c r="MOK1" t="s">
        <v>10756</v>
      </c>
      <c r="MOL1" t="s">
        <v>10757</v>
      </c>
      <c r="MOM1" t="s">
        <v>10758</v>
      </c>
      <c r="MON1" t="s">
        <v>10759</v>
      </c>
      <c r="MOO1" t="s">
        <v>10760</v>
      </c>
      <c r="MOP1" t="s">
        <v>10761</v>
      </c>
      <c r="MOQ1" t="s">
        <v>10762</v>
      </c>
      <c r="MOR1" t="s">
        <v>10763</v>
      </c>
      <c r="MOS1" t="s">
        <v>10764</v>
      </c>
      <c r="MOT1" t="s">
        <v>10765</v>
      </c>
      <c r="MOU1" t="s">
        <v>10766</v>
      </c>
      <c r="MOV1" t="s">
        <v>10767</v>
      </c>
      <c r="MOW1" t="s">
        <v>10768</v>
      </c>
      <c r="MOX1" t="s">
        <v>10769</v>
      </c>
      <c r="MOY1" t="s">
        <v>10770</v>
      </c>
      <c r="MOZ1" t="s">
        <v>10771</v>
      </c>
      <c r="MPA1" t="s">
        <v>10772</v>
      </c>
      <c r="MPB1" t="s">
        <v>10773</v>
      </c>
      <c r="MPC1" t="s">
        <v>10774</v>
      </c>
      <c r="MPD1" t="s">
        <v>10775</v>
      </c>
      <c r="MPE1" t="s">
        <v>10776</v>
      </c>
      <c r="MPF1" t="s">
        <v>10777</v>
      </c>
      <c r="MPG1" t="s">
        <v>10778</v>
      </c>
      <c r="MPH1" t="s">
        <v>10779</v>
      </c>
      <c r="MPI1" t="s">
        <v>10780</v>
      </c>
      <c r="MPJ1" t="s">
        <v>10781</v>
      </c>
      <c r="MPK1" t="s">
        <v>10782</v>
      </c>
      <c r="MPL1" t="s">
        <v>10783</v>
      </c>
      <c r="MPM1" t="s">
        <v>10784</v>
      </c>
      <c r="MPN1" t="s">
        <v>10785</v>
      </c>
      <c r="MPO1" t="s">
        <v>10786</v>
      </c>
      <c r="MPP1" t="s">
        <v>10787</v>
      </c>
      <c r="MPQ1" t="s">
        <v>10788</v>
      </c>
      <c r="MPR1" t="s">
        <v>10789</v>
      </c>
      <c r="MPS1" t="s">
        <v>10790</v>
      </c>
      <c r="MPT1" t="s">
        <v>10791</v>
      </c>
      <c r="MPU1" t="s">
        <v>10792</v>
      </c>
      <c r="MPV1" t="s">
        <v>10793</v>
      </c>
      <c r="MPW1" t="s">
        <v>10794</v>
      </c>
      <c r="MPX1" t="s">
        <v>10795</v>
      </c>
      <c r="MPY1" t="s">
        <v>10796</v>
      </c>
      <c r="MPZ1" t="s">
        <v>10797</v>
      </c>
      <c r="MQA1" t="s">
        <v>10798</v>
      </c>
      <c r="MQB1" t="s">
        <v>10799</v>
      </c>
      <c r="MQC1" t="s">
        <v>10800</v>
      </c>
      <c r="MQD1" t="s">
        <v>10801</v>
      </c>
      <c r="MQE1" t="s">
        <v>10802</v>
      </c>
      <c r="MQF1" t="s">
        <v>10803</v>
      </c>
      <c r="MQG1" t="s">
        <v>10804</v>
      </c>
      <c r="MQH1" t="s">
        <v>10805</v>
      </c>
      <c r="MQI1" t="s">
        <v>10806</v>
      </c>
      <c r="MQJ1" t="s">
        <v>10807</v>
      </c>
      <c r="MQK1" t="s">
        <v>10808</v>
      </c>
      <c r="MQL1" t="s">
        <v>10809</v>
      </c>
      <c r="MQM1" t="s">
        <v>10810</v>
      </c>
      <c r="MQN1" t="s">
        <v>10811</v>
      </c>
      <c r="MQO1" t="s">
        <v>10812</v>
      </c>
      <c r="MQP1" t="s">
        <v>10813</v>
      </c>
      <c r="MQQ1" t="s">
        <v>10814</v>
      </c>
      <c r="MQR1" t="s">
        <v>10815</v>
      </c>
      <c r="MQS1" t="s">
        <v>10816</v>
      </c>
      <c r="MQT1" t="s">
        <v>10817</v>
      </c>
      <c r="MQU1" t="s">
        <v>10818</v>
      </c>
      <c r="MQV1" t="s">
        <v>10819</v>
      </c>
      <c r="MQW1" t="s">
        <v>10820</v>
      </c>
      <c r="MQX1" t="s">
        <v>10821</v>
      </c>
      <c r="MQY1" t="s">
        <v>10822</v>
      </c>
      <c r="MQZ1" t="s">
        <v>10823</v>
      </c>
      <c r="MRA1" t="s">
        <v>10824</v>
      </c>
      <c r="MRB1" t="s">
        <v>10825</v>
      </c>
      <c r="MRC1" t="s">
        <v>10826</v>
      </c>
      <c r="MRD1" t="s">
        <v>10827</v>
      </c>
      <c r="MRE1" t="s">
        <v>10828</v>
      </c>
      <c r="MRF1" t="s">
        <v>10829</v>
      </c>
      <c r="MRG1" t="s">
        <v>10830</v>
      </c>
      <c r="MRH1" t="s">
        <v>10831</v>
      </c>
      <c r="MRI1" t="s">
        <v>10832</v>
      </c>
      <c r="MRJ1" t="s">
        <v>10833</v>
      </c>
      <c r="MRK1" t="s">
        <v>10834</v>
      </c>
      <c r="MRL1" t="s">
        <v>10835</v>
      </c>
      <c r="MRM1" t="s">
        <v>10836</v>
      </c>
      <c r="MRN1" t="s">
        <v>10837</v>
      </c>
      <c r="MRO1" t="s">
        <v>10838</v>
      </c>
      <c r="MRP1" t="s">
        <v>10839</v>
      </c>
      <c r="MRQ1" t="s">
        <v>10840</v>
      </c>
      <c r="MRR1" t="s">
        <v>10841</v>
      </c>
      <c r="MRS1" t="s">
        <v>10842</v>
      </c>
      <c r="MRT1" t="s">
        <v>10843</v>
      </c>
      <c r="MRU1" t="s">
        <v>10844</v>
      </c>
      <c r="MRV1" t="s">
        <v>10845</v>
      </c>
      <c r="MRW1" t="s">
        <v>10846</v>
      </c>
      <c r="MRX1" t="s">
        <v>10847</v>
      </c>
      <c r="MRY1" t="s">
        <v>10848</v>
      </c>
      <c r="MRZ1" t="s">
        <v>10849</v>
      </c>
      <c r="MSA1" t="s">
        <v>10850</v>
      </c>
      <c r="MSB1" t="s">
        <v>10851</v>
      </c>
      <c r="MSC1" t="s">
        <v>10852</v>
      </c>
      <c r="MSD1" t="s">
        <v>10853</v>
      </c>
      <c r="MSE1" t="s">
        <v>10854</v>
      </c>
      <c r="MSF1" t="s">
        <v>10855</v>
      </c>
      <c r="MSG1" t="s">
        <v>10856</v>
      </c>
      <c r="MSH1" t="s">
        <v>10857</v>
      </c>
      <c r="MSI1" t="s">
        <v>10858</v>
      </c>
      <c r="MSJ1" t="s">
        <v>10859</v>
      </c>
      <c r="MSK1" t="s">
        <v>10860</v>
      </c>
      <c r="MSL1" t="s">
        <v>10861</v>
      </c>
      <c r="MSM1" t="s">
        <v>10862</v>
      </c>
      <c r="MSN1" t="s">
        <v>10863</v>
      </c>
      <c r="MSO1" t="s">
        <v>10864</v>
      </c>
      <c r="MSP1" t="s">
        <v>10865</v>
      </c>
      <c r="MSQ1" t="s">
        <v>10866</v>
      </c>
      <c r="MSR1" t="s">
        <v>10867</v>
      </c>
      <c r="MSS1" t="s">
        <v>10868</v>
      </c>
      <c r="MST1" t="s">
        <v>10869</v>
      </c>
      <c r="MSU1" t="s">
        <v>10870</v>
      </c>
      <c r="MSV1" t="s">
        <v>10871</v>
      </c>
      <c r="MSW1" t="s">
        <v>10872</v>
      </c>
      <c r="MSX1" t="s">
        <v>10873</v>
      </c>
      <c r="MSY1" t="s">
        <v>10874</v>
      </c>
      <c r="MSZ1" t="s">
        <v>10875</v>
      </c>
      <c r="MTA1" t="s">
        <v>10876</v>
      </c>
      <c r="MTB1" t="s">
        <v>10877</v>
      </c>
      <c r="MTC1" t="s">
        <v>10878</v>
      </c>
      <c r="MTD1" t="s">
        <v>10879</v>
      </c>
      <c r="MTE1" t="s">
        <v>10880</v>
      </c>
      <c r="MTF1" t="s">
        <v>10881</v>
      </c>
      <c r="MTG1" t="s">
        <v>10882</v>
      </c>
      <c r="MTH1" t="s">
        <v>10883</v>
      </c>
      <c r="MTI1" t="s">
        <v>10884</v>
      </c>
      <c r="MTJ1" t="s">
        <v>10885</v>
      </c>
      <c r="MTK1" t="s">
        <v>10886</v>
      </c>
      <c r="MTL1" t="s">
        <v>10887</v>
      </c>
      <c r="MTM1" t="s">
        <v>10888</v>
      </c>
      <c r="MTN1" t="s">
        <v>10889</v>
      </c>
      <c r="MTO1" t="s">
        <v>10890</v>
      </c>
      <c r="MTP1" t="s">
        <v>10891</v>
      </c>
      <c r="MTQ1" t="s">
        <v>10892</v>
      </c>
      <c r="MTR1" t="s">
        <v>10893</v>
      </c>
      <c r="MTS1" t="s">
        <v>10894</v>
      </c>
      <c r="MTT1" t="s">
        <v>10895</v>
      </c>
      <c r="MTU1" t="s">
        <v>10896</v>
      </c>
      <c r="MTV1" t="s">
        <v>10897</v>
      </c>
      <c r="MTW1" t="s">
        <v>10898</v>
      </c>
      <c r="MTX1" t="s">
        <v>10899</v>
      </c>
      <c r="MTY1" t="s">
        <v>10900</v>
      </c>
      <c r="MTZ1" t="s">
        <v>10901</v>
      </c>
      <c r="MUA1" t="s">
        <v>10902</v>
      </c>
      <c r="MUB1" t="s">
        <v>10903</v>
      </c>
      <c r="MUC1" t="s">
        <v>10904</v>
      </c>
      <c r="MUD1" t="s">
        <v>10905</v>
      </c>
      <c r="MUE1" t="s">
        <v>10906</v>
      </c>
      <c r="MUF1" t="s">
        <v>10907</v>
      </c>
      <c r="MUG1" t="s">
        <v>10908</v>
      </c>
      <c r="MUH1" t="s">
        <v>10909</v>
      </c>
      <c r="MUI1" t="s">
        <v>10910</v>
      </c>
      <c r="MUJ1" t="s">
        <v>10911</v>
      </c>
      <c r="MUK1" t="s">
        <v>10912</v>
      </c>
      <c r="MUL1" t="s">
        <v>10913</v>
      </c>
      <c r="MUM1" t="s">
        <v>10914</v>
      </c>
      <c r="MUN1" t="s">
        <v>10915</v>
      </c>
      <c r="MUO1" t="s">
        <v>10916</v>
      </c>
      <c r="MUP1" t="s">
        <v>10917</v>
      </c>
      <c r="MUQ1" t="s">
        <v>10918</v>
      </c>
      <c r="MUR1" t="s">
        <v>10919</v>
      </c>
      <c r="MUS1" t="s">
        <v>10920</v>
      </c>
      <c r="MUT1" t="s">
        <v>10921</v>
      </c>
      <c r="MUU1" t="s">
        <v>10922</v>
      </c>
      <c r="MUV1" t="s">
        <v>10923</v>
      </c>
      <c r="MUW1" t="s">
        <v>10924</v>
      </c>
      <c r="MUX1" t="s">
        <v>10925</v>
      </c>
      <c r="MUY1" t="s">
        <v>10926</v>
      </c>
      <c r="MUZ1" t="s">
        <v>10927</v>
      </c>
      <c r="MVA1" t="s">
        <v>10928</v>
      </c>
      <c r="MVB1" t="s">
        <v>10929</v>
      </c>
      <c r="MVC1" t="s">
        <v>10930</v>
      </c>
      <c r="MVD1" t="s">
        <v>10931</v>
      </c>
      <c r="MVE1" t="s">
        <v>10932</v>
      </c>
      <c r="MVF1" t="s">
        <v>10933</v>
      </c>
      <c r="MVG1" t="s">
        <v>10934</v>
      </c>
      <c r="MVH1" t="s">
        <v>10935</v>
      </c>
      <c r="MVI1" t="s">
        <v>10936</v>
      </c>
      <c r="MVJ1" t="s">
        <v>10937</v>
      </c>
      <c r="MVK1" t="s">
        <v>10938</v>
      </c>
      <c r="MVL1" t="s">
        <v>10939</v>
      </c>
      <c r="MVM1" t="s">
        <v>10940</v>
      </c>
      <c r="MVN1" t="s">
        <v>10941</v>
      </c>
      <c r="MVO1" t="s">
        <v>10942</v>
      </c>
      <c r="MVP1" t="s">
        <v>10943</v>
      </c>
      <c r="MVQ1" t="s">
        <v>10944</v>
      </c>
      <c r="MVR1" t="s">
        <v>10945</v>
      </c>
      <c r="MVS1" t="s">
        <v>10946</v>
      </c>
      <c r="MVT1" t="s">
        <v>10947</v>
      </c>
      <c r="MVU1" t="s">
        <v>10948</v>
      </c>
      <c r="MVV1" t="s">
        <v>10949</v>
      </c>
      <c r="MVW1" t="s">
        <v>10950</v>
      </c>
      <c r="MVX1" t="s">
        <v>10951</v>
      </c>
      <c r="MVY1" t="s">
        <v>10952</v>
      </c>
      <c r="MVZ1" t="s">
        <v>10953</v>
      </c>
      <c r="MWA1" t="s">
        <v>10954</v>
      </c>
      <c r="MWB1" t="s">
        <v>10955</v>
      </c>
      <c r="MWC1" t="s">
        <v>10956</v>
      </c>
      <c r="MWD1" t="s">
        <v>10957</v>
      </c>
      <c r="MWE1" t="s">
        <v>10958</v>
      </c>
      <c r="MWF1" t="s">
        <v>10959</v>
      </c>
      <c r="MWG1" t="s">
        <v>10960</v>
      </c>
      <c r="MWH1" t="s">
        <v>10961</v>
      </c>
      <c r="MWI1" t="s">
        <v>10962</v>
      </c>
      <c r="MWJ1" t="s">
        <v>10963</v>
      </c>
      <c r="MWK1" t="s">
        <v>10964</v>
      </c>
      <c r="MWL1" t="s">
        <v>10965</v>
      </c>
      <c r="MWM1" t="s">
        <v>10966</v>
      </c>
      <c r="MWN1" t="s">
        <v>10967</v>
      </c>
      <c r="MWO1" t="s">
        <v>10968</v>
      </c>
      <c r="MWP1" t="s">
        <v>10969</v>
      </c>
      <c r="MWQ1" t="s">
        <v>10970</v>
      </c>
      <c r="MWR1" t="s">
        <v>10971</v>
      </c>
      <c r="MWS1" t="s">
        <v>10972</v>
      </c>
      <c r="MWT1" t="s">
        <v>10973</v>
      </c>
      <c r="MWU1" t="s">
        <v>10974</v>
      </c>
      <c r="MWV1" t="s">
        <v>10975</v>
      </c>
      <c r="MWW1" t="s">
        <v>10976</v>
      </c>
      <c r="MWX1" t="s">
        <v>10977</v>
      </c>
      <c r="MWY1" t="s">
        <v>10978</v>
      </c>
      <c r="MWZ1" t="s">
        <v>10979</v>
      </c>
      <c r="MXA1" t="s">
        <v>10980</v>
      </c>
      <c r="MXB1" t="s">
        <v>10981</v>
      </c>
      <c r="MXC1" t="s">
        <v>10982</v>
      </c>
      <c r="MXD1" t="s">
        <v>10983</v>
      </c>
      <c r="MXE1" t="s">
        <v>10984</v>
      </c>
      <c r="MXF1" t="s">
        <v>10985</v>
      </c>
      <c r="MXG1" t="s">
        <v>10986</v>
      </c>
      <c r="MXH1" t="s">
        <v>10987</v>
      </c>
      <c r="MXI1" t="s">
        <v>10988</v>
      </c>
      <c r="MXJ1" t="s">
        <v>10989</v>
      </c>
      <c r="MXK1" t="s">
        <v>10990</v>
      </c>
      <c r="MXL1" t="s">
        <v>10991</v>
      </c>
      <c r="MXM1" t="s">
        <v>10992</v>
      </c>
      <c r="MXN1" t="s">
        <v>10993</v>
      </c>
      <c r="MXO1" t="s">
        <v>10994</v>
      </c>
      <c r="MXP1" t="s">
        <v>10995</v>
      </c>
      <c r="MXQ1" t="s">
        <v>10996</v>
      </c>
      <c r="MXR1" t="s">
        <v>10997</v>
      </c>
      <c r="MXS1" t="s">
        <v>10998</v>
      </c>
      <c r="MXT1" t="s">
        <v>10999</v>
      </c>
      <c r="MXU1" t="s">
        <v>11000</v>
      </c>
      <c r="MXV1" t="s">
        <v>11001</v>
      </c>
      <c r="MXW1" t="s">
        <v>11002</v>
      </c>
      <c r="MXX1" t="s">
        <v>11003</v>
      </c>
      <c r="MXY1" t="s">
        <v>11004</v>
      </c>
      <c r="MXZ1" t="s">
        <v>11005</v>
      </c>
      <c r="MYA1" t="s">
        <v>11006</v>
      </c>
      <c r="MYB1" t="s">
        <v>11007</v>
      </c>
      <c r="MYC1" t="s">
        <v>11008</v>
      </c>
      <c r="MYD1" t="s">
        <v>11009</v>
      </c>
      <c r="MYE1" t="s">
        <v>11010</v>
      </c>
      <c r="MYF1" t="s">
        <v>11011</v>
      </c>
      <c r="MYG1" t="s">
        <v>11012</v>
      </c>
      <c r="MYH1" t="s">
        <v>11013</v>
      </c>
      <c r="MYI1" t="s">
        <v>11014</v>
      </c>
      <c r="MYJ1" t="s">
        <v>11015</v>
      </c>
      <c r="MYK1" t="s">
        <v>11016</v>
      </c>
      <c r="MYL1" t="s">
        <v>11017</v>
      </c>
      <c r="MYM1" t="s">
        <v>11018</v>
      </c>
      <c r="MYN1" t="s">
        <v>11019</v>
      </c>
      <c r="MYO1" t="s">
        <v>11020</v>
      </c>
      <c r="MYP1" t="s">
        <v>11021</v>
      </c>
      <c r="MYQ1" t="s">
        <v>11022</v>
      </c>
      <c r="MYR1" t="s">
        <v>11023</v>
      </c>
      <c r="MYS1" t="s">
        <v>11024</v>
      </c>
      <c r="MYT1" t="s">
        <v>11025</v>
      </c>
      <c r="MYU1" t="s">
        <v>11026</v>
      </c>
      <c r="MYV1" t="s">
        <v>11027</v>
      </c>
      <c r="MYW1" t="s">
        <v>11028</v>
      </c>
      <c r="MYX1" t="s">
        <v>11029</v>
      </c>
      <c r="MYY1" t="s">
        <v>11030</v>
      </c>
      <c r="MYZ1" t="s">
        <v>11031</v>
      </c>
      <c r="MZA1" t="s">
        <v>11032</v>
      </c>
      <c r="MZB1" t="s">
        <v>11033</v>
      </c>
      <c r="MZC1" t="s">
        <v>11034</v>
      </c>
      <c r="MZD1" t="s">
        <v>11035</v>
      </c>
      <c r="MZE1" t="s">
        <v>11036</v>
      </c>
      <c r="MZF1" t="s">
        <v>11037</v>
      </c>
      <c r="MZG1" t="s">
        <v>11038</v>
      </c>
      <c r="MZH1" t="s">
        <v>11039</v>
      </c>
      <c r="MZI1" t="s">
        <v>11040</v>
      </c>
      <c r="MZJ1" t="s">
        <v>11041</v>
      </c>
      <c r="MZK1" t="s">
        <v>11042</v>
      </c>
      <c r="MZL1" t="s">
        <v>11043</v>
      </c>
      <c r="MZM1" t="s">
        <v>11044</v>
      </c>
      <c r="MZN1" t="s">
        <v>11045</v>
      </c>
      <c r="MZO1" t="s">
        <v>11046</v>
      </c>
      <c r="MZP1" t="s">
        <v>11047</v>
      </c>
      <c r="MZQ1" t="s">
        <v>11048</v>
      </c>
      <c r="MZR1" t="s">
        <v>11049</v>
      </c>
      <c r="MZS1" t="s">
        <v>11050</v>
      </c>
      <c r="MZT1" t="s">
        <v>11051</v>
      </c>
      <c r="MZU1" t="s">
        <v>11052</v>
      </c>
      <c r="MZV1" t="s">
        <v>11053</v>
      </c>
      <c r="MZW1" t="s">
        <v>11054</v>
      </c>
      <c r="MZX1" t="s">
        <v>11055</v>
      </c>
      <c r="MZY1" t="s">
        <v>11056</v>
      </c>
      <c r="MZZ1" t="s">
        <v>11057</v>
      </c>
      <c r="NAA1" t="s">
        <v>11058</v>
      </c>
      <c r="NAB1" t="s">
        <v>11059</v>
      </c>
      <c r="NAC1" t="s">
        <v>11060</v>
      </c>
      <c r="NAD1" t="s">
        <v>11061</v>
      </c>
      <c r="NAE1" t="s">
        <v>11062</v>
      </c>
      <c r="NAF1" t="s">
        <v>11063</v>
      </c>
      <c r="NAG1" t="s">
        <v>11064</v>
      </c>
      <c r="NAH1" t="s">
        <v>11065</v>
      </c>
      <c r="NAI1" t="s">
        <v>11066</v>
      </c>
      <c r="NAJ1" t="s">
        <v>11067</v>
      </c>
      <c r="NAK1" t="s">
        <v>11068</v>
      </c>
      <c r="NAL1" t="s">
        <v>11069</v>
      </c>
      <c r="NAM1" t="s">
        <v>11070</v>
      </c>
      <c r="NAN1" t="s">
        <v>11071</v>
      </c>
      <c r="NAO1" t="s">
        <v>11072</v>
      </c>
      <c r="NAP1" t="s">
        <v>11073</v>
      </c>
      <c r="NAQ1" t="s">
        <v>11074</v>
      </c>
      <c r="NAR1" t="s">
        <v>11075</v>
      </c>
      <c r="NAS1" t="s">
        <v>11076</v>
      </c>
      <c r="NAT1" t="s">
        <v>11077</v>
      </c>
      <c r="NAU1" t="s">
        <v>11078</v>
      </c>
      <c r="NAV1" t="s">
        <v>11079</v>
      </c>
      <c r="NAW1" t="s">
        <v>11080</v>
      </c>
      <c r="NAX1" t="s">
        <v>11081</v>
      </c>
      <c r="NAY1" t="s">
        <v>11082</v>
      </c>
      <c r="NAZ1" t="s">
        <v>11083</v>
      </c>
      <c r="NBA1" t="s">
        <v>11084</v>
      </c>
      <c r="NBB1" t="s">
        <v>11085</v>
      </c>
      <c r="NBC1" t="s">
        <v>11086</v>
      </c>
      <c r="NBD1" t="s">
        <v>11087</v>
      </c>
      <c r="NBE1" t="s">
        <v>11088</v>
      </c>
      <c r="NBF1" t="s">
        <v>11089</v>
      </c>
      <c r="NBG1" t="s">
        <v>11090</v>
      </c>
      <c r="NBH1" t="s">
        <v>11091</v>
      </c>
      <c r="NBI1" t="s">
        <v>11092</v>
      </c>
      <c r="NBJ1" t="s">
        <v>11093</v>
      </c>
      <c r="NBK1" t="s">
        <v>11094</v>
      </c>
      <c r="NBL1" t="s">
        <v>11095</v>
      </c>
      <c r="NBM1" t="s">
        <v>11096</v>
      </c>
      <c r="NBN1" t="s">
        <v>11097</v>
      </c>
      <c r="NBO1" t="s">
        <v>11098</v>
      </c>
      <c r="NBP1" t="s">
        <v>11099</v>
      </c>
      <c r="NBQ1" t="s">
        <v>11100</v>
      </c>
      <c r="NBR1" t="s">
        <v>11101</v>
      </c>
      <c r="NBS1" t="s">
        <v>11102</v>
      </c>
      <c r="NBT1" t="s">
        <v>11103</v>
      </c>
      <c r="NBU1" t="s">
        <v>11104</v>
      </c>
      <c r="NBV1" t="s">
        <v>11105</v>
      </c>
      <c r="NBW1" t="s">
        <v>11106</v>
      </c>
      <c r="NBX1" t="s">
        <v>11107</v>
      </c>
      <c r="NBY1" t="s">
        <v>11108</v>
      </c>
      <c r="NBZ1" t="s">
        <v>11109</v>
      </c>
      <c r="NCA1" t="s">
        <v>11110</v>
      </c>
      <c r="NCB1" t="s">
        <v>11111</v>
      </c>
      <c r="NCC1" t="s">
        <v>11112</v>
      </c>
      <c r="NCD1" t="s">
        <v>11113</v>
      </c>
      <c r="NCE1" t="s">
        <v>11114</v>
      </c>
      <c r="NCF1" t="s">
        <v>11115</v>
      </c>
      <c r="NCG1" t="s">
        <v>11116</v>
      </c>
      <c r="NCH1" t="s">
        <v>11117</v>
      </c>
      <c r="NCI1" t="s">
        <v>11118</v>
      </c>
      <c r="NCJ1" t="s">
        <v>11119</v>
      </c>
      <c r="NCK1" t="s">
        <v>11120</v>
      </c>
      <c r="NCL1" t="s">
        <v>11121</v>
      </c>
      <c r="NCM1" t="s">
        <v>11122</v>
      </c>
      <c r="NCN1" t="s">
        <v>11123</v>
      </c>
      <c r="NCO1" t="s">
        <v>11124</v>
      </c>
      <c r="NCP1" t="s">
        <v>11125</v>
      </c>
      <c r="NCQ1" t="s">
        <v>11126</v>
      </c>
      <c r="NCR1" t="s">
        <v>11127</v>
      </c>
      <c r="NCS1" t="s">
        <v>11128</v>
      </c>
      <c r="NCT1" t="s">
        <v>11129</v>
      </c>
      <c r="NCU1" t="s">
        <v>11130</v>
      </c>
      <c r="NCV1" t="s">
        <v>11131</v>
      </c>
      <c r="NCW1" t="s">
        <v>11132</v>
      </c>
      <c r="NCX1" t="s">
        <v>11133</v>
      </c>
      <c r="NCY1" t="s">
        <v>11134</v>
      </c>
      <c r="NCZ1" t="s">
        <v>11135</v>
      </c>
      <c r="NDA1" t="s">
        <v>11136</v>
      </c>
      <c r="NDB1" t="s">
        <v>11137</v>
      </c>
      <c r="NDC1" t="s">
        <v>11138</v>
      </c>
      <c r="NDD1" t="s">
        <v>11139</v>
      </c>
      <c r="NDE1" t="s">
        <v>11140</v>
      </c>
      <c r="NDF1" t="s">
        <v>11141</v>
      </c>
      <c r="NDG1" t="s">
        <v>11142</v>
      </c>
      <c r="NDH1" t="s">
        <v>11143</v>
      </c>
      <c r="NDI1" t="s">
        <v>11144</v>
      </c>
      <c r="NDJ1" t="s">
        <v>11145</v>
      </c>
      <c r="NDK1" t="s">
        <v>11146</v>
      </c>
      <c r="NDL1" t="s">
        <v>11147</v>
      </c>
      <c r="NDM1" t="s">
        <v>11148</v>
      </c>
      <c r="NDN1" t="s">
        <v>11149</v>
      </c>
      <c r="NDO1" t="s">
        <v>11150</v>
      </c>
      <c r="NDP1" t="s">
        <v>11151</v>
      </c>
      <c r="NDQ1" t="s">
        <v>11152</v>
      </c>
      <c r="NDR1" t="s">
        <v>11153</v>
      </c>
      <c r="NDS1" t="s">
        <v>11154</v>
      </c>
      <c r="NDT1" t="s">
        <v>11155</v>
      </c>
      <c r="NDU1" t="s">
        <v>11156</v>
      </c>
      <c r="NDV1" t="s">
        <v>11157</v>
      </c>
      <c r="NDW1" t="s">
        <v>11158</v>
      </c>
      <c r="NDX1" t="s">
        <v>11159</v>
      </c>
      <c r="NDY1" t="s">
        <v>11160</v>
      </c>
      <c r="NDZ1" t="s">
        <v>11161</v>
      </c>
      <c r="NEA1" t="s">
        <v>11162</v>
      </c>
      <c r="NEB1" t="s">
        <v>11163</v>
      </c>
      <c r="NEC1" t="s">
        <v>11164</v>
      </c>
      <c r="NED1" t="s">
        <v>11165</v>
      </c>
      <c r="NEE1" t="s">
        <v>11166</v>
      </c>
      <c r="NEF1" t="s">
        <v>11167</v>
      </c>
      <c r="NEG1" t="s">
        <v>11168</v>
      </c>
      <c r="NEH1" t="s">
        <v>11169</v>
      </c>
      <c r="NEI1" t="s">
        <v>11170</v>
      </c>
      <c r="NEJ1" t="s">
        <v>11171</v>
      </c>
      <c r="NEK1" t="s">
        <v>11172</v>
      </c>
      <c r="NEL1" t="s">
        <v>11173</v>
      </c>
      <c r="NEM1" t="s">
        <v>11174</v>
      </c>
      <c r="NEN1" t="s">
        <v>11175</v>
      </c>
      <c r="NEO1" t="s">
        <v>11176</v>
      </c>
      <c r="NEP1" t="s">
        <v>11177</v>
      </c>
      <c r="NEQ1" t="s">
        <v>11178</v>
      </c>
      <c r="NER1" t="s">
        <v>11179</v>
      </c>
      <c r="NES1" t="s">
        <v>11180</v>
      </c>
      <c r="NET1" t="s">
        <v>11181</v>
      </c>
      <c r="NEU1" t="s">
        <v>11182</v>
      </c>
      <c r="NEV1" t="s">
        <v>11183</v>
      </c>
      <c r="NEW1" t="s">
        <v>11184</v>
      </c>
      <c r="NEX1" t="s">
        <v>11185</v>
      </c>
      <c r="NEY1" t="s">
        <v>11186</v>
      </c>
      <c r="NEZ1" t="s">
        <v>11187</v>
      </c>
      <c r="NFA1" t="s">
        <v>11188</v>
      </c>
      <c r="NFB1" t="s">
        <v>11189</v>
      </c>
      <c r="NFC1" t="s">
        <v>11190</v>
      </c>
      <c r="NFD1" t="s">
        <v>11191</v>
      </c>
      <c r="NFE1" t="s">
        <v>11192</v>
      </c>
      <c r="NFF1" t="s">
        <v>11193</v>
      </c>
      <c r="NFG1" t="s">
        <v>11194</v>
      </c>
      <c r="NFH1" t="s">
        <v>11195</v>
      </c>
      <c r="NFI1" t="s">
        <v>11196</v>
      </c>
      <c r="NFJ1" t="s">
        <v>11197</v>
      </c>
      <c r="NFK1" t="s">
        <v>11198</v>
      </c>
      <c r="NFL1" t="s">
        <v>11199</v>
      </c>
      <c r="NFM1" t="s">
        <v>11200</v>
      </c>
      <c r="NFN1" t="s">
        <v>11201</v>
      </c>
      <c r="NFO1" t="s">
        <v>11202</v>
      </c>
      <c r="NFP1" t="s">
        <v>11203</v>
      </c>
      <c r="NFQ1" t="s">
        <v>11204</v>
      </c>
      <c r="NFR1" t="s">
        <v>11205</v>
      </c>
      <c r="NFS1" t="s">
        <v>11206</v>
      </c>
      <c r="NFT1" t="s">
        <v>11207</v>
      </c>
      <c r="NFU1" t="s">
        <v>11208</v>
      </c>
      <c r="NFV1" t="s">
        <v>11209</v>
      </c>
      <c r="NFW1" t="s">
        <v>11210</v>
      </c>
      <c r="NFX1" t="s">
        <v>11211</v>
      </c>
      <c r="NFY1" t="s">
        <v>11212</v>
      </c>
      <c r="NFZ1" t="s">
        <v>11213</v>
      </c>
      <c r="NGA1" t="s">
        <v>11214</v>
      </c>
      <c r="NGB1" t="s">
        <v>11215</v>
      </c>
      <c r="NGC1" t="s">
        <v>11216</v>
      </c>
      <c r="NGD1" t="s">
        <v>11217</v>
      </c>
      <c r="NGE1" t="s">
        <v>11218</v>
      </c>
      <c r="NGF1" t="s">
        <v>11219</v>
      </c>
      <c r="NGG1" t="s">
        <v>11220</v>
      </c>
      <c r="NGH1" t="s">
        <v>11221</v>
      </c>
      <c r="NGI1" t="s">
        <v>11222</v>
      </c>
      <c r="NGJ1" t="s">
        <v>11223</v>
      </c>
      <c r="NGK1" t="s">
        <v>11224</v>
      </c>
      <c r="NGL1" t="s">
        <v>11225</v>
      </c>
      <c r="NGM1" t="s">
        <v>11226</v>
      </c>
      <c r="NGN1" t="s">
        <v>11227</v>
      </c>
      <c r="NGO1" t="s">
        <v>11228</v>
      </c>
      <c r="NGP1" t="s">
        <v>11229</v>
      </c>
      <c r="NGQ1" t="s">
        <v>11230</v>
      </c>
      <c r="NGR1" t="s">
        <v>11231</v>
      </c>
      <c r="NGS1" t="s">
        <v>11232</v>
      </c>
      <c r="NGT1" t="s">
        <v>11233</v>
      </c>
      <c r="NGU1" t="s">
        <v>11234</v>
      </c>
      <c r="NGV1" t="s">
        <v>11235</v>
      </c>
      <c r="NGW1" t="s">
        <v>11236</v>
      </c>
      <c r="NGX1" t="s">
        <v>11237</v>
      </c>
      <c r="NGY1" t="s">
        <v>11238</v>
      </c>
      <c r="NGZ1" t="s">
        <v>11239</v>
      </c>
      <c r="NHA1" t="s">
        <v>11240</v>
      </c>
      <c r="NHB1" t="s">
        <v>11241</v>
      </c>
      <c r="NHC1" t="s">
        <v>11242</v>
      </c>
      <c r="NHD1" t="s">
        <v>11243</v>
      </c>
      <c r="NHE1" t="s">
        <v>11244</v>
      </c>
      <c r="NHF1" t="s">
        <v>11245</v>
      </c>
      <c r="NHG1" t="s">
        <v>11246</v>
      </c>
      <c r="NHH1" t="s">
        <v>11247</v>
      </c>
      <c r="NHI1" t="s">
        <v>11248</v>
      </c>
      <c r="NHJ1" t="s">
        <v>11249</v>
      </c>
      <c r="NHK1" t="s">
        <v>11250</v>
      </c>
      <c r="NHL1" t="s">
        <v>11251</v>
      </c>
      <c r="NHM1" t="s">
        <v>11252</v>
      </c>
      <c r="NHN1" t="s">
        <v>11253</v>
      </c>
      <c r="NHO1" t="s">
        <v>11254</v>
      </c>
      <c r="NHP1" t="s">
        <v>11255</v>
      </c>
      <c r="NHQ1" t="s">
        <v>11256</v>
      </c>
      <c r="NHR1" t="s">
        <v>11257</v>
      </c>
      <c r="NHS1" t="s">
        <v>11258</v>
      </c>
      <c r="NHT1" t="s">
        <v>11259</v>
      </c>
      <c r="NHU1" t="s">
        <v>11260</v>
      </c>
      <c r="NHV1" t="s">
        <v>11261</v>
      </c>
      <c r="NHW1" t="s">
        <v>11262</v>
      </c>
      <c r="NHX1" t="s">
        <v>11263</v>
      </c>
      <c r="NHY1" t="s">
        <v>11264</v>
      </c>
      <c r="NHZ1" t="s">
        <v>11265</v>
      </c>
      <c r="NIA1" t="s">
        <v>11266</v>
      </c>
      <c r="NIB1" t="s">
        <v>11267</v>
      </c>
      <c r="NIC1" t="s">
        <v>11268</v>
      </c>
      <c r="NID1" t="s">
        <v>11269</v>
      </c>
      <c r="NIE1" t="s">
        <v>11270</v>
      </c>
      <c r="NIF1" t="s">
        <v>11271</v>
      </c>
      <c r="NIG1" t="s">
        <v>11272</v>
      </c>
      <c r="NIH1" t="s">
        <v>11273</v>
      </c>
      <c r="NII1" t="s">
        <v>11274</v>
      </c>
      <c r="NIJ1" t="s">
        <v>11275</v>
      </c>
      <c r="NIK1" t="s">
        <v>11276</v>
      </c>
      <c r="NIL1" t="s">
        <v>11277</v>
      </c>
      <c r="NIM1" t="s">
        <v>11278</v>
      </c>
      <c r="NIN1" t="s">
        <v>11279</v>
      </c>
      <c r="NIO1" t="s">
        <v>11280</v>
      </c>
      <c r="NIP1" t="s">
        <v>11281</v>
      </c>
      <c r="NIQ1" t="s">
        <v>11282</v>
      </c>
      <c r="NIR1" t="s">
        <v>11283</v>
      </c>
      <c r="NIS1" t="s">
        <v>11284</v>
      </c>
      <c r="NIT1" t="s">
        <v>11285</v>
      </c>
      <c r="NIU1" t="s">
        <v>11286</v>
      </c>
      <c r="NIV1" t="s">
        <v>11287</v>
      </c>
      <c r="NIW1" t="s">
        <v>11288</v>
      </c>
      <c r="NIX1" t="s">
        <v>11289</v>
      </c>
      <c r="NIY1" t="s">
        <v>11290</v>
      </c>
      <c r="NIZ1" t="s">
        <v>11291</v>
      </c>
      <c r="NJA1" t="s">
        <v>11292</v>
      </c>
      <c r="NJB1" t="s">
        <v>11293</v>
      </c>
      <c r="NJC1" t="s">
        <v>11294</v>
      </c>
      <c r="NJD1" t="s">
        <v>11295</v>
      </c>
      <c r="NJE1" t="s">
        <v>11296</v>
      </c>
      <c r="NJF1" t="s">
        <v>11297</v>
      </c>
      <c r="NJG1" t="s">
        <v>11298</v>
      </c>
      <c r="NJH1" t="s">
        <v>11299</v>
      </c>
      <c r="NJI1" t="s">
        <v>11300</v>
      </c>
      <c r="NJJ1" t="s">
        <v>11301</v>
      </c>
      <c r="NJK1" t="s">
        <v>11302</v>
      </c>
      <c r="NJL1" t="s">
        <v>11303</v>
      </c>
      <c r="NJM1" t="s">
        <v>11304</v>
      </c>
      <c r="NJN1" t="s">
        <v>11305</v>
      </c>
      <c r="NJO1" t="s">
        <v>11306</v>
      </c>
      <c r="NJP1" t="s">
        <v>11307</v>
      </c>
      <c r="NJQ1" t="s">
        <v>11308</v>
      </c>
      <c r="NJR1" t="s">
        <v>11309</v>
      </c>
      <c r="NJS1" t="s">
        <v>11310</v>
      </c>
      <c r="NJT1" t="s">
        <v>11311</v>
      </c>
      <c r="NJU1" t="s">
        <v>11312</v>
      </c>
      <c r="NJV1" t="s">
        <v>11313</v>
      </c>
      <c r="NJW1" t="s">
        <v>11314</v>
      </c>
      <c r="NJX1" t="s">
        <v>11315</v>
      </c>
      <c r="NJY1" t="s">
        <v>11316</v>
      </c>
      <c r="NJZ1" t="s">
        <v>11317</v>
      </c>
      <c r="NKA1" t="s">
        <v>11318</v>
      </c>
      <c r="NKB1" t="s">
        <v>11319</v>
      </c>
      <c r="NKC1" t="s">
        <v>11320</v>
      </c>
      <c r="NKD1" t="s">
        <v>11321</v>
      </c>
      <c r="NKE1" t="s">
        <v>11322</v>
      </c>
      <c r="NKF1" t="s">
        <v>11323</v>
      </c>
      <c r="NKG1" t="s">
        <v>11324</v>
      </c>
      <c r="NKH1" t="s">
        <v>11325</v>
      </c>
      <c r="NKI1" t="s">
        <v>11326</v>
      </c>
      <c r="NKJ1" t="s">
        <v>11327</v>
      </c>
      <c r="NKK1" t="s">
        <v>11328</v>
      </c>
      <c r="NKL1" t="s">
        <v>11329</v>
      </c>
      <c r="NKM1" t="s">
        <v>11330</v>
      </c>
      <c r="NKN1" t="s">
        <v>11331</v>
      </c>
      <c r="NKO1" t="s">
        <v>11332</v>
      </c>
      <c r="NKP1" t="s">
        <v>11333</v>
      </c>
      <c r="NKQ1" t="s">
        <v>11334</v>
      </c>
      <c r="NKR1" t="s">
        <v>11335</v>
      </c>
      <c r="NKS1" t="s">
        <v>11336</v>
      </c>
      <c r="NKT1" t="s">
        <v>11337</v>
      </c>
      <c r="NKU1" t="s">
        <v>11338</v>
      </c>
      <c r="NKV1" t="s">
        <v>11339</v>
      </c>
      <c r="NKW1" t="s">
        <v>11340</v>
      </c>
      <c r="NKX1" t="s">
        <v>11341</v>
      </c>
      <c r="NKY1" t="s">
        <v>11342</v>
      </c>
      <c r="NKZ1" t="s">
        <v>11343</v>
      </c>
      <c r="NLA1" t="s">
        <v>11344</v>
      </c>
      <c r="NLB1" t="s">
        <v>11345</v>
      </c>
      <c r="NLC1" t="s">
        <v>11346</v>
      </c>
      <c r="NLD1" t="s">
        <v>11347</v>
      </c>
      <c r="NLE1" t="s">
        <v>11348</v>
      </c>
      <c r="NLF1" t="s">
        <v>11349</v>
      </c>
      <c r="NLG1" t="s">
        <v>11350</v>
      </c>
      <c r="NLH1" t="s">
        <v>11351</v>
      </c>
      <c r="NLI1" t="s">
        <v>11352</v>
      </c>
      <c r="NLJ1" t="s">
        <v>11353</v>
      </c>
      <c r="NLK1" t="s">
        <v>11354</v>
      </c>
      <c r="NLL1" t="s">
        <v>11355</v>
      </c>
      <c r="NLM1" t="s">
        <v>11356</v>
      </c>
      <c r="NLN1" t="s">
        <v>11357</v>
      </c>
      <c r="NLO1" t="s">
        <v>11358</v>
      </c>
      <c r="NLP1" t="s">
        <v>11359</v>
      </c>
      <c r="NLQ1" t="s">
        <v>11360</v>
      </c>
      <c r="NLR1" t="s">
        <v>11361</v>
      </c>
      <c r="NLS1" t="s">
        <v>11362</v>
      </c>
      <c r="NLT1" t="s">
        <v>11363</v>
      </c>
      <c r="NLU1" t="s">
        <v>11364</v>
      </c>
      <c r="NLV1" t="s">
        <v>11365</v>
      </c>
      <c r="NLW1" t="s">
        <v>11366</v>
      </c>
      <c r="NLX1" t="s">
        <v>11367</v>
      </c>
      <c r="NLY1" t="s">
        <v>11368</v>
      </c>
      <c r="NLZ1" t="s">
        <v>11369</v>
      </c>
      <c r="NMA1" t="s">
        <v>11370</v>
      </c>
      <c r="NMB1" t="s">
        <v>11371</v>
      </c>
      <c r="NMC1" t="s">
        <v>11372</v>
      </c>
      <c r="NMD1" t="s">
        <v>11373</v>
      </c>
      <c r="NME1" t="s">
        <v>11374</v>
      </c>
      <c r="NMF1" t="s">
        <v>11375</v>
      </c>
      <c r="NMG1" t="s">
        <v>11376</v>
      </c>
      <c r="NMH1" t="s">
        <v>11377</v>
      </c>
      <c r="NMI1" t="s">
        <v>11378</v>
      </c>
      <c r="NMJ1" t="s">
        <v>11379</v>
      </c>
      <c r="NMK1" t="s">
        <v>11380</v>
      </c>
      <c r="NML1" t="s">
        <v>11381</v>
      </c>
      <c r="NMM1" t="s">
        <v>11382</v>
      </c>
      <c r="NMN1" t="s">
        <v>11383</v>
      </c>
      <c r="NMO1" t="s">
        <v>11384</v>
      </c>
      <c r="NMP1" t="s">
        <v>11385</v>
      </c>
      <c r="NMQ1" t="s">
        <v>11386</v>
      </c>
      <c r="NMR1" t="s">
        <v>11387</v>
      </c>
      <c r="NMS1" t="s">
        <v>11388</v>
      </c>
      <c r="NMT1" t="s">
        <v>11389</v>
      </c>
      <c r="NMU1" t="s">
        <v>11390</v>
      </c>
      <c r="NMV1" t="s">
        <v>11391</v>
      </c>
      <c r="NMW1" t="s">
        <v>11392</v>
      </c>
      <c r="NMX1" t="s">
        <v>11393</v>
      </c>
      <c r="NMY1" t="s">
        <v>11394</v>
      </c>
      <c r="NMZ1" t="s">
        <v>11395</v>
      </c>
      <c r="NNA1" t="s">
        <v>11396</v>
      </c>
      <c r="NNB1" t="s">
        <v>11397</v>
      </c>
      <c r="NNC1" t="s">
        <v>11398</v>
      </c>
      <c r="NND1" t="s">
        <v>11399</v>
      </c>
      <c r="NNE1" t="s">
        <v>11400</v>
      </c>
      <c r="NNF1" t="s">
        <v>11401</v>
      </c>
      <c r="NNG1" t="s">
        <v>11402</v>
      </c>
      <c r="NNH1" t="s">
        <v>11403</v>
      </c>
      <c r="NNI1" t="s">
        <v>11404</v>
      </c>
      <c r="NNJ1" t="s">
        <v>11405</v>
      </c>
      <c r="NNK1" t="s">
        <v>11406</v>
      </c>
      <c r="NNL1" t="s">
        <v>11407</v>
      </c>
      <c r="NNM1" t="s">
        <v>11408</v>
      </c>
      <c r="NNN1" t="s">
        <v>11409</v>
      </c>
      <c r="NNO1" t="s">
        <v>11410</v>
      </c>
      <c r="NNP1" t="s">
        <v>11411</v>
      </c>
      <c r="NNQ1" t="s">
        <v>11412</v>
      </c>
      <c r="NNR1" t="s">
        <v>11413</v>
      </c>
      <c r="NNS1" t="s">
        <v>11414</v>
      </c>
      <c r="NNT1" t="s">
        <v>11415</v>
      </c>
      <c r="NNU1" t="s">
        <v>11416</v>
      </c>
      <c r="NNV1" t="s">
        <v>11417</v>
      </c>
      <c r="NNW1" t="s">
        <v>11418</v>
      </c>
      <c r="NNX1" t="s">
        <v>11419</v>
      </c>
      <c r="NNY1" t="s">
        <v>11420</v>
      </c>
      <c r="NNZ1" t="s">
        <v>11421</v>
      </c>
      <c r="NOA1" t="s">
        <v>11422</v>
      </c>
      <c r="NOB1" t="s">
        <v>11423</v>
      </c>
      <c r="NOC1" t="s">
        <v>11424</v>
      </c>
      <c r="NOD1" t="s">
        <v>11425</v>
      </c>
      <c r="NOE1" t="s">
        <v>11426</v>
      </c>
      <c r="NOF1" t="s">
        <v>11427</v>
      </c>
      <c r="NOG1" t="s">
        <v>11428</v>
      </c>
      <c r="NOH1" t="s">
        <v>11429</v>
      </c>
      <c r="NOI1" t="s">
        <v>11430</v>
      </c>
      <c r="NOJ1" t="s">
        <v>11431</v>
      </c>
      <c r="NOK1" t="s">
        <v>11432</v>
      </c>
      <c r="NOL1" t="s">
        <v>11433</v>
      </c>
      <c r="NOM1" t="s">
        <v>11434</v>
      </c>
      <c r="NON1" t="s">
        <v>11435</v>
      </c>
      <c r="NOO1" t="s">
        <v>11436</v>
      </c>
      <c r="NOP1" t="s">
        <v>11437</v>
      </c>
      <c r="NOQ1" t="s">
        <v>11438</v>
      </c>
      <c r="NOR1" t="s">
        <v>11439</v>
      </c>
      <c r="NOS1" t="s">
        <v>11440</v>
      </c>
      <c r="NOT1" t="s">
        <v>11441</v>
      </c>
      <c r="NOU1" t="s">
        <v>11442</v>
      </c>
      <c r="NOV1" t="s">
        <v>11443</v>
      </c>
      <c r="NOW1" t="s">
        <v>11444</v>
      </c>
      <c r="NOX1" t="s">
        <v>11445</v>
      </c>
      <c r="NOY1" t="s">
        <v>11446</v>
      </c>
      <c r="NOZ1" t="s">
        <v>11447</v>
      </c>
      <c r="NPA1" t="s">
        <v>11448</v>
      </c>
      <c r="NPB1" t="s">
        <v>11449</v>
      </c>
      <c r="NPC1" t="s">
        <v>11450</v>
      </c>
      <c r="NPD1" t="s">
        <v>11451</v>
      </c>
      <c r="NPE1" t="s">
        <v>11452</v>
      </c>
      <c r="NPF1" t="s">
        <v>11453</v>
      </c>
      <c r="NPG1" t="s">
        <v>11454</v>
      </c>
      <c r="NPH1" t="s">
        <v>11455</v>
      </c>
      <c r="NPI1" t="s">
        <v>11456</v>
      </c>
      <c r="NPJ1" t="s">
        <v>11457</v>
      </c>
      <c r="NPK1" t="s">
        <v>11458</v>
      </c>
      <c r="NPL1" t="s">
        <v>11459</v>
      </c>
      <c r="NPM1" t="s">
        <v>11460</v>
      </c>
      <c r="NPN1" t="s">
        <v>11461</v>
      </c>
      <c r="NPO1" t="s">
        <v>11462</v>
      </c>
      <c r="NPP1" t="s">
        <v>11463</v>
      </c>
      <c r="NPQ1" t="s">
        <v>11464</v>
      </c>
      <c r="NPR1" t="s">
        <v>11465</v>
      </c>
      <c r="NPS1" t="s">
        <v>11466</v>
      </c>
      <c r="NPT1" t="s">
        <v>11467</v>
      </c>
      <c r="NPU1" t="s">
        <v>11468</v>
      </c>
      <c r="NPV1" t="s">
        <v>11469</v>
      </c>
      <c r="NPW1" t="s">
        <v>11470</v>
      </c>
      <c r="NPX1" t="s">
        <v>11471</v>
      </c>
      <c r="NPY1" t="s">
        <v>11472</v>
      </c>
      <c r="NPZ1" t="s">
        <v>11473</v>
      </c>
      <c r="NQA1" t="s">
        <v>11474</v>
      </c>
      <c r="NQB1" t="s">
        <v>11475</v>
      </c>
      <c r="NQC1" t="s">
        <v>11476</v>
      </c>
      <c r="NQD1" t="s">
        <v>11477</v>
      </c>
      <c r="NQE1" t="s">
        <v>11478</v>
      </c>
      <c r="NQF1" t="s">
        <v>11479</v>
      </c>
      <c r="NQG1" t="s">
        <v>11480</v>
      </c>
      <c r="NQH1" t="s">
        <v>11481</v>
      </c>
      <c r="NQI1" t="s">
        <v>11482</v>
      </c>
      <c r="NQJ1" t="s">
        <v>11483</v>
      </c>
      <c r="NQK1" t="s">
        <v>11484</v>
      </c>
      <c r="NQL1" t="s">
        <v>11485</v>
      </c>
      <c r="NQM1" t="s">
        <v>11486</v>
      </c>
      <c r="NQN1" t="s">
        <v>11487</v>
      </c>
      <c r="NQO1" t="s">
        <v>11488</v>
      </c>
      <c r="NQP1" t="s">
        <v>11489</v>
      </c>
      <c r="NQQ1" t="s">
        <v>11490</v>
      </c>
      <c r="NQR1" t="s">
        <v>11491</v>
      </c>
      <c r="NQS1" t="s">
        <v>11492</v>
      </c>
      <c r="NQT1" t="s">
        <v>11493</v>
      </c>
      <c r="NQU1" t="s">
        <v>11494</v>
      </c>
      <c r="NQV1" t="s">
        <v>11495</v>
      </c>
      <c r="NQW1" t="s">
        <v>11496</v>
      </c>
      <c r="NQX1" t="s">
        <v>11497</v>
      </c>
      <c r="NQY1" t="s">
        <v>11498</v>
      </c>
      <c r="NQZ1" t="s">
        <v>11499</v>
      </c>
      <c r="NRA1" t="s">
        <v>11500</v>
      </c>
      <c r="NRB1" t="s">
        <v>11501</v>
      </c>
      <c r="NRC1" t="s">
        <v>11502</v>
      </c>
      <c r="NRD1" t="s">
        <v>11503</v>
      </c>
      <c r="NRE1" t="s">
        <v>11504</v>
      </c>
      <c r="NRF1" t="s">
        <v>11505</v>
      </c>
      <c r="NRG1" t="s">
        <v>11506</v>
      </c>
      <c r="NRH1" t="s">
        <v>11507</v>
      </c>
      <c r="NRI1" t="s">
        <v>11508</v>
      </c>
      <c r="NRJ1" t="s">
        <v>11509</v>
      </c>
      <c r="NRK1" t="s">
        <v>11510</v>
      </c>
      <c r="NRL1" t="s">
        <v>11511</v>
      </c>
      <c r="NRM1" t="s">
        <v>11512</v>
      </c>
      <c r="NRN1" t="s">
        <v>11513</v>
      </c>
      <c r="NRO1" t="s">
        <v>11514</v>
      </c>
      <c r="NRP1" t="s">
        <v>11515</v>
      </c>
      <c r="NRQ1" t="s">
        <v>11516</v>
      </c>
      <c r="NRR1" t="s">
        <v>11517</v>
      </c>
      <c r="NRS1" t="s">
        <v>11518</v>
      </c>
      <c r="NRT1" t="s">
        <v>11519</v>
      </c>
      <c r="NRU1" t="s">
        <v>11520</v>
      </c>
      <c r="NRV1" t="s">
        <v>11521</v>
      </c>
      <c r="NRW1" t="s">
        <v>11522</v>
      </c>
      <c r="NRX1" t="s">
        <v>11523</v>
      </c>
      <c r="NRY1" t="s">
        <v>11524</v>
      </c>
      <c r="NRZ1" t="s">
        <v>11525</v>
      </c>
      <c r="NSA1" t="s">
        <v>11526</v>
      </c>
      <c r="NSB1" t="s">
        <v>11527</v>
      </c>
      <c r="NSC1" t="s">
        <v>11528</v>
      </c>
      <c r="NSD1" t="s">
        <v>11529</v>
      </c>
      <c r="NSE1" t="s">
        <v>11530</v>
      </c>
      <c r="NSF1" t="s">
        <v>11531</v>
      </c>
      <c r="NSG1" t="s">
        <v>11532</v>
      </c>
      <c r="NSH1" t="s">
        <v>11533</v>
      </c>
      <c r="NSI1" t="s">
        <v>11534</v>
      </c>
      <c r="NSJ1" t="s">
        <v>11535</v>
      </c>
      <c r="NSK1" t="s">
        <v>11536</v>
      </c>
      <c r="NSL1" t="s">
        <v>11537</v>
      </c>
      <c r="NSM1" t="s">
        <v>11538</v>
      </c>
      <c r="NSN1" t="s">
        <v>11539</v>
      </c>
      <c r="NSO1" t="s">
        <v>11540</v>
      </c>
      <c r="NSP1" t="s">
        <v>11541</v>
      </c>
      <c r="NSQ1" t="s">
        <v>11542</v>
      </c>
      <c r="NSR1" t="s">
        <v>11543</v>
      </c>
      <c r="NSS1" t="s">
        <v>11544</v>
      </c>
      <c r="NST1" t="s">
        <v>11545</v>
      </c>
      <c r="NSU1" t="s">
        <v>11546</v>
      </c>
      <c r="NSV1" t="s">
        <v>11547</v>
      </c>
      <c r="NSW1" t="s">
        <v>11548</v>
      </c>
      <c r="NSX1" t="s">
        <v>11549</v>
      </c>
      <c r="NSY1" t="s">
        <v>11550</v>
      </c>
      <c r="NSZ1" t="s">
        <v>11551</v>
      </c>
      <c r="NTA1" t="s">
        <v>11552</v>
      </c>
      <c r="NTB1" t="s">
        <v>11553</v>
      </c>
      <c r="NTC1" t="s">
        <v>11554</v>
      </c>
      <c r="NTD1" t="s">
        <v>11555</v>
      </c>
      <c r="NTE1" t="s">
        <v>11556</v>
      </c>
      <c r="NTF1" t="s">
        <v>11557</v>
      </c>
      <c r="NTG1" t="s">
        <v>11558</v>
      </c>
      <c r="NTH1" t="s">
        <v>11559</v>
      </c>
      <c r="NTI1" t="s">
        <v>11560</v>
      </c>
      <c r="NTJ1" t="s">
        <v>11561</v>
      </c>
      <c r="NTK1" t="s">
        <v>11562</v>
      </c>
      <c r="NTL1" t="s">
        <v>11563</v>
      </c>
      <c r="NTM1" t="s">
        <v>11564</v>
      </c>
      <c r="NTN1" t="s">
        <v>11565</v>
      </c>
      <c r="NTO1" t="s">
        <v>11566</v>
      </c>
      <c r="NTP1" t="s">
        <v>11567</v>
      </c>
      <c r="NTQ1" t="s">
        <v>11568</v>
      </c>
      <c r="NTR1" t="s">
        <v>11569</v>
      </c>
      <c r="NTS1" t="s">
        <v>11570</v>
      </c>
      <c r="NTT1" t="s">
        <v>11571</v>
      </c>
      <c r="NTU1" t="s">
        <v>11572</v>
      </c>
      <c r="NTV1" t="s">
        <v>11573</v>
      </c>
      <c r="NTW1" t="s">
        <v>11574</v>
      </c>
      <c r="NTX1" t="s">
        <v>11575</v>
      </c>
      <c r="NTY1" t="s">
        <v>11576</v>
      </c>
      <c r="NTZ1" t="s">
        <v>11577</v>
      </c>
      <c r="NUA1" t="s">
        <v>11578</v>
      </c>
      <c r="NUB1" t="s">
        <v>11579</v>
      </c>
      <c r="NUC1" t="s">
        <v>11580</v>
      </c>
      <c r="NUD1" t="s">
        <v>11581</v>
      </c>
      <c r="NUE1" t="s">
        <v>11582</v>
      </c>
      <c r="NUF1" t="s">
        <v>11583</v>
      </c>
      <c r="NUG1" t="s">
        <v>11584</v>
      </c>
      <c r="NUH1" t="s">
        <v>11585</v>
      </c>
      <c r="NUI1" t="s">
        <v>11586</v>
      </c>
      <c r="NUJ1" t="s">
        <v>11587</v>
      </c>
      <c r="NUK1" t="s">
        <v>11588</v>
      </c>
      <c r="NUL1" t="s">
        <v>11589</v>
      </c>
      <c r="NUM1" t="s">
        <v>11590</v>
      </c>
      <c r="NUN1" t="s">
        <v>11591</v>
      </c>
      <c r="NUO1" t="s">
        <v>11592</v>
      </c>
      <c r="NUP1" t="s">
        <v>11593</v>
      </c>
      <c r="NUQ1" t="s">
        <v>11594</v>
      </c>
      <c r="NUR1" t="s">
        <v>11595</v>
      </c>
      <c r="NUS1" t="s">
        <v>11596</v>
      </c>
      <c r="NUT1" t="s">
        <v>11597</v>
      </c>
      <c r="NUU1" t="s">
        <v>11598</v>
      </c>
      <c r="NUV1" t="s">
        <v>11599</v>
      </c>
      <c r="NUW1" t="s">
        <v>11600</v>
      </c>
      <c r="NUX1" t="s">
        <v>11601</v>
      </c>
      <c r="NUY1" t="s">
        <v>11602</v>
      </c>
      <c r="NUZ1" t="s">
        <v>11603</v>
      </c>
      <c r="NVA1" t="s">
        <v>11604</v>
      </c>
      <c r="NVB1" t="s">
        <v>11605</v>
      </c>
      <c r="NVC1" t="s">
        <v>11606</v>
      </c>
      <c r="NVD1" t="s">
        <v>11607</v>
      </c>
      <c r="NVE1" t="s">
        <v>11608</v>
      </c>
      <c r="NVF1" t="s">
        <v>11609</v>
      </c>
      <c r="NVG1" t="s">
        <v>11610</v>
      </c>
      <c r="NVH1" t="s">
        <v>11611</v>
      </c>
      <c r="NVI1" t="s">
        <v>11612</v>
      </c>
      <c r="NVJ1" t="s">
        <v>11613</v>
      </c>
      <c r="NVK1" t="s">
        <v>11614</v>
      </c>
      <c r="NVL1" t="s">
        <v>11615</v>
      </c>
      <c r="NVM1" t="s">
        <v>11616</v>
      </c>
      <c r="NVN1" t="s">
        <v>11617</v>
      </c>
      <c r="NVO1" t="s">
        <v>11618</v>
      </c>
      <c r="NVP1" t="s">
        <v>11619</v>
      </c>
      <c r="NVQ1" t="s">
        <v>11620</v>
      </c>
      <c r="NVR1" t="s">
        <v>11621</v>
      </c>
      <c r="NVS1" t="s">
        <v>11622</v>
      </c>
      <c r="NVT1" t="s">
        <v>11623</v>
      </c>
      <c r="NVU1" t="s">
        <v>11624</v>
      </c>
      <c r="NVV1" t="s">
        <v>11625</v>
      </c>
      <c r="NVW1" t="s">
        <v>11626</v>
      </c>
      <c r="NVX1" t="s">
        <v>11627</v>
      </c>
      <c r="NVY1" t="s">
        <v>11628</v>
      </c>
      <c r="NVZ1" t="s">
        <v>11629</v>
      </c>
      <c r="NWA1" t="s">
        <v>11630</v>
      </c>
      <c r="NWB1" t="s">
        <v>11631</v>
      </c>
      <c r="NWC1" t="s">
        <v>11632</v>
      </c>
      <c r="NWD1" t="s">
        <v>11633</v>
      </c>
      <c r="NWE1" t="s">
        <v>11634</v>
      </c>
      <c r="NWF1" t="s">
        <v>11635</v>
      </c>
      <c r="NWG1" t="s">
        <v>11636</v>
      </c>
      <c r="NWH1" t="s">
        <v>11637</v>
      </c>
      <c r="NWI1" t="s">
        <v>11638</v>
      </c>
      <c r="NWJ1" t="s">
        <v>11639</v>
      </c>
      <c r="NWK1" t="s">
        <v>11640</v>
      </c>
      <c r="NWL1" t="s">
        <v>11641</v>
      </c>
      <c r="NWM1" t="s">
        <v>11642</v>
      </c>
      <c r="NWN1" t="s">
        <v>11643</v>
      </c>
      <c r="NWO1" t="s">
        <v>11644</v>
      </c>
      <c r="NWP1" t="s">
        <v>11645</v>
      </c>
      <c r="NWQ1" t="s">
        <v>11646</v>
      </c>
      <c r="NWR1" t="s">
        <v>11647</v>
      </c>
      <c r="NWS1" t="s">
        <v>11648</v>
      </c>
      <c r="NWT1" t="s">
        <v>11649</v>
      </c>
      <c r="NWU1" t="s">
        <v>11650</v>
      </c>
      <c r="NWV1" t="s">
        <v>11651</v>
      </c>
      <c r="NWW1" t="s">
        <v>11652</v>
      </c>
      <c r="NWX1" t="s">
        <v>11653</v>
      </c>
      <c r="NWY1" t="s">
        <v>11654</v>
      </c>
      <c r="NWZ1" t="s">
        <v>11655</v>
      </c>
      <c r="NXA1" t="s">
        <v>11656</v>
      </c>
      <c r="NXB1" t="s">
        <v>11657</v>
      </c>
      <c r="NXC1" t="s">
        <v>11658</v>
      </c>
      <c r="NXD1" t="s">
        <v>11659</v>
      </c>
      <c r="NXE1" t="s">
        <v>11660</v>
      </c>
      <c r="NXF1" t="s">
        <v>11661</v>
      </c>
      <c r="NXG1" t="s">
        <v>11662</v>
      </c>
      <c r="NXH1" t="s">
        <v>11663</v>
      </c>
      <c r="NXI1" t="s">
        <v>11664</v>
      </c>
      <c r="NXJ1" t="s">
        <v>11665</v>
      </c>
      <c r="NXK1" t="s">
        <v>11666</v>
      </c>
      <c r="NXL1" t="s">
        <v>11667</v>
      </c>
      <c r="NXM1" t="s">
        <v>11668</v>
      </c>
      <c r="NXN1" t="s">
        <v>11669</v>
      </c>
      <c r="NXO1" t="s">
        <v>11670</v>
      </c>
      <c r="NXP1" t="s">
        <v>11671</v>
      </c>
      <c r="NXQ1" t="s">
        <v>11672</v>
      </c>
      <c r="NXR1" t="s">
        <v>11673</v>
      </c>
      <c r="NXS1" t="s">
        <v>11674</v>
      </c>
      <c r="NXT1" t="s">
        <v>11675</v>
      </c>
      <c r="NXU1" t="s">
        <v>11676</v>
      </c>
      <c r="NXV1" t="s">
        <v>11677</v>
      </c>
      <c r="NXW1" t="s">
        <v>11678</v>
      </c>
      <c r="NXX1" t="s">
        <v>11679</v>
      </c>
      <c r="NXY1" t="s">
        <v>11680</v>
      </c>
      <c r="NXZ1" t="s">
        <v>11681</v>
      </c>
      <c r="NYA1" t="s">
        <v>11682</v>
      </c>
      <c r="NYB1" t="s">
        <v>11683</v>
      </c>
      <c r="NYC1" t="s">
        <v>11684</v>
      </c>
      <c r="NYD1" t="s">
        <v>11685</v>
      </c>
      <c r="NYE1" t="s">
        <v>11686</v>
      </c>
      <c r="NYF1" t="s">
        <v>11687</v>
      </c>
      <c r="NYG1" t="s">
        <v>11688</v>
      </c>
      <c r="NYH1" t="s">
        <v>11689</v>
      </c>
      <c r="NYI1" t="s">
        <v>11690</v>
      </c>
      <c r="NYJ1" t="s">
        <v>11691</v>
      </c>
      <c r="NYK1" t="s">
        <v>11692</v>
      </c>
      <c r="NYL1" t="s">
        <v>11693</v>
      </c>
      <c r="NYM1" t="s">
        <v>11694</v>
      </c>
      <c r="NYN1" t="s">
        <v>11695</v>
      </c>
      <c r="NYO1" t="s">
        <v>11696</v>
      </c>
      <c r="NYP1" t="s">
        <v>11697</v>
      </c>
      <c r="NYQ1" t="s">
        <v>11698</v>
      </c>
      <c r="NYR1" t="s">
        <v>11699</v>
      </c>
      <c r="NYS1" t="s">
        <v>11700</v>
      </c>
      <c r="NYT1" t="s">
        <v>11701</v>
      </c>
      <c r="NYU1" t="s">
        <v>11702</v>
      </c>
      <c r="NYV1" t="s">
        <v>11703</v>
      </c>
      <c r="NYW1" t="s">
        <v>11704</v>
      </c>
      <c r="NYX1" t="s">
        <v>11705</v>
      </c>
      <c r="NYY1" t="s">
        <v>11706</v>
      </c>
      <c r="NYZ1" t="s">
        <v>11707</v>
      </c>
      <c r="NZA1" t="s">
        <v>11708</v>
      </c>
      <c r="NZB1" t="s">
        <v>11709</v>
      </c>
      <c r="NZC1" t="s">
        <v>11710</v>
      </c>
      <c r="NZD1" t="s">
        <v>11711</v>
      </c>
      <c r="NZE1" t="s">
        <v>11712</v>
      </c>
      <c r="NZF1" t="s">
        <v>11713</v>
      </c>
      <c r="NZG1" t="s">
        <v>11714</v>
      </c>
      <c r="NZH1" t="s">
        <v>11715</v>
      </c>
      <c r="NZI1" t="s">
        <v>11716</v>
      </c>
      <c r="NZJ1" t="s">
        <v>11717</v>
      </c>
      <c r="NZK1" t="s">
        <v>11718</v>
      </c>
      <c r="NZL1" t="s">
        <v>11719</v>
      </c>
      <c r="NZM1" t="s">
        <v>11720</v>
      </c>
      <c r="NZN1" t="s">
        <v>11721</v>
      </c>
      <c r="NZO1" t="s">
        <v>11722</v>
      </c>
      <c r="NZP1" t="s">
        <v>11723</v>
      </c>
      <c r="NZQ1" t="s">
        <v>11724</v>
      </c>
      <c r="NZR1" t="s">
        <v>11725</v>
      </c>
      <c r="NZS1" t="s">
        <v>11726</v>
      </c>
      <c r="NZT1" t="s">
        <v>11727</v>
      </c>
      <c r="NZU1" t="s">
        <v>11728</v>
      </c>
      <c r="NZV1" t="s">
        <v>11729</v>
      </c>
      <c r="NZW1" t="s">
        <v>11730</v>
      </c>
      <c r="NZX1" t="s">
        <v>11731</v>
      </c>
      <c r="NZY1" t="s">
        <v>11732</v>
      </c>
      <c r="NZZ1" t="s">
        <v>11733</v>
      </c>
      <c r="OAA1" t="s">
        <v>11734</v>
      </c>
      <c r="OAB1" t="s">
        <v>11735</v>
      </c>
      <c r="OAC1" t="s">
        <v>11736</v>
      </c>
      <c r="OAD1" t="s">
        <v>11737</v>
      </c>
      <c r="OAE1" t="s">
        <v>11738</v>
      </c>
      <c r="OAF1" t="s">
        <v>11739</v>
      </c>
      <c r="OAG1" t="s">
        <v>11740</v>
      </c>
      <c r="OAH1" t="s">
        <v>11741</v>
      </c>
      <c r="OAI1" t="s">
        <v>11742</v>
      </c>
      <c r="OAJ1" t="s">
        <v>11743</v>
      </c>
      <c r="OAK1" t="s">
        <v>11744</v>
      </c>
      <c r="OAL1" t="s">
        <v>11745</v>
      </c>
      <c r="OAM1" t="s">
        <v>11746</v>
      </c>
      <c r="OAN1" t="s">
        <v>11747</v>
      </c>
      <c r="OAO1" t="s">
        <v>11748</v>
      </c>
      <c r="OAP1" t="s">
        <v>11749</v>
      </c>
      <c r="OAQ1" t="s">
        <v>11750</v>
      </c>
      <c r="OAR1" t="s">
        <v>11751</v>
      </c>
      <c r="OAS1" t="s">
        <v>11752</v>
      </c>
      <c r="OAT1" t="s">
        <v>11753</v>
      </c>
      <c r="OAU1" t="s">
        <v>11754</v>
      </c>
      <c r="OAV1" t="s">
        <v>11755</v>
      </c>
      <c r="OAW1" t="s">
        <v>11756</v>
      </c>
      <c r="OAX1" t="s">
        <v>11757</v>
      </c>
      <c r="OAY1" t="s">
        <v>11758</v>
      </c>
      <c r="OAZ1" t="s">
        <v>11759</v>
      </c>
      <c r="OBA1" t="s">
        <v>11760</v>
      </c>
      <c r="OBB1" t="s">
        <v>11761</v>
      </c>
      <c r="OBC1" t="s">
        <v>11762</v>
      </c>
      <c r="OBD1" t="s">
        <v>11763</v>
      </c>
      <c r="OBE1" t="s">
        <v>11764</v>
      </c>
      <c r="OBF1" t="s">
        <v>11765</v>
      </c>
      <c r="OBG1" t="s">
        <v>11766</v>
      </c>
      <c r="OBH1" t="s">
        <v>11767</v>
      </c>
      <c r="OBI1" t="s">
        <v>11768</v>
      </c>
      <c r="OBJ1" t="s">
        <v>11769</v>
      </c>
      <c r="OBK1" t="s">
        <v>11770</v>
      </c>
      <c r="OBL1" t="s">
        <v>11771</v>
      </c>
      <c r="OBM1" t="s">
        <v>11772</v>
      </c>
      <c r="OBN1" t="s">
        <v>11773</v>
      </c>
      <c r="OBO1" t="s">
        <v>11774</v>
      </c>
      <c r="OBP1" t="s">
        <v>11775</v>
      </c>
      <c r="OBQ1" t="s">
        <v>11776</v>
      </c>
      <c r="OBR1" t="s">
        <v>11777</v>
      </c>
      <c r="OBS1" t="s">
        <v>11778</v>
      </c>
      <c r="OBT1" t="s">
        <v>11779</v>
      </c>
      <c r="OBU1" t="s">
        <v>11780</v>
      </c>
      <c r="OBV1" t="s">
        <v>11781</v>
      </c>
      <c r="OBW1" t="s">
        <v>11782</v>
      </c>
      <c r="OBX1" t="s">
        <v>11783</v>
      </c>
      <c r="OBY1" t="s">
        <v>11784</v>
      </c>
      <c r="OBZ1" t="s">
        <v>11785</v>
      </c>
      <c r="OCA1" t="s">
        <v>11786</v>
      </c>
      <c r="OCB1" t="s">
        <v>11787</v>
      </c>
      <c r="OCC1" t="s">
        <v>11788</v>
      </c>
      <c r="OCD1" t="s">
        <v>11789</v>
      </c>
      <c r="OCE1" t="s">
        <v>11790</v>
      </c>
      <c r="OCF1" t="s">
        <v>11791</v>
      </c>
      <c r="OCG1" t="s">
        <v>11792</v>
      </c>
      <c r="OCH1" t="s">
        <v>11793</v>
      </c>
      <c r="OCI1" t="s">
        <v>11794</v>
      </c>
      <c r="OCJ1" t="s">
        <v>11795</v>
      </c>
      <c r="OCK1" t="s">
        <v>11796</v>
      </c>
      <c r="OCL1" t="s">
        <v>11797</v>
      </c>
      <c r="OCM1" t="s">
        <v>11798</v>
      </c>
      <c r="OCN1" t="s">
        <v>11799</v>
      </c>
      <c r="OCO1" t="s">
        <v>11800</v>
      </c>
      <c r="OCP1" t="s">
        <v>11801</v>
      </c>
      <c r="OCQ1" t="s">
        <v>11802</v>
      </c>
      <c r="OCR1" t="s">
        <v>11803</v>
      </c>
      <c r="OCS1" t="s">
        <v>11804</v>
      </c>
      <c r="OCT1" t="s">
        <v>11805</v>
      </c>
      <c r="OCU1" t="s">
        <v>11806</v>
      </c>
      <c r="OCV1" t="s">
        <v>11807</v>
      </c>
      <c r="OCW1" t="s">
        <v>11808</v>
      </c>
      <c r="OCX1" t="s">
        <v>11809</v>
      </c>
      <c r="OCY1" t="s">
        <v>11810</v>
      </c>
      <c r="OCZ1" t="s">
        <v>11811</v>
      </c>
      <c r="ODA1" t="s">
        <v>11812</v>
      </c>
      <c r="ODB1" t="s">
        <v>11813</v>
      </c>
      <c r="ODC1" t="s">
        <v>11814</v>
      </c>
      <c r="ODD1" t="s">
        <v>11815</v>
      </c>
      <c r="ODE1" t="s">
        <v>11816</v>
      </c>
      <c r="ODF1" t="s">
        <v>11817</v>
      </c>
      <c r="ODG1" t="s">
        <v>11818</v>
      </c>
      <c r="ODH1" t="s">
        <v>11819</v>
      </c>
      <c r="ODI1" t="s">
        <v>11820</v>
      </c>
      <c r="ODJ1" t="s">
        <v>11821</v>
      </c>
      <c r="ODK1" t="s">
        <v>11822</v>
      </c>
      <c r="ODL1" t="s">
        <v>11823</v>
      </c>
      <c r="ODM1" t="s">
        <v>11824</v>
      </c>
      <c r="ODN1" t="s">
        <v>11825</v>
      </c>
      <c r="ODO1" t="s">
        <v>11826</v>
      </c>
      <c r="ODP1" t="s">
        <v>11827</v>
      </c>
      <c r="ODQ1" t="s">
        <v>11828</v>
      </c>
      <c r="ODR1" t="s">
        <v>11829</v>
      </c>
      <c r="ODS1" t="s">
        <v>11830</v>
      </c>
      <c r="ODT1" t="s">
        <v>11831</v>
      </c>
      <c r="ODU1" t="s">
        <v>11832</v>
      </c>
      <c r="ODV1" t="s">
        <v>11833</v>
      </c>
      <c r="ODW1" t="s">
        <v>11834</v>
      </c>
      <c r="ODX1" t="s">
        <v>11835</v>
      </c>
      <c r="ODY1" t="s">
        <v>11836</v>
      </c>
      <c r="ODZ1" t="s">
        <v>11837</v>
      </c>
      <c r="OEA1" t="s">
        <v>11838</v>
      </c>
      <c r="OEB1" t="s">
        <v>11839</v>
      </c>
      <c r="OEC1" t="s">
        <v>11840</v>
      </c>
      <c r="OED1" t="s">
        <v>11841</v>
      </c>
      <c r="OEE1" t="s">
        <v>11842</v>
      </c>
      <c r="OEF1" t="s">
        <v>11843</v>
      </c>
      <c r="OEG1" t="s">
        <v>11844</v>
      </c>
      <c r="OEH1" t="s">
        <v>11845</v>
      </c>
      <c r="OEI1" t="s">
        <v>11846</v>
      </c>
      <c r="OEJ1" t="s">
        <v>11847</v>
      </c>
      <c r="OEK1" t="s">
        <v>11848</v>
      </c>
      <c r="OEL1" t="s">
        <v>11849</v>
      </c>
      <c r="OEM1" t="s">
        <v>11850</v>
      </c>
      <c r="OEN1" t="s">
        <v>11851</v>
      </c>
      <c r="OEO1" t="s">
        <v>11852</v>
      </c>
      <c r="OEP1" t="s">
        <v>11853</v>
      </c>
      <c r="OEQ1" t="s">
        <v>11854</v>
      </c>
      <c r="OER1" t="s">
        <v>11855</v>
      </c>
      <c r="OES1" t="s">
        <v>11856</v>
      </c>
      <c r="OET1" t="s">
        <v>11857</v>
      </c>
      <c r="OEU1" t="s">
        <v>11858</v>
      </c>
      <c r="OEV1" t="s">
        <v>11859</v>
      </c>
      <c r="OEW1" t="s">
        <v>11860</v>
      </c>
      <c r="OEX1" t="s">
        <v>11861</v>
      </c>
      <c r="OEY1" t="s">
        <v>11862</v>
      </c>
      <c r="OEZ1" t="s">
        <v>11863</v>
      </c>
      <c r="OFA1" t="s">
        <v>11864</v>
      </c>
      <c r="OFB1" t="s">
        <v>11865</v>
      </c>
      <c r="OFC1" t="s">
        <v>11866</v>
      </c>
      <c r="OFD1" t="s">
        <v>11867</v>
      </c>
      <c r="OFE1" t="s">
        <v>11868</v>
      </c>
      <c r="OFF1" t="s">
        <v>11869</v>
      </c>
      <c r="OFG1" t="s">
        <v>11870</v>
      </c>
      <c r="OFH1" t="s">
        <v>11871</v>
      </c>
      <c r="OFI1" t="s">
        <v>11872</v>
      </c>
      <c r="OFJ1" t="s">
        <v>11873</v>
      </c>
      <c r="OFK1" t="s">
        <v>11874</v>
      </c>
      <c r="OFL1" t="s">
        <v>11875</v>
      </c>
      <c r="OFM1" t="s">
        <v>11876</v>
      </c>
      <c r="OFN1" t="s">
        <v>11877</v>
      </c>
      <c r="OFO1" t="s">
        <v>11878</v>
      </c>
      <c r="OFP1" t="s">
        <v>11879</v>
      </c>
      <c r="OFQ1" t="s">
        <v>11880</v>
      </c>
      <c r="OFR1" t="s">
        <v>11881</v>
      </c>
      <c r="OFS1" t="s">
        <v>11882</v>
      </c>
      <c r="OFT1" t="s">
        <v>11883</v>
      </c>
      <c r="OFU1" t="s">
        <v>11884</v>
      </c>
      <c r="OFV1" t="s">
        <v>11885</v>
      </c>
      <c r="OFW1" t="s">
        <v>11886</v>
      </c>
      <c r="OFX1" t="s">
        <v>11887</v>
      </c>
      <c r="OFY1" t="s">
        <v>11888</v>
      </c>
      <c r="OFZ1" t="s">
        <v>11889</v>
      </c>
      <c r="OGA1" t="s">
        <v>11890</v>
      </c>
      <c r="OGB1" t="s">
        <v>11891</v>
      </c>
      <c r="OGC1" t="s">
        <v>11892</v>
      </c>
      <c r="OGD1" t="s">
        <v>11893</v>
      </c>
      <c r="OGE1" t="s">
        <v>11894</v>
      </c>
      <c r="OGF1" t="s">
        <v>11895</v>
      </c>
      <c r="OGG1" t="s">
        <v>11896</v>
      </c>
      <c r="OGH1" t="s">
        <v>11897</v>
      </c>
      <c r="OGI1" t="s">
        <v>11898</v>
      </c>
      <c r="OGJ1" t="s">
        <v>11899</v>
      </c>
      <c r="OGK1" t="s">
        <v>11900</v>
      </c>
      <c r="OGL1" t="s">
        <v>11901</v>
      </c>
      <c r="OGM1" t="s">
        <v>11902</v>
      </c>
      <c r="OGN1" t="s">
        <v>11903</v>
      </c>
      <c r="OGO1" t="s">
        <v>11904</v>
      </c>
      <c r="OGP1" t="s">
        <v>11905</v>
      </c>
      <c r="OGQ1" t="s">
        <v>11906</v>
      </c>
      <c r="OGR1" t="s">
        <v>11907</v>
      </c>
      <c r="OGS1" t="s">
        <v>11908</v>
      </c>
      <c r="OGT1" t="s">
        <v>11909</v>
      </c>
      <c r="OGU1" t="s">
        <v>11910</v>
      </c>
      <c r="OGV1" t="s">
        <v>11911</v>
      </c>
      <c r="OGW1" t="s">
        <v>11912</v>
      </c>
      <c r="OGX1" t="s">
        <v>11913</v>
      </c>
      <c r="OGY1" t="s">
        <v>11914</v>
      </c>
      <c r="OGZ1" t="s">
        <v>11915</v>
      </c>
      <c r="OHA1" t="s">
        <v>11916</v>
      </c>
      <c r="OHB1" t="s">
        <v>11917</v>
      </c>
      <c r="OHC1" t="s">
        <v>11918</v>
      </c>
      <c r="OHD1" t="s">
        <v>11919</v>
      </c>
      <c r="OHE1" t="s">
        <v>11920</v>
      </c>
      <c r="OHF1" t="s">
        <v>11921</v>
      </c>
      <c r="OHG1" t="s">
        <v>11922</v>
      </c>
      <c r="OHH1" t="s">
        <v>11923</v>
      </c>
      <c r="OHI1" t="s">
        <v>11924</v>
      </c>
      <c r="OHJ1" t="s">
        <v>11925</v>
      </c>
      <c r="OHK1" t="s">
        <v>11926</v>
      </c>
      <c r="OHL1" t="s">
        <v>11927</v>
      </c>
      <c r="OHM1" t="s">
        <v>11928</v>
      </c>
      <c r="OHN1" t="s">
        <v>11929</v>
      </c>
      <c r="OHO1" t="s">
        <v>11930</v>
      </c>
      <c r="OHP1" t="s">
        <v>11931</v>
      </c>
      <c r="OHQ1" t="s">
        <v>11932</v>
      </c>
      <c r="OHR1" t="s">
        <v>11933</v>
      </c>
      <c r="OHS1" t="s">
        <v>11934</v>
      </c>
      <c r="OHT1" t="s">
        <v>11935</v>
      </c>
      <c r="OHU1" t="s">
        <v>11936</v>
      </c>
      <c r="OHV1" t="s">
        <v>11937</v>
      </c>
      <c r="OHW1" t="s">
        <v>11938</v>
      </c>
      <c r="OHX1" t="s">
        <v>11939</v>
      </c>
      <c r="OHY1" t="s">
        <v>11940</v>
      </c>
      <c r="OHZ1" t="s">
        <v>11941</v>
      </c>
      <c r="OIA1" t="s">
        <v>11942</v>
      </c>
      <c r="OIB1" t="s">
        <v>11943</v>
      </c>
      <c r="OIC1" t="s">
        <v>11944</v>
      </c>
      <c r="OID1" t="s">
        <v>11945</v>
      </c>
      <c r="OIE1" t="s">
        <v>11946</v>
      </c>
      <c r="OIF1" t="s">
        <v>11947</v>
      </c>
      <c r="OIG1" t="s">
        <v>11948</v>
      </c>
      <c r="OIH1" t="s">
        <v>11949</v>
      </c>
      <c r="OII1" t="s">
        <v>11950</v>
      </c>
      <c r="OIJ1" t="s">
        <v>11951</v>
      </c>
      <c r="OIK1" t="s">
        <v>11952</v>
      </c>
      <c r="OIL1" t="s">
        <v>11953</v>
      </c>
      <c r="OIM1" t="s">
        <v>11954</v>
      </c>
      <c r="OIN1" t="s">
        <v>11955</v>
      </c>
      <c r="OIO1" t="s">
        <v>11956</v>
      </c>
      <c r="OIP1" t="s">
        <v>11957</v>
      </c>
      <c r="OIQ1" t="s">
        <v>11958</v>
      </c>
      <c r="OIR1" t="s">
        <v>11959</v>
      </c>
      <c r="OIS1" t="s">
        <v>11960</v>
      </c>
      <c r="OIT1" t="s">
        <v>11961</v>
      </c>
      <c r="OIU1" t="s">
        <v>11962</v>
      </c>
      <c r="OIV1" t="s">
        <v>11963</v>
      </c>
      <c r="OIW1" t="s">
        <v>11964</v>
      </c>
      <c r="OIX1" t="s">
        <v>11965</v>
      </c>
      <c r="OIY1" t="s">
        <v>11966</v>
      </c>
      <c r="OIZ1" t="s">
        <v>11967</v>
      </c>
      <c r="OJA1" t="s">
        <v>11968</v>
      </c>
      <c r="OJB1" t="s">
        <v>11969</v>
      </c>
      <c r="OJC1" t="s">
        <v>11970</v>
      </c>
      <c r="OJD1" t="s">
        <v>11971</v>
      </c>
      <c r="OJE1" t="s">
        <v>11972</v>
      </c>
      <c r="OJF1" t="s">
        <v>11973</v>
      </c>
      <c r="OJG1" t="s">
        <v>11974</v>
      </c>
      <c r="OJH1" t="s">
        <v>11975</v>
      </c>
      <c r="OJI1" t="s">
        <v>11976</v>
      </c>
      <c r="OJJ1" t="s">
        <v>11977</v>
      </c>
      <c r="OJK1" t="s">
        <v>11978</v>
      </c>
      <c r="OJL1" t="s">
        <v>11979</v>
      </c>
      <c r="OJM1" t="s">
        <v>11980</v>
      </c>
      <c r="OJN1" t="s">
        <v>11981</v>
      </c>
      <c r="OJO1" t="s">
        <v>11982</v>
      </c>
      <c r="OJP1" t="s">
        <v>11983</v>
      </c>
      <c r="OJQ1" t="s">
        <v>11984</v>
      </c>
      <c r="OJR1" t="s">
        <v>11985</v>
      </c>
      <c r="OJS1" t="s">
        <v>11986</v>
      </c>
      <c r="OJT1" t="s">
        <v>11987</v>
      </c>
      <c r="OJU1" t="s">
        <v>11988</v>
      </c>
      <c r="OJV1" t="s">
        <v>11989</v>
      </c>
      <c r="OJW1" t="s">
        <v>11990</v>
      </c>
      <c r="OJX1" t="s">
        <v>11991</v>
      </c>
      <c r="OJY1" t="s">
        <v>11992</v>
      </c>
      <c r="OJZ1" t="s">
        <v>11993</v>
      </c>
      <c r="OKA1" t="s">
        <v>11994</v>
      </c>
      <c r="OKB1" t="s">
        <v>11995</v>
      </c>
      <c r="OKC1" t="s">
        <v>11996</v>
      </c>
      <c r="OKD1" t="s">
        <v>11997</v>
      </c>
      <c r="OKE1" t="s">
        <v>11998</v>
      </c>
      <c r="OKF1" t="s">
        <v>11999</v>
      </c>
      <c r="OKG1" t="s">
        <v>12000</v>
      </c>
      <c r="OKH1" t="s">
        <v>12001</v>
      </c>
      <c r="OKI1" t="s">
        <v>12002</v>
      </c>
      <c r="OKJ1" t="s">
        <v>12003</v>
      </c>
      <c r="OKK1" t="s">
        <v>12004</v>
      </c>
      <c r="OKL1" t="s">
        <v>12005</v>
      </c>
      <c r="OKM1" t="s">
        <v>12006</v>
      </c>
      <c r="OKN1" t="s">
        <v>12007</v>
      </c>
      <c r="OKO1" t="s">
        <v>12008</v>
      </c>
      <c r="OKP1" t="s">
        <v>12009</v>
      </c>
      <c r="OKQ1" t="s">
        <v>12010</v>
      </c>
      <c r="OKR1" t="s">
        <v>12011</v>
      </c>
      <c r="OKS1" t="s">
        <v>12012</v>
      </c>
      <c r="OKT1" t="s">
        <v>12013</v>
      </c>
      <c r="OKU1" t="s">
        <v>12014</v>
      </c>
      <c r="OKV1" t="s">
        <v>12015</v>
      </c>
      <c r="OKW1" t="s">
        <v>12016</v>
      </c>
      <c r="OKX1" t="s">
        <v>12017</v>
      </c>
      <c r="OKY1" t="s">
        <v>12018</v>
      </c>
      <c r="OKZ1" t="s">
        <v>12019</v>
      </c>
      <c r="OLA1" t="s">
        <v>12020</v>
      </c>
      <c r="OLB1" t="s">
        <v>12021</v>
      </c>
      <c r="OLC1" t="s">
        <v>12022</v>
      </c>
      <c r="OLD1" t="s">
        <v>12023</v>
      </c>
      <c r="OLE1" t="s">
        <v>12024</v>
      </c>
      <c r="OLF1" t="s">
        <v>12025</v>
      </c>
      <c r="OLG1" t="s">
        <v>12026</v>
      </c>
      <c r="OLH1" t="s">
        <v>12027</v>
      </c>
      <c r="OLI1" t="s">
        <v>12028</v>
      </c>
      <c r="OLJ1" t="s">
        <v>12029</v>
      </c>
      <c r="OLK1" t="s">
        <v>12030</v>
      </c>
      <c r="OLL1" t="s">
        <v>12031</v>
      </c>
      <c r="OLM1" t="s">
        <v>12032</v>
      </c>
      <c r="OLN1" t="s">
        <v>12033</v>
      </c>
      <c r="OLO1" t="s">
        <v>12034</v>
      </c>
      <c r="OLP1" t="s">
        <v>12035</v>
      </c>
      <c r="OLQ1" t="s">
        <v>12036</v>
      </c>
      <c r="OLR1" t="s">
        <v>12037</v>
      </c>
      <c r="OLS1" t="s">
        <v>12038</v>
      </c>
      <c r="OLT1" t="s">
        <v>12039</v>
      </c>
      <c r="OLU1" t="s">
        <v>12040</v>
      </c>
      <c r="OLV1" t="s">
        <v>12041</v>
      </c>
      <c r="OLW1" t="s">
        <v>12042</v>
      </c>
      <c r="OLX1" t="s">
        <v>12043</v>
      </c>
      <c r="OLY1" t="s">
        <v>12044</v>
      </c>
      <c r="OLZ1" t="s">
        <v>12045</v>
      </c>
      <c r="OMA1" t="s">
        <v>12046</v>
      </c>
      <c r="OMB1" t="s">
        <v>12047</v>
      </c>
      <c r="OMC1" t="s">
        <v>12048</v>
      </c>
      <c r="OMD1" t="s">
        <v>12049</v>
      </c>
      <c r="OME1" t="s">
        <v>12050</v>
      </c>
      <c r="OMF1" t="s">
        <v>12051</v>
      </c>
      <c r="OMG1" t="s">
        <v>12052</v>
      </c>
      <c r="OMH1" t="s">
        <v>12053</v>
      </c>
      <c r="OMI1" t="s">
        <v>12054</v>
      </c>
      <c r="OMJ1" t="s">
        <v>12055</v>
      </c>
      <c r="OMK1" t="s">
        <v>12056</v>
      </c>
      <c r="OML1" t="s">
        <v>12057</v>
      </c>
      <c r="OMM1" t="s">
        <v>12058</v>
      </c>
      <c r="OMN1" t="s">
        <v>12059</v>
      </c>
      <c r="OMO1" t="s">
        <v>12060</v>
      </c>
      <c r="OMP1" t="s">
        <v>12061</v>
      </c>
      <c r="OMQ1" t="s">
        <v>12062</v>
      </c>
      <c r="OMR1" t="s">
        <v>12063</v>
      </c>
      <c r="OMS1" t="s">
        <v>12064</v>
      </c>
      <c r="OMT1" t="s">
        <v>12065</v>
      </c>
      <c r="OMU1" t="s">
        <v>12066</v>
      </c>
      <c r="OMV1" t="s">
        <v>12067</v>
      </c>
      <c r="OMW1" t="s">
        <v>12068</v>
      </c>
      <c r="OMX1" t="s">
        <v>12069</v>
      </c>
      <c r="OMY1" t="s">
        <v>12070</v>
      </c>
      <c r="OMZ1" t="s">
        <v>12071</v>
      </c>
      <c r="ONA1" t="s">
        <v>12072</v>
      </c>
      <c r="ONB1" t="s">
        <v>12073</v>
      </c>
      <c r="ONC1" t="s">
        <v>12074</v>
      </c>
      <c r="OND1" t="s">
        <v>12075</v>
      </c>
      <c r="ONE1" t="s">
        <v>12076</v>
      </c>
      <c r="ONF1" t="s">
        <v>12077</v>
      </c>
      <c r="ONG1" t="s">
        <v>12078</v>
      </c>
      <c r="ONH1" t="s">
        <v>12079</v>
      </c>
      <c r="ONI1" t="s">
        <v>12080</v>
      </c>
      <c r="ONJ1" t="s">
        <v>12081</v>
      </c>
      <c r="ONK1" t="s">
        <v>12082</v>
      </c>
      <c r="ONL1" t="s">
        <v>12083</v>
      </c>
      <c r="ONM1" t="s">
        <v>12084</v>
      </c>
      <c r="ONN1" t="s">
        <v>12085</v>
      </c>
      <c r="ONO1" t="s">
        <v>12086</v>
      </c>
      <c r="ONP1" t="s">
        <v>12087</v>
      </c>
      <c r="ONQ1" t="s">
        <v>12088</v>
      </c>
      <c r="ONR1" t="s">
        <v>12089</v>
      </c>
      <c r="ONS1" t="s">
        <v>12090</v>
      </c>
      <c r="ONT1" t="s">
        <v>12091</v>
      </c>
      <c r="ONU1" t="s">
        <v>12092</v>
      </c>
      <c r="ONV1" t="s">
        <v>12093</v>
      </c>
      <c r="ONW1" t="s">
        <v>12094</v>
      </c>
      <c r="ONX1" t="s">
        <v>12095</v>
      </c>
      <c r="ONY1" t="s">
        <v>12096</v>
      </c>
      <c r="ONZ1" t="s">
        <v>12097</v>
      </c>
      <c r="OOA1" t="s">
        <v>12098</v>
      </c>
      <c r="OOB1" t="s">
        <v>12099</v>
      </c>
      <c r="OOC1" t="s">
        <v>12100</v>
      </c>
      <c r="OOD1" t="s">
        <v>12101</v>
      </c>
      <c r="OOE1" t="s">
        <v>12102</v>
      </c>
      <c r="OOF1" t="s">
        <v>12103</v>
      </c>
      <c r="OOG1" t="s">
        <v>12104</v>
      </c>
      <c r="OOH1" t="s">
        <v>12105</v>
      </c>
      <c r="OOI1" t="s">
        <v>12106</v>
      </c>
      <c r="OOJ1" t="s">
        <v>12107</v>
      </c>
      <c r="OOK1" t="s">
        <v>12108</v>
      </c>
      <c r="OOL1" t="s">
        <v>12109</v>
      </c>
      <c r="OOM1" t="s">
        <v>12110</v>
      </c>
      <c r="OON1" t="s">
        <v>12111</v>
      </c>
      <c r="OOO1" t="s">
        <v>12112</v>
      </c>
      <c r="OOP1" t="s">
        <v>12113</v>
      </c>
      <c r="OOQ1" t="s">
        <v>12114</v>
      </c>
      <c r="OOR1" t="s">
        <v>12115</v>
      </c>
      <c r="OOS1" t="s">
        <v>12116</v>
      </c>
      <c r="OOT1" t="s">
        <v>12117</v>
      </c>
      <c r="OOU1" t="s">
        <v>12118</v>
      </c>
      <c r="OOV1" t="s">
        <v>12119</v>
      </c>
      <c r="OOW1" t="s">
        <v>12120</v>
      </c>
      <c r="OOX1" t="s">
        <v>12121</v>
      </c>
      <c r="OOY1" t="s">
        <v>12122</v>
      </c>
      <c r="OOZ1" t="s">
        <v>12123</v>
      </c>
      <c r="OPA1" t="s">
        <v>12124</v>
      </c>
      <c r="OPB1" t="s">
        <v>12125</v>
      </c>
      <c r="OPC1" t="s">
        <v>12126</v>
      </c>
      <c r="OPD1" t="s">
        <v>12127</v>
      </c>
      <c r="OPE1" t="s">
        <v>12128</v>
      </c>
      <c r="OPF1" t="s">
        <v>12129</v>
      </c>
      <c r="OPG1" t="s">
        <v>12130</v>
      </c>
      <c r="OPH1" t="s">
        <v>12131</v>
      </c>
      <c r="OPI1" t="s">
        <v>12132</v>
      </c>
      <c r="OPJ1" t="s">
        <v>12133</v>
      </c>
      <c r="OPK1" t="s">
        <v>12134</v>
      </c>
      <c r="OPL1" t="s">
        <v>12135</v>
      </c>
      <c r="OPM1" t="s">
        <v>12136</v>
      </c>
      <c r="OPN1" t="s">
        <v>12137</v>
      </c>
      <c r="OPO1" t="s">
        <v>12138</v>
      </c>
      <c r="OPP1" t="s">
        <v>12139</v>
      </c>
      <c r="OPQ1" t="s">
        <v>12140</v>
      </c>
      <c r="OPR1" t="s">
        <v>12141</v>
      </c>
      <c r="OPS1" t="s">
        <v>12142</v>
      </c>
      <c r="OPT1" t="s">
        <v>12143</v>
      </c>
      <c r="OPU1" t="s">
        <v>12144</v>
      </c>
      <c r="OPV1" t="s">
        <v>12145</v>
      </c>
      <c r="OPW1" t="s">
        <v>12146</v>
      </c>
      <c r="OPX1" t="s">
        <v>12147</v>
      </c>
      <c r="OPY1" t="s">
        <v>12148</v>
      </c>
      <c r="OPZ1" t="s">
        <v>12149</v>
      </c>
      <c r="OQA1" t="s">
        <v>12150</v>
      </c>
      <c r="OQB1" t="s">
        <v>12151</v>
      </c>
      <c r="OQC1" t="s">
        <v>12152</v>
      </c>
      <c r="OQD1" t="s">
        <v>12153</v>
      </c>
      <c r="OQE1" t="s">
        <v>12154</v>
      </c>
      <c r="OQF1" t="s">
        <v>12155</v>
      </c>
      <c r="OQG1" t="s">
        <v>12156</v>
      </c>
      <c r="OQH1" t="s">
        <v>12157</v>
      </c>
      <c r="OQI1" t="s">
        <v>12158</v>
      </c>
      <c r="OQJ1" t="s">
        <v>12159</v>
      </c>
      <c r="OQK1" t="s">
        <v>12160</v>
      </c>
      <c r="OQL1" t="s">
        <v>12161</v>
      </c>
      <c r="OQM1" t="s">
        <v>12162</v>
      </c>
      <c r="OQN1" t="s">
        <v>12163</v>
      </c>
      <c r="OQO1" t="s">
        <v>12164</v>
      </c>
      <c r="OQP1" t="s">
        <v>12165</v>
      </c>
      <c r="OQQ1" t="s">
        <v>12166</v>
      </c>
      <c r="OQR1" t="s">
        <v>12167</v>
      </c>
      <c r="OQS1" t="s">
        <v>12168</v>
      </c>
      <c r="OQT1" t="s">
        <v>12169</v>
      </c>
      <c r="OQU1" t="s">
        <v>12170</v>
      </c>
      <c r="OQV1" t="s">
        <v>12171</v>
      </c>
      <c r="OQW1" t="s">
        <v>12172</v>
      </c>
      <c r="OQX1" t="s">
        <v>12173</v>
      </c>
      <c r="OQY1" t="s">
        <v>12174</v>
      </c>
      <c r="OQZ1" t="s">
        <v>12175</v>
      </c>
      <c r="ORA1" t="s">
        <v>12176</v>
      </c>
      <c r="ORB1" t="s">
        <v>12177</v>
      </c>
      <c r="ORC1" t="s">
        <v>12178</v>
      </c>
      <c r="ORD1" t="s">
        <v>12179</v>
      </c>
      <c r="ORE1" t="s">
        <v>12180</v>
      </c>
      <c r="ORF1" t="s">
        <v>12181</v>
      </c>
      <c r="ORG1" t="s">
        <v>12182</v>
      </c>
      <c r="ORH1" t="s">
        <v>12183</v>
      </c>
      <c r="ORI1" t="s">
        <v>12184</v>
      </c>
      <c r="ORJ1" t="s">
        <v>12185</v>
      </c>
      <c r="ORK1" t="s">
        <v>12186</v>
      </c>
      <c r="ORL1" t="s">
        <v>12187</v>
      </c>
      <c r="ORM1" t="s">
        <v>12188</v>
      </c>
      <c r="ORN1" t="s">
        <v>12189</v>
      </c>
      <c r="ORO1" t="s">
        <v>12190</v>
      </c>
      <c r="ORP1" t="s">
        <v>12191</v>
      </c>
      <c r="ORQ1" t="s">
        <v>12192</v>
      </c>
      <c r="ORR1" t="s">
        <v>12193</v>
      </c>
      <c r="ORS1" t="s">
        <v>12194</v>
      </c>
      <c r="ORT1" t="s">
        <v>12195</v>
      </c>
      <c r="ORU1" t="s">
        <v>12196</v>
      </c>
      <c r="ORV1" t="s">
        <v>12197</v>
      </c>
      <c r="ORW1" t="s">
        <v>12198</v>
      </c>
      <c r="ORX1" t="s">
        <v>12199</v>
      </c>
      <c r="ORY1" t="s">
        <v>12200</v>
      </c>
      <c r="ORZ1" t="s">
        <v>12201</v>
      </c>
      <c r="OSA1" t="s">
        <v>12202</v>
      </c>
      <c r="OSB1" t="s">
        <v>12203</v>
      </c>
      <c r="OSC1" t="s">
        <v>12204</v>
      </c>
      <c r="OSD1" t="s">
        <v>12205</v>
      </c>
      <c r="OSE1" t="s">
        <v>12206</v>
      </c>
      <c r="OSF1" t="s">
        <v>12207</v>
      </c>
      <c r="OSG1" t="s">
        <v>12208</v>
      </c>
      <c r="OSH1" t="s">
        <v>12209</v>
      </c>
      <c r="OSI1" t="s">
        <v>12210</v>
      </c>
      <c r="OSJ1" t="s">
        <v>12211</v>
      </c>
      <c r="OSK1" t="s">
        <v>12212</v>
      </c>
      <c r="OSL1" t="s">
        <v>12213</v>
      </c>
      <c r="OSM1" t="s">
        <v>12214</v>
      </c>
      <c r="OSN1" t="s">
        <v>12215</v>
      </c>
      <c r="OSO1" t="s">
        <v>12216</v>
      </c>
      <c r="OSP1" t="s">
        <v>12217</v>
      </c>
      <c r="OSQ1" t="s">
        <v>12218</v>
      </c>
      <c r="OSR1" t="s">
        <v>12219</v>
      </c>
      <c r="OSS1" t="s">
        <v>12220</v>
      </c>
      <c r="OST1" t="s">
        <v>12221</v>
      </c>
      <c r="OSU1" t="s">
        <v>12222</v>
      </c>
      <c r="OSV1" t="s">
        <v>12223</v>
      </c>
      <c r="OSW1" t="s">
        <v>12224</v>
      </c>
      <c r="OSX1" t="s">
        <v>12225</v>
      </c>
      <c r="OSY1" t="s">
        <v>12226</v>
      </c>
      <c r="OSZ1" t="s">
        <v>12227</v>
      </c>
      <c r="OTA1" t="s">
        <v>12228</v>
      </c>
      <c r="OTB1" t="s">
        <v>12229</v>
      </c>
      <c r="OTC1" t="s">
        <v>12230</v>
      </c>
      <c r="OTD1" t="s">
        <v>12231</v>
      </c>
      <c r="OTE1" t="s">
        <v>12232</v>
      </c>
      <c r="OTF1" t="s">
        <v>12233</v>
      </c>
      <c r="OTG1" t="s">
        <v>12234</v>
      </c>
      <c r="OTH1" t="s">
        <v>12235</v>
      </c>
      <c r="OTI1" t="s">
        <v>12236</v>
      </c>
      <c r="OTJ1" t="s">
        <v>12237</v>
      </c>
      <c r="OTK1" t="s">
        <v>12238</v>
      </c>
      <c r="OTL1" t="s">
        <v>12239</v>
      </c>
      <c r="OTM1" t="s">
        <v>12240</v>
      </c>
      <c r="OTN1" t="s">
        <v>12241</v>
      </c>
      <c r="OTO1" t="s">
        <v>12242</v>
      </c>
      <c r="OTP1" t="s">
        <v>12243</v>
      </c>
      <c r="OTQ1" t="s">
        <v>12244</v>
      </c>
      <c r="OTR1" t="s">
        <v>12245</v>
      </c>
      <c r="OTS1" t="s">
        <v>12246</v>
      </c>
      <c r="OTT1" t="s">
        <v>12247</v>
      </c>
      <c r="OTU1" t="s">
        <v>12248</v>
      </c>
      <c r="OTV1" t="s">
        <v>12249</v>
      </c>
      <c r="OTW1" t="s">
        <v>12250</v>
      </c>
      <c r="OTX1" t="s">
        <v>12251</v>
      </c>
      <c r="OTY1" t="s">
        <v>12252</v>
      </c>
      <c r="OTZ1" t="s">
        <v>12253</v>
      </c>
      <c r="OUA1" t="s">
        <v>12254</v>
      </c>
      <c r="OUB1" t="s">
        <v>12255</v>
      </c>
      <c r="OUC1" t="s">
        <v>12256</v>
      </c>
      <c r="OUD1" t="s">
        <v>12257</v>
      </c>
      <c r="OUE1" t="s">
        <v>12258</v>
      </c>
      <c r="OUF1" t="s">
        <v>12259</v>
      </c>
      <c r="OUG1" t="s">
        <v>12260</v>
      </c>
      <c r="OUH1" t="s">
        <v>12261</v>
      </c>
      <c r="OUI1" t="s">
        <v>12262</v>
      </c>
      <c r="OUJ1" t="s">
        <v>12263</v>
      </c>
      <c r="OUK1" t="s">
        <v>12264</v>
      </c>
      <c r="OUL1" t="s">
        <v>12265</v>
      </c>
      <c r="OUM1" t="s">
        <v>12266</v>
      </c>
      <c r="OUN1" t="s">
        <v>12267</v>
      </c>
      <c r="OUO1" t="s">
        <v>12268</v>
      </c>
      <c r="OUP1" t="s">
        <v>12269</v>
      </c>
      <c r="OUQ1" t="s">
        <v>12270</v>
      </c>
      <c r="OUR1" t="s">
        <v>12271</v>
      </c>
      <c r="OUS1" t="s">
        <v>12272</v>
      </c>
      <c r="OUT1" t="s">
        <v>12273</v>
      </c>
      <c r="OUU1" t="s">
        <v>12274</v>
      </c>
      <c r="OUV1" t="s">
        <v>12275</v>
      </c>
      <c r="OUW1" t="s">
        <v>12276</v>
      </c>
      <c r="OUX1" t="s">
        <v>12277</v>
      </c>
      <c r="OUY1" t="s">
        <v>12278</v>
      </c>
      <c r="OUZ1" t="s">
        <v>12279</v>
      </c>
      <c r="OVA1" t="s">
        <v>12280</v>
      </c>
      <c r="OVB1" t="s">
        <v>12281</v>
      </c>
      <c r="OVC1" t="s">
        <v>12282</v>
      </c>
      <c r="OVD1" t="s">
        <v>12283</v>
      </c>
      <c r="OVE1" t="s">
        <v>12284</v>
      </c>
      <c r="OVF1" t="s">
        <v>12285</v>
      </c>
      <c r="OVG1" t="s">
        <v>12286</v>
      </c>
      <c r="OVH1" t="s">
        <v>12287</v>
      </c>
      <c r="OVI1" t="s">
        <v>12288</v>
      </c>
      <c r="OVJ1" t="s">
        <v>12289</v>
      </c>
      <c r="OVK1" t="s">
        <v>12290</v>
      </c>
      <c r="OVL1" t="s">
        <v>12291</v>
      </c>
      <c r="OVM1" t="s">
        <v>12292</v>
      </c>
      <c r="OVN1" t="s">
        <v>12293</v>
      </c>
      <c r="OVO1" t="s">
        <v>12294</v>
      </c>
      <c r="OVP1" t="s">
        <v>12295</v>
      </c>
      <c r="OVQ1" t="s">
        <v>12296</v>
      </c>
      <c r="OVR1" t="s">
        <v>12297</v>
      </c>
      <c r="OVS1" t="s">
        <v>12298</v>
      </c>
      <c r="OVT1" t="s">
        <v>12299</v>
      </c>
      <c r="OVU1" t="s">
        <v>12300</v>
      </c>
      <c r="OVV1" t="s">
        <v>12301</v>
      </c>
      <c r="OVW1" t="s">
        <v>12302</v>
      </c>
      <c r="OVX1" t="s">
        <v>12303</v>
      </c>
      <c r="OVY1" t="s">
        <v>12304</v>
      </c>
      <c r="OVZ1" t="s">
        <v>12305</v>
      </c>
      <c r="OWA1" t="s">
        <v>12306</v>
      </c>
      <c r="OWB1" t="s">
        <v>12307</v>
      </c>
      <c r="OWC1" t="s">
        <v>12308</v>
      </c>
      <c r="OWD1" t="s">
        <v>12309</v>
      </c>
      <c r="OWE1" t="s">
        <v>12310</v>
      </c>
      <c r="OWF1" t="s">
        <v>12311</v>
      </c>
      <c r="OWG1" t="s">
        <v>12312</v>
      </c>
      <c r="OWH1" t="s">
        <v>12313</v>
      </c>
      <c r="OWI1" t="s">
        <v>12314</v>
      </c>
      <c r="OWJ1" t="s">
        <v>12315</v>
      </c>
      <c r="OWK1" t="s">
        <v>12316</v>
      </c>
      <c r="OWL1" t="s">
        <v>12317</v>
      </c>
      <c r="OWM1" t="s">
        <v>12318</v>
      </c>
      <c r="OWN1" t="s">
        <v>12319</v>
      </c>
      <c r="OWO1" t="s">
        <v>12320</v>
      </c>
      <c r="OWP1" t="s">
        <v>12321</v>
      </c>
      <c r="OWQ1" t="s">
        <v>12322</v>
      </c>
      <c r="OWR1" t="s">
        <v>12323</v>
      </c>
      <c r="OWS1" t="s">
        <v>12324</v>
      </c>
      <c r="OWT1" t="s">
        <v>12325</v>
      </c>
      <c r="OWU1" t="s">
        <v>12326</v>
      </c>
      <c r="OWV1" t="s">
        <v>12327</v>
      </c>
      <c r="OWW1" t="s">
        <v>12328</v>
      </c>
      <c r="OWX1" t="s">
        <v>12329</v>
      </c>
      <c r="OWY1" t="s">
        <v>12330</v>
      </c>
      <c r="OWZ1" t="s">
        <v>12331</v>
      </c>
      <c r="OXA1" t="s">
        <v>12332</v>
      </c>
      <c r="OXB1" t="s">
        <v>12333</v>
      </c>
      <c r="OXC1" t="s">
        <v>12334</v>
      </c>
      <c r="OXD1" t="s">
        <v>12335</v>
      </c>
      <c r="OXE1" t="s">
        <v>12336</v>
      </c>
      <c r="OXF1" t="s">
        <v>12337</v>
      </c>
      <c r="OXG1" t="s">
        <v>12338</v>
      </c>
      <c r="OXH1" t="s">
        <v>12339</v>
      </c>
      <c r="OXI1" t="s">
        <v>12340</v>
      </c>
      <c r="OXJ1" t="s">
        <v>12341</v>
      </c>
      <c r="OXK1" t="s">
        <v>12342</v>
      </c>
      <c r="OXL1" t="s">
        <v>12343</v>
      </c>
      <c r="OXM1" t="s">
        <v>12344</v>
      </c>
      <c r="OXN1" t="s">
        <v>12345</v>
      </c>
      <c r="OXO1" t="s">
        <v>12346</v>
      </c>
      <c r="OXP1" t="s">
        <v>12347</v>
      </c>
      <c r="OXQ1" t="s">
        <v>12348</v>
      </c>
      <c r="OXR1" t="s">
        <v>12349</v>
      </c>
      <c r="OXS1" t="s">
        <v>12350</v>
      </c>
      <c r="OXT1" t="s">
        <v>12351</v>
      </c>
      <c r="OXU1" t="s">
        <v>12352</v>
      </c>
      <c r="OXV1" t="s">
        <v>12353</v>
      </c>
      <c r="OXW1" t="s">
        <v>12354</v>
      </c>
      <c r="OXX1" t="s">
        <v>12355</v>
      </c>
      <c r="OXY1" t="s">
        <v>12356</v>
      </c>
      <c r="OXZ1" t="s">
        <v>12357</v>
      </c>
      <c r="OYA1" t="s">
        <v>12358</v>
      </c>
      <c r="OYB1" t="s">
        <v>12359</v>
      </c>
      <c r="OYC1" t="s">
        <v>12360</v>
      </c>
      <c r="OYD1" t="s">
        <v>12361</v>
      </c>
      <c r="OYE1" t="s">
        <v>12362</v>
      </c>
      <c r="OYF1" t="s">
        <v>12363</v>
      </c>
      <c r="OYG1" t="s">
        <v>12364</v>
      </c>
      <c r="OYH1" t="s">
        <v>12365</v>
      </c>
      <c r="OYI1" t="s">
        <v>12366</v>
      </c>
      <c r="OYJ1" t="s">
        <v>12367</v>
      </c>
      <c r="OYK1" t="s">
        <v>12368</v>
      </c>
      <c r="OYL1" t="s">
        <v>12369</v>
      </c>
      <c r="OYM1" t="s">
        <v>12370</v>
      </c>
      <c r="OYN1" t="s">
        <v>12371</v>
      </c>
      <c r="OYO1" t="s">
        <v>12372</v>
      </c>
      <c r="OYP1" t="s">
        <v>12373</v>
      </c>
      <c r="OYQ1" t="s">
        <v>12374</v>
      </c>
      <c r="OYR1" t="s">
        <v>12375</v>
      </c>
      <c r="OYS1" t="s">
        <v>12376</v>
      </c>
      <c r="OYT1" t="s">
        <v>12377</v>
      </c>
      <c r="OYU1" t="s">
        <v>12378</v>
      </c>
      <c r="OYV1" t="s">
        <v>12379</v>
      </c>
      <c r="OYW1" t="s">
        <v>12380</v>
      </c>
      <c r="OYX1" t="s">
        <v>12381</v>
      </c>
      <c r="OYY1" t="s">
        <v>12382</v>
      </c>
      <c r="OYZ1" t="s">
        <v>12383</v>
      </c>
      <c r="OZA1" t="s">
        <v>12384</v>
      </c>
      <c r="OZB1" t="s">
        <v>12385</v>
      </c>
      <c r="OZC1" t="s">
        <v>12386</v>
      </c>
      <c r="OZD1" t="s">
        <v>12387</v>
      </c>
      <c r="OZE1" t="s">
        <v>12388</v>
      </c>
      <c r="OZF1" t="s">
        <v>12389</v>
      </c>
      <c r="OZG1" t="s">
        <v>12390</v>
      </c>
      <c r="OZH1" t="s">
        <v>12391</v>
      </c>
      <c r="OZI1" t="s">
        <v>12392</v>
      </c>
      <c r="OZJ1" t="s">
        <v>12393</v>
      </c>
      <c r="OZK1" t="s">
        <v>12394</v>
      </c>
      <c r="OZL1" t="s">
        <v>12395</v>
      </c>
      <c r="OZM1" t="s">
        <v>12396</v>
      </c>
      <c r="OZN1" t="s">
        <v>12397</v>
      </c>
      <c r="OZO1" t="s">
        <v>12398</v>
      </c>
      <c r="OZP1" t="s">
        <v>12399</v>
      </c>
      <c r="OZQ1" t="s">
        <v>12400</v>
      </c>
      <c r="OZR1" t="s">
        <v>12401</v>
      </c>
      <c r="OZS1" t="s">
        <v>12402</v>
      </c>
      <c r="OZT1" t="s">
        <v>12403</v>
      </c>
      <c r="OZU1" t="s">
        <v>12404</v>
      </c>
      <c r="OZV1" t="s">
        <v>12405</v>
      </c>
      <c r="OZW1" t="s">
        <v>12406</v>
      </c>
      <c r="OZX1" t="s">
        <v>12407</v>
      </c>
      <c r="OZY1" t="s">
        <v>12408</v>
      </c>
      <c r="OZZ1" t="s">
        <v>12409</v>
      </c>
      <c r="PAA1" t="s">
        <v>12410</v>
      </c>
      <c r="PAB1" t="s">
        <v>12411</v>
      </c>
      <c r="PAC1" t="s">
        <v>12412</v>
      </c>
      <c r="PAD1" t="s">
        <v>12413</v>
      </c>
      <c r="PAE1" t="s">
        <v>12414</v>
      </c>
      <c r="PAF1" t="s">
        <v>12415</v>
      </c>
      <c r="PAG1" t="s">
        <v>12416</v>
      </c>
      <c r="PAH1" t="s">
        <v>12417</v>
      </c>
      <c r="PAI1" t="s">
        <v>12418</v>
      </c>
      <c r="PAJ1" t="s">
        <v>12419</v>
      </c>
      <c r="PAK1" t="s">
        <v>12420</v>
      </c>
      <c r="PAL1" t="s">
        <v>12421</v>
      </c>
      <c r="PAM1" t="s">
        <v>12422</v>
      </c>
      <c r="PAN1" t="s">
        <v>12423</v>
      </c>
      <c r="PAO1" t="s">
        <v>12424</v>
      </c>
      <c r="PAP1" t="s">
        <v>12425</v>
      </c>
      <c r="PAQ1" t="s">
        <v>12426</v>
      </c>
      <c r="PAR1" t="s">
        <v>12427</v>
      </c>
      <c r="PAS1" t="s">
        <v>12428</v>
      </c>
      <c r="PAT1" t="s">
        <v>12429</v>
      </c>
      <c r="PAU1" t="s">
        <v>12430</v>
      </c>
      <c r="PAV1" t="s">
        <v>12431</v>
      </c>
      <c r="PAW1" t="s">
        <v>12432</v>
      </c>
      <c r="PAX1" t="s">
        <v>12433</v>
      </c>
      <c r="PAY1" t="s">
        <v>12434</v>
      </c>
      <c r="PAZ1" t="s">
        <v>12435</v>
      </c>
      <c r="PBA1" t="s">
        <v>12436</v>
      </c>
      <c r="PBB1" t="s">
        <v>12437</v>
      </c>
      <c r="PBC1" t="s">
        <v>12438</v>
      </c>
      <c r="PBD1" t="s">
        <v>12439</v>
      </c>
      <c r="PBE1" t="s">
        <v>12440</v>
      </c>
      <c r="PBF1" t="s">
        <v>12441</v>
      </c>
      <c r="PBG1" t="s">
        <v>12442</v>
      </c>
      <c r="PBH1" t="s">
        <v>12443</v>
      </c>
      <c r="PBI1" t="s">
        <v>12444</v>
      </c>
      <c r="PBJ1" t="s">
        <v>12445</v>
      </c>
      <c r="PBK1" t="s">
        <v>12446</v>
      </c>
      <c r="PBL1" t="s">
        <v>12447</v>
      </c>
      <c r="PBM1" t="s">
        <v>12448</v>
      </c>
      <c r="PBN1" t="s">
        <v>12449</v>
      </c>
      <c r="PBO1" t="s">
        <v>12450</v>
      </c>
      <c r="PBP1" t="s">
        <v>12451</v>
      </c>
      <c r="PBQ1" t="s">
        <v>12452</v>
      </c>
      <c r="PBR1" t="s">
        <v>12453</v>
      </c>
      <c r="PBS1" t="s">
        <v>12454</v>
      </c>
      <c r="PBT1" t="s">
        <v>12455</v>
      </c>
      <c r="PBU1" t="s">
        <v>12456</v>
      </c>
      <c r="PBV1" t="s">
        <v>12457</v>
      </c>
      <c r="PBW1" t="s">
        <v>12458</v>
      </c>
      <c r="PBX1" t="s">
        <v>12459</v>
      </c>
      <c r="PBY1" t="s">
        <v>12460</v>
      </c>
      <c r="PBZ1" t="s">
        <v>12461</v>
      </c>
      <c r="PCA1" t="s">
        <v>12462</v>
      </c>
      <c r="PCB1" t="s">
        <v>12463</v>
      </c>
      <c r="PCC1" t="s">
        <v>12464</v>
      </c>
      <c r="PCD1" t="s">
        <v>12465</v>
      </c>
      <c r="PCE1" t="s">
        <v>12466</v>
      </c>
      <c r="PCF1" t="s">
        <v>12467</v>
      </c>
      <c r="PCG1" t="s">
        <v>12468</v>
      </c>
      <c r="PCH1" t="s">
        <v>12469</v>
      </c>
      <c r="PCI1" t="s">
        <v>12470</v>
      </c>
      <c r="PCJ1" t="s">
        <v>12471</v>
      </c>
      <c r="PCK1" t="s">
        <v>12472</v>
      </c>
      <c r="PCL1" t="s">
        <v>12473</v>
      </c>
      <c r="PCM1" t="s">
        <v>12474</v>
      </c>
      <c r="PCN1" t="s">
        <v>12475</v>
      </c>
      <c r="PCO1" t="s">
        <v>12476</v>
      </c>
      <c r="PCP1" t="s">
        <v>12477</v>
      </c>
      <c r="PCQ1" t="s">
        <v>12478</v>
      </c>
      <c r="PCR1" t="s">
        <v>12479</v>
      </c>
      <c r="PCS1" t="s">
        <v>12480</v>
      </c>
      <c r="PCT1" t="s">
        <v>12481</v>
      </c>
      <c r="PCU1" t="s">
        <v>12482</v>
      </c>
      <c r="PCV1" t="s">
        <v>12483</v>
      </c>
      <c r="PCW1" t="s">
        <v>12484</v>
      </c>
      <c r="PCX1" t="s">
        <v>12485</v>
      </c>
      <c r="PCY1" t="s">
        <v>12486</v>
      </c>
      <c r="PCZ1" t="s">
        <v>12487</v>
      </c>
      <c r="PDA1" t="s">
        <v>12488</v>
      </c>
      <c r="PDB1" t="s">
        <v>12489</v>
      </c>
      <c r="PDC1" t="s">
        <v>12490</v>
      </c>
      <c r="PDD1" t="s">
        <v>12491</v>
      </c>
      <c r="PDE1" t="s">
        <v>12492</v>
      </c>
      <c r="PDF1" t="s">
        <v>12493</v>
      </c>
      <c r="PDG1" t="s">
        <v>12494</v>
      </c>
      <c r="PDH1" t="s">
        <v>12495</v>
      </c>
      <c r="PDI1" t="s">
        <v>12496</v>
      </c>
      <c r="PDJ1" t="s">
        <v>12497</v>
      </c>
      <c r="PDK1" t="s">
        <v>12498</v>
      </c>
      <c r="PDL1" t="s">
        <v>12499</v>
      </c>
      <c r="PDM1" t="s">
        <v>12500</v>
      </c>
      <c r="PDN1" t="s">
        <v>12501</v>
      </c>
      <c r="PDO1" t="s">
        <v>12502</v>
      </c>
      <c r="PDP1" t="s">
        <v>12503</v>
      </c>
      <c r="PDQ1" t="s">
        <v>12504</v>
      </c>
      <c r="PDR1" t="s">
        <v>12505</v>
      </c>
      <c r="PDS1" t="s">
        <v>12506</v>
      </c>
      <c r="PDT1" t="s">
        <v>12507</v>
      </c>
      <c r="PDU1" t="s">
        <v>12508</v>
      </c>
      <c r="PDV1" t="s">
        <v>12509</v>
      </c>
      <c r="PDW1" t="s">
        <v>12510</v>
      </c>
      <c r="PDX1" t="s">
        <v>12511</v>
      </c>
      <c r="PDY1" t="s">
        <v>12512</v>
      </c>
      <c r="PDZ1" t="s">
        <v>12513</v>
      </c>
      <c r="PEA1" t="s">
        <v>12514</v>
      </c>
      <c r="PEB1" t="s">
        <v>12515</v>
      </c>
      <c r="PEC1" t="s">
        <v>12516</v>
      </c>
      <c r="PED1" t="s">
        <v>12517</v>
      </c>
      <c r="PEE1" t="s">
        <v>12518</v>
      </c>
      <c r="PEF1" t="s">
        <v>12519</v>
      </c>
      <c r="PEG1" t="s">
        <v>12520</v>
      </c>
      <c r="PEH1" t="s">
        <v>12521</v>
      </c>
      <c r="PEI1" t="s">
        <v>12522</v>
      </c>
      <c r="PEJ1" t="s">
        <v>12523</v>
      </c>
      <c r="PEK1" t="s">
        <v>12524</v>
      </c>
      <c r="PEL1" t="s">
        <v>12525</v>
      </c>
      <c r="PEM1" t="s">
        <v>12526</v>
      </c>
      <c r="PEN1" t="s">
        <v>12527</v>
      </c>
      <c r="PEO1" t="s">
        <v>12528</v>
      </c>
      <c r="PEP1" t="s">
        <v>12529</v>
      </c>
      <c r="PEQ1" t="s">
        <v>12530</v>
      </c>
      <c r="PER1" t="s">
        <v>12531</v>
      </c>
      <c r="PES1" t="s">
        <v>12532</v>
      </c>
      <c r="PET1" t="s">
        <v>12533</v>
      </c>
      <c r="PEU1" t="s">
        <v>12534</v>
      </c>
      <c r="PEV1" t="s">
        <v>12535</v>
      </c>
      <c r="PEW1" t="s">
        <v>12536</v>
      </c>
      <c r="PEX1" t="s">
        <v>12537</v>
      </c>
      <c r="PEY1" t="s">
        <v>12538</v>
      </c>
      <c r="PEZ1" t="s">
        <v>12539</v>
      </c>
      <c r="PFA1" t="s">
        <v>12540</v>
      </c>
      <c r="PFB1" t="s">
        <v>12541</v>
      </c>
      <c r="PFC1" t="s">
        <v>12542</v>
      </c>
      <c r="PFD1" t="s">
        <v>12543</v>
      </c>
      <c r="PFE1" t="s">
        <v>12544</v>
      </c>
      <c r="PFF1" t="s">
        <v>12545</v>
      </c>
      <c r="PFG1" t="s">
        <v>12546</v>
      </c>
      <c r="PFH1" t="s">
        <v>12547</v>
      </c>
      <c r="PFI1" t="s">
        <v>12548</v>
      </c>
      <c r="PFJ1" t="s">
        <v>12549</v>
      </c>
      <c r="PFK1" t="s">
        <v>12550</v>
      </c>
      <c r="PFL1" t="s">
        <v>12551</v>
      </c>
      <c r="PFM1" t="s">
        <v>12552</v>
      </c>
      <c r="PFN1" t="s">
        <v>12553</v>
      </c>
      <c r="PFO1" t="s">
        <v>12554</v>
      </c>
      <c r="PFP1" t="s">
        <v>12555</v>
      </c>
      <c r="PFQ1" t="s">
        <v>12556</v>
      </c>
      <c r="PFR1" t="s">
        <v>12557</v>
      </c>
      <c r="PFS1" t="s">
        <v>12558</v>
      </c>
      <c r="PFT1" t="s">
        <v>12559</v>
      </c>
      <c r="PFU1" t="s">
        <v>12560</v>
      </c>
      <c r="PFV1" t="s">
        <v>12561</v>
      </c>
      <c r="PFW1" t="s">
        <v>12562</v>
      </c>
      <c r="PFX1" t="s">
        <v>12563</v>
      </c>
      <c r="PFY1" t="s">
        <v>12564</v>
      </c>
      <c r="PFZ1" t="s">
        <v>12565</v>
      </c>
      <c r="PGA1" t="s">
        <v>12566</v>
      </c>
      <c r="PGB1" t="s">
        <v>12567</v>
      </c>
      <c r="PGC1" t="s">
        <v>12568</v>
      </c>
      <c r="PGD1" t="s">
        <v>12569</v>
      </c>
      <c r="PGE1" t="s">
        <v>12570</v>
      </c>
      <c r="PGF1" t="s">
        <v>12571</v>
      </c>
      <c r="PGG1" t="s">
        <v>12572</v>
      </c>
      <c r="PGH1" t="s">
        <v>12573</v>
      </c>
      <c r="PGI1" t="s">
        <v>12574</v>
      </c>
      <c r="PGJ1" t="s">
        <v>12575</v>
      </c>
      <c r="PGK1" t="s">
        <v>12576</v>
      </c>
      <c r="PGL1" t="s">
        <v>12577</v>
      </c>
      <c r="PGM1" t="s">
        <v>12578</v>
      </c>
      <c r="PGN1" t="s">
        <v>12579</v>
      </c>
      <c r="PGO1" t="s">
        <v>12580</v>
      </c>
      <c r="PGP1" t="s">
        <v>12581</v>
      </c>
      <c r="PGQ1" t="s">
        <v>12582</v>
      </c>
      <c r="PGR1" t="s">
        <v>12583</v>
      </c>
      <c r="PGS1" t="s">
        <v>12584</v>
      </c>
      <c r="PGT1" t="s">
        <v>12585</v>
      </c>
      <c r="PGU1" t="s">
        <v>12586</v>
      </c>
      <c r="PGV1" t="s">
        <v>12587</v>
      </c>
      <c r="PGW1" t="s">
        <v>12588</v>
      </c>
      <c r="PGX1" t="s">
        <v>12589</v>
      </c>
      <c r="PGY1" t="s">
        <v>12590</v>
      </c>
      <c r="PGZ1" t="s">
        <v>12591</v>
      </c>
      <c r="PHA1" t="s">
        <v>12592</v>
      </c>
      <c r="PHB1" t="s">
        <v>12593</v>
      </c>
      <c r="PHC1" t="s">
        <v>12594</v>
      </c>
      <c r="PHD1" t="s">
        <v>12595</v>
      </c>
      <c r="PHE1" t="s">
        <v>12596</v>
      </c>
      <c r="PHF1" t="s">
        <v>12597</v>
      </c>
      <c r="PHG1" t="s">
        <v>12598</v>
      </c>
      <c r="PHH1" t="s">
        <v>12599</v>
      </c>
      <c r="PHI1" t="s">
        <v>12600</v>
      </c>
      <c r="PHJ1" t="s">
        <v>12601</v>
      </c>
      <c r="PHK1" t="s">
        <v>12602</v>
      </c>
      <c r="PHL1" t="s">
        <v>12603</v>
      </c>
      <c r="PHM1" t="s">
        <v>12604</v>
      </c>
      <c r="PHN1" t="s">
        <v>12605</v>
      </c>
      <c r="PHO1" t="s">
        <v>12606</v>
      </c>
      <c r="PHP1" t="s">
        <v>12607</v>
      </c>
      <c r="PHQ1" t="s">
        <v>12608</v>
      </c>
      <c r="PHR1" t="s">
        <v>12609</v>
      </c>
      <c r="PHS1" t="s">
        <v>12610</v>
      </c>
      <c r="PHT1" t="s">
        <v>12611</v>
      </c>
      <c r="PHU1" t="s">
        <v>12612</v>
      </c>
      <c r="PHV1" t="s">
        <v>12613</v>
      </c>
      <c r="PHW1" t="s">
        <v>12614</v>
      </c>
      <c r="PHX1" t="s">
        <v>12615</v>
      </c>
      <c r="PHY1" t="s">
        <v>12616</v>
      </c>
      <c r="PHZ1" t="s">
        <v>12617</v>
      </c>
      <c r="PIA1" t="s">
        <v>12618</v>
      </c>
      <c r="PIB1" t="s">
        <v>12619</v>
      </c>
      <c r="PIC1" t="s">
        <v>12620</v>
      </c>
      <c r="PID1" t="s">
        <v>12621</v>
      </c>
      <c r="PIE1" t="s">
        <v>12622</v>
      </c>
      <c r="PIF1" t="s">
        <v>12623</v>
      </c>
      <c r="PIG1" t="s">
        <v>12624</v>
      </c>
      <c r="PIH1" t="s">
        <v>12625</v>
      </c>
      <c r="PII1" t="s">
        <v>12626</v>
      </c>
      <c r="PIJ1" t="s">
        <v>12627</v>
      </c>
      <c r="PIK1" t="s">
        <v>12628</v>
      </c>
      <c r="PIL1" t="s">
        <v>12629</v>
      </c>
      <c r="PIM1" t="s">
        <v>12630</v>
      </c>
      <c r="PIN1" t="s">
        <v>12631</v>
      </c>
      <c r="PIO1" t="s">
        <v>12632</v>
      </c>
      <c r="PIP1" t="s">
        <v>12633</v>
      </c>
      <c r="PIQ1" t="s">
        <v>12634</v>
      </c>
      <c r="PIR1" t="s">
        <v>12635</v>
      </c>
      <c r="PIS1" t="s">
        <v>12636</v>
      </c>
      <c r="PIT1" t="s">
        <v>12637</v>
      </c>
      <c r="PIU1" t="s">
        <v>12638</v>
      </c>
      <c r="PIV1" t="s">
        <v>12639</v>
      </c>
      <c r="PIW1" t="s">
        <v>12640</v>
      </c>
      <c r="PIX1" t="s">
        <v>12641</v>
      </c>
      <c r="PIY1" t="s">
        <v>12642</v>
      </c>
      <c r="PIZ1" t="s">
        <v>12643</v>
      </c>
      <c r="PJA1" t="s">
        <v>12644</v>
      </c>
      <c r="PJB1" t="s">
        <v>12645</v>
      </c>
      <c r="PJC1" t="s">
        <v>12646</v>
      </c>
      <c r="PJD1" t="s">
        <v>12647</v>
      </c>
      <c r="PJE1" t="s">
        <v>12648</v>
      </c>
      <c r="PJF1" t="s">
        <v>12649</v>
      </c>
      <c r="PJG1" t="s">
        <v>12650</v>
      </c>
      <c r="PJH1" t="s">
        <v>12651</v>
      </c>
      <c r="PJI1" t="s">
        <v>12652</v>
      </c>
      <c r="PJJ1" t="s">
        <v>12653</v>
      </c>
      <c r="PJK1" t="s">
        <v>12654</v>
      </c>
      <c r="PJL1" t="s">
        <v>12655</v>
      </c>
      <c r="PJM1" t="s">
        <v>12656</v>
      </c>
      <c r="PJN1" t="s">
        <v>12657</v>
      </c>
      <c r="PJO1" t="s">
        <v>12658</v>
      </c>
      <c r="PJP1" t="s">
        <v>12659</v>
      </c>
      <c r="PJQ1" t="s">
        <v>12660</v>
      </c>
      <c r="PJR1" t="s">
        <v>12661</v>
      </c>
      <c r="PJS1" t="s">
        <v>12662</v>
      </c>
      <c r="PJT1" t="s">
        <v>12663</v>
      </c>
      <c r="PJU1" t="s">
        <v>12664</v>
      </c>
      <c r="PJV1" t="s">
        <v>12665</v>
      </c>
      <c r="PJW1" t="s">
        <v>12666</v>
      </c>
      <c r="PJX1" t="s">
        <v>12667</v>
      </c>
      <c r="PJY1" t="s">
        <v>12668</v>
      </c>
      <c r="PJZ1" t="s">
        <v>12669</v>
      </c>
      <c r="PKA1" t="s">
        <v>12670</v>
      </c>
      <c r="PKB1" t="s">
        <v>12671</v>
      </c>
      <c r="PKC1" t="s">
        <v>12672</v>
      </c>
      <c r="PKD1" t="s">
        <v>12673</v>
      </c>
      <c r="PKE1" t="s">
        <v>12674</v>
      </c>
      <c r="PKF1" t="s">
        <v>12675</v>
      </c>
      <c r="PKG1" t="s">
        <v>12676</v>
      </c>
      <c r="PKH1" t="s">
        <v>12677</v>
      </c>
      <c r="PKI1" t="s">
        <v>12678</v>
      </c>
      <c r="PKJ1" t="s">
        <v>12679</v>
      </c>
      <c r="PKK1" t="s">
        <v>12680</v>
      </c>
      <c r="PKL1" t="s">
        <v>12681</v>
      </c>
      <c r="PKM1" t="s">
        <v>12682</v>
      </c>
      <c r="PKN1" t="s">
        <v>12683</v>
      </c>
      <c r="PKO1" t="s">
        <v>12684</v>
      </c>
      <c r="PKP1" t="s">
        <v>12685</v>
      </c>
      <c r="PKQ1" t="s">
        <v>12686</v>
      </c>
      <c r="PKR1" t="s">
        <v>12687</v>
      </c>
      <c r="PKS1" t="s">
        <v>12688</v>
      </c>
      <c r="PKT1" t="s">
        <v>12689</v>
      </c>
      <c r="PKU1" t="s">
        <v>12690</v>
      </c>
      <c r="PKV1" t="s">
        <v>12691</v>
      </c>
      <c r="PKW1" t="s">
        <v>12692</v>
      </c>
      <c r="PKX1" t="s">
        <v>12693</v>
      </c>
      <c r="PKY1" t="s">
        <v>12694</v>
      </c>
      <c r="PKZ1" t="s">
        <v>12695</v>
      </c>
      <c r="PLA1" t="s">
        <v>12696</v>
      </c>
      <c r="PLB1" t="s">
        <v>12697</v>
      </c>
      <c r="PLC1" t="s">
        <v>12698</v>
      </c>
      <c r="PLD1" t="s">
        <v>12699</v>
      </c>
      <c r="PLE1" t="s">
        <v>12700</v>
      </c>
      <c r="PLF1" t="s">
        <v>12701</v>
      </c>
      <c r="PLG1" t="s">
        <v>12702</v>
      </c>
      <c r="PLH1" t="s">
        <v>12703</v>
      </c>
      <c r="PLI1" t="s">
        <v>12704</v>
      </c>
      <c r="PLJ1" t="s">
        <v>12705</v>
      </c>
      <c r="PLK1" t="s">
        <v>12706</v>
      </c>
      <c r="PLL1" t="s">
        <v>12707</v>
      </c>
      <c r="PLM1" t="s">
        <v>12708</v>
      </c>
      <c r="PLN1" t="s">
        <v>12709</v>
      </c>
      <c r="PLO1" t="s">
        <v>12710</v>
      </c>
      <c r="PLP1" t="s">
        <v>12711</v>
      </c>
      <c r="PLQ1" t="s">
        <v>12712</v>
      </c>
      <c r="PLR1" t="s">
        <v>12713</v>
      </c>
      <c r="PLS1" t="s">
        <v>12714</v>
      </c>
      <c r="PLT1" t="s">
        <v>12715</v>
      </c>
      <c r="PLU1" t="s">
        <v>12716</v>
      </c>
      <c r="PLV1" t="s">
        <v>12717</v>
      </c>
      <c r="PLW1" t="s">
        <v>12718</v>
      </c>
      <c r="PLX1" t="s">
        <v>12719</v>
      </c>
      <c r="PLY1" t="s">
        <v>12720</v>
      </c>
      <c r="PLZ1" t="s">
        <v>12721</v>
      </c>
      <c r="PMA1" t="s">
        <v>12722</v>
      </c>
      <c r="PMB1" t="s">
        <v>12723</v>
      </c>
      <c r="PMC1" t="s">
        <v>12724</v>
      </c>
      <c r="PMD1" t="s">
        <v>12725</v>
      </c>
      <c r="PME1" t="s">
        <v>12726</v>
      </c>
      <c r="PMF1" t="s">
        <v>12727</v>
      </c>
      <c r="PMG1" t="s">
        <v>12728</v>
      </c>
      <c r="PMH1" t="s">
        <v>12729</v>
      </c>
      <c r="PMI1" t="s">
        <v>12730</v>
      </c>
      <c r="PMJ1" t="s">
        <v>12731</v>
      </c>
      <c r="PMK1" t="s">
        <v>12732</v>
      </c>
      <c r="PML1" t="s">
        <v>12733</v>
      </c>
      <c r="PMM1" t="s">
        <v>12734</v>
      </c>
      <c r="PMN1" t="s">
        <v>12735</v>
      </c>
      <c r="PMO1" t="s">
        <v>12736</v>
      </c>
      <c r="PMP1" t="s">
        <v>12737</v>
      </c>
      <c r="PMQ1" t="s">
        <v>12738</v>
      </c>
      <c r="PMR1" t="s">
        <v>12739</v>
      </c>
      <c r="PMS1" t="s">
        <v>12740</v>
      </c>
      <c r="PMT1" t="s">
        <v>12741</v>
      </c>
      <c r="PMU1" t="s">
        <v>12742</v>
      </c>
      <c r="PMV1" t="s">
        <v>12743</v>
      </c>
      <c r="PMW1" t="s">
        <v>12744</v>
      </c>
      <c r="PMX1" t="s">
        <v>12745</v>
      </c>
      <c r="PMY1" t="s">
        <v>12746</v>
      </c>
      <c r="PMZ1" t="s">
        <v>12747</v>
      </c>
      <c r="PNA1" t="s">
        <v>12748</v>
      </c>
      <c r="PNB1" t="s">
        <v>12749</v>
      </c>
      <c r="PNC1" t="s">
        <v>12750</v>
      </c>
      <c r="PND1" t="s">
        <v>12751</v>
      </c>
      <c r="PNE1" t="s">
        <v>12752</v>
      </c>
      <c r="PNF1" t="s">
        <v>12753</v>
      </c>
      <c r="PNG1" t="s">
        <v>12754</v>
      </c>
      <c r="PNH1" t="s">
        <v>12755</v>
      </c>
      <c r="PNI1" t="s">
        <v>12756</v>
      </c>
      <c r="PNJ1" t="s">
        <v>12757</v>
      </c>
      <c r="PNK1" t="s">
        <v>12758</v>
      </c>
      <c r="PNL1" t="s">
        <v>12759</v>
      </c>
      <c r="PNM1" t="s">
        <v>12760</v>
      </c>
      <c r="PNN1" t="s">
        <v>12761</v>
      </c>
      <c r="PNO1" t="s">
        <v>12762</v>
      </c>
      <c r="PNP1" t="s">
        <v>12763</v>
      </c>
      <c r="PNQ1" t="s">
        <v>12764</v>
      </c>
      <c r="PNR1" t="s">
        <v>12765</v>
      </c>
      <c r="PNS1" t="s">
        <v>12766</v>
      </c>
      <c r="PNT1" t="s">
        <v>12767</v>
      </c>
      <c r="PNU1" t="s">
        <v>12768</v>
      </c>
      <c r="PNV1" t="s">
        <v>12769</v>
      </c>
      <c r="PNW1" t="s">
        <v>12770</v>
      </c>
      <c r="PNX1" t="s">
        <v>12771</v>
      </c>
      <c r="PNY1" t="s">
        <v>12772</v>
      </c>
      <c r="PNZ1" t="s">
        <v>12773</v>
      </c>
      <c r="POA1" t="s">
        <v>12774</v>
      </c>
      <c r="POB1" t="s">
        <v>12775</v>
      </c>
      <c r="POC1" t="s">
        <v>12776</v>
      </c>
      <c r="POD1" t="s">
        <v>12777</v>
      </c>
      <c r="POE1" t="s">
        <v>12778</v>
      </c>
      <c r="POF1" t="s">
        <v>12779</v>
      </c>
      <c r="POG1" t="s">
        <v>12780</v>
      </c>
      <c r="POH1" t="s">
        <v>12781</v>
      </c>
      <c r="POI1" t="s">
        <v>12782</v>
      </c>
      <c r="POJ1" t="s">
        <v>12783</v>
      </c>
      <c r="POK1" t="s">
        <v>12784</v>
      </c>
      <c r="POL1" t="s">
        <v>12785</v>
      </c>
      <c r="POM1" t="s">
        <v>12786</v>
      </c>
      <c r="PON1" t="s">
        <v>12787</v>
      </c>
      <c r="POO1" t="s">
        <v>12788</v>
      </c>
      <c r="POP1" t="s">
        <v>12789</v>
      </c>
      <c r="POQ1" t="s">
        <v>12790</v>
      </c>
      <c r="POR1" t="s">
        <v>12791</v>
      </c>
      <c r="POS1" t="s">
        <v>12792</v>
      </c>
      <c r="POT1" t="s">
        <v>12793</v>
      </c>
      <c r="POU1" t="s">
        <v>12794</v>
      </c>
      <c r="POV1" t="s">
        <v>12795</v>
      </c>
      <c r="POW1" t="s">
        <v>12796</v>
      </c>
      <c r="POX1" t="s">
        <v>12797</v>
      </c>
      <c r="POY1" t="s">
        <v>12798</v>
      </c>
      <c r="POZ1" t="s">
        <v>12799</v>
      </c>
      <c r="PPA1" t="s">
        <v>12800</v>
      </c>
      <c r="PPB1" t="s">
        <v>12801</v>
      </c>
      <c r="PPC1" t="s">
        <v>12802</v>
      </c>
      <c r="PPD1" t="s">
        <v>12803</v>
      </c>
      <c r="PPE1" t="s">
        <v>12804</v>
      </c>
      <c r="PPF1" t="s">
        <v>12805</v>
      </c>
      <c r="PPG1" t="s">
        <v>12806</v>
      </c>
      <c r="PPH1" t="s">
        <v>12807</v>
      </c>
      <c r="PPI1" t="s">
        <v>12808</v>
      </c>
      <c r="PPJ1" t="s">
        <v>12809</v>
      </c>
      <c r="PPK1" t="s">
        <v>12810</v>
      </c>
      <c r="PPL1" t="s">
        <v>12811</v>
      </c>
      <c r="PPM1" t="s">
        <v>12812</v>
      </c>
      <c r="PPN1" t="s">
        <v>12813</v>
      </c>
      <c r="PPO1" t="s">
        <v>12814</v>
      </c>
      <c r="PPP1" t="s">
        <v>12815</v>
      </c>
      <c r="PPQ1" t="s">
        <v>12816</v>
      </c>
      <c r="PPR1" t="s">
        <v>12817</v>
      </c>
      <c r="PPS1" t="s">
        <v>12818</v>
      </c>
      <c r="PPT1" t="s">
        <v>12819</v>
      </c>
      <c r="PPU1" t="s">
        <v>12820</v>
      </c>
      <c r="PPV1" t="s">
        <v>12821</v>
      </c>
      <c r="PPW1" t="s">
        <v>12822</v>
      </c>
      <c r="PPX1" t="s">
        <v>12823</v>
      </c>
      <c r="PPY1" t="s">
        <v>12824</v>
      </c>
      <c r="PPZ1" t="s">
        <v>12825</v>
      </c>
      <c r="PQA1" t="s">
        <v>12826</v>
      </c>
      <c r="PQB1" t="s">
        <v>12827</v>
      </c>
      <c r="PQC1" t="s">
        <v>12828</v>
      </c>
      <c r="PQD1" t="s">
        <v>12829</v>
      </c>
      <c r="PQE1" t="s">
        <v>12830</v>
      </c>
      <c r="PQF1" t="s">
        <v>12831</v>
      </c>
      <c r="PQG1" t="s">
        <v>12832</v>
      </c>
      <c r="PQH1" t="s">
        <v>12833</v>
      </c>
      <c r="PQI1" t="s">
        <v>12834</v>
      </c>
      <c r="PQJ1" t="s">
        <v>12835</v>
      </c>
      <c r="PQK1" t="s">
        <v>12836</v>
      </c>
      <c r="PQL1" t="s">
        <v>12837</v>
      </c>
      <c r="PQM1" t="s">
        <v>12838</v>
      </c>
      <c r="PQN1" t="s">
        <v>12839</v>
      </c>
      <c r="PQO1" t="s">
        <v>12840</v>
      </c>
      <c r="PQP1" t="s">
        <v>12841</v>
      </c>
      <c r="PQQ1" t="s">
        <v>12842</v>
      </c>
      <c r="PQR1" t="s">
        <v>12843</v>
      </c>
      <c r="PQS1" t="s">
        <v>12844</v>
      </c>
      <c r="PQT1" t="s">
        <v>12845</v>
      </c>
      <c r="PQU1" t="s">
        <v>12846</v>
      </c>
      <c r="PQV1" t="s">
        <v>12847</v>
      </c>
      <c r="PQW1" t="s">
        <v>12848</v>
      </c>
      <c r="PQX1" t="s">
        <v>12849</v>
      </c>
      <c r="PQY1" t="s">
        <v>12850</v>
      </c>
      <c r="PQZ1" t="s">
        <v>12851</v>
      </c>
      <c r="PRA1" t="s">
        <v>12852</v>
      </c>
      <c r="PRB1" t="s">
        <v>12853</v>
      </c>
      <c r="PRC1" t="s">
        <v>12854</v>
      </c>
      <c r="PRD1" t="s">
        <v>12855</v>
      </c>
      <c r="PRE1" t="s">
        <v>12856</v>
      </c>
      <c r="PRF1" t="s">
        <v>12857</v>
      </c>
      <c r="PRG1" t="s">
        <v>12858</v>
      </c>
      <c r="PRH1" t="s">
        <v>12859</v>
      </c>
      <c r="PRI1" t="s">
        <v>12860</v>
      </c>
      <c r="PRJ1" t="s">
        <v>12861</v>
      </c>
      <c r="PRK1" t="s">
        <v>12862</v>
      </c>
      <c r="PRL1" t="s">
        <v>12863</v>
      </c>
      <c r="PRM1" t="s">
        <v>12864</v>
      </c>
      <c r="PRN1" t="s">
        <v>12865</v>
      </c>
      <c r="PRO1" t="s">
        <v>12866</v>
      </c>
      <c r="PRP1" t="s">
        <v>12867</v>
      </c>
      <c r="PRQ1" t="s">
        <v>12868</v>
      </c>
      <c r="PRR1" t="s">
        <v>12869</v>
      </c>
      <c r="PRS1" t="s">
        <v>12870</v>
      </c>
      <c r="PRT1" t="s">
        <v>12871</v>
      </c>
      <c r="PRU1" t="s">
        <v>12872</v>
      </c>
      <c r="PRV1" t="s">
        <v>12873</v>
      </c>
      <c r="PRW1" t="s">
        <v>12874</v>
      </c>
      <c r="PRX1" t="s">
        <v>12875</v>
      </c>
      <c r="PRY1" t="s">
        <v>12876</v>
      </c>
      <c r="PRZ1" t="s">
        <v>12877</v>
      </c>
      <c r="PSA1" t="s">
        <v>12878</v>
      </c>
      <c r="PSB1" t="s">
        <v>12879</v>
      </c>
      <c r="PSC1" t="s">
        <v>12880</v>
      </c>
      <c r="PSD1" t="s">
        <v>12881</v>
      </c>
      <c r="PSE1" t="s">
        <v>12882</v>
      </c>
      <c r="PSF1" t="s">
        <v>12883</v>
      </c>
      <c r="PSG1" t="s">
        <v>12884</v>
      </c>
      <c r="PSH1" t="s">
        <v>12885</v>
      </c>
      <c r="PSI1" t="s">
        <v>12886</v>
      </c>
      <c r="PSJ1" t="s">
        <v>12887</v>
      </c>
      <c r="PSK1" t="s">
        <v>12888</v>
      </c>
      <c r="PSL1" t="s">
        <v>12889</v>
      </c>
      <c r="PSM1" t="s">
        <v>12890</v>
      </c>
      <c r="PSN1" t="s">
        <v>12891</v>
      </c>
      <c r="PSO1" t="s">
        <v>12892</v>
      </c>
      <c r="PSP1" t="s">
        <v>12893</v>
      </c>
      <c r="PSQ1" t="s">
        <v>12894</v>
      </c>
      <c r="PSR1" t="s">
        <v>12895</v>
      </c>
      <c r="PSS1" t="s">
        <v>12896</v>
      </c>
      <c r="PST1" t="s">
        <v>12897</v>
      </c>
      <c r="PSU1" t="s">
        <v>12898</v>
      </c>
      <c r="PSV1" t="s">
        <v>12899</v>
      </c>
      <c r="PSW1" t="s">
        <v>12900</v>
      </c>
      <c r="PSX1" t="s">
        <v>12901</v>
      </c>
      <c r="PSY1" t="s">
        <v>12902</v>
      </c>
      <c r="PSZ1" t="s">
        <v>12903</v>
      </c>
      <c r="PTA1" t="s">
        <v>12904</v>
      </c>
      <c r="PTB1" t="s">
        <v>12905</v>
      </c>
      <c r="PTC1" t="s">
        <v>12906</v>
      </c>
      <c r="PTD1" t="s">
        <v>12907</v>
      </c>
      <c r="PTE1" t="s">
        <v>12908</v>
      </c>
      <c r="PTF1" t="s">
        <v>12909</v>
      </c>
      <c r="PTG1" t="s">
        <v>12910</v>
      </c>
      <c r="PTH1" t="s">
        <v>12911</v>
      </c>
      <c r="PTI1" t="s">
        <v>12912</v>
      </c>
      <c r="PTJ1" t="s">
        <v>12913</v>
      </c>
      <c r="PTK1" t="s">
        <v>12914</v>
      </c>
      <c r="PTL1" t="s">
        <v>12915</v>
      </c>
      <c r="PTM1" t="s">
        <v>12916</v>
      </c>
      <c r="PTN1" t="s">
        <v>12917</v>
      </c>
      <c r="PTO1" t="s">
        <v>12918</v>
      </c>
      <c r="PTP1" t="s">
        <v>12919</v>
      </c>
      <c r="PTQ1" t="s">
        <v>12920</v>
      </c>
      <c r="PTR1" t="s">
        <v>12921</v>
      </c>
      <c r="PTS1" t="s">
        <v>12922</v>
      </c>
      <c r="PTT1" t="s">
        <v>12923</v>
      </c>
      <c r="PTU1" t="s">
        <v>12924</v>
      </c>
      <c r="PTV1" t="s">
        <v>12925</v>
      </c>
      <c r="PTW1" t="s">
        <v>12926</v>
      </c>
      <c r="PTX1" t="s">
        <v>12927</v>
      </c>
      <c r="PTY1" t="s">
        <v>12928</v>
      </c>
      <c r="PTZ1" t="s">
        <v>12929</v>
      </c>
      <c r="PUA1" t="s">
        <v>12930</v>
      </c>
      <c r="PUB1" t="s">
        <v>12931</v>
      </c>
      <c r="PUC1" t="s">
        <v>12932</v>
      </c>
      <c r="PUD1" t="s">
        <v>12933</v>
      </c>
      <c r="PUE1" t="s">
        <v>12934</v>
      </c>
      <c r="PUF1" t="s">
        <v>12935</v>
      </c>
      <c r="PUG1" t="s">
        <v>12936</v>
      </c>
      <c r="PUH1" t="s">
        <v>12937</v>
      </c>
      <c r="PUI1" t="s">
        <v>12938</v>
      </c>
      <c r="PUJ1" t="s">
        <v>12939</v>
      </c>
      <c r="PUK1" t="s">
        <v>12940</v>
      </c>
      <c r="PUL1" t="s">
        <v>12941</v>
      </c>
      <c r="PUM1" t="s">
        <v>12942</v>
      </c>
      <c r="PUN1" t="s">
        <v>12943</v>
      </c>
      <c r="PUO1" t="s">
        <v>12944</v>
      </c>
      <c r="PUP1" t="s">
        <v>12945</v>
      </c>
      <c r="PUQ1" t="s">
        <v>12946</v>
      </c>
      <c r="PUR1" t="s">
        <v>12947</v>
      </c>
      <c r="PUS1" t="s">
        <v>12948</v>
      </c>
      <c r="PUT1" t="s">
        <v>12949</v>
      </c>
      <c r="PUU1" t="s">
        <v>12950</v>
      </c>
      <c r="PUV1" t="s">
        <v>12951</v>
      </c>
      <c r="PUW1" t="s">
        <v>12952</v>
      </c>
      <c r="PUX1" t="s">
        <v>12953</v>
      </c>
      <c r="PUY1" t="s">
        <v>12954</v>
      </c>
      <c r="PUZ1" t="s">
        <v>12955</v>
      </c>
      <c r="PVA1" t="s">
        <v>12956</v>
      </c>
      <c r="PVB1" t="s">
        <v>12957</v>
      </c>
      <c r="PVC1" t="s">
        <v>12958</v>
      </c>
      <c r="PVD1" t="s">
        <v>12959</v>
      </c>
      <c r="PVE1" t="s">
        <v>12960</v>
      </c>
      <c r="PVF1" t="s">
        <v>12961</v>
      </c>
      <c r="PVG1" t="s">
        <v>12962</v>
      </c>
      <c r="PVH1" t="s">
        <v>12963</v>
      </c>
      <c r="PVI1" t="s">
        <v>12964</v>
      </c>
      <c r="PVJ1" t="s">
        <v>12965</v>
      </c>
      <c r="PVK1" t="s">
        <v>12966</v>
      </c>
      <c r="PVL1" t="s">
        <v>12967</v>
      </c>
      <c r="PVM1" t="s">
        <v>12968</v>
      </c>
      <c r="PVN1" t="s">
        <v>12969</v>
      </c>
      <c r="PVO1" t="s">
        <v>12970</v>
      </c>
      <c r="PVP1" t="s">
        <v>12971</v>
      </c>
      <c r="PVQ1" t="s">
        <v>12972</v>
      </c>
      <c r="PVR1" t="s">
        <v>12973</v>
      </c>
      <c r="PVS1" t="s">
        <v>12974</v>
      </c>
      <c r="PVT1" t="s">
        <v>12975</v>
      </c>
      <c r="PVU1" t="s">
        <v>12976</v>
      </c>
      <c r="PVV1" t="s">
        <v>12977</v>
      </c>
      <c r="PVW1" t="s">
        <v>12978</v>
      </c>
      <c r="PVX1" t="s">
        <v>12979</v>
      </c>
      <c r="PVY1" t="s">
        <v>12980</v>
      </c>
      <c r="PVZ1" t="s">
        <v>12981</v>
      </c>
      <c r="PWA1" t="s">
        <v>12982</v>
      </c>
      <c r="PWB1" t="s">
        <v>12983</v>
      </c>
      <c r="PWC1" t="s">
        <v>12984</v>
      </c>
      <c r="PWD1" t="s">
        <v>12985</v>
      </c>
      <c r="PWE1" t="s">
        <v>12986</v>
      </c>
      <c r="PWF1" t="s">
        <v>12987</v>
      </c>
      <c r="PWG1" t="s">
        <v>12988</v>
      </c>
      <c r="PWH1" t="s">
        <v>12989</v>
      </c>
      <c r="PWI1" t="s">
        <v>12990</v>
      </c>
      <c r="PWJ1" t="s">
        <v>12991</v>
      </c>
      <c r="PWK1" t="s">
        <v>12992</v>
      </c>
      <c r="PWL1" t="s">
        <v>12993</v>
      </c>
      <c r="PWM1" t="s">
        <v>12994</v>
      </c>
      <c r="PWN1" t="s">
        <v>12995</v>
      </c>
      <c r="PWO1" t="s">
        <v>12996</v>
      </c>
      <c r="PWP1" t="s">
        <v>12997</v>
      </c>
      <c r="PWQ1" t="s">
        <v>12998</v>
      </c>
      <c r="PWR1" t="s">
        <v>12999</v>
      </c>
      <c r="PWS1" t="s">
        <v>13000</v>
      </c>
      <c r="PWT1" t="s">
        <v>13001</v>
      </c>
      <c r="PWU1" t="s">
        <v>13002</v>
      </c>
      <c r="PWV1" t="s">
        <v>13003</v>
      </c>
      <c r="PWW1" t="s">
        <v>13004</v>
      </c>
      <c r="PWX1" t="s">
        <v>13005</v>
      </c>
      <c r="PWY1" t="s">
        <v>13006</v>
      </c>
      <c r="PWZ1" t="s">
        <v>13007</v>
      </c>
      <c r="PXA1" t="s">
        <v>13008</v>
      </c>
      <c r="PXB1" t="s">
        <v>13009</v>
      </c>
      <c r="PXC1" t="s">
        <v>13010</v>
      </c>
      <c r="PXD1" t="s">
        <v>13011</v>
      </c>
      <c r="PXE1" t="s">
        <v>13012</v>
      </c>
      <c r="PXF1" t="s">
        <v>13013</v>
      </c>
      <c r="PXG1" t="s">
        <v>13014</v>
      </c>
      <c r="PXH1" t="s">
        <v>13015</v>
      </c>
      <c r="PXI1" t="s">
        <v>13016</v>
      </c>
      <c r="PXJ1" t="s">
        <v>13017</v>
      </c>
      <c r="PXK1" t="s">
        <v>13018</v>
      </c>
      <c r="PXL1" t="s">
        <v>13019</v>
      </c>
      <c r="PXM1" t="s">
        <v>13020</v>
      </c>
      <c r="PXN1" t="s">
        <v>13021</v>
      </c>
      <c r="PXO1" t="s">
        <v>13022</v>
      </c>
      <c r="PXP1" t="s">
        <v>13023</v>
      </c>
      <c r="PXQ1" t="s">
        <v>13024</v>
      </c>
      <c r="PXR1" t="s">
        <v>13025</v>
      </c>
      <c r="PXS1" t="s">
        <v>13026</v>
      </c>
      <c r="PXT1" t="s">
        <v>13027</v>
      </c>
      <c r="PXU1" t="s">
        <v>13028</v>
      </c>
      <c r="PXV1" t="s">
        <v>13029</v>
      </c>
      <c r="PXW1" t="s">
        <v>13030</v>
      </c>
      <c r="PXX1" t="s">
        <v>13031</v>
      </c>
      <c r="PXY1" t="s">
        <v>13032</v>
      </c>
      <c r="PXZ1" t="s">
        <v>13033</v>
      </c>
      <c r="PYA1" t="s">
        <v>13034</v>
      </c>
      <c r="PYB1" t="s">
        <v>13035</v>
      </c>
      <c r="PYC1" t="s">
        <v>13036</v>
      </c>
      <c r="PYD1" t="s">
        <v>13037</v>
      </c>
      <c r="PYE1" t="s">
        <v>13038</v>
      </c>
      <c r="PYF1" t="s">
        <v>13039</v>
      </c>
      <c r="PYG1" t="s">
        <v>13040</v>
      </c>
      <c r="PYH1" t="s">
        <v>13041</v>
      </c>
      <c r="PYI1" t="s">
        <v>13042</v>
      </c>
      <c r="PYJ1" t="s">
        <v>13043</v>
      </c>
      <c r="PYK1" t="s">
        <v>13044</v>
      </c>
      <c r="PYL1" t="s">
        <v>13045</v>
      </c>
      <c r="PYM1" t="s">
        <v>13046</v>
      </c>
      <c r="PYN1" t="s">
        <v>13047</v>
      </c>
      <c r="PYO1" t="s">
        <v>13048</v>
      </c>
      <c r="PYP1" t="s">
        <v>13049</v>
      </c>
      <c r="PYQ1" t="s">
        <v>13050</v>
      </c>
      <c r="PYR1" t="s">
        <v>13051</v>
      </c>
      <c r="PYS1" t="s">
        <v>13052</v>
      </c>
      <c r="PYT1" t="s">
        <v>13053</v>
      </c>
      <c r="PYU1" t="s">
        <v>13054</v>
      </c>
      <c r="PYV1" t="s">
        <v>13055</v>
      </c>
      <c r="PYW1" t="s">
        <v>13056</v>
      </c>
      <c r="PYX1" t="s">
        <v>13057</v>
      </c>
      <c r="PYY1" t="s">
        <v>13058</v>
      </c>
      <c r="PYZ1" t="s">
        <v>13059</v>
      </c>
      <c r="PZA1" t="s">
        <v>13060</v>
      </c>
      <c r="PZB1" t="s">
        <v>13061</v>
      </c>
      <c r="PZC1" t="s">
        <v>13062</v>
      </c>
      <c r="PZD1" t="s">
        <v>13063</v>
      </c>
      <c r="PZE1" t="s">
        <v>13064</v>
      </c>
      <c r="PZF1" t="s">
        <v>13065</v>
      </c>
      <c r="PZG1" t="s">
        <v>13066</v>
      </c>
      <c r="PZH1" t="s">
        <v>13067</v>
      </c>
      <c r="PZI1" t="s">
        <v>13068</v>
      </c>
      <c r="PZJ1" t="s">
        <v>13069</v>
      </c>
      <c r="PZK1" t="s">
        <v>13070</v>
      </c>
      <c r="PZL1" t="s">
        <v>13071</v>
      </c>
      <c r="PZM1" t="s">
        <v>13072</v>
      </c>
      <c r="PZN1" t="s">
        <v>13073</v>
      </c>
      <c r="PZO1" t="s">
        <v>13074</v>
      </c>
      <c r="PZP1" t="s">
        <v>13075</v>
      </c>
      <c r="PZQ1" t="s">
        <v>13076</v>
      </c>
      <c r="PZR1" t="s">
        <v>13077</v>
      </c>
      <c r="PZS1" t="s">
        <v>13078</v>
      </c>
      <c r="PZT1" t="s">
        <v>13079</v>
      </c>
      <c r="PZU1" t="s">
        <v>13080</v>
      </c>
      <c r="PZV1" t="s">
        <v>13081</v>
      </c>
      <c r="PZW1" t="s">
        <v>13082</v>
      </c>
      <c r="PZX1" t="s">
        <v>13083</v>
      </c>
      <c r="PZY1" t="s">
        <v>13084</v>
      </c>
      <c r="PZZ1" t="s">
        <v>13085</v>
      </c>
      <c r="QAA1" t="s">
        <v>13086</v>
      </c>
      <c r="QAB1" t="s">
        <v>13087</v>
      </c>
      <c r="QAC1" t="s">
        <v>13088</v>
      </c>
      <c r="QAD1" t="s">
        <v>13089</v>
      </c>
      <c r="QAE1" t="s">
        <v>13090</v>
      </c>
      <c r="QAF1" t="s">
        <v>13091</v>
      </c>
      <c r="QAG1" t="s">
        <v>13092</v>
      </c>
      <c r="QAH1" t="s">
        <v>13093</v>
      </c>
      <c r="QAI1" t="s">
        <v>13094</v>
      </c>
      <c r="QAJ1" t="s">
        <v>13095</v>
      </c>
      <c r="QAK1" t="s">
        <v>13096</v>
      </c>
      <c r="QAL1" t="s">
        <v>13097</v>
      </c>
      <c r="QAM1" t="s">
        <v>13098</v>
      </c>
      <c r="QAN1" t="s">
        <v>13099</v>
      </c>
      <c r="QAO1" t="s">
        <v>13100</v>
      </c>
      <c r="QAP1" t="s">
        <v>13101</v>
      </c>
      <c r="QAQ1" t="s">
        <v>13102</v>
      </c>
      <c r="QAR1" t="s">
        <v>13103</v>
      </c>
      <c r="QAS1" t="s">
        <v>13104</v>
      </c>
      <c r="QAT1" t="s">
        <v>13105</v>
      </c>
      <c r="QAU1" t="s">
        <v>13106</v>
      </c>
      <c r="QAV1" t="s">
        <v>13107</v>
      </c>
      <c r="QAW1" t="s">
        <v>13108</v>
      </c>
      <c r="QAX1" t="s">
        <v>13109</v>
      </c>
      <c r="QAY1" t="s">
        <v>13110</v>
      </c>
      <c r="QAZ1" t="s">
        <v>13111</v>
      </c>
      <c r="QBA1" t="s">
        <v>13112</v>
      </c>
      <c r="QBB1" t="s">
        <v>13113</v>
      </c>
      <c r="QBC1" t="s">
        <v>13114</v>
      </c>
      <c r="QBD1" t="s">
        <v>13115</v>
      </c>
      <c r="QBE1" t="s">
        <v>13116</v>
      </c>
      <c r="QBF1" t="s">
        <v>13117</v>
      </c>
      <c r="QBG1" t="s">
        <v>13118</v>
      </c>
      <c r="QBH1" t="s">
        <v>13119</v>
      </c>
      <c r="QBI1" t="s">
        <v>13120</v>
      </c>
      <c r="QBJ1" t="s">
        <v>13121</v>
      </c>
      <c r="QBK1" t="s">
        <v>13122</v>
      </c>
      <c r="QBL1" t="s">
        <v>13123</v>
      </c>
      <c r="QBM1" t="s">
        <v>13124</v>
      </c>
      <c r="QBN1" t="s">
        <v>13125</v>
      </c>
      <c r="QBO1" t="s">
        <v>13126</v>
      </c>
      <c r="QBP1" t="s">
        <v>13127</v>
      </c>
      <c r="QBQ1" t="s">
        <v>13128</v>
      </c>
      <c r="QBR1" t="s">
        <v>13129</v>
      </c>
      <c r="QBS1" t="s">
        <v>13130</v>
      </c>
      <c r="QBT1" t="s">
        <v>13131</v>
      </c>
      <c r="QBU1" t="s">
        <v>13132</v>
      </c>
      <c r="QBV1" t="s">
        <v>13133</v>
      </c>
      <c r="QBW1" t="s">
        <v>13134</v>
      </c>
      <c r="QBX1" t="s">
        <v>13135</v>
      </c>
      <c r="QBY1" t="s">
        <v>13136</v>
      </c>
      <c r="QBZ1" t="s">
        <v>13137</v>
      </c>
      <c r="QCA1" t="s">
        <v>13138</v>
      </c>
      <c r="QCB1" t="s">
        <v>13139</v>
      </c>
      <c r="QCC1" t="s">
        <v>13140</v>
      </c>
      <c r="QCD1" t="s">
        <v>13141</v>
      </c>
      <c r="QCE1" t="s">
        <v>13142</v>
      </c>
      <c r="QCF1" t="s">
        <v>13143</v>
      </c>
      <c r="QCG1" t="s">
        <v>13144</v>
      </c>
      <c r="QCH1" t="s">
        <v>13145</v>
      </c>
      <c r="QCI1" t="s">
        <v>13146</v>
      </c>
      <c r="QCJ1" t="s">
        <v>13147</v>
      </c>
      <c r="QCK1" t="s">
        <v>13148</v>
      </c>
      <c r="QCL1" t="s">
        <v>13149</v>
      </c>
      <c r="QCM1" t="s">
        <v>13150</v>
      </c>
      <c r="QCN1" t="s">
        <v>13151</v>
      </c>
      <c r="QCO1" t="s">
        <v>13152</v>
      </c>
      <c r="QCP1" t="s">
        <v>13153</v>
      </c>
      <c r="QCQ1" t="s">
        <v>13154</v>
      </c>
      <c r="QCR1" t="s">
        <v>13155</v>
      </c>
      <c r="QCS1" t="s">
        <v>13156</v>
      </c>
      <c r="QCT1" t="s">
        <v>13157</v>
      </c>
      <c r="QCU1" t="s">
        <v>13158</v>
      </c>
      <c r="QCV1" t="s">
        <v>13159</v>
      </c>
      <c r="QCW1" t="s">
        <v>13160</v>
      </c>
      <c r="QCX1" t="s">
        <v>13161</v>
      </c>
      <c r="QCY1" t="s">
        <v>13162</v>
      </c>
      <c r="QCZ1" t="s">
        <v>13163</v>
      </c>
      <c r="QDA1" t="s">
        <v>13164</v>
      </c>
      <c r="QDB1" t="s">
        <v>13165</v>
      </c>
      <c r="QDC1" t="s">
        <v>13166</v>
      </c>
      <c r="QDD1" t="s">
        <v>13167</v>
      </c>
      <c r="QDE1" t="s">
        <v>13168</v>
      </c>
      <c r="QDF1" t="s">
        <v>13169</v>
      </c>
      <c r="QDG1" t="s">
        <v>13170</v>
      </c>
      <c r="QDH1" t="s">
        <v>13171</v>
      </c>
      <c r="QDI1" t="s">
        <v>13172</v>
      </c>
      <c r="QDJ1" t="s">
        <v>13173</v>
      </c>
      <c r="QDK1" t="s">
        <v>13174</v>
      </c>
      <c r="QDL1" t="s">
        <v>13175</v>
      </c>
      <c r="QDM1" t="s">
        <v>13176</v>
      </c>
      <c r="QDN1" t="s">
        <v>13177</v>
      </c>
      <c r="QDO1" t="s">
        <v>13178</v>
      </c>
      <c r="QDP1" t="s">
        <v>13179</v>
      </c>
      <c r="QDQ1" t="s">
        <v>13180</v>
      </c>
      <c r="QDR1" t="s">
        <v>13181</v>
      </c>
      <c r="QDS1" t="s">
        <v>13182</v>
      </c>
      <c r="QDT1" t="s">
        <v>13183</v>
      </c>
      <c r="QDU1" t="s">
        <v>13184</v>
      </c>
      <c r="QDV1" t="s">
        <v>13185</v>
      </c>
      <c r="QDW1" t="s">
        <v>13186</v>
      </c>
      <c r="QDX1" t="s">
        <v>13187</v>
      </c>
      <c r="QDY1" t="s">
        <v>13188</v>
      </c>
      <c r="QDZ1" t="s">
        <v>13189</v>
      </c>
      <c r="QEA1" t="s">
        <v>13190</v>
      </c>
      <c r="QEB1" t="s">
        <v>13191</v>
      </c>
      <c r="QEC1" t="s">
        <v>13192</v>
      </c>
      <c r="QED1" t="s">
        <v>13193</v>
      </c>
      <c r="QEE1" t="s">
        <v>13194</v>
      </c>
      <c r="QEF1" t="s">
        <v>13195</v>
      </c>
      <c r="QEG1" t="s">
        <v>13196</v>
      </c>
      <c r="QEH1" t="s">
        <v>13197</v>
      </c>
      <c r="QEI1" t="s">
        <v>13198</v>
      </c>
      <c r="QEJ1" t="s">
        <v>13199</v>
      </c>
      <c r="QEK1" t="s">
        <v>13200</v>
      </c>
      <c r="QEL1" t="s">
        <v>13201</v>
      </c>
      <c r="QEM1" t="s">
        <v>13202</v>
      </c>
      <c r="QEN1" t="s">
        <v>13203</v>
      </c>
      <c r="QEO1" t="s">
        <v>13204</v>
      </c>
      <c r="QEP1" t="s">
        <v>13205</v>
      </c>
      <c r="QEQ1" t="s">
        <v>13206</v>
      </c>
      <c r="QER1" t="s">
        <v>13207</v>
      </c>
      <c r="QES1" t="s">
        <v>13208</v>
      </c>
      <c r="QET1" t="s">
        <v>13209</v>
      </c>
      <c r="QEU1" t="s">
        <v>13210</v>
      </c>
      <c r="QEV1" t="s">
        <v>13211</v>
      </c>
      <c r="QEW1" t="s">
        <v>13212</v>
      </c>
      <c r="QEX1" t="s">
        <v>13213</v>
      </c>
      <c r="QEY1" t="s">
        <v>13214</v>
      </c>
      <c r="QEZ1" t="s">
        <v>13215</v>
      </c>
      <c r="QFA1" t="s">
        <v>13216</v>
      </c>
      <c r="QFB1" t="s">
        <v>13217</v>
      </c>
      <c r="QFC1" t="s">
        <v>13218</v>
      </c>
      <c r="QFD1" t="s">
        <v>13219</v>
      </c>
      <c r="QFE1" t="s">
        <v>13220</v>
      </c>
      <c r="QFF1" t="s">
        <v>13221</v>
      </c>
      <c r="QFG1" t="s">
        <v>13222</v>
      </c>
      <c r="QFH1" t="s">
        <v>13223</v>
      </c>
      <c r="QFI1" t="s">
        <v>13224</v>
      </c>
      <c r="QFJ1" t="s">
        <v>13225</v>
      </c>
      <c r="QFK1" t="s">
        <v>13226</v>
      </c>
      <c r="QFL1" t="s">
        <v>13227</v>
      </c>
      <c r="QFM1" t="s">
        <v>13228</v>
      </c>
      <c r="QFN1" t="s">
        <v>13229</v>
      </c>
      <c r="QFO1" t="s">
        <v>13230</v>
      </c>
      <c r="QFP1" t="s">
        <v>13231</v>
      </c>
      <c r="QFQ1" t="s">
        <v>13232</v>
      </c>
      <c r="QFR1" t="s">
        <v>13233</v>
      </c>
      <c r="QFS1" t="s">
        <v>13234</v>
      </c>
      <c r="QFT1" t="s">
        <v>13235</v>
      </c>
      <c r="QFU1" t="s">
        <v>13236</v>
      </c>
      <c r="QFV1" t="s">
        <v>13237</v>
      </c>
      <c r="QFW1" t="s">
        <v>13238</v>
      </c>
      <c r="QFX1" t="s">
        <v>13239</v>
      </c>
      <c r="QFY1" t="s">
        <v>13240</v>
      </c>
      <c r="QFZ1" t="s">
        <v>13241</v>
      </c>
      <c r="QGA1" t="s">
        <v>13242</v>
      </c>
      <c r="QGB1" t="s">
        <v>13243</v>
      </c>
      <c r="QGC1" t="s">
        <v>13244</v>
      </c>
      <c r="QGD1" t="s">
        <v>13245</v>
      </c>
      <c r="QGE1" t="s">
        <v>13246</v>
      </c>
      <c r="QGF1" t="s">
        <v>13247</v>
      </c>
      <c r="QGG1" t="s">
        <v>13248</v>
      </c>
      <c r="QGH1" t="s">
        <v>13249</v>
      </c>
      <c r="QGI1" t="s">
        <v>13250</v>
      </c>
      <c r="QGJ1" t="s">
        <v>13251</v>
      </c>
      <c r="QGK1" t="s">
        <v>13252</v>
      </c>
      <c r="QGL1" t="s">
        <v>13253</v>
      </c>
      <c r="QGM1" t="s">
        <v>13254</v>
      </c>
      <c r="QGN1" t="s">
        <v>13255</v>
      </c>
      <c r="QGO1" t="s">
        <v>13256</v>
      </c>
      <c r="QGP1" t="s">
        <v>13257</v>
      </c>
      <c r="QGQ1" t="s">
        <v>13258</v>
      </c>
      <c r="QGR1" t="s">
        <v>13259</v>
      </c>
      <c r="QGS1" t="s">
        <v>13260</v>
      </c>
      <c r="QGT1" t="s">
        <v>13261</v>
      </c>
      <c r="QGU1" t="s">
        <v>13262</v>
      </c>
      <c r="QGV1" t="s">
        <v>13263</v>
      </c>
      <c r="QGW1" t="s">
        <v>13264</v>
      </c>
      <c r="QGX1" t="s">
        <v>13265</v>
      </c>
      <c r="QGY1" t="s">
        <v>13266</v>
      </c>
      <c r="QGZ1" t="s">
        <v>13267</v>
      </c>
      <c r="QHA1" t="s">
        <v>13268</v>
      </c>
      <c r="QHB1" t="s">
        <v>13269</v>
      </c>
      <c r="QHC1" t="s">
        <v>13270</v>
      </c>
      <c r="QHD1" t="s">
        <v>13271</v>
      </c>
      <c r="QHE1" t="s">
        <v>13272</v>
      </c>
      <c r="QHF1" t="s">
        <v>13273</v>
      </c>
      <c r="QHG1" t="s">
        <v>13274</v>
      </c>
      <c r="QHH1" t="s">
        <v>13275</v>
      </c>
      <c r="QHI1" t="s">
        <v>13276</v>
      </c>
      <c r="QHJ1" t="s">
        <v>13277</v>
      </c>
      <c r="QHK1" t="s">
        <v>13278</v>
      </c>
      <c r="QHL1" t="s">
        <v>13279</v>
      </c>
      <c r="QHM1" t="s">
        <v>13280</v>
      </c>
      <c r="QHN1" t="s">
        <v>13281</v>
      </c>
      <c r="QHO1" t="s">
        <v>13282</v>
      </c>
      <c r="QHP1" t="s">
        <v>13283</v>
      </c>
      <c r="QHQ1" t="s">
        <v>13284</v>
      </c>
      <c r="QHR1" t="s">
        <v>13285</v>
      </c>
      <c r="QHS1" t="s">
        <v>13286</v>
      </c>
      <c r="QHT1" t="s">
        <v>13287</v>
      </c>
      <c r="QHU1" t="s">
        <v>13288</v>
      </c>
      <c r="QHV1" t="s">
        <v>13289</v>
      </c>
      <c r="QHW1" t="s">
        <v>13290</v>
      </c>
      <c r="QHX1" t="s">
        <v>13291</v>
      </c>
      <c r="QHY1" t="s">
        <v>13292</v>
      </c>
      <c r="QHZ1" t="s">
        <v>13293</v>
      </c>
      <c r="QIA1" t="s">
        <v>13294</v>
      </c>
      <c r="QIB1" t="s">
        <v>13295</v>
      </c>
      <c r="QIC1" t="s">
        <v>13296</v>
      </c>
      <c r="QID1" t="s">
        <v>13297</v>
      </c>
      <c r="QIE1" t="s">
        <v>13298</v>
      </c>
      <c r="QIF1" t="s">
        <v>13299</v>
      </c>
      <c r="QIG1" t="s">
        <v>13300</v>
      </c>
      <c r="QIH1" t="s">
        <v>13301</v>
      </c>
      <c r="QII1" t="s">
        <v>13302</v>
      </c>
      <c r="QIJ1" t="s">
        <v>13303</v>
      </c>
      <c r="QIK1" t="s">
        <v>13304</v>
      </c>
      <c r="QIL1" t="s">
        <v>13305</v>
      </c>
      <c r="QIM1" t="s">
        <v>13306</v>
      </c>
      <c r="QIN1" t="s">
        <v>13307</v>
      </c>
      <c r="QIO1" t="s">
        <v>13308</v>
      </c>
      <c r="QIP1" t="s">
        <v>13309</v>
      </c>
      <c r="QIQ1" t="s">
        <v>13310</v>
      </c>
      <c r="QIR1" t="s">
        <v>13311</v>
      </c>
      <c r="QIS1" t="s">
        <v>13312</v>
      </c>
      <c r="QIT1" t="s">
        <v>13313</v>
      </c>
      <c r="QIU1" t="s">
        <v>13314</v>
      </c>
      <c r="QIV1" t="s">
        <v>13315</v>
      </c>
      <c r="QIW1" t="s">
        <v>13316</v>
      </c>
      <c r="QIX1" t="s">
        <v>13317</v>
      </c>
      <c r="QIY1" t="s">
        <v>13318</v>
      </c>
      <c r="QIZ1" t="s">
        <v>13319</v>
      </c>
      <c r="QJA1" t="s">
        <v>13320</v>
      </c>
      <c r="QJB1" t="s">
        <v>13321</v>
      </c>
      <c r="QJC1" t="s">
        <v>13322</v>
      </c>
      <c r="QJD1" t="s">
        <v>13323</v>
      </c>
      <c r="QJE1" t="s">
        <v>13324</v>
      </c>
      <c r="QJF1" t="s">
        <v>13325</v>
      </c>
      <c r="QJG1" t="s">
        <v>13326</v>
      </c>
      <c r="QJH1" t="s">
        <v>13327</v>
      </c>
      <c r="QJI1" t="s">
        <v>13328</v>
      </c>
      <c r="QJJ1" t="s">
        <v>13329</v>
      </c>
      <c r="QJK1" t="s">
        <v>13330</v>
      </c>
      <c r="QJL1" t="s">
        <v>13331</v>
      </c>
      <c r="QJM1" t="s">
        <v>13332</v>
      </c>
      <c r="QJN1" t="s">
        <v>13333</v>
      </c>
      <c r="QJO1" t="s">
        <v>13334</v>
      </c>
      <c r="QJP1" t="s">
        <v>13335</v>
      </c>
      <c r="QJQ1" t="s">
        <v>13336</v>
      </c>
      <c r="QJR1" t="s">
        <v>13337</v>
      </c>
      <c r="QJS1" t="s">
        <v>13338</v>
      </c>
      <c r="QJT1" t="s">
        <v>13339</v>
      </c>
      <c r="QJU1" t="s">
        <v>13340</v>
      </c>
      <c r="QJV1" t="s">
        <v>13341</v>
      </c>
      <c r="QJW1" t="s">
        <v>13342</v>
      </c>
      <c r="QJX1" t="s">
        <v>13343</v>
      </c>
      <c r="QJY1" t="s">
        <v>13344</v>
      </c>
      <c r="QJZ1" t="s">
        <v>13345</v>
      </c>
      <c r="QKA1" t="s">
        <v>13346</v>
      </c>
      <c r="QKB1" t="s">
        <v>13347</v>
      </c>
      <c r="QKC1" t="s">
        <v>13348</v>
      </c>
      <c r="QKD1" t="s">
        <v>13349</v>
      </c>
      <c r="QKE1" t="s">
        <v>13350</v>
      </c>
      <c r="QKF1" t="s">
        <v>13351</v>
      </c>
      <c r="QKG1" t="s">
        <v>13352</v>
      </c>
      <c r="QKH1" t="s">
        <v>13353</v>
      </c>
      <c r="QKI1" t="s">
        <v>13354</v>
      </c>
      <c r="QKJ1" t="s">
        <v>13355</v>
      </c>
      <c r="QKK1" t="s">
        <v>13356</v>
      </c>
      <c r="QKL1" t="s">
        <v>13357</v>
      </c>
      <c r="QKM1" t="s">
        <v>13358</v>
      </c>
      <c r="QKN1" t="s">
        <v>13359</v>
      </c>
      <c r="QKO1" t="s">
        <v>13360</v>
      </c>
      <c r="QKP1" t="s">
        <v>13361</v>
      </c>
      <c r="QKQ1" t="s">
        <v>13362</v>
      </c>
      <c r="QKR1" t="s">
        <v>13363</v>
      </c>
      <c r="QKS1" t="s">
        <v>13364</v>
      </c>
      <c r="QKT1" t="s">
        <v>13365</v>
      </c>
      <c r="QKU1" t="s">
        <v>13366</v>
      </c>
      <c r="QKV1" t="s">
        <v>13367</v>
      </c>
      <c r="QKW1" t="s">
        <v>13368</v>
      </c>
      <c r="QKX1" t="s">
        <v>13369</v>
      </c>
      <c r="QKY1" t="s">
        <v>13370</v>
      </c>
      <c r="QKZ1" t="s">
        <v>13371</v>
      </c>
      <c r="QLA1" t="s">
        <v>13372</v>
      </c>
      <c r="QLB1" t="s">
        <v>13373</v>
      </c>
      <c r="QLC1" t="s">
        <v>13374</v>
      </c>
      <c r="QLD1" t="s">
        <v>13375</v>
      </c>
      <c r="QLE1" t="s">
        <v>13376</v>
      </c>
      <c r="QLF1" t="s">
        <v>13377</v>
      </c>
      <c r="QLG1" t="s">
        <v>13378</v>
      </c>
      <c r="QLH1" t="s">
        <v>13379</v>
      </c>
      <c r="QLI1" t="s">
        <v>13380</v>
      </c>
      <c r="QLJ1" t="s">
        <v>13381</v>
      </c>
      <c r="QLK1" t="s">
        <v>13382</v>
      </c>
      <c r="QLL1" t="s">
        <v>13383</v>
      </c>
      <c r="QLM1" t="s">
        <v>13384</v>
      </c>
      <c r="QLN1" t="s">
        <v>13385</v>
      </c>
      <c r="QLO1" t="s">
        <v>13386</v>
      </c>
      <c r="QLP1" t="s">
        <v>13387</v>
      </c>
      <c r="QLQ1" t="s">
        <v>13388</v>
      </c>
      <c r="QLR1" t="s">
        <v>13389</v>
      </c>
      <c r="QLS1" t="s">
        <v>13390</v>
      </c>
      <c r="QLT1" t="s">
        <v>13391</v>
      </c>
      <c r="QLU1" t="s">
        <v>13392</v>
      </c>
      <c r="QLV1" t="s">
        <v>13393</v>
      </c>
      <c r="QLW1" t="s">
        <v>13394</v>
      </c>
      <c r="QLX1" t="s">
        <v>13395</v>
      </c>
      <c r="QLY1" t="s">
        <v>13396</v>
      </c>
      <c r="QLZ1" t="s">
        <v>13397</v>
      </c>
      <c r="QMA1" t="s">
        <v>13398</v>
      </c>
      <c r="QMB1" t="s">
        <v>13399</v>
      </c>
      <c r="QMC1" t="s">
        <v>13400</v>
      </c>
      <c r="QMD1" t="s">
        <v>13401</v>
      </c>
      <c r="QME1" t="s">
        <v>13402</v>
      </c>
      <c r="QMF1" t="s">
        <v>13403</v>
      </c>
      <c r="QMG1" t="s">
        <v>13404</v>
      </c>
      <c r="QMH1" t="s">
        <v>13405</v>
      </c>
      <c r="QMI1" t="s">
        <v>13406</v>
      </c>
      <c r="QMJ1" t="s">
        <v>13407</v>
      </c>
      <c r="QMK1" t="s">
        <v>13408</v>
      </c>
      <c r="QML1" t="s">
        <v>13409</v>
      </c>
      <c r="QMM1" t="s">
        <v>13410</v>
      </c>
      <c r="QMN1" t="s">
        <v>13411</v>
      </c>
      <c r="QMO1" t="s">
        <v>13412</v>
      </c>
      <c r="QMP1" t="s">
        <v>13413</v>
      </c>
      <c r="QMQ1" t="s">
        <v>13414</v>
      </c>
      <c r="QMR1" t="s">
        <v>13415</v>
      </c>
      <c r="QMS1" t="s">
        <v>13416</v>
      </c>
      <c r="QMT1" t="s">
        <v>13417</v>
      </c>
      <c r="QMU1" t="s">
        <v>13418</v>
      </c>
      <c r="QMV1" t="s">
        <v>13419</v>
      </c>
      <c r="QMW1" t="s">
        <v>13420</v>
      </c>
      <c r="QMX1" t="s">
        <v>13421</v>
      </c>
      <c r="QMY1" t="s">
        <v>13422</v>
      </c>
      <c r="QMZ1" t="s">
        <v>13423</v>
      </c>
      <c r="QNA1" t="s">
        <v>13424</v>
      </c>
      <c r="QNB1" t="s">
        <v>13425</v>
      </c>
      <c r="QNC1" t="s">
        <v>13426</v>
      </c>
      <c r="QND1" t="s">
        <v>13427</v>
      </c>
      <c r="QNE1" t="s">
        <v>13428</v>
      </c>
      <c r="QNF1" t="s">
        <v>13429</v>
      </c>
      <c r="QNG1" t="s">
        <v>13430</v>
      </c>
      <c r="QNH1" t="s">
        <v>13431</v>
      </c>
      <c r="QNI1" t="s">
        <v>13432</v>
      </c>
      <c r="QNJ1" t="s">
        <v>13433</v>
      </c>
      <c r="QNK1" t="s">
        <v>13434</v>
      </c>
      <c r="QNL1" t="s">
        <v>13435</v>
      </c>
      <c r="QNM1" t="s">
        <v>13436</v>
      </c>
      <c r="QNN1" t="s">
        <v>13437</v>
      </c>
      <c r="QNO1" t="s">
        <v>13438</v>
      </c>
      <c r="QNP1" t="s">
        <v>13439</v>
      </c>
      <c r="QNQ1" t="s">
        <v>13440</v>
      </c>
      <c r="QNR1" t="s">
        <v>13441</v>
      </c>
      <c r="QNS1" t="s">
        <v>13442</v>
      </c>
      <c r="QNT1" t="s">
        <v>13443</v>
      </c>
      <c r="QNU1" t="s">
        <v>13444</v>
      </c>
      <c r="QNV1" t="s">
        <v>13445</v>
      </c>
      <c r="QNW1" t="s">
        <v>13446</v>
      </c>
      <c r="QNX1" t="s">
        <v>13447</v>
      </c>
      <c r="QNY1" t="s">
        <v>13448</v>
      </c>
      <c r="QNZ1" t="s">
        <v>13449</v>
      </c>
      <c r="QOA1" t="s">
        <v>13450</v>
      </c>
      <c r="QOB1" t="s">
        <v>13451</v>
      </c>
      <c r="QOC1" t="s">
        <v>13452</v>
      </c>
      <c r="QOD1" t="s">
        <v>13453</v>
      </c>
      <c r="QOE1" t="s">
        <v>13454</v>
      </c>
      <c r="QOF1" t="s">
        <v>13455</v>
      </c>
      <c r="QOG1" t="s">
        <v>13456</v>
      </c>
      <c r="QOH1" t="s">
        <v>13457</v>
      </c>
      <c r="QOI1" t="s">
        <v>13458</v>
      </c>
      <c r="QOJ1" t="s">
        <v>13459</v>
      </c>
      <c r="QOK1" t="s">
        <v>13460</v>
      </c>
      <c r="QOL1" t="s">
        <v>13461</v>
      </c>
      <c r="QOM1" t="s">
        <v>13462</v>
      </c>
      <c r="QON1" t="s">
        <v>13463</v>
      </c>
      <c r="QOO1" t="s">
        <v>13464</v>
      </c>
      <c r="QOP1" t="s">
        <v>13465</v>
      </c>
      <c r="QOQ1" t="s">
        <v>13466</v>
      </c>
      <c r="QOR1" t="s">
        <v>13467</v>
      </c>
      <c r="QOS1" t="s">
        <v>13468</v>
      </c>
      <c r="QOT1" t="s">
        <v>13469</v>
      </c>
      <c r="QOU1" t="s">
        <v>13470</v>
      </c>
      <c r="QOV1" t="s">
        <v>13471</v>
      </c>
      <c r="QOW1" t="s">
        <v>13472</v>
      </c>
      <c r="QOX1" t="s">
        <v>13473</v>
      </c>
      <c r="QOY1" t="s">
        <v>13474</v>
      </c>
      <c r="QOZ1" t="s">
        <v>13475</v>
      </c>
      <c r="QPA1" t="s">
        <v>13476</v>
      </c>
      <c r="QPB1" t="s">
        <v>13477</v>
      </c>
      <c r="QPC1" t="s">
        <v>13478</v>
      </c>
      <c r="QPD1" t="s">
        <v>13479</v>
      </c>
      <c r="QPE1" t="s">
        <v>13480</v>
      </c>
      <c r="QPF1" t="s">
        <v>13481</v>
      </c>
      <c r="QPG1" t="s">
        <v>13482</v>
      </c>
      <c r="QPH1" t="s">
        <v>13483</v>
      </c>
      <c r="QPI1" t="s">
        <v>13484</v>
      </c>
      <c r="QPJ1" t="s">
        <v>13485</v>
      </c>
      <c r="QPK1" t="s">
        <v>13486</v>
      </c>
      <c r="QPL1" t="s">
        <v>13487</v>
      </c>
      <c r="QPM1" t="s">
        <v>13488</v>
      </c>
      <c r="QPN1" t="s">
        <v>13489</v>
      </c>
      <c r="QPO1" t="s">
        <v>13490</v>
      </c>
      <c r="QPP1" t="s">
        <v>13491</v>
      </c>
      <c r="QPQ1" t="s">
        <v>13492</v>
      </c>
      <c r="QPR1" t="s">
        <v>13493</v>
      </c>
      <c r="QPS1" t="s">
        <v>13494</v>
      </c>
      <c r="QPT1" t="s">
        <v>13495</v>
      </c>
      <c r="QPU1" t="s">
        <v>13496</v>
      </c>
      <c r="QPV1" t="s">
        <v>13497</v>
      </c>
      <c r="QPW1" t="s">
        <v>13498</v>
      </c>
      <c r="QPX1" t="s">
        <v>13499</v>
      </c>
      <c r="QPY1" t="s">
        <v>13500</v>
      </c>
      <c r="QPZ1" t="s">
        <v>13501</v>
      </c>
      <c r="QQA1" t="s">
        <v>13502</v>
      </c>
      <c r="QQB1" t="s">
        <v>13503</v>
      </c>
      <c r="QQC1" t="s">
        <v>13504</v>
      </c>
      <c r="QQD1" t="s">
        <v>13505</v>
      </c>
      <c r="QQE1" t="s">
        <v>13506</v>
      </c>
      <c r="QQF1" t="s">
        <v>13507</v>
      </c>
      <c r="QQG1" t="s">
        <v>13508</v>
      </c>
      <c r="QQH1" t="s">
        <v>13509</v>
      </c>
      <c r="QQI1" t="s">
        <v>13510</v>
      </c>
      <c r="QQJ1" t="s">
        <v>13511</v>
      </c>
      <c r="QQK1" t="s">
        <v>13512</v>
      </c>
      <c r="QQL1" t="s">
        <v>13513</v>
      </c>
      <c r="QQM1" t="s">
        <v>13514</v>
      </c>
      <c r="QQN1" t="s">
        <v>13515</v>
      </c>
      <c r="QQO1" t="s">
        <v>13516</v>
      </c>
      <c r="QQP1" t="s">
        <v>13517</v>
      </c>
      <c r="QQQ1" t="s">
        <v>13518</v>
      </c>
      <c r="QQR1" t="s">
        <v>13519</v>
      </c>
      <c r="QQS1" t="s">
        <v>13520</v>
      </c>
      <c r="QQT1" t="s">
        <v>13521</v>
      </c>
      <c r="QQU1" t="s">
        <v>13522</v>
      </c>
      <c r="QQV1" t="s">
        <v>13523</v>
      </c>
      <c r="QQW1" t="s">
        <v>13524</v>
      </c>
      <c r="QQX1" t="s">
        <v>13525</v>
      </c>
      <c r="QQY1" t="s">
        <v>13526</v>
      </c>
      <c r="QQZ1" t="s">
        <v>13527</v>
      </c>
      <c r="QRA1" t="s">
        <v>13528</v>
      </c>
      <c r="QRB1" t="s">
        <v>13529</v>
      </c>
      <c r="QRC1" t="s">
        <v>13530</v>
      </c>
      <c r="QRD1" t="s">
        <v>13531</v>
      </c>
      <c r="QRE1" t="s">
        <v>13532</v>
      </c>
      <c r="QRF1" t="s">
        <v>13533</v>
      </c>
      <c r="QRG1" t="s">
        <v>13534</v>
      </c>
      <c r="QRH1" t="s">
        <v>13535</v>
      </c>
      <c r="QRI1" t="s">
        <v>13536</v>
      </c>
      <c r="QRJ1" t="s">
        <v>13537</v>
      </c>
      <c r="QRK1" t="s">
        <v>13538</v>
      </c>
      <c r="QRL1" t="s">
        <v>13539</v>
      </c>
      <c r="QRM1" t="s">
        <v>13540</v>
      </c>
      <c r="QRN1" t="s">
        <v>13541</v>
      </c>
      <c r="QRO1" t="s">
        <v>13542</v>
      </c>
      <c r="QRP1" t="s">
        <v>13543</v>
      </c>
      <c r="QRQ1" t="s">
        <v>13544</v>
      </c>
      <c r="QRR1" t="s">
        <v>13545</v>
      </c>
      <c r="QRS1" t="s">
        <v>13546</v>
      </c>
      <c r="QRT1" t="s">
        <v>13547</v>
      </c>
      <c r="QRU1" t="s">
        <v>13548</v>
      </c>
      <c r="QRV1" t="s">
        <v>13549</v>
      </c>
      <c r="QRW1" t="s">
        <v>13550</v>
      </c>
      <c r="QRX1" t="s">
        <v>13551</v>
      </c>
      <c r="QRY1" t="s">
        <v>13552</v>
      </c>
      <c r="QRZ1" t="s">
        <v>13553</v>
      </c>
      <c r="QSA1" t="s">
        <v>13554</v>
      </c>
      <c r="QSB1" t="s">
        <v>13555</v>
      </c>
      <c r="QSC1" t="s">
        <v>13556</v>
      </c>
      <c r="QSD1" t="s">
        <v>13557</v>
      </c>
      <c r="QSE1" t="s">
        <v>13558</v>
      </c>
      <c r="QSF1" t="s">
        <v>13559</v>
      </c>
      <c r="QSG1" t="s">
        <v>13560</v>
      </c>
      <c r="QSH1" t="s">
        <v>13561</v>
      </c>
      <c r="QSI1" t="s">
        <v>13562</v>
      </c>
      <c r="QSJ1" t="s">
        <v>13563</v>
      </c>
      <c r="QSK1" t="s">
        <v>13564</v>
      </c>
      <c r="QSL1" t="s">
        <v>13565</v>
      </c>
      <c r="QSM1" t="s">
        <v>13566</v>
      </c>
      <c r="QSN1" t="s">
        <v>13567</v>
      </c>
      <c r="QSO1" t="s">
        <v>13568</v>
      </c>
      <c r="QSP1" t="s">
        <v>13569</v>
      </c>
      <c r="QSQ1" t="s">
        <v>13570</v>
      </c>
      <c r="QSR1" t="s">
        <v>13571</v>
      </c>
      <c r="QSS1" t="s">
        <v>13572</v>
      </c>
      <c r="QST1" t="s">
        <v>13573</v>
      </c>
      <c r="QSU1" t="s">
        <v>13574</v>
      </c>
      <c r="QSV1" t="s">
        <v>13575</v>
      </c>
      <c r="QSW1" t="s">
        <v>13576</v>
      </c>
      <c r="QSX1" t="s">
        <v>13577</v>
      </c>
      <c r="QSY1" t="s">
        <v>13578</v>
      </c>
      <c r="QSZ1" t="s">
        <v>13579</v>
      </c>
      <c r="QTA1" t="s">
        <v>13580</v>
      </c>
      <c r="QTB1" t="s">
        <v>13581</v>
      </c>
      <c r="QTC1" t="s">
        <v>13582</v>
      </c>
      <c r="QTD1" t="s">
        <v>13583</v>
      </c>
      <c r="QTE1" t="s">
        <v>13584</v>
      </c>
      <c r="QTF1" t="s">
        <v>13585</v>
      </c>
      <c r="QTG1" t="s">
        <v>13586</v>
      </c>
      <c r="QTH1" t="s">
        <v>13587</v>
      </c>
      <c r="QTI1" t="s">
        <v>13588</v>
      </c>
      <c r="QTJ1" t="s">
        <v>13589</v>
      </c>
      <c r="QTK1" t="s">
        <v>13590</v>
      </c>
      <c r="QTL1" t="s">
        <v>13591</v>
      </c>
      <c r="QTM1" t="s">
        <v>13592</v>
      </c>
      <c r="QTN1" t="s">
        <v>13593</v>
      </c>
      <c r="QTO1" t="s">
        <v>13594</v>
      </c>
      <c r="QTP1" t="s">
        <v>13595</v>
      </c>
      <c r="QTQ1" t="s">
        <v>13596</v>
      </c>
      <c r="QTR1" t="s">
        <v>13597</v>
      </c>
      <c r="QTS1" t="s">
        <v>13598</v>
      </c>
      <c r="QTT1" t="s">
        <v>13599</v>
      </c>
      <c r="QTU1" t="s">
        <v>13600</v>
      </c>
      <c r="QTV1" t="s">
        <v>13601</v>
      </c>
      <c r="QTW1" t="s">
        <v>13602</v>
      </c>
      <c r="QTX1" t="s">
        <v>13603</v>
      </c>
      <c r="QTY1" t="s">
        <v>13604</v>
      </c>
      <c r="QTZ1" t="s">
        <v>13605</v>
      </c>
      <c r="QUA1" t="s">
        <v>13606</v>
      </c>
      <c r="QUB1" t="s">
        <v>13607</v>
      </c>
      <c r="QUC1" t="s">
        <v>13608</v>
      </c>
      <c r="QUD1" t="s">
        <v>13609</v>
      </c>
      <c r="QUE1" t="s">
        <v>13610</v>
      </c>
      <c r="QUF1" t="s">
        <v>13611</v>
      </c>
      <c r="QUG1" t="s">
        <v>13612</v>
      </c>
      <c r="QUH1" t="s">
        <v>13613</v>
      </c>
      <c r="QUI1" t="s">
        <v>13614</v>
      </c>
      <c r="QUJ1" t="s">
        <v>13615</v>
      </c>
      <c r="QUK1" t="s">
        <v>13616</v>
      </c>
      <c r="QUL1" t="s">
        <v>13617</v>
      </c>
      <c r="QUM1" t="s">
        <v>13618</v>
      </c>
      <c r="QUN1" t="s">
        <v>13619</v>
      </c>
      <c r="QUO1" t="s">
        <v>13620</v>
      </c>
      <c r="QUP1" t="s">
        <v>13621</v>
      </c>
      <c r="QUQ1" t="s">
        <v>13622</v>
      </c>
      <c r="QUR1" t="s">
        <v>13623</v>
      </c>
      <c r="QUS1" t="s">
        <v>13624</v>
      </c>
      <c r="QUT1" t="s">
        <v>13625</v>
      </c>
      <c r="QUU1" t="s">
        <v>13626</v>
      </c>
      <c r="QUV1" t="s">
        <v>13627</v>
      </c>
      <c r="QUW1" t="s">
        <v>13628</v>
      </c>
      <c r="QUX1" t="s">
        <v>13629</v>
      </c>
      <c r="QUY1" t="s">
        <v>13630</v>
      </c>
      <c r="QUZ1" t="s">
        <v>13631</v>
      </c>
      <c r="QVA1" t="s">
        <v>13632</v>
      </c>
      <c r="QVB1" t="s">
        <v>13633</v>
      </c>
      <c r="QVC1" t="s">
        <v>13634</v>
      </c>
      <c r="QVD1" t="s">
        <v>13635</v>
      </c>
      <c r="QVE1" t="s">
        <v>13636</v>
      </c>
      <c r="QVF1" t="s">
        <v>13637</v>
      </c>
      <c r="QVG1" t="s">
        <v>13638</v>
      </c>
      <c r="QVH1" t="s">
        <v>13639</v>
      </c>
      <c r="QVI1" t="s">
        <v>13640</v>
      </c>
      <c r="QVJ1" t="s">
        <v>13641</v>
      </c>
      <c r="QVK1" t="s">
        <v>13642</v>
      </c>
      <c r="QVL1" t="s">
        <v>13643</v>
      </c>
      <c r="QVM1" t="s">
        <v>13644</v>
      </c>
      <c r="QVN1" t="s">
        <v>13645</v>
      </c>
      <c r="QVO1" t="s">
        <v>13646</v>
      </c>
      <c r="QVP1" t="s">
        <v>13647</v>
      </c>
      <c r="QVQ1" t="s">
        <v>13648</v>
      </c>
      <c r="QVR1" t="s">
        <v>13649</v>
      </c>
      <c r="QVS1" t="s">
        <v>13650</v>
      </c>
      <c r="QVT1" t="s">
        <v>13651</v>
      </c>
      <c r="QVU1" t="s">
        <v>13652</v>
      </c>
      <c r="QVV1" t="s">
        <v>13653</v>
      </c>
      <c r="QVW1" t="s">
        <v>13654</v>
      </c>
      <c r="QVX1" t="s">
        <v>13655</v>
      </c>
      <c r="QVY1" t="s">
        <v>13656</v>
      </c>
      <c r="QVZ1" t="s">
        <v>13657</v>
      </c>
      <c r="QWA1" t="s">
        <v>13658</v>
      </c>
      <c r="QWB1" t="s">
        <v>13659</v>
      </c>
      <c r="QWC1" t="s">
        <v>13660</v>
      </c>
      <c r="QWD1" t="s">
        <v>13661</v>
      </c>
      <c r="QWE1" t="s">
        <v>13662</v>
      </c>
      <c r="QWF1" t="s">
        <v>13663</v>
      </c>
      <c r="QWG1" t="s">
        <v>13664</v>
      </c>
      <c r="QWH1" t="s">
        <v>13665</v>
      </c>
      <c r="QWI1" t="s">
        <v>13666</v>
      </c>
      <c r="QWJ1" t="s">
        <v>13667</v>
      </c>
      <c r="QWK1" t="s">
        <v>13668</v>
      </c>
      <c r="QWL1" t="s">
        <v>13669</v>
      </c>
      <c r="QWM1" t="s">
        <v>13670</v>
      </c>
      <c r="QWN1" t="s">
        <v>13671</v>
      </c>
      <c r="QWO1" t="s">
        <v>13672</v>
      </c>
      <c r="QWP1" t="s">
        <v>13673</v>
      </c>
      <c r="QWQ1" t="s">
        <v>13674</v>
      </c>
      <c r="QWR1" t="s">
        <v>13675</v>
      </c>
      <c r="QWS1" t="s">
        <v>13676</v>
      </c>
      <c r="QWT1" t="s">
        <v>13677</v>
      </c>
      <c r="QWU1" t="s">
        <v>13678</v>
      </c>
      <c r="QWV1" t="s">
        <v>13679</v>
      </c>
      <c r="QWW1" t="s">
        <v>13680</v>
      </c>
      <c r="QWX1" t="s">
        <v>13681</v>
      </c>
      <c r="QWY1" t="s">
        <v>13682</v>
      </c>
      <c r="QWZ1" t="s">
        <v>13683</v>
      </c>
      <c r="QXA1" t="s">
        <v>13684</v>
      </c>
      <c r="QXB1" t="s">
        <v>13685</v>
      </c>
      <c r="QXC1" t="s">
        <v>13686</v>
      </c>
      <c r="QXD1" t="s">
        <v>13687</v>
      </c>
      <c r="QXE1" t="s">
        <v>13688</v>
      </c>
      <c r="QXF1" t="s">
        <v>13689</v>
      </c>
      <c r="QXG1" t="s">
        <v>13690</v>
      </c>
      <c r="QXH1" t="s">
        <v>13691</v>
      </c>
      <c r="QXI1" t="s">
        <v>13692</v>
      </c>
      <c r="QXJ1" t="s">
        <v>13693</v>
      </c>
      <c r="QXK1" t="s">
        <v>13694</v>
      </c>
      <c r="QXL1" t="s">
        <v>13695</v>
      </c>
      <c r="QXM1" t="s">
        <v>13696</v>
      </c>
      <c r="QXN1" t="s">
        <v>13697</v>
      </c>
      <c r="QXO1" t="s">
        <v>13698</v>
      </c>
      <c r="QXP1" t="s">
        <v>13699</v>
      </c>
      <c r="QXQ1" t="s">
        <v>13700</v>
      </c>
      <c r="QXR1" t="s">
        <v>13701</v>
      </c>
      <c r="QXS1" t="s">
        <v>13702</v>
      </c>
      <c r="QXT1" t="s">
        <v>13703</v>
      </c>
      <c r="QXU1" t="s">
        <v>13704</v>
      </c>
      <c r="QXV1" t="s">
        <v>13705</v>
      </c>
      <c r="QXW1" t="s">
        <v>13706</v>
      </c>
      <c r="QXX1" t="s">
        <v>13707</v>
      </c>
      <c r="QXY1" t="s">
        <v>13708</v>
      </c>
      <c r="QXZ1" t="s">
        <v>13709</v>
      </c>
      <c r="QYA1" t="s">
        <v>13710</v>
      </c>
      <c r="QYB1" t="s">
        <v>13711</v>
      </c>
      <c r="QYC1" t="s">
        <v>13712</v>
      </c>
      <c r="QYD1" t="s">
        <v>13713</v>
      </c>
      <c r="QYE1" t="s">
        <v>13714</v>
      </c>
      <c r="QYF1" t="s">
        <v>13715</v>
      </c>
      <c r="QYG1" t="s">
        <v>13716</v>
      </c>
      <c r="QYH1" t="s">
        <v>13717</v>
      </c>
      <c r="QYI1" t="s">
        <v>13718</v>
      </c>
      <c r="QYJ1" t="s">
        <v>13719</v>
      </c>
      <c r="QYK1" t="s">
        <v>13720</v>
      </c>
      <c r="QYL1" t="s">
        <v>13721</v>
      </c>
      <c r="QYM1" t="s">
        <v>13722</v>
      </c>
      <c r="QYN1" t="s">
        <v>13723</v>
      </c>
      <c r="QYO1" t="s">
        <v>13724</v>
      </c>
      <c r="QYP1" t="s">
        <v>13725</v>
      </c>
      <c r="QYQ1" t="s">
        <v>13726</v>
      </c>
      <c r="QYR1" t="s">
        <v>13727</v>
      </c>
      <c r="QYS1" t="s">
        <v>13728</v>
      </c>
      <c r="QYT1" t="s">
        <v>13729</v>
      </c>
      <c r="QYU1" t="s">
        <v>13730</v>
      </c>
      <c r="QYV1" t="s">
        <v>13731</v>
      </c>
      <c r="QYW1" t="s">
        <v>13732</v>
      </c>
      <c r="QYX1" t="s">
        <v>13733</v>
      </c>
      <c r="QYY1" t="s">
        <v>13734</v>
      </c>
      <c r="QYZ1" t="s">
        <v>13735</v>
      </c>
      <c r="QZA1" t="s">
        <v>13736</v>
      </c>
      <c r="QZB1" t="s">
        <v>13737</v>
      </c>
      <c r="QZC1" t="s">
        <v>13738</v>
      </c>
      <c r="QZD1" t="s">
        <v>13739</v>
      </c>
      <c r="QZE1" t="s">
        <v>13740</v>
      </c>
      <c r="QZF1" t="s">
        <v>13741</v>
      </c>
      <c r="QZG1" t="s">
        <v>13742</v>
      </c>
      <c r="QZH1" t="s">
        <v>13743</v>
      </c>
      <c r="QZI1" t="s">
        <v>13744</v>
      </c>
      <c r="QZJ1" t="s">
        <v>13745</v>
      </c>
      <c r="QZK1" t="s">
        <v>13746</v>
      </c>
      <c r="QZL1" t="s">
        <v>13747</v>
      </c>
      <c r="QZM1" t="s">
        <v>13748</v>
      </c>
      <c r="QZN1" t="s">
        <v>13749</v>
      </c>
      <c r="QZO1" t="s">
        <v>13750</v>
      </c>
      <c r="QZP1" t="s">
        <v>13751</v>
      </c>
      <c r="QZQ1" t="s">
        <v>13752</v>
      </c>
      <c r="QZR1" t="s">
        <v>13753</v>
      </c>
      <c r="QZS1" t="s">
        <v>13754</v>
      </c>
      <c r="QZT1" t="s">
        <v>13755</v>
      </c>
      <c r="QZU1" t="s">
        <v>13756</v>
      </c>
      <c r="QZV1" t="s">
        <v>13757</v>
      </c>
      <c r="QZW1" t="s">
        <v>13758</v>
      </c>
      <c r="QZX1" t="s">
        <v>13759</v>
      </c>
      <c r="QZY1" t="s">
        <v>13760</v>
      </c>
      <c r="QZZ1" t="s">
        <v>13761</v>
      </c>
      <c r="RAA1" t="s">
        <v>13762</v>
      </c>
      <c r="RAB1" t="s">
        <v>13763</v>
      </c>
      <c r="RAC1" t="s">
        <v>13764</v>
      </c>
      <c r="RAD1" t="s">
        <v>13765</v>
      </c>
      <c r="RAE1" t="s">
        <v>13766</v>
      </c>
      <c r="RAF1" t="s">
        <v>13767</v>
      </c>
      <c r="RAG1" t="s">
        <v>13768</v>
      </c>
      <c r="RAH1" t="s">
        <v>13769</v>
      </c>
      <c r="RAI1" t="s">
        <v>13770</v>
      </c>
      <c r="RAJ1" t="s">
        <v>13771</v>
      </c>
      <c r="RAK1" t="s">
        <v>13772</v>
      </c>
      <c r="RAL1" t="s">
        <v>13773</v>
      </c>
      <c r="RAM1" t="s">
        <v>13774</v>
      </c>
      <c r="RAN1" t="s">
        <v>13775</v>
      </c>
      <c r="RAO1" t="s">
        <v>13776</v>
      </c>
      <c r="RAP1" t="s">
        <v>13777</v>
      </c>
      <c r="RAQ1" t="s">
        <v>13778</v>
      </c>
      <c r="RAR1" t="s">
        <v>13779</v>
      </c>
      <c r="RAS1" t="s">
        <v>13780</v>
      </c>
      <c r="RAT1" t="s">
        <v>13781</v>
      </c>
      <c r="RAU1" t="s">
        <v>13782</v>
      </c>
      <c r="RAV1" t="s">
        <v>13783</v>
      </c>
      <c r="RAW1" t="s">
        <v>13784</v>
      </c>
      <c r="RAX1" t="s">
        <v>13785</v>
      </c>
      <c r="RAY1" t="s">
        <v>13786</v>
      </c>
      <c r="RAZ1" t="s">
        <v>13787</v>
      </c>
      <c r="RBA1" t="s">
        <v>13788</v>
      </c>
      <c r="RBB1" t="s">
        <v>13789</v>
      </c>
      <c r="RBC1" t="s">
        <v>13790</v>
      </c>
      <c r="RBD1" t="s">
        <v>13791</v>
      </c>
      <c r="RBE1" t="s">
        <v>13792</v>
      </c>
      <c r="RBF1" t="s">
        <v>13793</v>
      </c>
      <c r="RBG1" t="s">
        <v>13794</v>
      </c>
      <c r="RBH1" t="s">
        <v>13795</v>
      </c>
      <c r="RBI1" t="s">
        <v>13796</v>
      </c>
      <c r="RBJ1" t="s">
        <v>13797</v>
      </c>
      <c r="RBK1" t="s">
        <v>13798</v>
      </c>
      <c r="RBL1" t="s">
        <v>13799</v>
      </c>
      <c r="RBM1" t="s">
        <v>13800</v>
      </c>
      <c r="RBN1" t="s">
        <v>13801</v>
      </c>
      <c r="RBO1" t="s">
        <v>13802</v>
      </c>
      <c r="RBP1" t="s">
        <v>13803</v>
      </c>
      <c r="RBQ1" t="s">
        <v>13804</v>
      </c>
      <c r="RBR1" t="s">
        <v>13805</v>
      </c>
      <c r="RBS1" t="s">
        <v>13806</v>
      </c>
      <c r="RBT1" t="s">
        <v>13807</v>
      </c>
      <c r="RBU1" t="s">
        <v>13808</v>
      </c>
      <c r="RBV1" t="s">
        <v>13809</v>
      </c>
      <c r="RBW1" t="s">
        <v>13810</v>
      </c>
      <c r="RBX1" t="s">
        <v>13811</v>
      </c>
      <c r="RBY1" t="s">
        <v>13812</v>
      </c>
      <c r="RBZ1" t="s">
        <v>13813</v>
      </c>
      <c r="RCA1" t="s">
        <v>13814</v>
      </c>
      <c r="RCB1" t="s">
        <v>13815</v>
      </c>
      <c r="RCC1" t="s">
        <v>13816</v>
      </c>
      <c r="RCD1" t="s">
        <v>13817</v>
      </c>
      <c r="RCE1" t="s">
        <v>13818</v>
      </c>
      <c r="RCF1" t="s">
        <v>13819</v>
      </c>
      <c r="RCG1" t="s">
        <v>13820</v>
      </c>
      <c r="RCH1" t="s">
        <v>13821</v>
      </c>
      <c r="RCI1" t="s">
        <v>13822</v>
      </c>
      <c r="RCJ1" t="s">
        <v>13823</v>
      </c>
      <c r="RCK1" t="s">
        <v>13824</v>
      </c>
      <c r="RCL1" t="s">
        <v>13825</v>
      </c>
      <c r="RCM1" t="s">
        <v>13826</v>
      </c>
      <c r="RCN1" t="s">
        <v>13827</v>
      </c>
      <c r="RCO1" t="s">
        <v>13828</v>
      </c>
      <c r="RCP1" t="s">
        <v>13829</v>
      </c>
      <c r="RCQ1" t="s">
        <v>13830</v>
      </c>
      <c r="RCR1" t="s">
        <v>13831</v>
      </c>
      <c r="RCS1" t="s">
        <v>13832</v>
      </c>
      <c r="RCT1" t="s">
        <v>13833</v>
      </c>
      <c r="RCU1" t="s">
        <v>13834</v>
      </c>
      <c r="RCV1" t="s">
        <v>13835</v>
      </c>
      <c r="RCW1" t="s">
        <v>13836</v>
      </c>
      <c r="RCX1" t="s">
        <v>13837</v>
      </c>
      <c r="RCY1" t="s">
        <v>13838</v>
      </c>
      <c r="RCZ1" t="s">
        <v>13839</v>
      </c>
      <c r="RDA1" t="s">
        <v>13840</v>
      </c>
      <c r="RDB1" t="s">
        <v>13841</v>
      </c>
      <c r="RDC1" t="s">
        <v>13842</v>
      </c>
      <c r="RDD1" t="s">
        <v>13843</v>
      </c>
      <c r="RDE1" t="s">
        <v>13844</v>
      </c>
      <c r="RDF1" t="s">
        <v>13845</v>
      </c>
      <c r="RDG1" t="s">
        <v>13846</v>
      </c>
      <c r="RDH1" t="s">
        <v>13847</v>
      </c>
      <c r="RDI1" t="s">
        <v>13848</v>
      </c>
      <c r="RDJ1" t="s">
        <v>13849</v>
      </c>
      <c r="RDK1" t="s">
        <v>13850</v>
      </c>
      <c r="RDL1" t="s">
        <v>13851</v>
      </c>
      <c r="RDM1" t="s">
        <v>13852</v>
      </c>
      <c r="RDN1" t="s">
        <v>13853</v>
      </c>
      <c r="RDO1" t="s">
        <v>13854</v>
      </c>
      <c r="RDP1" t="s">
        <v>13855</v>
      </c>
      <c r="RDQ1" t="s">
        <v>13856</v>
      </c>
      <c r="RDR1" t="s">
        <v>13857</v>
      </c>
      <c r="RDS1" t="s">
        <v>13858</v>
      </c>
      <c r="RDT1" t="s">
        <v>13859</v>
      </c>
      <c r="RDU1" t="s">
        <v>13860</v>
      </c>
      <c r="RDV1" t="s">
        <v>13861</v>
      </c>
      <c r="RDW1" t="s">
        <v>13862</v>
      </c>
      <c r="RDX1" t="s">
        <v>13863</v>
      </c>
      <c r="RDY1" t="s">
        <v>13864</v>
      </c>
      <c r="RDZ1" t="s">
        <v>13865</v>
      </c>
      <c r="REA1" t="s">
        <v>13866</v>
      </c>
      <c r="REB1" t="s">
        <v>13867</v>
      </c>
      <c r="REC1" t="s">
        <v>13868</v>
      </c>
      <c r="RED1" t="s">
        <v>13869</v>
      </c>
      <c r="REE1" t="s">
        <v>13870</v>
      </c>
      <c r="REF1" t="s">
        <v>13871</v>
      </c>
      <c r="REG1" t="s">
        <v>13872</v>
      </c>
      <c r="REH1" t="s">
        <v>13873</v>
      </c>
      <c r="REI1" t="s">
        <v>13874</v>
      </c>
      <c r="REJ1" t="s">
        <v>13875</v>
      </c>
      <c r="REK1" t="s">
        <v>13876</v>
      </c>
      <c r="REL1" t="s">
        <v>13877</v>
      </c>
      <c r="REM1" t="s">
        <v>13878</v>
      </c>
      <c r="REN1" t="s">
        <v>13879</v>
      </c>
      <c r="REO1" t="s">
        <v>13880</v>
      </c>
      <c r="REP1" t="s">
        <v>13881</v>
      </c>
      <c r="REQ1" t="s">
        <v>13882</v>
      </c>
      <c r="RER1" t="s">
        <v>13883</v>
      </c>
      <c r="RES1" t="s">
        <v>13884</v>
      </c>
      <c r="RET1" t="s">
        <v>13885</v>
      </c>
      <c r="REU1" t="s">
        <v>13886</v>
      </c>
      <c r="REV1" t="s">
        <v>13887</v>
      </c>
      <c r="REW1" t="s">
        <v>13888</v>
      </c>
      <c r="REX1" t="s">
        <v>13889</v>
      </c>
      <c r="REY1" t="s">
        <v>13890</v>
      </c>
      <c r="REZ1" t="s">
        <v>13891</v>
      </c>
      <c r="RFA1" t="s">
        <v>13892</v>
      </c>
      <c r="RFB1" t="s">
        <v>13893</v>
      </c>
      <c r="RFC1" t="s">
        <v>13894</v>
      </c>
      <c r="RFD1" t="s">
        <v>13895</v>
      </c>
      <c r="RFE1" t="s">
        <v>13896</v>
      </c>
      <c r="RFF1" t="s">
        <v>13897</v>
      </c>
      <c r="RFG1" t="s">
        <v>13898</v>
      </c>
      <c r="RFH1" t="s">
        <v>13899</v>
      </c>
      <c r="RFI1" t="s">
        <v>13900</v>
      </c>
      <c r="RFJ1" t="s">
        <v>13901</v>
      </c>
      <c r="RFK1" t="s">
        <v>13902</v>
      </c>
      <c r="RFL1" t="s">
        <v>13903</v>
      </c>
      <c r="RFM1" t="s">
        <v>13904</v>
      </c>
      <c r="RFN1" t="s">
        <v>13905</v>
      </c>
      <c r="RFO1" t="s">
        <v>13906</v>
      </c>
      <c r="RFP1" t="s">
        <v>13907</v>
      </c>
      <c r="RFQ1" t="s">
        <v>13908</v>
      </c>
      <c r="RFR1" t="s">
        <v>13909</v>
      </c>
      <c r="RFS1" t="s">
        <v>13910</v>
      </c>
      <c r="RFT1" t="s">
        <v>13911</v>
      </c>
      <c r="RFU1" t="s">
        <v>13912</v>
      </c>
      <c r="RFV1" t="s">
        <v>13913</v>
      </c>
      <c r="RFW1" t="s">
        <v>13914</v>
      </c>
      <c r="RFX1" t="s">
        <v>13915</v>
      </c>
      <c r="RFY1" t="s">
        <v>13916</v>
      </c>
      <c r="RFZ1" t="s">
        <v>13917</v>
      </c>
      <c r="RGA1" t="s">
        <v>13918</v>
      </c>
      <c r="RGB1" t="s">
        <v>13919</v>
      </c>
      <c r="RGC1" t="s">
        <v>13920</v>
      </c>
      <c r="RGD1" t="s">
        <v>13921</v>
      </c>
      <c r="RGE1" t="s">
        <v>13922</v>
      </c>
      <c r="RGF1" t="s">
        <v>13923</v>
      </c>
      <c r="RGG1" t="s">
        <v>13924</v>
      </c>
      <c r="RGH1" t="s">
        <v>13925</v>
      </c>
      <c r="RGI1" t="s">
        <v>13926</v>
      </c>
      <c r="RGJ1" t="s">
        <v>13927</v>
      </c>
      <c r="RGK1" t="s">
        <v>13928</v>
      </c>
      <c r="RGL1" t="s">
        <v>13929</v>
      </c>
      <c r="RGM1" t="s">
        <v>13930</v>
      </c>
      <c r="RGN1" t="s">
        <v>13931</v>
      </c>
      <c r="RGO1" t="s">
        <v>13932</v>
      </c>
      <c r="RGP1" t="s">
        <v>13933</v>
      </c>
      <c r="RGQ1" t="s">
        <v>13934</v>
      </c>
      <c r="RGR1" t="s">
        <v>13935</v>
      </c>
      <c r="RGS1" t="s">
        <v>13936</v>
      </c>
      <c r="RGT1" t="s">
        <v>13937</v>
      </c>
      <c r="RGU1" t="s">
        <v>13938</v>
      </c>
      <c r="RGV1" t="s">
        <v>13939</v>
      </c>
      <c r="RGW1" t="s">
        <v>13940</v>
      </c>
      <c r="RGX1" t="s">
        <v>13941</v>
      </c>
      <c r="RGY1" t="s">
        <v>13942</v>
      </c>
      <c r="RGZ1" t="s">
        <v>13943</v>
      </c>
      <c r="RHA1" t="s">
        <v>13944</v>
      </c>
      <c r="RHB1" t="s">
        <v>13945</v>
      </c>
      <c r="RHC1" t="s">
        <v>13946</v>
      </c>
      <c r="RHD1" t="s">
        <v>13947</v>
      </c>
      <c r="RHE1" t="s">
        <v>13948</v>
      </c>
      <c r="RHF1" t="s">
        <v>13949</v>
      </c>
      <c r="RHG1" t="s">
        <v>13950</v>
      </c>
      <c r="RHH1" t="s">
        <v>13951</v>
      </c>
      <c r="RHI1" t="s">
        <v>13952</v>
      </c>
      <c r="RHJ1" t="s">
        <v>13953</v>
      </c>
      <c r="RHK1" t="s">
        <v>13954</v>
      </c>
      <c r="RHL1" t="s">
        <v>13955</v>
      </c>
      <c r="RHM1" t="s">
        <v>13956</v>
      </c>
      <c r="RHN1" t="s">
        <v>13957</v>
      </c>
      <c r="RHO1" t="s">
        <v>13958</v>
      </c>
      <c r="RHP1" t="s">
        <v>13959</v>
      </c>
      <c r="RHQ1" t="s">
        <v>13960</v>
      </c>
      <c r="RHR1" t="s">
        <v>13961</v>
      </c>
      <c r="RHS1" t="s">
        <v>13962</v>
      </c>
      <c r="RHT1" t="s">
        <v>13963</v>
      </c>
      <c r="RHU1" t="s">
        <v>13964</v>
      </c>
      <c r="RHV1" t="s">
        <v>13965</v>
      </c>
      <c r="RHW1" t="s">
        <v>13966</v>
      </c>
      <c r="RHX1" t="s">
        <v>13967</v>
      </c>
      <c r="RHY1" t="s">
        <v>13968</v>
      </c>
      <c r="RHZ1" t="s">
        <v>13969</v>
      </c>
      <c r="RIA1" t="s">
        <v>13970</v>
      </c>
      <c r="RIB1" t="s">
        <v>13971</v>
      </c>
      <c r="RIC1" t="s">
        <v>13972</v>
      </c>
      <c r="RID1" t="s">
        <v>13973</v>
      </c>
      <c r="RIE1" t="s">
        <v>13974</v>
      </c>
      <c r="RIF1" t="s">
        <v>13975</v>
      </c>
      <c r="RIG1" t="s">
        <v>13976</v>
      </c>
      <c r="RIH1" t="s">
        <v>13977</v>
      </c>
      <c r="RII1" t="s">
        <v>13978</v>
      </c>
      <c r="RIJ1" t="s">
        <v>13979</v>
      </c>
      <c r="RIK1" t="s">
        <v>13980</v>
      </c>
      <c r="RIL1" t="s">
        <v>13981</v>
      </c>
      <c r="RIM1" t="s">
        <v>13982</v>
      </c>
      <c r="RIN1" t="s">
        <v>13983</v>
      </c>
      <c r="RIO1" t="s">
        <v>13984</v>
      </c>
      <c r="RIP1" t="s">
        <v>13985</v>
      </c>
      <c r="RIQ1" t="s">
        <v>13986</v>
      </c>
      <c r="RIR1" t="s">
        <v>13987</v>
      </c>
      <c r="RIS1" t="s">
        <v>13988</v>
      </c>
      <c r="RIT1" t="s">
        <v>13989</v>
      </c>
      <c r="RIU1" t="s">
        <v>13990</v>
      </c>
      <c r="RIV1" t="s">
        <v>13991</v>
      </c>
      <c r="RIW1" t="s">
        <v>13992</v>
      </c>
      <c r="RIX1" t="s">
        <v>13993</v>
      </c>
      <c r="RIY1" t="s">
        <v>13994</v>
      </c>
      <c r="RIZ1" t="s">
        <v>13995</v>
      </c>
      <c r="RJA1" t="s">
        <v>13996</v>
      </c>
      <c r="RJB1" t="s">
        <v>13997</v>
      </c>
      <c r="RJC1" t="s">
        <v>13998</v>
      </c>
      <c r="RJD1" t="s">
        <v>13999</v>
      </c>
      <c r="RJE1" t="s">
        <v>14000</v>
      </c>
      <c r="RJF1" t="s">
        <v>14001</v>
      </c>
      <c r="RJG1" t="s">
        <v>14002</v>
      </c>
      <c r="RJH1" t="s">
        <v>14003</v>
      </c>
      <c r="RJI1" t="s">
        <v>14004</v>
      </c>
      <c r="RJJ1" t="s">
        <v>14005</v>
      </c>
      <c r="RJK1" t="s">
        <v>14006</v>
      </c>
      <c r="RJL1" t="s">
        <v>14007</v>
      </c>
      <c r="RJM1" t="s">
        <v>14008</v>
      </c>
      <c r="RJN1" t="s">
        <v>14009</v>
      </c>
      <c r="RJO1" t="s">
        <v>14010</v>
      </c>
      <c r="RJP1" t="s">
        <v>14011</v>
      </c>
      <c r="RJQ1" t="s">
        <v>14012</v>
      </c>
      <c r="RJR1" t="s">
        <v>14013</v>
      </c>
      <c r="RJS1" t="s">
        <v>14014</v>
      </c>
      <c r="RJT1" t="s">
        <v>14015</v>
      </c>
      <c r="RJU1" t="s">
        <v>14016</v>
      </c>
      <c r="RJV1" t="s">
        <v>14017</v>
      </c>
      <c r="RJW1" t="s">
        <v>14018</v>
      </c>
      <c r="RJX1" t="s">
        <v>14019</v>
      </c>
      <c r="RJY1" t="s">
        <v>14020</v>
      </c>
      <c r="RJZ1" t="s">
        <v>14021</v>
      </c>
      <c r="RKA1" t="s">
        <v>14022</v>
      </c>
      <c r="RKB1" t="s">
        <v>14023</v>
      </c>
      <c r="RKC1" t="s">
        <v>14024</v>
      </c>
      <c r="RKD1" t="s">
        <v>14025</v>
      </c>
      <c r="RKE1" t="s">
        <v>14026</v>
      </c>
      <c r="RKF1" t="s">
        <v>14027</v>
      </c>
      <c r="RKG1" t="s">
        <v>14028</v>
      </c>
      <c r="RKH1" t="s">
        <v>14029</v>
      </c>
      <c r="RKI1" t="s">
        <v>14030</v>
      </c>
      <c r="RKJ1" t="s">
        <v>14031</v>
      </c>
      <c r="RKK1" t="s">
        <v>14032</v>
      </c>
      <c r="RKL1" t="s">
        <v>14033</v>
      </c>
      <c r="RKM1" t="s">
        <v>14034</v>
      </c>
      <c r="RKN1" t="s">
        <v>14035</v>
      </c>
      <c r="RKO1" t="s">
        <v>14036</v>
      </c>
      <c r="RKP1" t="s">
        <v>14037</v>
      </c>
      <c r="RKQ1" t="s">
        <v>14038</v>
      </c>
      <c r="RKR1" t="s">
        <v>14039</v>
      </c>
      <c r="RKS1" t="s">
        <v>14040</v>
      </c>
      <c r="RKT1" t="s">
        <v>14041</v>
      </c>
      <c r="RKU1" t="s">
        <v>14042</v>
      </c>
      <c r="RKV1" t="s">
        <v>14043</v>
      </c>
      <c r="RKW1" t="s">
        <v>14044</v>
      </c>
      <c r="RKX1" t="s">
        <v>14045</v>
      </c>
      <c r="RKY1" t="s">
        <v>14046</v>
      </c>
      <c r="RKZ1" t="s">
        <v>14047</v>
      </c>
      <c r="RLA1" t="s">
        <v>14048</v>
      </c>
      <c r="RLB1" t="s">
        <v>14049</v>
      </c>
      <c r="RLC1" t="s">
        <v>14050</v>
      </c>
      <c r="RLD1" t="s">
        <v>14051</v>
      </c>
      <c r="RLE1" t="s">
        <v>14052</v>
      </c>
      <c r="RLF1" t="s">
        <v>14053</v>
      </c>
      <c r="RLG1" t="s">
        <v>14054</v>
      </c>
      <c r="RLH1" t="s">
        <v>14055</v>
      </c>
      <c r="RLI1" t="s">
        <v>14056</v>
      </c>
      <c r="RLJ1" t="s">
        <v>14057</v>
      </c>
      <c r="RLK1" t="s">
        <v>14058</v>
      </c>
      <c r="RLL1" t="s">
        <v>14059</v>
      </c>
      <c r="RLM1" t="s">
        <v>14060</v>
      </c>
      <c r="RLN1" t="s">
        <v>14061</v>
      </c>
      <c r="RLO1" t="s">
        <v>14062</v>
      </c>
      <c r="RLP1" t="s">
        <v>14063</v>
      </c>
      <c r="RLQ1" t="s">
        <v>14064</v>
      </c>
      <c r="RLR1" t="s">
        <v>14065</v>
      </c>
      <c r="RLS1" t="s">
        <v>14066</v>
      </c>
      <c r="RLT1" t="s">
        <v>14067</v>
      </c>
      <c r="RLU1" t="s">
        <v>14068</v>
      </c>
      <c r="RLV1" t="s">
        <v>14069</v>
      </c>
      <c r="RLW1" t="s">
        <v>14070</v>
      </c>
      <c r="RLX1" t="s">
        <v>14071</v>
      </c>
      <c r="RLY1" t="s">
        <v>14072</v>
      </c>
      <c r="RLZ1" t="s">
        <v>14073</v>
      </c>
      <c r="RMA1" t="s">
        <v>14074</v>
      </c>
      <c r="RMB1" t="s">
        <v>14075</v>
      </c>
      <c r="RMC1" t="s">
        <v>14076</v>
      </c>
      <c r="RMD1" t="s">
        <v>14077</v>
      </c>
      <c r="RME1" t="s">
        <v>14078</v>
      </c>
      <c r="RMF1" t="s">
        <v>14079</v>
      </c>
      <c r="RMG1" t="s">
        <v>14080</v>
      </c>
      <c r="RMH1" t="s">
        <v>14081</v>
      </c>
      <c r="RMI1" t="s">
        <v>14082</v>
      </c>
      <c r="RMJ1" t="s">
        <v>14083</v>
      </c>
      <c r="RMK1" t="s">
        <v>14084</v>
      </c>
      <c r="RML1" t="s">
        <v>14085</v>
      </c>
      <c r="RMM1" t="s">
        <v>14086</v>
      </c>
      <c r="RMN1" t="s">
        <v>14087</v>
      </c>
      <c r="RMO1" t="s">
        <v>14088</v>
      </c>
      <c r="RMP1" t="s">
        <v>14089</v>
      </c>
      <c r="RMQ1" t="s">
        <v>14090</v>
      </c>
      <c r="RMR1" t="s">
        <v>14091</v>
      </c>
      <c r="RMS1" t="s">
        <v>14092</v>
      </c>
      <c r="RMT1" t="s">
        <v>14093</v>
      </c>
      <c r="RMU1" t="s">
        <v>14094</v>
      </c>
      <c r="RMV1" t="s">
        <v>14095</v>
      </c>
      <c r="RMW1" t="s">
        <v>14096</v>
      </c>
      <c r="RMX1" t="s">
        <v>14097</v>
      </c>
      <c r="RMY1" t="s">
        <v>14098</v>
      </c>
      <c r="RMZ1" t="s">
        <v>14099</v>
      </c>
      <c r="RNA1" t="s">
        <v>14100</v>
      </c>
      <c r="RNB1" t="s">
        <v>14101</v>
      </c>
      <c r="RNC1" t="s">
        <v>14102</v>
      </c>
      <c r="RND1" t="s">
        <v>14103</v>
      </c>
      <c r="RNE1" t="s">
        <v>14104</v>
      </c>
      <c r="RNF1" t="s">
        <v>14105</v>
      </c>
      <c r="RNG1" t="s">
        <v>14106</v>
      </c>
      <c r="RNH1" t="s">
        <v>14107</v>
      </c>
      <c r="RNI1" t="s">
        <v>14108</v>
      </c>
      <c r="RNJ1" t="s">
        <v>14109</v>
      </c>
      <c r="RNK1" t="s">
        <v>14110</v>
      </c>
      <c r="RNL1" t="s">
        <v>14111</v>
      </c>
      <c r="RNM1" t="s">
        <v>14112</v>
      </c>
      <c r="RNN1" t="s">
        <v>14113</v>
      </c>
      <c r="RNO1" t="s">
        <v>14114</v>
      </c>
      <c r="RNP1" t="s">
        <v>14115</v>
      </c>
      <c r="RNQ1" t="s">
        <v>14116</v>
      </c>
      <c r="RNR1" t="s">
        <v>14117</v>
      </c>
      <c r="RNS1" t="s">
        <v>14118</v>
      </c>
      <c r="RNT1" t="s">
        <v>14119</v>
      </c>
      <c r="RNU1" t="s">
        <v>14120</v>
      </c>
      <c r="RNV1" t="s">
        <v>14121</v>
      </c>
      <c r="RNW1" t="s">
        <v>14122</v>
      </c>
      <c r="RNX1" t="s">
        <v>14123</v>
      </c>
      <c r="RNY1" t="s">
        <v>14124</v>
      </c>
      <c r="RNZ1" t="s">
        <v>14125</v>
      </c>
      <c r="ROA1" t="s">
        <v>14126</v>
      </c>
      <c r="ROB1" t="s">
        <v>14127</v>
      </c>
      <c r="ROC1" t="s">
        <v>14128</v>
      </c>
      <c r="ROD1" t="s">
        <v>14129</v>
      </c>
      <c r="ROE1" t="s">
        <v>14130</v>
      </c>
      <c r="ROF1" t="s">
        <v>14131</v>
      </c>
      <c r="ROG1" t="s">
        <v>14132</v>
      </c>
      <c r="ROH1" t="s">
        <v>14133</v>
      </c>
      <c r="ROI1" t="s">
        <v>14134</v>
      </c>
      <c r="ROJ1" t="s">
        <v>14135</v>
      </c>
      <c r="ROK1" t="s">
        <v>14136</v>
      </c>
      <c r="ROL1" t="s">
        <v>14137</v>
      </c>
      <c r="ROM1" t="s">
        <v>14138</v>
      </c>
      <c r="RON1" t="s">
        <v>14139</v>
      </c>
      <c r="ROO1" t="s">
        <v>14140</v>
      </c>
      <c r="ROP1" t="s">
        <v>14141</v>
      </c>
      <c r="ROQ1" t="s">
        <v>14142</v>
      </c>
      <c r="ROR1" t="s">
        <v>14143</v>
      </c>
      <c r="ROS1" t="s">
        <v>14144</v>
      </c>
      <c r="ROT1" t="s">
        <v>14145</v>
      </c>
      <c r="ROU1" t="s">
        <v>14146</v>
      </c>
      <c r="ROV1" t="s">
        <v>14147</v>
      </c>
      <c r="ROW1" t="s">
        <v>14148</v>
      </c>
      <c r="ROX1" t="s">
        <v>14149</v>
      </c>
      <c r="ROY1" t="s">
        <v>14150</v>
      </c>
      <c r="ROZ1" t="s">
        <v>14151</v>
      </c>
      <c r="RPA1" t="s">
        <v>14152</v>
      </c>
      <c r="RPB1" t="s">
        <v>14153</v>
      </c>
      <c r="RPC1" t="s">
        <v>14154</v>
      </c>
      <c r="RPD1" t="s">
        <v>14155</v>
      </c>
      <c r="RPE1" t="s">
        <v>14156</v>
      </c>
      <c r="RPF1" t="s">
        <v>14157</v>
      </c>
      <c r="RPG1" t="s">
        <v>14158</v>
      </c>
      <c r="RPH1" t="s">
        <v>14159</v>
      </c>
      <c r="RPI1" t="s">
        <v>14160</v>
      </c>
      <c r="RPJ1" t="s">
        <v>14161</v>
      </c>
      <c r="RPK1" t="s">
        <v>14162</v>
      </c>
      <c r="RPL1" t="s">
        <v>14163</v>
      </c>
      <c r="RPM1" t="s">
        <v>14164</v>
      </c>
      <c r="RPN1" t="s">
        <v>14165</v>
      </c>
      <c r="RPO1" t="s">
        <v>14166</v>
      </c>
      <c r="RPP1" t="s">
        <v>14167</v>
      </c>
      <c r="RPQ1" t="s">
        <v>14168</v>
      </c>
      <c r="RPR1" t="s">
        <v>14169</v>
      </c>
      <c r="RPS1" t="s">
        <v>14170</v>
      </c>
      <c r="RPT1" t="s">
        <v>14171</v>
      </c>
      <c r="RPU1" t="s">
        <v>14172</v>
      </c>
      <c r="RPV1" t="s">
        <v>14173</v>
      </c>
      <c r="RPW1" t="s">
        <v>14174</v>
      </c>
      <c r="RPX1" t="s">
        <v>14175</v>
      </c>
      <c r="RPY1" t="s">
        <v>14176</v>
      </c>
      <c r="RPZ1" t="s">
        <v>14177</v>
      </c>
      <c r="RQA1" t="s">
        <v>14178</v>
      </c>
      <c r="RQB1" t="s">
        <v>14179</v>
      </c>
      <c r="RQC1" t="s">
        <v>14180</v>
      </c>
      <c r="RQD1" t="s">
        <v>14181</v>
      </c>
      <c r="RQE1" t="s">
        <v>14182</v>
      </c>
      <c r="RQF1" t="s">
        <v>14183</v>
      </c>
      <c r="RQG1" t="s">
        <v>14184</v>
      </c>
      <c r="RQH1" t="s">
        <v>14185</v>
      </c>
      <c r="RQI1" t="s">
        <v>14186</v>
      </c>
      <c r="RQJ1" t="s">
        <v>14187</v>
      </c>
      <c r="RQK1" t="s">
        <v>14188</v>
      </c>
      <c r="RQL1" t="s">
        <v>14189</v>
      </c>
      <c r="RQM1" t="s">
        <v>14190</v>
      </c>
      <c r="RQN1" t="s">
        <v>14191</v>
      </c>
      <c r="RQO1" t="s">
        <v>14192</v>
      </c>
      <c r="RQP1" t="s">
        <v>14193</v>
      </c>
      <c r="RQQ1" t="s">
        <v>14194</v>
      </c>
      <c r="RQR1" t="s">
        <v>14195</v>
      </c>
      <c r="RQS1" t="s">
        <v>14196</v>
      </c>
      <c r="RQT1" t="s">
        <v>14197</v>
      </c>
      <c r="RQU1" t="s">
        <v>14198</v>
      </c>
      <c r="RQV1" t="s">
        <v>14199</v>
      </c>
      <c r="RQW1" t="s">
        <v>14200</v>
      </c>
      <c r="RQX1" t="s">
        <v>14201</v>
      </c>
      <c r="RQY1" t="s">
        <v>14202</v>
      </c>
      <c r="RQZ1" t="s">
        <v>14203</v>
      </c>
      <c r="RRA1" t="s">
        <v>14204</v>
      </c>
      <c r="RRB1" t="s">
        <v>14205</v>
      </c>
      <c r="RRC1" t="s">
        <v>14206</v>
      </c>
      <c r="RRD1" t="s">
        <v>14207</v>
      </c>
      <c r="RRE1" t="s">
        <v>14208</v>
      </c>
      <c r="RRF1" t="s">
        <v>14209</v>
      </c>
      <c r="RRG1" t="s">
        <v>14210</v>
      </c>
      <c r="RRH1" t="s">
        <v>14211</v>
      </c>
      <c r="RRI1" t="s">
        <v>14212</v>
      </c>
      <c r="RRJ1" t="s">
        <v>14213</v>
      </c>
      <c r="RRK1" t="s">
        <v>14214</v>
      </c>
      <c r="RRL1" t="s">
        <v>14215</v>
      </c>
      <c r="RRM1" t="s">
        <v>14216</v>
      </c>
      <c r="RRN1" t="s">
        <v>14217</v>
      </c>
      <c r="RRO1" t="s">
        <v>14218</v>
      </c>
      <c r="RRP1" t="s">
        <v>14219</v>
      </c>
      <c r="RRQ1" t="s">
        <v>14220</v>
      </c>
      <c r="RRR1" t="s">
        <v>14221</v>
      </c>
      <c r="RRS1" t="s">
        <v>14222</v>
      </c>
      <c r="RRT1" t="s">
        <v>14223</v>
      </c>
      <c r="RRU1" t="s">
        <v>14224</v>
      </c>
      <c r="RRV1" t="s">
        <v>14225</v>
      </c>
      <c r="RRW1" t="s">
        <v>14226</v>
      </c>
      <c r="RRX1" t="s">
        <v>14227</v>
      </c>
      <c r="RRY1" t="s">
        <v>14228</v>
      </c>
      <c r="RRZ1" t="s">
        <v>14229</v>
      </c>
      <c r="RSA1" t="s">
        <v>14230</v>
      </c>
      <c r="RSB1" t="s">
        <v>14231</v>
      </c>
      <c r="RSC1" t="s">
        <v>14232</v>
      </c>
      <c r="RSD1" t="s">
        <v>14233</v>
      </c>
      <c r="RSE1" t="s">
        <v>14234</v>
      </c>
      <c r="RSF1" t="s">
        <v>14235</v>
      </c>
      <c r="RSG1" t="s">
        <v>14236</v>
      </c>
      <c r="RSH1" t="s">
        <v>14237</v>
      </c>
      <c r="RSI1" t="s">
        <v>14238</v>
      </c>
      <c r="RSJ1" t="s">
        <v>14239</v>
      </c>
      <c r="RSK1" t="s">
        <v>14240</v>
      </c>
      <c r="RSL1" t="s">
        <v>14241</v>
      </c>
      <c r="RSM1" t="s">
        <v>14242</v>
      </c>
      <c r="RSN1" t="s">
        <v>14243</v>
      </c>
      <c r="RSO1" t="s">
        <v>14244</v>
      </c>
      <c r="RSP1" t="s">
        <v>14245</v>
      </c>
      <c r="RSQ1" t="s">
        <v>14246</v>
      </c>
      <c r="RSR1" t="s">
        <v>14247</v>
      </c>
      <c r="RSS1" t="s">
        <v>14248</v>
      </c>
      <c r="RST1" t="s">
        <v>14249</v>
      </c>
      <c r="RSU1" t="s">
        <v>14250</v>
      </c>
      <c r="RSV1" t="s">
        <v>14251</v>
      </c>
      <c r="RSW1" t="s">
        <v>14252</v>
      </c>
      <c r="RSX1" t="s">
        <v>14253</v>
      </c>
      <c r="RSY1" t="s">
        <v>14254</v>
      </c>
      <c r="RSZ1" t="s">
        <v>14255</v>
      </c>
      <c r="RTA1" t="s">
        <v>14256</v>
      </c>
      <c r="RTB1" t="s">
        <v>14257</v>
      </c>
      <c r="RTC1" t="s">
        <v>14258</v>
      </c>
      <c r="RTD1" t="s">
        <v>14259</v>
      </c>
      <c r="RTE1" t="s">
        <v>14260</v>
      </c>
      <c r="RTF1" t="s">
        <v>14261</v>
      </c>
      <c r="RTG1" t="s">
        <v>14262</v>
      </c>
      <c r="RTH1" t="s">
        <v>14263</v>
      </c>
      <c r="RTI1" t="s">
        <v>14264</v>
      </c>
      <c r="RTJ1" t="s">
        <v>14265</v>
      </c>
      <c r="RTK1" t="s">
        <v>14266</v>
      </c>
      <c r="RTL1" t="s">
        <v>14267</v>
      </c>
      <c r="RTM1" t="s">
        <v>14268</v>
      </c>
      <c r="RTN1" t="s">
        <v>14269</v>
      </c>
      <c r="RTO1" t="s">
        <v>14270</v>
      </c>
      <c r="RTP1" t="s">
        <v>14271</v>
      </c>
      <c r="RTQ1" t="s">
        <v>14272</v>
      </c>
      <c r="RTR1" t="s">
        <v>14273</v>
      </c>
      <c r="RTS1" t="s">
        <v>14274</v>
      </c>
      <c r="RTT1" t="s">
        <v>14275</v>
      </c>
      <c r="RTU1" t="s">
        <v>14276</v>
      </c>
      <c r="RTV1" t="s">
        <v>14277</v>
      </c>
      <c r="RTW1" t="s">
        <v>14278</v>
      </c>
      <c r="RTX1" t="s">
        <v>14279</v>
      </c>
      <c r="RTY1" t="s">
        <v>14280</v>
      </c>
      <c r="RTZ1" t="s">
        <v>14281</v>
      </c>
      <c r="RUA1" t="s">
        <v>14282</v>
      </c>
      <c r="RUB1" t="s">
        <v>14283</v>
      </c>
      <c r="RUC1" t="s">
        <v>14284</v>
      </c>
      <c r="RUD1" t="s">
        <v>14285</v>
      </c>
      <c r="RUE1" t="s">
        <v>14286</v>
      </c>
      <c r="RUF1" t="s">
        <v>14287</v>
      </c>
      <c r="RUG1" t="s">
        <v>14288</v>
      </c>
      <c r="RUH1" t="s">
        <v>14289</v>
      </c>
      <c r="RUI1" t="s">
        <v>14290</v>
      </c>
      <c r="RUJ1" t="s">
        <v>14291</v>
      </c>
      <c r="RUK1" t="s">
        <v>14292</v>
      </c>
      <c r="RUL1" t="s">
        <v>14293</v>
      </c>
      <c r="RUM1" t="s">
        <v>14294</v>
      </c>
      <c r="RUN1" t="s">
        <v>14295</v>
      </c>
      <c r="RUO1" t="s">
        <v>14296</v>
      </c>
      <c r="RUP1" t="s">
        <v>14297</v>
      </c>
      <c r="RUQ1" t="s">
        <v>14298</v>
      </c>
      <c r="RUR1" t="s">
        <v>14299</v>
      </c>
      <c r="RUS1" t="s">
        <v>14300</v>
      </c>
      <c r="RUT1" t="s">
        <v>14301</v>
      </c>
      <c r="RUU1" t="s">
        <v>14302</v>
      </c>
      <c r="RUV1" t="s">
        <v>14303</v>
      </c>
      <c r="RUW1" t="s">
        <v>14304</v>
      </c>
      <c r="RUX1" t="s">
        <v>14305</v>
      </c>
      <c r="RUY1" t="s">
        <v>14306</v>
      </c>
      <c r="RUZ1" t="s">
        <v>14307</v>
      </c>
      <c r="RVA1" t="s">
        <v>14308</v>
      </c>
      <c r="RVB1" t="s">
        <v>14309</v>
      </c>
      <c r="RVC1" t="s">
        <v>14310</v>
      </c>
      <c r="RVD1" t="s">
        <v>14311</v>
      </c>
      <c r="RVE1" t="s">
        <v>14312</v>
      </c>
      <c r="RVF1" t="s">
        <v>14313</v>
      </c>
      <c r="RVG1" t="s">
        <v>14314</v>
      </c>
      <c r="RVH1" t="s">
        <v>14315</v>
      </c>
      <c r="RVI1" t="s">
        <v>14316</v>
      </c>
      <c r="RVJ1" t="s">
        <v>14317</v>
      </c>
      <c r="RVK1" t="s">
        <v>14318</v>
      </c>
      <c r="RVL1" t="s">
        <v>14319</v>
      </c>
      <c r="RVM1" t="s">
        <v>14320</v>
      </c>
      <c r="RVN1" t="s">
        <v>14321</v>
      </c>
      <c r="RVO1" t="s">
        <v>14322</v>
      </c>
      <c r="RVP1" t="s">
        <v>14323</v>
      </c>
      <c r="RVQ1" t="s">
        <v>14324</v>
      </c>
      <c r="RVR1" t="s">
        <v>14325</v>
      </c>
      <c r="RVS1" t="s">
        <v>14326</v>
      </c>
      <c r="RVT1" t="s">
        <v>14327</v>
      </c>
      <c r="RVU1" t="s">
        <v>14328</v>
      </c>
      <c r="RVV1" t="s">
        <v>14329</v>
      </c>
      <c r="RVW1" t="s">
        <v>14330</v>
      </c>
      <c r="RVX1" t="s">
        <v>14331</v>
      </c>
      <c r="RVY1" t="s">
        <v>14332</v>
      </c>
      <c r="RVZ1" t="s">
        <v>14333</v>
      </c>
      <c r="RWA1" t="s">
        <v>14334</v>
      </c>
      <c r="RWB1" t="s">
        <v>14335</v>
      </c>
      <c r="RWC1" t="s">
        <v>14336</v>
      </c>
      <c r="RWD1" t="s">
        <v>14337</v>
      </c>
      <c r="RWE1" t="s">
        <v>14338</v>
      </c>
      <c r="RWF1" t="s">
        <v>14339</v>
      </c>
      <c r="RWG1" t="s">
        <v>14340</v>
      </c>
      <c r="RWH1" t="s">
        <v>14341</v>
      </c>
      <c r="RWI1" t="s">
        <v>14342</v>
      </c>
      <c r="RWJ1" t="s">
        <v>14343</v>
      </c>
      <c r="RWK1" t="s">
        <v>14344</v>
      </c>
      <c r="RWL1" t="s">
        <v>14345</v>
      </c>
      <c r="RWM1" t="s">
        <v>14346</v>
      </c>
      <c r="RWN1" t="s">
        <v>14347</v>
      </c>
      <c r="RWO1" t="s">
        <v>14348</v>
      </c>
      <c r="RWP1" t="s">
        <v>14349</v>
      </c>
      <c r="RWQ1" t="s">
        <v>14350</v>
      </c>
      <c r="RWR1" t="s">
        <v>14351</v>
      </c>
      <c r="RWS1" t="s">
        <v>14352</v>
      </c>
      <c r="RWT1" t="s">
        <v>14353</v>
      </c>
      <c r="RWU1" t="s">
        <v>14354</v>
      </c>
      <c r="RWV1" t="s">
        <v>14355</v>
      </c>
      <c r="RWW1" t="s">
        <v>14356</v>
      </c>
      <c r="RWX1" t="s">
        <v>14357</v>
      </c>
      <c r="RWY1" t="s">
        <v>14358</v>
      </c>
      <c r="RWZ1" t="s">
        <v>14359</v>
      </c>
      <c r="RXA1" t="s">
        <v>14360</v>
      </c>
      <c r="RXB1" t="s">
        <v>14361</v>
      </c>
      <c r="RXC1" t="s">
        <v>14362</v>
      </c>
      <c r="RXD1" t="s">
        <v>14363</v>
      </c>
      <c r="RXE1" t="s">
        <v>14364</v>
      </c>
      <c r="RXF1" t="s">
        <v>14365</v>
      </c>
      <c r="RXG1" t="s">
        <v>14366</v>
      </c>
      <c r="RXH1" t="s">
        <v>14367</v>
      </c>
      <c r="RXI1" t="s">
        <v>14368</v>
      </c>
      <c r="RXJ1" t="s">
        <v>14369</v>
      </c>
      <c r="RXK1" t="s">
        <v>14370</v>
      </c>
      <c r="RXL1" t="s">
        <v>14371</v>
      </c>
      <c r="RXM1" t="s">
        <v>14372</v>
      </c>
      <c r="RXN1" t="s">
        <v>14373</v>
      </c>
      <c r="RXO1" t="s">
        <v>14374</v>
      </c>
      <c r="RXP1" t="s">
        <v>14375</v>
      </c>
      <c r="RXQ1" t="s">
        <v>14376</v>
      </c>
      <c r="RXR1" t="s">
        <v>14377</v>
      </c>
      <c r="RXS1" t="s">
        <v>14378</v>
      </c>
      <c r="RXT1" t="s">
        <v>14379</v>
      </c>
      <c r="RXU1" t="s">
        <v>14380</v>
      </c>
      <c r="RXV1" t="s">
        <v>14381</v>
      </c>
      <c r="RXW1" t="s">
        <v>14382</v>
      </c>
      <c r="RXX1" t="s">
        <v>14383</v>
      </c>
      <c r="RXY1" t="s">
        <v>14384</v>
      </c>
      <c r="RXZ1" t="s">
        <v>14385</v>
      </c>
      <c r="RYA1" t="s">
        <v>14386</v>
      </c>
      <c r="RYB1" t="s">
        <v>14387</v>
      </c>
      <c r="RYC1" t="s">
        <v>14388</v>
      </c>
      <c r="RYD1" t="s">
        <v>14389</v>
      </c>
      <c r="RYE1" t="s">
        <v>14390</v>
      </c>
      <c r="RYF1" t="s">
        <v>14391</v>
      </c>
      <c r="RYG1" t="s">
        <v>14392</v>
      </c>
      <c r="RYH1" t="s">
        <v>14393</v>
      </c>
      <c r="RYI1" t="s">
        <v>14394</v>
      </c>
      <c r="RYJ1" t="s">
        <v>14395</v>
      </c>
      <c r="RYK1" t="s">
        <v>14396</v>
      </c>
      <c r="RYL1" t="s">
        <v>14397</v>
      </c>
      <c r="RYM1" t="s">
        <v>14398</v>
      </c>
      <c r="RYN1" t="s">
        <v>14399</v>
      </c>
      <c r="RYO1" t="s">
        <v>14400</v>
      </c>
      <c r="RYP1" t="s">
        <v>14401</v>
      </c>
      <c r="RYQ1" t="s">
        <v>14402</v>
      </c>
      <c r="RYR1" t="s">
        <v>14403</v>
      </c>
      <c r="RYS1" t="s">
        <v>14404</v>
      </c>
      <c r="RYT1" t="s">
        <v>14405</v>
      </c>
      <c r="RYU1" t="s">
        <v>14406</v>
      </c>
      <c r="RYV1" t="s">
        <v>14407</v>
      </c>
      <c r="RYW1" t="s">
        <v>14408</v>
      </c>
      <c r="RYX1" t="s">
        <v>14409</v>
      </c>
      <c r="RYY1" t="s">
        <v>14410</v>
      </c>
      <c r="RYZ1" t="s">
        <v>14411</v>
      </c>
      <c r="RZA1" t="s">
        <v>14412</v>
      </c>
      <c r="RZB1" t="s">
        <v>14413</v>
      </c>
      <c r="RZC1" t="s">
        <v>14414</v>
      </c>
      <c r="RZD1" t="s">
        <v>14415</v>
      </c>
      <c r="RZE1" t="s">
        <v>14416</v>
      </c>
      <c r="RZF1" t="s">
        <v>14417</v>
      </c>
      <c r="RZG1" t="s">
        <v>14418</v>
      </c>
      <c r="RZH1" t="s">
        <v>14419</v>
      </c>
      <c r="RZI1" t="s">
        <v>14420</v>
      </c>
      <c r="RZJ1" t="s">
        <v>14421</v>
      </c>
      <c r="RZK1" t="s">
        <v>14422</v>
      </c>
      <c r="RZL1" t="s">
        <v>14423</v>
      </c>
      <c r="RZM1" t="s">
        <v>14424</v>
      </c>
      <c r="RZN1" t="s">
        <v>14425</v>
      </c>
      <c r="RZO1" t="s">
        <v>14426</v>
      </c>
      <c r="RZP1" t="s">
        <v>14427</v>
      </c>
      <c r="RZQ1" t="s">
        <v>14428</v>
      </c>
      <c r="RZR1" t="s">
        <v>14429</v>
      </c>
      <c r="RZS1" t="s">
        <v>14430</v>
      </c>
      <c r="RZT1" t="s">
        <v>14431</v>
      </c>
      <c r="RZU1" t="s">
        <v>14432</v>
      </c>
      <c r="RZV1" t="s">
        <v>14433</v>
      </c>
      <c r="RZW1" t="s">
        <v>14434</v>
      </c>
      <c r="RZX1" t="s">
        <v>14435</v>
      </c>
      <c r="RZY1" t="s">
        <v>14436</v>
      </c>
      <c r="RZZ1" t="s">
        <v>14437</v>
      </c>
      <c r="SAA1" t="s">
        <v>14438</v>
      </c>
      <c r="SAB1" t="s">
        <v>14439</v>
      </c>
      <c r="SAC1" t="s">
        <v>14440</v>
      </c>
      <c r="SAD1" t="s">
        <v>14441</v>
      </c>
      <c r="SAE1" t="s">
        <v>14442</v>
      </c>
      <c r="SAF1" t="s">
        <v>14443</v>
      </c>
      <c r="SAG1" t="s">
        <v>14444</v>
      </c>
      <c r="SAH1" t="s">
        <v>14445</v>
      </c>
      <c r="SAI1" t="s">
        <v>14446</v>
      </c>
      <c r="SAJ1" t="s">
        <v>14447</v>
      </c>
      <c r="SAK1" t="s">
        <v>14448</v>
      </c>
      <c r="SAL1" t="s">
        <v>14449</v>
      </c>
      <c r="SAM1" t="s">
        <v>14450</v>
      </c>
      <c r="SAN1" t="s">
        <v>14451</v>
      </c>
      <c r="SAO1" t="s">
        <v>14452</v>
      </c>
      <c r="SAP1" t="s">
        <v>14453</v>
      </c>
      <c r="SAQ1" t="s">
        <v>14454</v>
      </c>
      <c r="SAR1" t="s">
        <v>14455</v>
      </c>
      <c r="SAS1" t="s">
        <v>14456</v>
      </c>
      <c r="SAT1" t="s">
        <v>14457</v>
      </c>
      <c r="SAU1" t="s">
        <v>14458</v>
      </c>
      <c r="SAV1" t="s">
        <v>14459</v>
      </c>
      <c r="SAW1" t="s">
        <v>14460</v>
      </c>
      <c r="SAX1" t="s">
        <v>14461</v>
      </c>
      <c r="SAY1" t="s">
        <v>14462</v>
      </c>
      <c r="SAZ1" t="s">
        <v>14463</v>
      </c>
      <c r="SBA1" t="s">
        <v>14464</v>
      </c>
      <c r="SBB1" t="s">
        <v>14465</v>
      </c>
      <c r="SBC1" t="s">
        <v>14466</v>
      </c>
      <c r="SBD1" t="s">
        <v>14467</v>
      </c>
      <c r="SBE1" t="s">
        <v>14468</v>
      </c>
      <c r="SBF1" t="s">
        <v>14469</v>
      </c>
      <c r="SBG1" t="s">
        <v>14470</v>
      </c>
      <c r="SBH1" t="s">
        <v>14471</v>
      </c>
      <c r="SBI1" t="s">
        <v>14472</v>
      </c>
      <c r="SBJ1" t="s">
        <v>14473</v>
      </c>
      <c r="SBK1" t="s">
        <v>14474</v>
      </c>
      <c r="SBL1" t="s">
        <v>14475</v>
      </c>
      <c r="SBM1" t="s">
        <v>14476</v>
      </c>
      <c r="SBN1" t="s">
        <v>14477</v>
      </c>
      <c r="SBO1" t="s">
        <v>14478</v>
      </c>
      <c r="SBP1" t="s">
        <v>14479</v>
      </c>
      <c r="SBQ1" t="s">
        <v>14480</v>
      </c>
      <c r="SBR1" t="s">
        <v>14481</v>
      </c>
      <c r="SBS1" t="s">
        <v>14482</v>
      </c>
      <c r="SBT1" t="s">
        <v>14483</v>
      </c>
      <c r="SBU1" t="s">
        <v>14484</v>
      </c>
      <c r="SBV1" t="s">
        <v>14485</v>
      </c>
      <c r="SBW1" t="s">
        <v>14486</v>
      </c>
      <c r="SBX1" t="s">
        <v>14487</v>
      </c>
      <c r="SBY1" t="s">
        <v>14488</v>
      </c>
      <c r="SBZ1" t="s">
        <v>14489</v>
      </c>
      <c r="SCA1" t="s">
        <v>14490</v>
      </c>
      <c r="SCB1" t="s">
        <v>14491</v>
      </c>
      <c r="SCC1" t="s">
        <v>14492</v>
      </c>
      <c r="SCD1" t="s">
        <v>14493</v>
      </c>
      <c r="SCE1" t="s">
        <v>14494</v>
      </c>
      <c r="SCF1" t="s">
        <v>14495</v>
      </c>
      <c r="SCG1" t="s">
        <v>14496</v>
      </c>
      <c r="SCH1" t="s">
        <v>14497</v>
      </c>
      <c r="SCI1" t="s">
        <v>14498</v>
      </c>
      <c r="SCJ1" t="s">
        <v>14499</v>
      </c>
      <c r="SCK1" t="s">
        <v>14500</v>
      </c>
      <c r="SCL1" t="s">
        <v>14501</v>
      </c>
      <c r="SCM1" t="s">
        <v>14502</v>
      </c>
      <c r="SCN1" t="s">
        <v>14503</v>
      </c>
      <c r="SCO1" t="s">
        <v>14504</v>
      </c>
      <c r="SCP1" t="s">
        <v>14505</v>
      </c>
      <c r="SCQ1" t="s">
        <v>14506</v>
      </c>
      <c r="SCR1" t="s">
        <v>14507</v>
      </c>
      <c r="SCS1" t="s">
        <v>14508</v>
      </c>
      <c r="SCT1" t="s">
        <v>14509</v>
      </c>
      <c r="SCU1" t="s">
        <v>14510</v>
      </c>
      <c r="SCV1" t="s">
        <v>14511</v>
      </c>
      <c r="SCW1" t="s">
        <v>14512</v>
      </c>
      <c r="SCX1" t="s">
        <v>14513</v>
      </c>
      <c r="SCY1" t="s">
        <v>14514</v>
      </c>
      <c r="SCZ1" t="s">
        <v>14515</v>
      </c>
      <c r="SDA1" t="s">
        <v>14516</v>
      </c>
      <c r="SDB1" t="s">
        <v>14517</v>
      </c>
      <c r="SDC1" t="s">
        <v>14518</v>
      </c>
      <c r="SDD1" t="s">
        <v>14519</v>
      </c>
      <c r="SDE1" t="s">
        <v>14520</v>
      </c>
      <c r="SDF1" t="s">
        <v>14521</v>
      </c>
      <c r="SDG1" t="s">
        <v>14522</v>
      </c>
      <c r="SDH1" t="s">
        <v>14523</v>
      </c>
      <c r="SDI1" t="s">
        <v>14524</v>
      </c>
      <c r="SDJ1" t="s">
        <v>14525</v>
      </c>
      <c r="SDK1" t="s">
        <v>14526</v>
      </c>
      <c r="SDL1" t="s">
        <v>14527</v>
      </c>
      <c r="SDM1" t="s">
        <v>14528</v>
      </c>
      <c r="SDN1" t="s">
        <v>14529</v>
      </c>
      <c r="SDO1" t="s">
        <v>14530</v>
      </c>
      <c r="SDP1" t="s">
        <v>14531</v>
      </c>
      <c r="SDQ1" t="s">
        <v>14532</v>
      </c>
      <c r="SDR1" t="s">
        <v>14533</v>
      </c>
      <c r="SDS1" t="s">
        <v>14534</v>
      </c>
      <c r="SDT1" t="s">
        <v>14535</v>
      </c>
      <c r="SDU1" t="s">
        <v>14536</v>
      </c>
      <c r="SDV1" t="s">
        <v>14537</v>
      </c>
      <c r="SDW1" t="s">
        <v>14538</v>
      </c>
      <c r="SDX1" t="s">
        <v>14539</v>
      </c>
      <c r="SDY1" t="s">
        <v>14540</v>
      </c>
      <c r="SDZ1" t="s">
        <v>14541</v>
      </c>
      <c r="SEA1" t="s">
        <v>14542</v>
      </c>
      <c r="SEB1" t="s">
        <v>14543</v>
      </c>
      <c r="SEC1" t="s">
        <v>14544</v>
      </c>
      <c r="SED1" t="s">
        <v>14545</v>
      </c>
      <c r="SEE1" t="s">
        <v>14546</v>
      </c>
      <c r="SEF1" t="s">
        <v>14547</v>
      </c>
      <c r="SEG1" t="s">
        <v>14548</v>
      </c>
      <c r="SEH1" t="s">
        <v>14549</v>
      </c>
      <c r="SEI1" t="s">
        <v>14550</v>
      </c>
      <c r="SEJ1" t="s">
        <v>14551</v>
      </c>
      <c r="SEK1" t="s">
        <v>14552</v>
      </c>
      <c r="SEL1" t="s">
        <v>14553</v>
      </c>
      <c r="SEM1" t="s">
        <v>14554</v>
      </c>
      <c r="SEN1" t="s">
        <v>14555</v>
      </c>
      <c r="SEO1" t="s">
        <v>14556</v>
      </c>
      <c r="SEP1" t="s">
        <v>14557</v>
      </c>
      <c r="SEQ1" t="s">
        <v>14558</v>
      </c>
      <c r="SER1" t="s">
        <v>14559</v>
      </c>
      <c r="SES1" t="s">
        <v>14560</v>
      </c>
      <c r="SET1" t="s">
        <v>14561</v>
      </c>
      <c r="SEU1" t="s">
        <v>14562</v>
      </c>
      <c r="SEV1" t="s">
        <v>14563</v>
      </c>
      <c r="SEW1" t="s">
        <v>14564</v>
      </c>
      <c r="SEX1" t="s">
        <v>14565</v>
      </c>
      <c r="SEY1" t="s">
        <v>14566</v>
      </c>
      <c r="SEZ1" t="s">
        <v>14567</v>
      </c>
      <c r="SFA1" t="s">
        <v>14568</v>
      </c>
      <c r="SFB1" t="s">
        <v>14569</v>
      </c>
      <c r="SFC1" t="s">
        <v>14570</v>
      </c>
      <c r="SFD1" t="s">
        <v>14571</v>
      </c>
      <c r="SFE1" t="s">
        <v>14572</v>
      </c>
      <c r="SFF1" t="s">
        <v>14573</v>
      </c>
      <c r="SFG1" t="s">
        <v>14574</v>
      </c>
      <c r="SFH1" t="s">
        <v>14575</v>
      </c>
      <c r="SFI1" t="s">
        <v>14576</v>
      </c>
      <c r="SFJ1" t="s">
        <v>14577</v>
      </c>
      <c r="SFK1" t="s">
        <v>14578</v>
      </c>
      <c r="SFL1" t="s">
        <v>14579</v>
      </c>
      <c r="SFM1" t="s">
        <v>14580</v>
      </c>
      <c r="SFN1" t="s">
        <v>14581</v>
      </c>
      <c r="SFO1" t="s">
        <v>14582</v>
      </c>
      <c r="SFP1" t="s">
        <v>14583</v>
      </c>
      <c r="SFQ1" t="s">
        <v>14584</v>
      </c>
      <c r="SFR1" t="s">
        <v>14585</v>
      </c>
      <c r="SFS1" t="s">
        <v>14586</v>
      </c>
      <c r="SFT1" t="s">
        <v>14587</v>
      </c>
      <c r="SFU1" t="s">
        <v>14588</v>
      </c>
      <c r="SFV1" t="s">
        <v>14589</v>
      </c>
      <c r="SFW1" t="s">
        <v>14590</v>
      </c>
      <c r="SFX1" t="s">
        <v>14591</v>
      </c>
      <c r="SFY1" t="s">
        <v>14592</v>
      </c>
      <c r="SFZ1" t="s">
        <v>14593</v>
      </c>
      <c r="SGA1" t="s">
        <v>14594</v>
      </c>
      <c r="SGB1" t="s">
        <v>14595</v>
      </c>
      <c r="SGC1" t="s">
        <v>14596</v>
      </c>
      <c r="SGD1" t="s">
        <v>14597</v>
      </c>
      <c r="SGE1" t="s">
        <v>14598</v>
      </c>
      <c r="SGF1" t="s">
        <v>14599</v>
      </c>
      <c r="SGG1" t="s">
        <v>14600</v>
      </c>
      <c r="SGH1" t="s">
        <v>14601</v>
      </c>
      <c r="SGI1" t="s">
        <v>14602</v>
      </c>
      <c r="SGJ1" t="s">
        <v>14603</v>
      </c>
      <c r="SGK1" t="s">
        <v>14604</v>
      </c>
      <c r="SGL1" t="s">
        <v>14605</v>
      </c>
      <c r="SGM1" t="s">
        <v>14606</v>
      </c>
      <c r="SGN1" t="s">
        <v>14607</v>
      </c>
      <c r="SGO1" t="s">
        <v>14608</v>
      </c>
      <c r="SGP1" t="s">
        <v>14609</v>
      </c>
      <c r="SGQ1" t="s">
        <v>14610</v>
      </c>
      <c r="SGR1" t="s">
        <v>14611</v>
      </c>
      <c r="SGS1" t="s">
        <v>14612</v>
      </c>
      <c r="SGT1" t="s">
        <v>14613</v>
      </c>
      <c r="SGU1" t="s">
        <v>14614</v>
      </c>
      <c r="SGV1" t="s">
        <v>14615</v>
      </c>
      <c r="SGW1" t="s">
        <v>14616</v>
      </c>
      <c r="SGX1" t="s">
        <v>14617</v>
      </c>
      <c r="SGY1" t="s">
        <v>14618</v>
      </c>
      <c r="SGZ1" t="s">
        <v>14619</v>
      </c>
      <c r="SHA1" t="s">
        <v>14620</v>
      </c>
      <c r="SHB1" t="s">
        <v>14621</v>
      </c>
      <c r="SHC1" t="s">
        <v>14622</v>
      </c>
      <c r="SHD1" t="s">
        <v>14623</v>
      </c>
      <c r="SHE1" t="s">
        <v>14624</v>
      </c>
      <c r="SHF1" t="s">
        <v>14625</v>
      </c>
      <c r="SHG1" t="s">
        <v>14626</v>
      </c>
      <c r="SHH1" t="s">
        <v>14627</v>
      </c>
      <c r="SHI1" t="s">
        <v>14628</v>
      </c>
      <c r="SHJ1" t="s">
        <v>14629</v>
      </c>
      <c r="SHK1" t="s">
        <v>14630</v>
      </c>
      <c r="SHL1" t="s">
        <v>14631</v>
      </c>
      <c r="SHM1" t="s">
        <v>14632</v>
      </c>
      <c r="SHN1" t="s">
        <v>14633</v>
      </c>
      <c r="SHO1" t="s">
        <v>14634</v>
      </c>
      <c r="SHP1" t="s">
        <v>14635</v>
      </c>
      <c r="SHQ1" t="s">
        <v>14636</v>
      </c>
      <c r="SHR1" t="s">
        <v>14637</v>
      </c>
      <c r="SHS1" t="s">
        <v>14638</v>
      </c>
      <c r="SHT1" t="s">
        <v>14639</v>
      </c>
      <c r="SHU1" t="s">
        <v>14640</v>
      </c>
      <c r="SHV1" t="s">
        <v>14641</v>
      </c>
      <c r="SHW1" t="s">
        <v>14642</v>
      </c>
      <c r="SHX1" t="s">
        <v>14643</v>
      </c>
      <c r="SHY1" t="s">
        <v>14644</v>
      </c>
      <c r="SHZ1" t="s">
        <v>14645</v>
      </c>
      <c r="SIA1" t="s">
        <v>14646</v>
      </c>
      <c r="SIB1" t="s">
        <v>14647</v>
      </c>
      <c r="SIC1" t="s">
        <v>14648</v>
      </c>
      <c r="SID1" t="s">
        <v>14649</v>
      </c>
      <c r="SIE1" t="s">
        <v>14650</v>
      </c>
      <c r="SIF1" t="s">
        <v>14651</v>
      </c>
      <c r="SIG1" t="s">
        <v>14652</v>
      </c>
      <c r="SIH1" t="s">
        <v>14653</v>
      </c>
      <c r="SII1" t="s">
        <v>14654</v>
      </c>
      <c r="SIJ1" t="s">
        <v>14655</v>
      </c>
      <c r="SIK1" t="s">
        <v>14656</v>
      </c>
      <c r="SIL1" t="s">
        <v>14657</v>
      </c>
      <c r="SIM1" t="s">
        <v>14658</v>
      </c>
      <c r="SIN1" t="s">
        <v>14659</v>
      </c>
      <c r="SIO1" t="s">
        <v>14660</v>
      </c>
      <c r="SIP1" t="s">
        <v>14661</v>
      </c>
      <c r="SIQ1" t="s">
        <v>14662</v>
      </c>
      <c r="SIR1" t="s">
        <v>14663</v>
      </c>
      <c r="SIS1" t="s">
        <v>14664</v>
      </c>
      <c r="SIT1" t="s">
        <v>14665</v>
      </c>
      <c r="SIU1" t="s">
        <v>14666</v>
      </c>
      <c r="SIV1" t="s">
        <v>14667</v>
      </c>
      <c r="SIW1" t="s">
        <v>14668</v>
      </c>
      <c r="SIX1" t="s">
        <v>14669</v>
      </c>
      <c r="SIY1" t="s">
        <v>14670</v>
      </c>
      <c r="SIZ1" t="s">
        <v>14671</v>
      </c>
      <c r="SJA1" t="s">
        <v>14672</v>
      </c>
      <c r="SJB1" t="s">
        <v>14673</v>
      </c>
      <c r="SJC1" t="s">
        <v>14674</v>
      </c>
      <c r="SJD1" t="s">
        <v>14675</v>
      </c>
      <c r="SJE1" t="s">
        <v>14676</v>
      </c>
      <c r="SJF1" t="s">
        <v>14677</v>
      </c>
      <c r="SJG1" t="s">
        <v>14678</v>
      </c>
      <c r="SJH1" t="s">
        <v>14679</v>
      </c>
      <c r="SJI1" t="s">
        <v>14680</v>
      </c>
      <c r="SJJ1" t="s">
        <v>14681</v>
      </c>
      <c r="SJK1" t="s">
        <v>14682</v>
      </c>
      <c r="SJL1" t="s">
        <v>14683</v>
      </c>
      <c r="SJM1" t="s">
        <v>14684</v>
      </c>
      <c r="SJN1" t="s">
        <v>14685</v>
      </c>
      <c r="SJO1" t="s">
        <v>14686</v>
      </c>
      <c r="SJP1" t="s">
        <v>14687</v>
      </c>
      <c r="SJQ1" t="s">
        <v>14688</v>
      </c>
      <c r="SJR1" t="s">
        <v>14689</v>
      </c>
      <c r="SJS1" t="s">
        <v>14690</v>
      </c>
      <c r="SJT1" t="s">
        <v>14691</v>
      </c>
      <c r="SJU1" t="s">
        <v>14692</v>
      </c>
      <c r="SJV1" t="s">
        <v>14693</v>
      </c>
      <c r="SJW1" t="s">
        <v>14694</v>
      </c>
      <c r="SJX1" t="s">
        <v>14695</v>
      </c>
      <c r="SJY1" t="s">
        <v>14696</v>
      </c>
      <c r="SJZ1" t="s">
        <v>14697</v>
      </c>
      <c r="SKA1" t="s">
        <v>14698</v>
      </c>
      <c r="SKB1" t="s">
        <v>14699</v>
      </c>
      <c r="SKC1" t="s">
        <v>14700</v>
      </c>
      <c r="SKD1" t="s">
        <v>14701</v>
      </c>
      <c r="SKE1" t="s">
        <v>14702</v>
      </c>
      <c r="SKF1" t="s">
        <v>14703</v>
      </c>
      <c r="SKG1" t="s">
        <v>14704</v>
      </c>
      <c r="SKH1" t="s">
        <v>14705</v>
      </c>
      <c r="SKI1" t="s">
        <v>14706</v>
      </c>
      <c r="SKJ1" t="s">
        <v>14707</v>
      </c>
      <c r="SKK1" t="s">
        <v>14708</v>
      </c>
      <c r="SKL1" t="s">
        <v>14709</v>
      </c>
      <c r="SKM1" t="s">
        <v>14710</v>
      </c>
      <c r="SKN1" t="s">
        <v>14711</v>
      </c>
      <c r="SKO1" t="s">
        <v>14712</v>
      </c>
      <c r="SKP1" t="s">
        <v>14713</v>
      </c>
      <c r="SKQ1" t="s">
        <v>14714</v>
      </c>
      <c r="SKR1" t="s">
        <v>14715</v>
      </c>
      <c r="SKS1" t="s">
        <v>14716</v>
      </c>
      <c r="SKT1" t="s">
        <v>14717</v>
      </c>
      <c r="SKU1" t="s">
        <v>14718</v>
      </c>
      <c r="SKV1" t="s">
        <v>14719</v>
      </c>
      <c r="SKW1" t="s">
        <v>14720</v>
      </c>
      <c r="SKX1" t="s">
        <v>14721</v>
      </c>
      <c r="SKY1" t="s">
        <v>14722</v>
      </c>
      <c r="SKZ1" t="s">
        <v>14723</v>
      </c>
      <c r="SLA1" t="s">
        <v>14724</v>
      </c>
      <c r="SLB1" t="s">
        <v>14725</v>
      </c>
      <c r="SLC1" t="s">
        <v>14726</v>
      </c>
      <c r="SLD1" t="s">
        <v>14727</v>
      </c>
      <c r="SLE1" t="s">
        <v>14728</v>
      </c>
      <c r="SLF1" t="s">
        <v>14729</v>
      </c>
      <c r="SLG1" t="s">
        <v>14730</v>
      </c>
      <c r="SLH1" t="s">
        <v>14731</v>
      </c>
      <c r="SLI1" t="s">
        <v>14732</v>
      </c>
      <c r="SLJ1" t="s">
        <v>14733</v>
      </c>
      <c r="SLK1" t="s">
        <v>14734</v>
      </c>
      <c r="SLL1" t="s">
        <v>14735</v>
      </c>
      <c r="SLM1" t="s">
        <v>14736</v>
      </c>
      <c r="SLN1" t="s">
        <v>14737</v>
      </c>
      <c r="SLO1" t="s">
        <v>14738</v>
      </c>
      <c r="SLP1" t="s">
        <v>14739</v>
      </c>
      <c r="SLQ1" t="s">
        <v>14740</v>
      </c>
      <c r="SLR1" t="s">
        <v>14741</v>
      </c>
      <c r="SLS1" t="s">
        <v>14742</v>
      </c>
      <c r="SLT1" t="s">
        <v>14743</v>
      </c>
      <c r="SLU1" t="s">
        <v>14744</v>
      </c>
      <c r="SLV1" t="s">
        <v>14745</v>
      </c>
      <c r="SLW1" t="s">
        <v>14746</v>
      </c>
      <c r="SLX1" t="s">
        <v>14747</v>
      </c>
      <c r="SLY1" t="s">
        <v>14748</v>
      </c>
      <c r="SLZ1" t="s">
        <v>14749</v>
      </c>
      <c r="SMA1" t="s">
        <v>14750</v>
      </c>
      <c r="SMB1" t="s">
        <v>14751</v>
      </c>
      <c r="SMC1" t="s">
        <v>14752</v>
      </c>
      <c r="SMD1" t="s">
        <v>14753</v>
      </c>
      <c r="SME1" t="s">
        <v>14754</v>
      </c>
      <c r="SMF1" t="s">
        <v>14755</v>
      </c>
      <c r="SMG1" t="s">
        <v>14756</v>
      </c>
      <c r="SMH1" t="s">
        <v>14757</v>
      </c>
      <c r="SMI1" t="s">
        <v>14758</v>
      </c>
      <c r="SMJ1" t="s">
        <v>14759</v>
      </c>
      <c r="SMK1" t="s">
        <v>14760</v>
      </c>
      <c r="SML1" t="s">
        <v>14761</v>
      </c>
      <c r="SMM1" t="s">
        <v>14762</v>
      </c>
      <c r="SMN1" t="s">
        <v>14763</v>
      </c>
      <c r="SMO1" t="s">
        <v>14764</v>
      </c>
      <c r="SMP1" t="s">
        <v>14765</v>
      </c>
      <c r="SMQ1" t="s">
        <v>14766</v>
      </c>
      <c r="SMR1" t="s">
        <v>14767</v>
      </c>
      <c r="SMS1" t="s">
        <v>14768</v>
      </c>
      <c r="SMT1" t="s">
        <v>14769</v>
      </c>
      <c r="SMU1" t="s">
        <v>14770</v>
      </c>
      <c r="SMV1" t="s">
        <v>14771</v>
      </c>
      <c r="SMW1" t="s">
        <v>14772</v>
      </c>
      <c r="SMX1" t="s">
        <v>14773</v>
      </c>
      <c r="SMY1" t="s">
        <v>14774</v>
      </c>
      <c r="SMZ1" t="s">
        <v>14775</v>
      </c>
      <c r="SNA1" t="s">
        <v>14776</v>
      </c>
      <c r="SNB1" t="s">
        <v>14777</v>
      </c>
      <c r="SNC1" t="s">
        <v>14778</v>
      </c>
      <c r="SND1" t="s">
        <v>14779</v>
      </c>
      <c r="SNE1" t="s">
        <v>14780</v>
      </c>
      <c r="SNF1" t="s">
        <v>14781</v>
      </c>
      <c r="SNG1" t="s">
        <v>14782</v>
      </c>
      <c r="SNH1" t="s">
        <v>14783</v>
      </c>
      <c r="SNI1" t="s">
        <v>14784</v>
      </c>
      <c r="SNJ1" t="s">
        <v>14785</v>
      </c>
      <c r="SNK1" t="s">
        <v>14786</v>
      </c>
      <c r="SNL1" t="s">
        <v>14787</v>
      </c>
      <c r="SNM1" t="s">
        <v>14788</v>
      </c>
      <c r="SNN1" t="s">
        <v>14789</v>
      </c>
      <c r="SNO1" t="s">
        <v>14790</v>
      </c>
      <c r="SNP1" t="s">
        <v>14791</v>
      </c>
      <c r="SNQ1" t="s">
        <v>14792</v>
      </c>
      <c r="SNR1" t="s">
        <v>14793</v>
      </c>
      <c r="SNS1" t="s">
        <v>14794</v>
      </c>
      <c r="SNT1" t="s">
        <v>14795</v>
      </c>
      <c r="SNU1" t="s">
        <v>14796</v>
      </c>
      <c r="SNV1" t="s">
        <v>14797</v>
      </c>
      <c r="SNW1" t="s">
        <v>14798</v>
      </c>
      <c r="SNX1" t="s">
        <v>14799</v>
      </c>
      <c r="SNY1" t="s">
        <v>14800</v>
      </c>
      <c r="SNZ1" t="s">
        <v>14801</v>
      </c>
      <c r="SOA1" t="s">
        <v>14802</v>
      </c>
      <c r="SOB1" t="s">
        <v>14803</v>
      </c>
      <c r="SOC1" t="s">
        <v>14804</v>
      </c>
      <c r="SOD1" t="s">
        <v>14805</v>
      </c>
      <c r="SOE1" t="s">
        <v>14806</v>
      </c>
      <c r="SOF1" t="s">
        <v>14807</v>
      </c>
      <c r="SOG1" t="s">
        <v>14808</v>
      </c>
      <c r="SOH1" t="s">
        <v>14809</v>
      </c>
      <c r="SOI1" t="s">
        <v>14810</v>
      </c>
      <c r="SOJ1" t="s">
        <v>14811</v>
      </c>
      <c r="SOK1" t="s">
        <v>14812</v>
      </c>
      <c r="SOL1" t="s">
        <v>14813</v>
      </c>
      <c r="SOM1" t="s">
        <v>14814</v>
      </c>
      <c r="SON1" t="s">
        <v>14815</v>
      </c>
      <c r="SOO1" t="s">
        <v>14816</v>
      </c>
      <c r="SOP1" t="s">
        <v>14817</v>
      </c>
      <c r="SOQ1" t="s">
        <v>14818</v>
      </c>
      <c r="SOR1" t="s">
        <v>14819</v>
      </c>
      <c r="SOS1" t="s">
        <v>14820</v>
      </c>
      <c r="SOT1" t="s">
        <v>14821</v>
      </c>
      <c r="SOU1" t="s">
        <v>14822</v>
      </c>
      <c r="SOV1" t="s">
        <v>14823</v>
      </c>
      <c r="SOW1" t="s">
        <v>14824</v>
      </c>
      <c r="SOX1" t="s">
        <v>14825</v>
      </c>
      <c r="SOY1" t="s">
        <v>14826</v>
      </c>
      <c r="SOZ1" t="s">
        <v>14827</v>
      </c>
      <c r="SPA1" t="s">
        <v>14828</v>
      </c>
      <c r="SPB1" t="s">
        <v>14829</v>
      </c>
      <c r="SPC1" t="s">
        <v>14830</v>
      </c>
      <c r="SPD1" t="s">
        <v>14831</v>
      </c>
      <c r="SPE1" t="s">
        <v>14832</v>
      </c>
      <c r="SPF1" t="s">
        <v>14833</v>
      </c>
      <c r="SPG1" t="s">
        <v>14834</v>
      </c>
      <c r="SPH1" t="s">
        <v>14835</v>
      </c>
      <c r="SPI1" t="s">
        <v>14836</v>
      </c>
      <c r="SPJ1" t="s">
        <v>14837</v>
      </c>
      <c r="SPK1" t="s">
        <v>14838</v>
      </c>
      <c r="SPL1" t="s">
        <v>14839</v>
      </c>
      <c r="SPM1" t="s">
        <v>14840</v>
      </c>
      <c r="SPN1" t="s">
        <v>14841</v>
      </c>
      <c r="SPO1" t="s">
        <v>14842</v>
      </c>
      <c r="SPP1" t="s">
        <v>14843</v>
      </c>
      <c r="SPQ1" t="s">
        <v>14844</v>
      </c>
      <c r="SPR1" t="s">
        <v>14845</v>
      </c>
      <c r="SPS1" t="s">
        <v>14846</v>
      </c>
      <c r="SPT1" t="s">
        <v>14847</v>
      </c>
      <c r="SPU1" t="s">
        <v>14848</v>
      </c>
      <c r="SPV1" t="s">
        <v>14849</v>
      </c>
      <c r="SPW1" t="s">
        <v>14850</v>
      </c>
      <c r="SPX1" t="s">
        <v>14851</v>
      </c>
      <c r="SPY1" t="s">
        <v>14852</v>
      </c>
      <c r="SPZ1" t="s">
        <v>14853</v>
      </c>
      <c r="SQA1" t="s">
        <v>14854</v>
      </c>
      <c r="SQB1" t="s">
        <v>14855</v>
      </c>
      <c r="SQC1" t="s">
        <v>14856</v>
      </c>
      <c r="SQD1" t="s">
        <v>14857</v>
      </c>
      <c r="SQE1" t="s">
        <v>14858</v>
      </c>
      <c r="SQF1" t="s">
        <v>14859</v>
      </c>
      <c r="SQG1" t="s">
        <v>14860</v>
      </c>
      <c r="SQH1" t="s">
        <v>14861</v>
      </c>
      <c r="SQI1" t="s">
        <v>14862</v>
      </c>
      <c r="SQJ1" t="s">
        <v>14863</v>
      </c>
      <c r="SQK1" t="s">
        <v>14864</v>
      </c>
      <c r="SQL1" t="s">
        <v>14865</v>
      </c>
      <c r="SQM1" t="s">
        <v>14866</v>
      </c>
      <c r="SQN1" t="s">
        <v>14867</v>
      </c>
      <c r="SQO1" t="s">
        <v>14868</v>
      </c>
      <c r="SQP1" t="s">
        <v>14869</v>
      </c>
      <c r="SQQ1" t="s">
        <v>14870</v>
      </c>
      <c r="SQR1" t="s">
        <v>14871</v>
      </c>
      <c r="SQS1" t="s">
        <v>14872</v>
      </c>
      <c r="SQT1" t="s">
        <v>14873</v>
      </c>
      <c r="SQU1" t="s">
        <v>14874</v>
      </c>
      <c r="SQV1" t="s">
        <v>14875</v>
      </c>
      <c r="SQW1" t="s">
        <v>14876</v>
      </c>
      <c r="SQX1" t="s">
        <v>14877</v>
      </c>
      <c r="SQY1" t="s">
        <v>14878</v>
      </c>
      <c r="SQZ1" t="s">
        <v>14879</v>
      </c>
      <c r="SRA1" t="s">
        <v>14880</v>
      </c>
      <c r="SRB1" t="s">
        <v>14881</v>
      </c>
      <c r="SRC1" t="s">
        <v>14882</v>
      </c>
      <c r="SRD1" t="s">
        <v>14883</v>
      </c>
      <c r="SRE1" t="s">
        <v>14884</v>
      </c>
      <c r="SRF1" t="s">
        <v>14885</v>
      </c>
      <c r="SRG1" t="s">
        <v>14886</v>
      </c>
      <c r="SRH1" t="s">
        <v>14887</v>
      </c>
      <c r="SRI1" t="s">
        <v>14888</v>
      </c>
      <c r="SRJ1" t="s">
        <v>14889</v>
      </c>
      <c r="SRK1" t="s">
        <v>14890</v>
      </c>
      <c r="SRL1" t="s">
        <v>14891</v>
      </c>
      <c r="SRM1" t="s">
        <v>14892</v>
      </c>
      <c r="SRN1" t="s">
        <v>14893</v>
      </c>
      <c r="SRO1" t="s">
        <v>14894</v>
      </c>
      <c r="SRP1" t="s">
        <v>14895</v>
      </c>
      <c r="SRQ1" t="s">
        <v>14896</v>
      </c>
      <c r="SRR1" t="s">
        <v>14897</v>
      </c>
      <c r="SRS1" t="s">
        <v>14898</v>
      </c>
      <c r="SRT1" t="s">
        <v>14899</v>
      </c>
      <c r="SRU1" t="s">
        <v>14900</v>
      </c>
      <c r="SRV1" t="s">
        <v>14901</v>
      </c>
      <c r="SRW1" t="s">
        <v>14902</v>
      </c>
      <c r="SRX1" t="s">
        <v>14903</v>
      </c>
      <c r="SRY1" t="s">
        <v>14904</v>
      </c>
      <c r="SRZ1" t="s">
        <v>14905</v>
      </c>
      <c r="SSA1" t="s">
        <v>14906</v>
      </c>
      <c r="SSB1" t="s">
        <v>14907</v>
      </c>
      <c r="SSC1" t="s">
        <v>14908</v>
      </c>
      <c r="SSD1" t="s">
        <v>14909</v>
      </c>
      <c r="SSE1" t="s">
        <v>14910</v>
      </c>
      <c r="SSF1" t="s">
        <v>14911</v>
      </c>
      <c r="SSG1" t="s">
        <v>14912</v>
      </c>
      <c r="SSH1" t="s">
        <v>14913</v>
      </c>
      <c r="SSI1" t="s">
        <v>14914</v>
      </c>
      <c r="SSJ1" t="s">
        <v>14915</v>
      </c>
      <c r="SSK1" t="s">
        <v>14916</v>
      </c>
      <c r="SSL1" t="s">
        <v>14917</v>
      </c>
      <c r="SSM1" t="s">
        <v>14918</v>
      </c>
      <c r="SSN1" t="s">
        <v>14919</v>
      </c>
      <c r="SSO1" t="s">
        <v>14920</v>
      </c>
      <c r="SSP1" t="s">
        <v>14921</v>
      </c>
      <c r="SSQ1" t="s">
        <v>14922</v>
      </c>
      <c r="SSR1" t="s">
        <v>14923</v>
      </c>
      <c r="SSS1" t="s">
        <v>14924</v>
      </c>
      <c r="SST1" t="s">
        <v>14925</v>
      </c>
      <c r="SSU1" t="s">
        <v>14926</v>
      </c>
      <c r="SSV1" t="s">
        <v>14927</v>
      </c>
      <c r="SSW1" t="s">
        <v>14928</v>
      </c>
      <c r="SSX1" t="s">
        <v>14929</v>
      </c>
      <c r="SSY1" t="s">
        <v>14930</v>
      </c>
      <c r="SSZ1" t="s">
        <v>14931</v>
      </c>
      <c r="STA1" t="s">
        <v>14932</v>
      </c>
      <c r="STB1" t="s">
        <v>14933</v>
      </c>
      <c r="STC1" t="s">
        <v>14934</v>
      </c>
      <c r="STD1" t="s">
        <v>14935</v>
      </c>
      <c r="STE1" t="s">
        <v>14936</v>
      </c>
      <c r="STF1" t="s">
        <v>14937</v>
      </c>
      <c r="STG1" t="s">
        <v>14938</v>
      </c>
      <c r="STH1" t="s">
        <v>14939</v>
      </c>
      <c r="STI1" t="s">
        <v>14940</v>
      </c>
      <c r="STJ1" t="s">
        <v>14941</v>
      </c>
      <c r="STK1" t="s">
        <v>14942</v>
      </c>
      <c r="STL1" t="s">
        <v>14943</v>
      </c>
      <c r="STM1" t="s">
        <v>14944</v>
      </c>
      <c r="STN1" t="s">
        <v>14945</v>
      </c>
      <c r="STO1" t="s">
        <v>14946</v>
      </c>
      <c r="STP1" t="s">
        <v>14947</v>
      </c>
      <c r="STQ1" t="s">
        <v>14948</v>
      </c>
      <c r="STR1" t="s">
        <v>14949</v>
      </c>
      <c r="STS1" t="s">
        <v>14950</v>
      </c>
      <c r="STT1" t="s">
        <v>14951</v>
      </c>
      <c r="STU1" t="s">
        <v>14952</v>
      </c>
      <c r="STV1" t="s">
        <v>14953</v>
      </c>
      <c r="STW1" t="s">
        <v>14954</v>
      </c>
      <c r="STX1" t="s">
        <v>14955</v>
      </c>
      <c r="STY1" t="s">
        <v>14956</v>
      </c>
      <c r="STZ1" t="s">
        <v>14957</v>
      </c>
      <c r="SUA1" t="s">
        <v>14958</v>
      </c>
      <c r="SUB1" t="s">
        <v>14959</v>
      </c>
      <c r="SUC1" t="s">
        <v>14960</v>
      </c>
      <c r="SUD1" t="s">
        <v>14961</v>
      </c>
      <c r="SUE1" t="s">
        <v>14962</v>
      </c>
      <c r="SUF1" t="s">
        <v>14963</v>
      </c>
      <c r="SUG1" t="s">
        <v>14964</v>
      </c>
      <c r="SUH1" t="s">
        <v>14965</v>
      </c>
      <c r="SUI1" t="s">
        <v>14966</v>
      </c>
      <c r="SUJ1" t="s">
        <v>14967</v>
      </c>
      <c r="SUK1" t="s">
        <v>14968</v>
      </c>
      <c r="SUL1" t="s">
        <v>14969</v>
      </c>
      <c r="SUM1" t="s">
        <v>14970</v>
      </c>
      <c r="SUN1" t="s">
        <v>14971</v>
      </c>
      <c r="SUO1" t="s">
        <v>14972</v>
      </c>
      <c r="SUP1" t="s">
        <v>14973</v>
      </c>
      <c r="SUQ1" t="s">
        <v>14974</v>
      </c>
      <c r="SUR1" t="s">
        <v>14975</v>
      </c>
      <c r="SUS1" t="s">
        <v>14976</v>
      </c>
      <c r="SUT1" t="s">
        <v>14977</v>
      </c>
      <c r="SUU1" t="s">
        <v>14978</v>
      </c>
      <c r="SUV1" t="s">
        <v>14979</v>
      </c>
      <c r="SUW1" t="s">
        <v>14980</v>
      </c>
      <c r="SUX1" t="s">
        <v>14981</v>
      </c>
      <c r="SUY1" t="s">
        <v>14982</v>
      </c>
      <c r="SUZ1" t="s">
        <v>14983</v>
      </c>
      <c r="SVA1" t="s">
        <v>14984</v>
      </c>
      <c r="SVB1" t="s">
        <v>14985</v>
      </c>
      <c r="SVC1" t="s">
        <v>14986</v>
      </c>
      <c r="SVD1" t="s">
        <v>14987</v>
      </c>
      <c r="SVE1" t="s">
        <v>14988</v>
      </c>
      <c r="SVF1" t="s">
        <v>14989</v>
      </c>
      <c r="SVG1" t="s">
        <v>14990</v>
      </c>
      <c r="SVH1" t="s">
        <v>14991</v>
      </c>
      <c r="SVI1" t="s">
        <v>14992</v>
      </c>
      <c r="SVJ1" t="s">
        <v>14993</v>
      </c>
      <c r="SVK1" t="s">
        <v>14994</v>
      </c>
      <c r="SVL1" t="s">
        <v>14995</v>
      </c>
      <c r="SVM1" t="s">
        <v>14996</v>
      </c>
      <c r="SVN1" t="s">
        <v>14997</v>
      </c>
      <c r="SVO1" t="s">
        <v>14998</v>
      </c>
      <c r="SVP1" t="s">
        <v>14999</v>
      </c>
      <c r="SVQ1" t="s">
        <v>15000</v>
      </c>
      <c r="SVR1" t="s">
        <v>15001</v>
      </c>
      <c r="SVS1" t="s">
        <v>15002</v>
      </c>
      <c r="SVT1" t="s">
        <v>15003</v>
      </c>
      <c r="SVU1" t="s">
        <v>15004</v>
      </c>
      <c r="SVV1" t="s">
        <v>15005</v>
      </c>
      <c r="SVW1" t="s">
        <v>15006</v>
      </c>
      <c r="SVX1" t="s">
        <v>15007</v>
      </c>
      <c r="SVY1" t="s">
        <v>15008</v>
      </c>
      <c r="SVZ1" t="s">
        <v>15009</v>
      </c>
      <c r="SWA1" t="s">
        <v>15010</v>
      </c>
      <c r="SWB1" t="s">
        <v>15011</v>
      </c>
      <c r="SWC1" t="s">
        <v>15012</v>
      </c>
      <c r="SWD1" t="s">
        <v>15013</v>
      </c>
      <c r="SWE1" t="s">
        <v>15014</v>
      </c>
      <c r="SWF1" t="s">
        <v>15015</v>
      </c>
      <c r="SWG1" t="s">
        <v>15016</v>
      </c>
      <c r="SWH1" t="s">
        <v>15017</v>
      </c>
      <c r="SWI1" t="s">
        <v>15018</v>
      </c>
      <c r="SWJ1" t="s">
        <v>15019</v>
      </c>
      <c r="SWK1" t="s">
        <v>15020</v>
      </c>
      <c r="SWL1" t="s">
        <v>15021</v>
      </c>
      <c r="SWM1" t="s">
        <v>15022</v>
      </c>
      <c r="SWN1" t="s">
        <v>15023</v>
      </c>
      <c r="SWO1" t="s">
        <v>15024</v>
      </c>
      <c r="SWP1" t="s">
        <v>15025</v>
      </c>
      <c r="SWQ1" t="s">
        <v>15026</v>
      </c>
      <c r="SWR1" t="s">
        <v>15027</v>
      </c>
      <c r="SWS1" t="s">
        <v>15028</v>
      </c>
      <c r="SWT1" t="s">
        <v>15029</v>
      </c>
      <c r="SWU1" t="s">
        <v>15030</v>
      </c>
      <c r="SWV1" t="s">
        <v>15031</v>
      </c>
      <c r="SWW1" t="s">
        <v>15032</v>
      </c>
      <c r="SWX1" t="s">
        <v>15033</v>
      </c>
      <c r="SWY1" t="s">
        <v>15034</v>
      </c>
      <c r="SWZ1" t="s">
        <v>15035</v>
      </c>
      <c r="SXA1" t="s">
        <v>15036</v>
      </c>
      <c r="SXB1" t="s">
        <v>15037</v>
      </c>
      <c r="SXC1" t="s">
        <v>15038</v>
      </c>
      <c r="SXD1" t="s">
        <v>15039</v>
      </c>
      <c r="SXE1" t="s">
        <v>15040</v>
      </c>
      <c r="SXF1" t="s">
        <v>15041</v>
      </c>
      <c r="SXG1" t="s">
        <v>15042</v>
      </c>
      <c r="SXH1" t="s">
        <v>15043</v>
      </c>
      <c r="SXI1" t="s">
        <v>15044</v>
      </c>
      <c r="SXJ1" t="s">
        <v>15045</v>
      </c>
      <c r="SXK1" t="s">
        <v>15046</v>
      </c>
      <c r="SXL1" t="s">
        <v>15047</v>
      </c>
      <c r="SXM1" t="s">
        <v>15048</v>
      </c>
      <c r="SXN1" t="s">
        <v>15049</v>
      </c>
      <c r="SXO1" t="s">
        <v>15050</v>
      </c>
      <c r="SXP1" t="s">
        <v>15051</v>
      </c>
      <c r="SXQ1" t="s">
        <v>15052</v>
      </c>
      <c r="SXR1" t="s">
        <v>15053</v>
      </c>
      <c r="SXS1" t="s">
        <v>15054</v>
      </c>
      <c r="SXT1" t="s">
        <v>15055</v>
      </c>
      <c r="SXU1" t="s">
        <v>15056</v>
      </c>
      <c r="SXV1" t="s">
        <v>15057</v>
      </c>
      <c r="SXW1" t="s">
        <v>15058</v>
      </c>
      <c r="SXX1" t="s">
        <v>15059</v>
      </c>
      <c r="SXY1" t="s">
        <v>15060</v>
      </c>
      <c r="SXZ1" t="s">
        <v>15061</v>
      </c>
      <c r="SYA1" t="s">
        <v>15062</v>
      </c>
      <c r="SYB1" t="s">
        <v>15063</v>
      </c>
      <c r="SYC1" t="s">
        <v>15064</v>
      </c>
      <c r="SYD1" t="s">
        <v>15065</v>
      </c>
      <c r="SYE1" t="s">
        <v>15066</v>
      </c>
      <c r="SYF1" t="s">
        <v>15067</v>
      </c>
      <c r="SYG1" t="s">
        <v>15068</v>
      </c>
      <c r="SYH1" t="s">
        <v>15069</v>
      </c>
      <c r="SYI1" t="s">
        <v>15070</v>
      </c>
      <c r="SYJ1" t="s">
        <v>15071</v>
      </c>
      <c r="SYK1" t="s">
        <v>15072</v>
      </c>
      <c r="SYL1" t="s">
        <v>15073</v>
      </c>
      <c r="SYM1" t="s">
        <v>15074</v>
      </c>
      <c r="SYN1" t="s">
        <v>15075</v>
      </c>
      <c r="SYO1" t="s">
        <v>15076</v>
      </c>
      <c r="SYP1" t="s">
        <v>15077</v>
      </c>
      <c r="SYQ1" t="s">
        <v>15078</v>
      </c>
      <c r="SYR1" t="s">
        <v>15079</v>
      </c>
      <c r="SYS1" t="s">
        <v>15080</v>
      </c>
      <c r="SYT1" t="s">
        <v>15081</v>
      </c>
      <c r="SYU1" t="s">
        <v>15082</v>
      </c>
      <c r="SYV1" t="s">
        <v>15083</v>
      </c>
      <c r="SYW1" t="s">
        <v>15084</v>
      </c>
      <c r="SYX1" t="s">
        <v>15085</v>
      </c>
      <c r="SYY1" t="s">
        <v>15086</v>
      </c>
      <c r="SYZ1" t="s">
        <v>15087</v>
      </c>
      <c r="SZA1" t="s">
        <v>15088</v>
      </c>
      <c r="SZB1" t="s">
        <v>15089</v>
      </c>
      <c r="SZC1" t="s">
        <v>15090</v>
      </c>
      <c r="SZD1" t="s">
        <v>15091</v>
      </c>
      <c r="SZE1" t="s">
        <v>15092</v>
      </c>
      <c r="SZF1" t="s">
        <v>15093</v>
      </c>
      <c r="SZG1" t="s">
        <v>15094</v>
      </c>
      <c r="SZH1" t="s">
        <v>15095</v>
      </c>
      <c r="SZI1" t="s">
        <v>15096</v>
      </c>
      <c r="SZJ1" t="s">
        <v>15097</v>
      </c>
      <c r="SZK1" t="s">
        <v>15098</v>
      </c>
      <c r="SZL1" t="s">
        <v>15099</v>
      </c>
      <c r="SZM1" t="s">
        <v>15100</v>
      </c>
      <c r="SZN1" t="s">
        <v>15101</v>
      </c>
      <c r="SZO1" t="s">
        <v>15102</v>
      </c>
      <c r="SZP1" t="s">
        <v>15103</v>
      </c>
      <c r="SZQ1" t="s">
        <v>15104</v>
      </c>
      <c r="SZR1" t="s">
        <v>15105</v>
      </c>
      <c r="SZS1" t="s">
        <v>15106</v>
      </c>
      <c r="SZT1" t="s">
        <v>15107</v>
      </c>
      <c r="SZU1" t="s">
        <v>15108</v>
      </c>
      <c r="SZV1" t="s">
        <v>15109</v>
      </c>
      <c r="SZW1" t="s">
        <v>15110</v>
      </c>
      <c r="SZX1" t="s">
        <v>15111</v>
      </c>
      <c r="SZY1" t="s">
        <v>15112</v>
      </c>
      <c r="SZZ1" t="s">
        <v>15113</v>
      </c>
      <c r="TAA1" t="s">
        <v>15114</v>
      </c>
      <c r="TAB1" t="s">
        <v>15115</v>
      </c>
      <c r="TAC1" t="s">
        <v>15116</v>
      </c>
      <c r="TAD1" t="s">
        <v>15117</v>
      </c>
      <c r="TAE1" t="s">
        <v>15118</v>
      </c>
      <c r="TAF1" t="s">
        <v>15119</v>
      </c>
      <c r="TAG1" t="s">
        <v>15120</v>
      </c>
      <c r="TAH1" t="s">
        <v>15121</v>
      </c>
      <c r="TAI1" t="s">
        <v>15122</v>
      </c>
      <c r="TAJ1" t="s">
        <v>15123</v>
      </c>
      <c r="TAK1" t="s">
        <v>15124</v>
      </c>
      <c r="TAL1" t="s">
        <v>15125</v>
      </c>
      <c r="TAM1" t="s">
        <v>15126</v>
      </c>
      <c r="TAN1" t="s">
        <v>15127</v>
      </c>
      <c r="TAO1" t="s">
        <v>15128</v>
      </c>
      <c r="TAP1" t="s">
        <v>15129</v>
      </c>
      <c r="TAQ1" t="s">
        <v>15130</v>
      </c>
      <c r="TAR1" t="s">
        <v>15131</v>
      </c>
      <c r="TAS1" t="s">
        <v>15132</v>
      </c>
      <c r="TAT1" t="s">
        <v>15133</v>
      </c>
      <c r="TAU1" t="s">
        <v>15134</v>
      </c>
      <c r="TAV1" t="s">
        <v>15135</v>
      </c>
      <c r="TAW1" t="s">
        <v>15136</v>
      </c>
      <c r="TAX1" t="s">
        <v>15137</v>
      </c>
      <c r="TAY1" t="s">
        <v>15138</v>
      </c>
      <c r="TAZ1" t="s">
        <v>15139</v>
      </c>
      <c r="TBA1" t="s">
        <v>15140</v>
      </c>
      <c r="TBB1" t="s">
        <v>15141</v>
      </c>
      <c r="TBC1" t="s">
        <v>15142</v>
      </c>
      <c r="TBD1" t="s">
        <v>15143</v>
      </c>
      <c r="TBE1" t="s">
        <v>15144</v>
      </c>
      <c r="TBF1" t="s">
        <v>15145</v>
      </c>
      <c r="TBG1" t="s">
        <v>15146</v>
      </c>
      <c r="TBH1" t="s">
        <v>15147</v>
      </c>
      <c r="TBI1" t="s">
        <v>15148</v>
      </c>
      <c r="TBJ1" t="s">
        <v>15149</v>
      </c>
      <c r="TBK1" t="s">
        <v>15150</v>
      </c>
      <c r="TBL1" t="s">
        <v>15151</v>
      </c>
      <c r="TBM1" t="s">
        <v>15152</v>
      </c>
      <c r="TBN1" t="s">
        <v>15153</v>
      </c>
      <c r="TBO1" t="s">
        <v>15154</v>
      </c>
      <c r="TBP1" t="s">
        <v>15155</v>
      </c>
      <c r="TBQ1" t="s">
        <v>15156</v>
      </c>
      <c r="TBR1" t="s">
        <v>15157</v>
      </c>
      <c r="TBS1" t="s">
        <v>15158</v>
      </c>
      <c r="TBT1" t="s">
        <v>15159</v>
      </c>
      <c r="TBU1" t="s">
        <v>15160</v>
      </c>
      <c r="TBV1" t="s">
        <v>15161</v>
      </c>
      <c r="TBW1" t="s">
        <v>15162</v>
      </c>
      <c r="TBX1" t="s">
        <v>15163</v>
      </c>
      <c r="TBY1" t="s">
        <v>15164</v>
      </c>
      <c r="TBZ1" t="s">
        <v>15165</v>
      </c>
      <c r="TCA1" t="s">
        <v>15166</v>
      </c>
      <c r="TCB1" t="s">
        <v>15167</v>
      </c>
      <c r="TCC1" t="s">
        <v>15168</v>
      </c>
      <c r="TCD1" t="s">
        <v>15169</v>
      </c>
      <c r="TCE1" t="s">
        <v>15170</v>
      </c>
      <c r="TCF1" t="s">
        <v>15171</v>
      </c>
      <c r="TCG1" t="s">
        <v>15172</v>
      </c>
      <c r="TCH1" t="s">
        <v>15173</v>
      </c>
      <c r="TCI1" t="s">
        <v>15174</v>
      </c>
      <c r="TCJ1" t="s">
        <v>15175</v>
      </c>
      <c r="TCK1" t="s">
        <v>15176</v>
      </c>
      <c r="TCL1" t="s">
        <v>15177</v>
      </c>
      <c r="TCM1" t="s">
        <v>15178</v>
      </c>
      <c r="TCN1" t="s">
        <v>15179</v>
      </c>
      <c r="TCO1" t="s">
        <v>15180</v>
      </c>
      <c r="TCP1" t="s">
        <v>15181</v>
      </c>
      <c r="TCQ1" t="s">
        <v>15182</v>
      </c>
      <c r="TCR1" t="s">
        <v>15183</v>
      </c>
      <c r="TCS1" t="s">
        <v>15184</v>
      </c>
      <c r="TCT1" t="s">
        <v>15185</v>
      </c>
      <c r="TCU1" t="s">
        <v>15186</v>
      </c>
      <c r="TCV1" t="s">
        <v>15187</v>
      </c>
      <c r="TCW1" t="s">
        <v>15188</v>
      </c>
      <c r="TCX1" t="s">
        <v>15189</v>
      </c>
      <c r="TCY1" t="s">
        <v>15190</v>
      </c>
      <c r="TCZ1" t="s">
        <v>15191</v>
      </c>
      <c r="TDA1" t="s">
        <v>15192</v>
      </c>
      <c r="TDB1" t="s">
        <v>15193</v>
      </c>
      <c r="TDC1" t="s">
        <v>15194</v>
      </c>
      <c r="TDD1" t="s">
        <v>15195</v>
      </c>
      <c r="TDE1" t="s">
        <v>15196</v>
      </c>
      <c r="TDF1" t="s">
        <v>15197</v>
      </c>
      <c r="TDG1" t="s">
        <v>15198</v>
      </c>
      <c r="TDH1" t="s">
        <v>15199</v>
      </c>
      <c r="TDI1" t="s">
        <v>15200</v>
      </c>
      <c r="TDJ1" t="s">
        <v>15201</v>
      </c>
      <c r="TDK1" t="s">
        <v>15202</v>
      </c>
      <c r="TDL1" t="s">
        <v>15203</v>
      </c>
      <c r="TDM1" t="s">
        <v>15204</v>
      </c>
      <c r="TDN1" t="s">
        <v>15205</v>
      </c>
      <c r="TDO1" t="s">
        <v>15206</v>
      </c>
      <c r="TDP1" t="s">
        <v>15207</v>
      </c>
      <c r="TDQ1" t="s">
        <v>15208</v>
      </c>
      <c r="TDR1" t="s">
        <v>15209</v>
      </c>
      <c r="TDS1" t="s">
        <v>15210</v>
      </c>
      <c r="TDT1" t="s">
        <v>15211</v>
      </c>
      <c r="TDU1" t="s">
        <v>15212</v>
      </c>
      <c r="TDV1" t="s">
        <v>15213</v>
      </c>
      <c r="TDW1" t="s">
        <v>15214</v>
      </c>
      <c r="TDX1" t="s">
        <v>15215</v>
      </c>
      <c r="TDY1" t="s">
        <v>15216</v>
      </c>
      <c r="TDZ1" t="s">
        <v>15217</v>
      </c>
      <c r="TEA1" t="s">
        <v>15218</v>
      </c>
      <c r="TEB1" t="s">
        <v>15219</v>
      </c>
      <c r="TEC1" t="s">
        <v>15220</v>
      </c>
      <c r="TED1" t="s">
        <v>15221</v>
      </c>
      <c r="TEE1" t="s">
        <v>15222</v>
      </c>
      <c r="TEF1" t="s">
        <v>15223</v>
      </c>
      <c r="TEG1" t="s">
        <v>15224</v>
      </c>
      <c r="TEH1" t="s">
        <v>15225</v>
      </c>
      <c r="TEI1" t="s">
        <v>15226</v>
      </c>
      <c r="TEJ1" t="s">
        <v>15227</v>
      </c>
      <c r="TEK1" t="s">
        <v>15228</v>
      </c>
      <c r="TEL1" t="s">
        <v>15229</v>
      </c>
      <c r="TEM1" t="s">
        <v>15230</v>
      </c>
      <c r="TEN1" t="s">
        <v>15231</v>
      </c>
      <c r="TEO1" t="s">
        <v>15232</v>
      </c>
      <c r="TEP1" t="s">
        <v>15233</v>
      </c>
      <c r="TEQ1" t="s">
        <v>15234</v>
      </c>
      <c r="TER1" t="s">
        <v>15235</v>
      </c>
      <c r="TES1" t="s">
        <v>15236</v>
      </c>
      <c r="TET1" t="s">
        <v>15237</v>
      </c>
      <c r="TEU1" t="s">
        <v>15238</v>
      </c>
      <c r="TEV1" t="s">
        <v>15239</v>
      </c>
      <c r="TEW1" t="s">
        <v>15240</v>
      </c>
      <c r="TEX1" t="s">
        <v>15241</v>
      </c>
      <c r="TEY1" t="s">
        <v>15242</v>
      </c>
      <c r="TEZ1" t="s">
        <v>15243</v>
      </c>
      <c r="TFA1" t="s">
        <v>15244</v>
      </c>
      <c r="TFB1" t="s">
        <v>15245</v>
      </c>
      <c r="TFC1" t="s">
        <v>15246</v>
      </c>
      <c r="TFD1" t="s">
        <v>15247</v>
      </c>
      <c r="TFE1" t="s">
        <v>15248</v>
      </c>
      <c r="TFF1" t="s">
        <v>15249</v>
      </c>
      <c r="TFG1" t="s">
        <v>15250</v>
      </c>
      <c r="TFH1" t="s">
        <v>15251</v>
      </c>
      <c r="TFI1" t="s">
        <v>15252</v>
      </c>
      <c r="TFJ1" t="s">
        <v>15253</v>
      </c>
      <c r="TFK1" t="s">
        <v>15254</v>
      </c>
      <c r="TFL1" t="s">
        <v>15255</v>
      </c>
      <c r="TFM1" t="s">
        <v>15256</v>
      </c>
      <c r="TFN1" t="s">
        <v>15257</v>
      </c>
      <c r="TFO1" t="s">
        <v>15258</v>
      </c>
      <c r="TFP1" t="s">
        <v>15259</v>
      </c>
      <c r="TFQ1" t="s">
        <v>15260</v>
      </c>
      <c r="TFR1" t="s">
        <v>15261</v>
      </c>
      <c r="TFS1" t="s">
        <v>15262</v>
      </c>
      <c r="TFT1" t="s">
        <v>15263</v>
      </c>
      <c r="TFU1" t="s">
        <v>15264</v>
      </c>
      <c r="TFV1" t="s">
        <v>15265</v>
      </c>
      <c r="TFW1" t="s">
        <v>15266</v>
      </c>
      <c r="TFX1" t="s">
        <v>15267</v>
      </c>
      <c r="TFY1" t="s">
        <v>15268</v>
      </c>
      <c r="TFZ1" t="s">
        <v>15269</v>
      </c>
      <c r="TGA1" t="s">
        <v>15270</v>
      </c>
      <c r="TGB1" t="s">
        <v>15271</v>
      </c>
      <c r="TGC1" t="s">
        <v>15272</v>
      </c>
      <c r="TGD1" t="s">
        <v>15273</v>
      </c>
      <c r="TGE1" t="s">
        <v>15274</v>
      </c>
      <c r="TGF1" t="s">
        <v>15275</v>
      </c>
      <c r="TGG1" t="s">
        <v>15276</v>
      </c>
      <c r="TGH1" t="s">
        <v>15277</v>
      </c>
      <c r="TGI1" t="s">
        <v>15278</v>
      </c>
      <c r="TGJ1" t="s">
        <v>15279</v>
      </c>
      <c r="TGK1" t="s">
        <v>15280</v>
      </c>
      <c r="TGL1" t="s">
        <v>15281</v>
      </c>
      <c r="TGM1" t="s">
        <v>15282</v>
      </c>
      <c r="TGN1" t="s">
        <v>15283</v>
      </c>
      <c r="TGO1" t="s">
        <v>15284</v>
      </c>
      <c r="TGP1" t="s">
        <v>15285</v>
      </c>
      <c r="TGQ1" t="s">
        <v>15286</v>
      </c>
      <c r="TGR1" t="s">
        <v>15287</v>
      </c>
      <c r="TGS1" t="s">
        <v>15288</v>
      </c>
      <c r="TGT1" t="s">
        <v>15289</v>
      </c>
      <c r="TGU1" t="s">
        <v>15290</v>
      </c>
      <c r="TGV1" t="s">
        <v>15291</v>
      </c>
      <c r="TGW1" t="s">
        <v>15292</v>
      </c>
      <c r="TGX1" t="s">
        <v>15293</v>
      </c>
      <c r="TGY1" t="s">
        <v>15294</v>
      </c>
      <c r="TGZ1" t="s">
        <v>15295</v>
      </c>
      <c r="THA1" t="s">
        <v>15296</v>
      </c>
      <c r="THB1" t="s">
        <v>15297</v>
      </c>
      <c r="THC1" t="s">
        <v>15298</v>
      </c>
      <c r="THD1" t="s">
        <v>15299</v>
      </c>
      <c r="THE1" t="s">
        <v>15300</v>
      </c>
      <c r="THF1" t="s">
        <v>15301</v>
      </c>
      <c r="THG1" t="s">
        <v>15302</v>
      </c>
      <c r="THH1" t="s">
        <v>15303</v>
      </c>
      <c r="THI1" t="s">
        <v>15304</v>
      </c>
      <c r="THJ1" t="s">
        <v>15305</v>
      </c>
      <c r="THK1" t="s">
        <v>15306</v>
      </c>
      <c r="THL1" t="s">
        <v>15307</v>
      </c>
      <c r="THM1" t="s">
        <v>15308</v>
      </c>
      <c r="THN1" t="s">
        <v>15309</v>
      </c>
      <c r="THO1" t="s">
        <v>15310</v>
      </c>
      <c r="THP1" t="s">
        <v>15311</v>
      </c>
      <c r="THQ1" t="s">
        <v>15312</v>
      </c>
      <c r="THR1" t="s">
        <v>15313</v>
      </c>
      <c r="THS1" t="s">
        <v>15314</v>
      </c>
      <c r="THT1" t="s">
        <v>15315</v>
      </c>
      <c r="THU1" t="s">
        <v>15316</v>
      </c>
      <c r="THV1" t="s">
        <v>15317</v>
      </c>
      <c r="THW1" t="s">
        <v>15318</v>
      </c>
      <c r="THX1" t="s">
        <v>15319</v>
      </c>
      <c r="THY1" t="s">
        <v>15320</v>
      </c>
      <c r="THZ1" t="s">
        <v>15321</v>
      </c>
      <c r="TIA1" t="s">
        <v>15322</v>
      </c>
      <c r="TIB1" t="s">
        <v>15323</v>
      </c>
      <c r="TIC1" t="s">
        <v>15324</v>
      </c>
      <c r="TID1" t="s">
        <v>15325</v>
      </c>
      <c r="TIE1" t="s">
        <v>15326</v>
      </c>
      <c r="TIF1" t="s">
        <v>15327</v>
      </c>
      <c r="TIG1" t="s">
        <v>15328</v>
      </c>
      <c r="TIH1" t="s">
        <v>15329</v>
      </c>
      <c r="TII1" t="s">
        <v>15330</v>
      </c>
      <c r="TIJ1" t="s">
        <v>15331</v>
      </c>
      <c r="TIK1" t="s">
        <v>15332</v>
      </c>
      <c r="TIL1" t="s">
        <v>15333</v>
      </c>
      <c r="TIM1" t="s">
        <v>15334</v>
      </c>
      <c r="TIN1" t="s">
        <v>15335</v>
      </c>
      <c r="TIO1" t="s">
        <v>15336</v>
      </c>
      <c r="TIP1" t="s">
        <v>15337</v>
      </c>
      <c r="TIQ1" t="s">
        <v>15338</v>
      </c>
      <c r="TIR1" t="s">
        <v>15339</v>
      </c>
      <c r="TIS1" t="s">
        <v>15340</v>
      </c>
      <c r="TIT1" t="s">
        <v>15341</v>
      </c>
      <c r="TIU1" t="s">
        <v>15342</v>
      </c>
      <c r="TIV1" t="s">
        <v>15343</v>
      </c>
      <c r="TIW1" t="s">
        <v>15344</v>
      </c>
      <c r="TIX1" t="s">
        <v>15345</v>
      </c>
      <c r="TIY1" t="s">
        <v>15346</v>
      </c>
      <c r="TIZ1" t="s">
        <v>15347</v>
      </c>
      <c r="TJA1" t="s">
        <v>15348</v>
      </c>
      <c r="TJB1" t="s">
        <v>15349</v>
      </c>
      <c r="TJC1" t="s">
        <v>15350</v>
      </c>
      <c r="TJD1" t="s">
        <v>15351</v>
      </c>
      <c r="TJE1" t="s">
        <v>15352</v>
      </c>
      <c r="TJF1" t="s">
        <v>15353</v>
      </c>
      <c r="TJG1" t="s">
        <v>15354</v>
      </c>
      <c r="TJH1" t="s">
        <v>15355</v>
      </c>
      <c r="TJI1" t="s">
        <v>15356</v>
      </c>
      <c r="TJJ1" t="s">
        <v>15357</v>
      </c>
      <c r="TJK1" t="s">
        <v>15358</v>
      </c>
      <c r="TJL1" t="s">
        <v>15359</v>
      </c>
      <c r="TJM1" t="s">
        <v>15360</v>
      </c>
      <c r="TJN1" t="s">
        <v>15361</v>
      </c>
      <c r="TJO1" t="s">
        <v>15362</v>
      </c>
      <c r="TJP1" t="s">
        <v>15363</v>
      </c>
      <c r="TJQ1" t="s">
        <v>15364</v>
      </c>
      <c r="TJR1" t="s">
        <v>15365</v>
      </c>
      <c r="TJS1" t="s">
        <v>15366</v>
      </c>
      <c r="TJT1" t="s">
        <v>15367</v>
      </c>
      <c r="TJU1" t="s">
        <v>15368</v>
      </c>
      <c r="TJV1" t="s">
        <v>15369</v>
      </c>
      <c r="TJW1" t="s">
        <v>15370</v>
      </c>
      <c r="TJX1" t="s">
        <v>15371</v>
      </c>
      <c r="TJY1" t="s">
        <v>15372</v>
      </c>
      <c r="TJZ1" t="s">
        <v>15373</v>
      </c>
      <c r="TKA1" t="s">
        <v>15374</v>
      </c>
      <c r="TKB1" t="s">
        <v>15375</v>
      </c>
      <c r="TKC1" t="s">
        <v>15376</v>
      </c>
      <c r="TKD1" t="s">
        <v>15377</v>
      </c>
      <c r="TKE1" t="s">
        <v>15378</v>
      </c>
      <c r="TKF1" t="s">
        <v>15379</v>
      </c>
      <c r="TKG1" t="s">
        <v>15380</v>
      </c>
      <c r="TKH1" t="s">
        <v>15381</v>
      </c>
      <c r="TKI1" t="s">
        <v>15382</v>
      </c>
      <c r="TKJ1" t="s">
        <v>15383</v>
      </c>
      <c r="TKK1" t="s">
        <v>15384</v>
      </c>
      <c r="TKL1" t="s">
        <v>15385</v>
      </c>
      <c r="TKM1" t="s">
        <v>15386</v>
      </c>
      <c r="TKN1" t="s">
        <v>15387</v>
      </c>
      <c r="TKO1" t="s">
        <v>15388</v>
      </c>
      <c r="TKP1" t="s">
        <v>15389</v>
      </c>
      <c r="TKQ1" t="s">
        <v>15390</v>
      </c>
      <c r="TKR1" t="s">
        <v>15391</v>
      </c>
      <c r="TKS1" t="s">
        <v>15392</v>
      </c>
      <c r="TKT1" t="s">
        <v>15393</v>
      </c>
      <c r="TKU1" t="s">
        <v>15394</v>
      </c>
      <c r="TKV1" t="s">
        <v>15395</v>
      </c>
      <c r="TKW1" t="s">
        <v>15396</v>
      </c>
      <c r="TKX1" t="s">
        <v>15397</v>
      </c>
      <c r="TKY1" t="s">
        <v>15398</v>
      </c>
      <c r="TKZ1" t="s">
        <v>15399</v>
      </c>
      <c r="TLA1" t="s">
        <v>15400</v>
      </c>
      <c r="TLB1" t="s">
        <v>15401</v>
      </c>
      <c r="TLC1" t="s">
        <v>15402</v>
      </c>
      <c r="TLD1" t="s">
        <v>15403</v>
      </c>
      <c r="TLE1" t="s">
        <v>15404</v>
      </c>
      <c r="TLF1" t="s">
        <v>15405</v>
      </c>
      <c r="TLG1" t="s">
        <v>15406</v>
      </c>
      <c r="TLH1" t="s">
        <v>15407</v>
      </c>
      <c r="TLI1" t="s">
        <v>15408</v>
      </c>
      <c r="TLJ1" t="s">
        <v>15409</v>
      </c>
      <c r="TLK1" t="s">
        <v>15410</v>
      </c>
      <c r="TLL1" t="s">
        <v>15411</v>
      </c>
      <c r="TLM1" t="s">
        <v>15412</v>
      </c>
      <c r="TLN1" t="s">
        <v>15413</v>
      </c>
      <c r="TLO1" t="s">
        <v>15414</v>
      </c>
      <c r="TLP1" t="s">
        <v>15415</v>
      </c>
      <c r="TLQ1" t="s">
        <v>15416</v>
      </c>
      <c r="TLR1" t="s">
        <v>15417</v>
      </c>
      <c r="TLS1" t="s">
        <v>15418</v>
      </c>
      <c r="TLT1" t="s">
        <v>15419</v>
      </c>
      <c r="TLU1" t="s">
        <v>15420</v>
      </c>
      <c r="TLV1" t="s">
        <v>15421</v>
      </c>
      <c r="TLW1" t="s">
        <v>15422</v>
      </c>
      <c r="TLX1" t="s">
        <v>15423</v>
      </c>
      <c r="TLY1" t="s">
        <v>15424</v>
      </c>
      <c r="TLZ1" t="s">
        <v>15425</v>
      </c>
      <c r="TMA1" t="s">
        <v>15426</v>
      </c>
      <c r="TMB1" t="s">
        <v>15427</v>
      </c>
      <c r="TMC1" t="s">
        <v>15428</v>
      </c>
      <c r="TMD1" t="s">
        <v>15429</v>
      </c>
      <c r="TME1" t="s">
        <v>15430</v>
      </c>
      <c r="TMF1" t="s">
        <v>15431</v>
      </c>
      <c r="TMG1" t="s">
        <v>15432</v>
      </c>
      <c r="TMH1" t="s">
        <v>15433</v>
      </c>
      <c r="TMI1" t="s">
        <v>15434</v>
      </c>
      <c r="TMJ1" t="s">
        <v>15435</v>
      </c>
      <c r="TMK1" t="s">
        <v>15436</v>
      </c>
      <c r="TML1" t="s">
        <v>15437</v>
      </c>
      <c r="TMM1" t="s">
        <v>15438</v>
      </c>
      <c r="TMN1" t="s">
        <v>15439</v>
      </c>
      <c r="TMO1" t="s">
        <v>15440</v>
      </c>
      <c r="TMP1" t="s">
        <v>15441</v>
      </c>
      <c r="TMQ1" t="s">
        <v>15442</v>
      </c>
      <c r="TMR1" t="s">
        <v>15443</v>
      </c>
      <c r="TMS1" t="s">
        <v>15444</v>
      </c>
      <c r="TMT1" t="s">
        <v>15445</v>
      </c>
      <c r="TMU1" t="s">
        <v>15446</v>
      </c>
      <c r="TMV1" t="s">
        <v>15447</v>
      </c>
      <c r="TMW1" t="s">
        <v>15448</v>
      </c>
      <c r="TMX1" t="s">
        <v>15449</v>
      </c>
      <c r="TMY1" t="s">
        <v>15450</v>
      </c>
      <c r="TMZ1" t="s">
        <v>15451</v>
      </c>
      <c r="TNA1" t="s">
        <v>15452</v>
      </c>
      <c r="TNB1" t="s">
        <v>15453</v>
      </c>
      <c r="TNC1" t="s">
        <v>15454</v>
      </c>
      <c r="TND1" t="s">
        <v>15455</v>
      </c>
      <c r="TNE1" t="s">
        <v>15456</v>
      </c>
      <c r="TNF1" t="s">
        <v>15457</v>
      </c>
      <c r="TNG1" t="s">
        <v>15458</v>
      </c>
      <c r="TNH1" t="s">
        <v>15459</v>
      </c>
      <c r="TNI1" t="s">
        <v>15460</v>
      </c>
      <c r="TNJ1" t="s">
        <v>15461</v>
      </c>
      <c r="TNK1" t="s">
        <v>15462</v>
      </c>
      <c r="TNL1" t="s">
        <v>15463</v>
      </c>
      <c r="TNM1" t="s">
        <v>15464</v>
      </c>
      <c r="TNN1" t="s">
        <v>15465</v>
      </c>
      <c r="TNO1" t="s">
        <v>15466</v>
      </c>
      <c r="TNP1" t="s">
        <v>15467</v>
      </c>
      <c r="TNQ1" t="s">
        <v>15468</v>
      </c>
      <c r="TNR1" t="s">
        <v>15469</v>
      </c>
      <c r="TNS1" t="s">
        <v>15470</v>
      </c>
      <c r="TNT1" t="s">
        <v>15471</v>
      </c>
      <c r="TNU1" t="s">
        <v>15472</v>
      </c>
      <c r="TNV1" t="s">
        <v>15473</v>
      </c>
      <c r="TNW1" t="s">
        <v>15474</v>
      </c>
      <c r="TNX1" t="s">
        <v>15475</v>
      </c>
      <c r="TNY1" t="s">
        <v>15476</v>
      </c>
      <c r="TNZ1" t="s">
        <v>15477</v>
      </c>
      <c r="TOA1" t="s">
        <v>15478</v>
      </c>
      <c r="TOB1" t="s">
        <v>15479</v>
      </c>
      <c r="TOC1" t="s">
        <v>15480</v>
      </c>
      <c r="TOD1" t="s">
        <v>15481</v>
      </c>
      <c r="TOE1" t="s">
        <v>15482</v>
      </c>
      <c r="TOF1" t="s">
        <v>15483</v>
      </c>
      <c r="TOG1" t="s">
        <v>15484</v>
      </c>
      <c r="TOH1" t="s">
        <v>15485</v>
      </c>
      <c r="TOI1" t="s">
        <v>15486</v>
      </c>
      <c r="TOJ1" t="s">
        <v>15487</v>
      </c>
      <c r="TOK1" t="s">
        <v>15488</v>
      </c>
      <c r="TOL1" t="s">
        <v>15489</v>
      </c>
      <c r="TOM1" t="s">
        <v>15490</v>
      </c>
      <c r="TON1" t="s">
        <v>15491</v>
      </c>
      <c r="TOO1" t="s">
        <v>15492</v>
      </c>
      <c r="TOP1" t="s">
        <v>15493</v>
      </c>
      <c r="TOQ1" t="s">
        <v>15494</v>
      </c>
      <c r="TOR1" t="s">
        <v>15495</v>
      </c>
      <c r="TOS1" t="s">
        <v>15496</v>
      </c>
      <c r="TOT1" t="s">
        <v>15497</v>
      </c>
      <c r="TOU1" t="s">
        <v>15498</v>
      </c>
      <c r="TOV1" t="s">
        <v>15499</v>
      </c>
      <c r="TOW1" t="s">
        <v>15500</v>
      </c>
      <c r="TOX1" t="s">
        <v>15501</v>
      </c>
      <c r="TOY1" t="s">
        <v>15502</v>
      </c>
      <c r="TOZ1" t="s">
        <v>15503</v>
      </c>
      <c r="TPA1" t="s">
        <v>15504</v>
      </c>
      <c r="TPB1" t="s">
        <v>15505</v>
      </c>
      <c r="TPC1" t="s">
        <v>15506</v>
      </c>
      <c r="TPD1" t="s">
        <v>15507</v>
      </c>
      <c r="TPE1" t="s">
        <v>15508</v>
      </c>
      <c r="TPF1" t="s">
        <v>15509</v>
      </c>
      <c r="TPG1" t="s">
        <v>15510</v>
      </c>
      <c r="TPH1" t="s">
        <v>15511</v>
      </c>
      <c r="TPI1" t="s">
        <v>15512</v>
      </c>
      <c r="TPJ1" t="s">
        <v>15513</v>
      </c>
      <c r="TPK1" t="s">
        <v>15514</v>
      </c>
      <c r="TPL1" t="s">
        <v>15515</v>
      </c>
      <c r="TPM1" t="s">
        <v>15516</v>
      </c>
      <c r="TPN1" t="s">
        <v>15517</v>
      </c>
      <c r="TPO1" t="s">
        <v>15518</v>
      </c>
      <c r="TPP1" t="s">
        <v>15519</v>
      </c>
      <c r="TPQ1" t="s">
        <v>15520</v>
      </c>
      <c r="TPR1" t="s">
        <v>15521</v>
      </c>
      <c r="TPS1" t="s">
        <v>15522</v>
      </c>
      <c r="TPT1" t="s">
        <v>15523</v>
      </c>
      <c r="TPU1" t="s">
        <v>15524</v>
      </c>
      <c r="TPV1" t="s">
        <v>15525</v>
      </c>
      <c r="TPW1" t="s">
        <v>15526</v>
      </c>
      <c r="TPX1" t="s">
        <v>15527</v>
      </c>
      <c r="TPY1" t="s">
        <v>15528</v>
      </c>
      <c r="TPZ1" t="s">
        <v>15529</v>
      </c>
      <c r="TQA1" t="s">
        <v>15530</v>
      </c>
      <c r="TQB1" t="s">
        <v>15531</v>
      </c>
      <c r="TQC1" t="s">
        <v>15532</v>
      </c>
      <c r="TQD1" t="s">
        <v>15533</v>
      </c>
      <c r="TQE1" t="s">
        <v>15534</v>
      </c>
      <c r="TQF1" t="s">
        <v>15535</v>
      </c>
      <c r="TQG1" t="s">
        <v>15536</v>
      </c>
      <c r="TQH1" t="s">
        <v>15537</v>
      </c>
      <c r="TQI1" t="s">
        <v>15538</v>
      </c>
      <c r="TQJ1" t="s">
        <v>15539</v>
      </c>
      <c r="TQK1" t="s">
        <v>15540</v>
      </c>
      <c r="TQL1" t="s">
        <v>15541</v>
      </c>
      <c r="TQM1" t="s">
        <v>15542</v>
      </c>
      <c r="TQN1" t="s">
        <v>15543</v>
      </c>
      <c r="TQO1" t="s">
        <v>15544</v>
      </c>
      <c r="TQP1" t="s">
        <v>15545</v>
      </c>
      <c r="TQQ1" t="s">
        <v>15546</v>
      </c>
      <c r="TQR1" t="s">
        <v>15547</v>
      </c>
      <c r="TQS1" t="s">
        <v>15548</v>
      </c>
      <c r="TQT1" t="s">
        <v>15549</v>
      </c>
      <c r="TQU1" t="s">
        <v>15550</v>
      </c>
      <c r="TQV1" t="s">
        <v>15551</v>
      </c>
      <c r="TQW1" t="s">
        <v>15552</v>
      </c>
      <c r="TQX1" t="s">
        <v>15553</v>
      </c>
      <c r="TQY1" t="s">
        <v>15554</v>
      </c>
      <c r="TQZ1" t="s">
        <v>15555</v>
      </c>
      <c r="TRA1" t="s">
        <v>15556</v>
      </c>
      <c r="TRB1" t="s">
        <v>15557</v>
      </c>
      <c r="TRC1" t="s">
        <v>15558</v>
      </c>
      <c r="TRD1" t="s">
        <v>15559</v>
      </c>
      <c r="TRE1" t="s">
        <v>15560</v>
      </c>
      <c r="TRF1" t="s">
        <v>15561</v>
      </c>
      <c r="TRG1" t="s">
        <v>15562</v>
      </c>
      <c r="TRH1" t="s">
        <v>15563</v>
      </c>
      <c r="TRI1" t="s">
        <v>15564</v>
      </c>
      <c r="TRJ1" t="s">
        <v>15565</v>
      </c>
      <c r="TRK1" t="s">
        <v>15566</v>
      </c>
      <c r="TRL1" t="s">
        <v>15567</v>
      </c>
      <c r="TRM1" t="s">
        <v>15568</v>
      </c>
      <c r="TRN1" t="s">
        <v>15569</v>
      </c>
      <c r="TRO1" t="s">
        <v>15570</v>
      </c>
      <c r="TRP1" t="s">
        <v>15571</v>
      </c>
      <c r="TRQ1" t="s">
        <v>15572</v>
      </c>
      <c r="TRR1" t="s">
        <v>15573</v>
      </c>
      <c r="TRS1" t="s">
        <v>15574</v>
      </c>
      <c r="TRT1" t="s">
        <v>15575</v>
      </c>
      <c r="TRU1" t="s">
        <v>15576</v>
      </c>
      <c r="TRV1" t="s">
        <v>15577</v>
      </c>
      <c r="TRW1" t="s">
        <v>15578</v>
      </c>
      <c r="TRX1" t="s">
        <v>15579</v>
      </c>
      <c r="TRY1" t="s">
        <v>15580</v>
      </c>
      <c r="TRZ1" t="s">
        <v>15581</v>
      </c>
      <c r="TSA1" t="s">
        <v>15582</v>
      </c>
      <c r="TSB1" t="s">
        <v>15583</v>
      </c>
      <c r="TSC1" t="s">
        <v>15584</v>
      </c>
      <c r="TSD1" t="s">
        <v>15585</v>
      </c>
      <c r="TSE1" t="s">
        <v>15586</v>
      </c>
      <c r="TSF1" t="s">
        <v>15587</v>
      </c>
      <c r="TSG1" t="s">
        <v>15588</v>
      </c>
      <c r="TSH1" t="s">
        <v>15589</v>
      </c>
      <c r="TSI1" t="s">
        <v>15590</v>
      </c>
      <c r="TSJ1" t="s">
        <v>15591</v>
      </c>
      <c r="TSK1" t="s">
        <v>15592</v>
      </c>
      <c r="TSL1" t="s">
        <v>15593</v>
      </c>
      <c r="TSM1" t="s">
        <v>15594</v>
      </c>
      <c r="TSN1" t="s">
        <v>15595</v>
      </c>
      <c r="TSO1" t="s">
        <v>15596</v>
      </c>
      <c r="TSP1" t="s">
        <v>15597</v>
      </c>
      <c r="TSQ1" t="s">
        <v>15598</v>
      </c>
      <c r="TSR1" t="s">
        <v>15599</v>
      </c>
      <c r="TSS1" t="s">
        <v>15600</v>
      </c>
      <c r="TST1" t="s">
        <v>15601</v>
      </c>
      <c r="TSU1" t="s">
        <v>15602</v>
      </c>
      <c r="TSV1" t="s">
        <v>15603</v>
      </c>
      <c r="TSW1" t="s">
        <v>15604</v>
      </c>
      <c r="TSX1" t="s">
        <v>15605</v>
      </c>
      <c r="TSY1" t="s">
        <v>15606</v>
      </c>
      <c r="TSZ1" t="s">
        <v>15607</v>
      </c>
      <c r="TTA1" t="s">
        <v>15608</v>
      </c>
      <c r="TTB1" t="s">
        <v>15609</v>
      </c>
      <c r="TTC1" t="s">
        <v>15610</v>
      </c>
      <c r="TTD1" t="s">
        <v>15611</v>
      </c>
      <c r="TTE1" t="s">
        <v>15612</v>
      </c>
      <c r="TTF1" t="s">
        <v>15613</v>
      </c>
      <c r="TTG1" t="s">
        <v>15614</v>
      </c>
      <c r="TTH1" t="s">
        <v>15615</v>
      </c>
      <c r="TTI1" t="s">
        <v>15616</v>
      </c>
      <c r="TTJ1" t="s">
        <v>15617</v>
      </c>
      <c r="TTK1" t="s">
        <v>15618</v>
      </c>
      <c r="TTL1" t="s">
        <v>15619</v>
      </c>
      <c r="TTM1" t="s">
        <v>15620</v>
      </c>
      <c r="TTN1" t="s">
        <v>15621</v>
      </c>
      <c r="TTO1" t="s">
        <v>15622</v>
      </c>
      <c r="TTP1" t="s">
        <v>15623</v>
      </c>
      <c r="TTQ1" t="s">
        <v>15624</v>
      </c>
      <c r="TTR1" t="s">
        <v>15625</v>
      </c>
      <c r="TTS1" t="s">
        <v>15626</v>
      </c>
      <c r="TTT1" t="s">
        <v>15627</v>
      </c>
      <c r="TTU1" t="s">
        <v>15628</v>
      </c>
      <c r="TTV1" t="s">
        <v>15629</v>
      </c>
      <c r="TTW1" t="s">
        <v>15630</v>
      </c>
      <c r="TTX1" t="s">
        <v>15631</v>
      </c>
      <c r="TTY1" t="s">
        <v>15632</v>
      </c>
      <c r="TTZ1" t="s">
        <v>15633</v>
      </c>
      <c r="TUA1" t="s">
        <v>15634</v>
      </c>
      <c r="TUB1" t="s">
        <v>15635</v>
      </c>
      <c r="TUC1" t="s">
        <v>15636</v>
      </c>
      <c r="TUD1" t="s">
        <v>15637</v>
      </c>
      <c r="TUE1" t="s">
        <v>15638</v>
      </c>
      <c r="TUF1" t="s">
        <v>15639</v>
      </c>
      <c r="TUG1" t="s">
        <v>15640</v>
      </c>
      <c r="TUH1" t="s">
        <v>15641</v>
      </c>
      <c r="TUI1" t="s">
        <v>15642</v>
      </c>
      <c r="TUJ1" t="s">
        <v>15643</v>
      </c>
      <c r="TUK1" t="s">
        <v>15644</v>
      </c>
      <c r="TUL1" t="s">
        <v>15645</v>
      </c>
      <c r="TUM1" t="s">
        <v>15646</v>
      </c>
      <c r="TUN1" t="s">
        <v>15647</v>
      </c>
      <c r="TUO1" t="s">
        <v>15648</v>
      </c>
      <c r="TUP1" t="s">
        <v>15649</v>
      </c>
      <c r="TUQ1" t="s">
        <v>15650</v>
      </c>
      <c r="TUR1" t="s">
        <v>15651</v>
      </c>
      <c r="TUS1" t="s">
        <v>15652</v>
      </c>
      <c r="TUT1" t="s">
        <v>15653</v>
      </c>
      <c r="TUU1" t="s">
        <v>15654</v>
      </c>
      <c r="TUV1" t="s">
        <v>15655</v>
      </c>
      <c r="TUW1" t="s">
        <v>15656</v>
      </c>
      <c r="TUX1" t="s">
        <v>15657</v>
      </c>
      <c r="TUY1" t="s">
        <v>15658</v>
      </c>
      <c r="TUZ1" t="s">
        <v>15659</v>
      </c>
      <c r="TVA1" t="s">
        <v>15660</v>
      </c>
      <c r="TVB1" t="s">
        <v>15661</v>
      </c>
      <c r="TVC1" t="s">
        <v>15662</v>
      </c>
      <c r="TVD1" t="s">
        <v>15663</v>
      </c>
      <c r="TVE1" t="s">
        <v>15664</v>
      </c>
      <c r="TVF1" t="s">
        <v>15665</v>
      </c>
      <c r="TVG1" t="s">
        <v>15666</v>
      </c>
      <c r="TVH1" t="s">
        <v>15667</v>
      </c>
      <c r="TVI1" t="s">
        <v>15668</v>
      </c>
      <c r="TVJ1" t="s">
        <v>15669</v>
      </c>
      <c r="TVK1" t="s">
        <v>15670</v>
      </c>
      <c r="TVL1" t="s">
        <v>15671</v>
      </c>
      <c r="TVM1" t="s">
        <v>15672</v>
      </c>
      <c r="TVN1" t="s">
        <v>15673</v>
      </c>
      <c r="TVO1" t="s">
        <v>15674</v>
      </c>
      <c r="TVP1" t="s">
        <v>15675</v>
      </c>
      <c r="TVQ1" t="s">
        <v>15676</v>
      </c>
      <c r="TVR1" t="s">
        <v>15677</v>
      </c>
      <c r="TVS1" t="s">
        <v>15678</v>
      </c>
      <c r="TVT1" t="s">
        <v>15679</v>
      </c>
      <c r="TVU1" t="s">
        <v>15680</v>
      </c>
      <c r="TVV1" t="s">
        <v>15681</v>
      </c>
      <c r="TVW1" t="s">
        <v>15682</v>
      </c>
      <c r="TVX1" t="s">
        <v>15683</v>
      </c>
      <c r="TVY1" t="s">
        <v>15684</v>
      </c>
      <c r="TVZ1" t="s">
        <v>15685</v>
      </c>
      <c r="TWA1" t="s">
        <v>15686</v>
      </c>
      <c r="TWB1" t="s">
        <v>15687</v>
      </c>
      <c r="TWC1" t="s">
        <v>15688</v>
      </c>
      <c r="TWD1" t="s">
        <v>15689</v>
      </c>
      <c r="TWE1" t="s">
        <v>15690</v>
      </c>
      <c r="TWF1" t="s">
        <v>15691</v>
      </c>
      <c r="TWG1" t="s">
        <v>15692</v>
      </c>
      <c r="TWH1" t="s">
        <v>15693</v>
      </c>
      <c r="TWI1" t="s">
        <v>15694</v>
      </c>
      <c r="TWJ1" t="s">
        <v>15695</v>
      </c>
      <c r="TWK1" t="s">
        <v>15696</v>
      </c>
      <c r="TWL1" t="s">
        <v>15697</v>
      </c>
      <c r="TWM1" t="s">
        <v>15698</v>
      </c>
      <c r="TWN1" t="s">
        <v>15699</v>
      </c>
      <c r="TWO1" t="s">
        <v>15700</v>
      </c>
      <c r="TWP1" t="s">
        <v>15701</v>
      </c>
      <c r="TWQ1" t="s">
        <v>15702</v>
      </c>
      <c r="TWR1" t="s">
        <v>15703</v>
      </c>
      <c r="TWS1" t="s">
        <v>15704</v>
      </c>
      <c r="TWT1" t="s">
        <v>15705</v>
      </c>
      <c r="TWU1" t="s">
        <v>15706</v>
      </c>
      <c r="TWV1" t="s">
        <v>15707</v>
      </c>
      <c r="TWW1" t="s">
        <v>15708</v>
      </c>
      <c r="TWX1" t="s">
        <v>15709</v>
      </c>
      <c r="TWY1" t="s">
        <v>15710</v>
      </c>
      <c r="TWZ1" t="s">
        <v>15711</v>
      </c>
      <c r="TXA1" t="s">
        <v>15712</v>
      </c>
      <c r="TXB1" t="s">
        <v>15713</v>
      </c>
      <c r="TXC1" t="s">
        <v>15714</v>
      </c>
      <c r="TXD1" t="s">
        <v>15715</v>
      </c>
      <c r="TXE1" t="s">
        <v>15716</v>
      </c>
      <c r="TXF1" t="s">
        <v>15717</v>
      </c>
      <c r="TXG1" t="s">
        <v>15718</v>
      </c>
      <c r="TXH1" t="s">
        <v>15719</v>
      </c>
      <c r="TXI1" t="s">
        <v>15720</v>
      </c>
      <c r="TXJ1" t="s">
        <v>15721</v>
      </c>
      <c r="TXK1" t="s">
        <v>15722</v>
      </c>
      <c r="TXL1" t="s">
        <v>15723</v>
      </c>
      <c r="TXM1" t="s">
        <v>15724</v>
      </c>
      <c r="TXN1" t="s">
        <v>15725</v>
      </c>
      <c r="TXO1" t="s">
        <v>15726</v>
      </c>
      <c r="TXP1" t="s">
        <v>15727</v>
      </c>
      <c r="TXQ1" t="s">
        <v>15728</v>
      </c>
      <c r="TXR1" t="s">
        <v>15729</v>
      </c>
      <c r="TXS1" t="s">
        <v>15730</v>
      </c>
      <c r="TXT1" t="s">
        <v>15731</v>
      </c>
      <c r="TXU1" t="s">
        <v>15732</v>
      </c>
      <c r="TXV1" t="s">
        <v>15733</v>
      </c>
      <c r="TXW1" t="s">
        <v>15734</v>
      </c>
      <c r="TXX1" t="s">
        <v>15735</v>
      </c>
      <c r="TXY1" t="s">
        <v>15736</v>
      </c>
      <c r="TXZ1" t="s">
        <v>15737</v>
      </c>
      <c r="TYA1" t="s">
        <v>15738</v>
      </c>
      <c r="TYB1" t="s">
        <v>15739</v>
      </c>
      <c r="TYC1" t="s">
        <v>15740</v>
      </c>
      <c r="TYD1" t="s">
        <v>15741</v>
      </c>
      <c r="TYE1" t="s">
        <v>15742</v>
      </c>
      <c r="TYF1" t="s">
        <v>15743</v>
      </c>
      <c r="TYG1" t="s">
        <v>15744</v>
      </c>
      <c r="TYH1" t="s">
        <v>15745</v>
      </c>
      <c r="TYI1" t="s">
        <v>15746</v>
      </c>
      <c r="TYJ1" t="s">
        <v>15747</v>
      </c>
      <c r="TYK1" t="s">
        <v>15748</v>
      </c>
      <c r="TYL1" t="s">
        <v>15749</v>
      </c>
      <c r="TYM1" t="s">
        <v>15750</v>
      </c>
      <c r="TYN1" t="s">
        <v>15751</v>
      </c>
      <c r="TYO1" t="s">
        <v>15752</v>
      </c>
      <c r="TYP1" t="s">
        <v>15753</v>
      </c>
      <c r="TYQ1" t="s">
        <v>15754</v>
      </c>
      <c r="TYR1" t="s">
        <v>15755</v>
      </c>
      <c r="TYS1" t="s">
        <v>15756</v>
      </c>
      <c r="TYT1" t="s">
        <v>15757</v>
      </c>
      <c r="TYU1" t="s">
        <v>15758</v>
      </c>
      <c r="TYV1" t="s">
        <v>15759</v>
      </c>
      <c r="TYW1" t="s">
        <v>15760</v>
      </c>
      <c r="TYX1" t="s">
        <v>15761</v>
      </c>
      <c r="TYY1" t="s">
        <v>15762</v>
      </c>
      <c r="TYZ1" t="s">
        <v>15763</v>
      </c>
      <c r="TZA1" t="s">
        <v>15764</v>
      </c>
      <c r="TZB1" t="s">
        <v>15765</v>
      </c>
      <c r="TZC1" t="s">
        <v>15766</v>
      </c>
      <c r="TZD1" t="s">
        <v>15767</v>
      </c>
      <c r="TZE1" t="s">
        <v>15768</v>
      </c>
      <c r="TZF1" t="s">
        <v>15769</v>
      </c>
      <c r="TZG1" t="s">
        <v>15770</v>
      </c>
      <c r="TZH1" t="s">
        <v>15771</v>
      </c>
      <c r="TZI1" t="s">
        <v>15772</v>
      </c>
      <c r="TZJ1" t="s">
        <v>15773</v>
      </c>
      <c r="TZK1" t="s">
        <v>15774</v>
      </c>
      <c r="TZL1" t="s">
        <v>15775</v>
      </c>
      <c r="TZM1" t="s">
        <v>15776</v>
      </c>
      <c r="TZN1" t="s">
        <v>15777</v>
      </c>
      <c r="TZO1" t="s">
        <v>15778</v>
      </c>
      <c r="TZP1" t="s">
        <v>15779</v>
      </c>
      <c r="TZQ1" t="s">
        <v>15780</v>
      </c>
      <c r="TZR1" t="s">
        <v>15781</v>
      </c>
      <c r="TZS1" t="s">
        <v>15782</v>
      </c>
      <c r="TZT1" t="s">
        <v>15783</v>
      </c>
      <c r="TZU1" t="s">
        <v>15784</v>
      </c>
      <c r="TZV1" t="s">
        <v>15785</v>
      </c>
      <c r="TZW1" t="s">
        <v>15786</v>
      </c>
      <c r="TZX1" t="s">
        <v>15787</v>
      </c>
      <c r="TZY1" t="s">
        <v>15788</v>
      </c>
      <c r="TZZ1" t="s">
        <v>15789</v>
      </c>
      <c r="UAA1" t="s">
        <v>15790</v>
      </c>
      <c r="UAB1" t="s">
        <v>15791</v>
      </c>
      <c r="UAC1" t="s">
        <v>15792</v>
      </c>
      <c r="UAD1" t="s">
        <v>15793</v>
      </c>
      <c r="UAE1" t="s">
        <v>15794</v>
      </c>
      <c r="UAF1" t="s">
        <v>15795</v>
      </c>
      <c r="UAG1" t="s">
        <v>15796</v>
      </c>
      <c r="UAH1" t="s">
        <v>15797</v>
      </c>
      <c r="UAI1" t="s">
        <v>15798</v>
      </c>
      <c r="UAJ1" t="s">
        <v>15799</v>
      </c>
      <c r="UAK1" t="s">
        <v>15800</v>
      </c>
      <c r="UAL1" t="s">
        <v>15801</v>
      </c>
      <c r="UAM1" t="s">
        <v>15802</v>
      </c>
      <c r="UAN1" t="s">
        <v>15803</v>
      </c>
      <c r="UAO1" t="s">
        <v>15804</v>
      </c>
      <c r="UAP1" t="s">
        <v>15805</v>
      </c>
      <c r="UAQ1" t="s">
        <v>15806</v>
      </c>
      <c r="UAR1" t="s">
        <v>15807</v>
      </c>
      <c r="UAS1" t="s">
        <v>15808</v>
      </c>
      <c r="UAT1" t="s">
        <v>15809</v>
      </c>
      <c r="UAU1" t="s">
        <v>15810</v>
      </c>
      <c r="UAV1" t="s">
        <v>15811</v>
      </c>
      <c r="UAW1" t="s">
        <v>15812</v>
      </c>
      <c r="UAX1" t="s">
        <v>15813</v>
      </c>
      <c r="UAY1" t="s">
        <v>15814</v>
      </c>
      <c r="UAZ1" t="s">
        <v>15815</v>
      </c>
      <c r="UBA1" t="s">
        <v>15816</v>
      </c>
      <c r="UBB1" t="s">
        <v>15817</v>
      </c>
      <c r="UBC1" t="s">
        <v>15818</v>
      </c>
      <c r="UBD1" t="s">
        <v>15819</v>
      </c>
      <c r="UBE1" t="s">
        <v>15820</v>
      </c>
      <c r="UBF1" t="s">
        <v>15821</v>
      </c>
      <c r="UBG1" t="s">
        <v>15822</v>
      </c>
      <c r="UBH1" t="s">
        <v>15823</v>
      </c>
      <c r="UBI1" t="s">
        <v>15824</v>
      </c>
      <c r="UBJ1" t="s">
        <v>15825</v>
      </c>
      <c r="UBK1" t="s">
        <v>15826</v>
      </c>
      <c r="UBL1" t="s">
        <v>15827</v>
      </c>
      <c r="UBM1" t="s">
        <v>15828</v>
      </c>
      <c r="UBN1" t="s">
        <v>15829</v>
      </c>
      <c r="UBO1" t="s">
        <v>15830</v>
      </c>
      <c r="UBP1" t="s">
        <v>15831</v>
      </c>
      <c r="UBQ1" t="s">
        <v>15832</v>
      </c>
      <c r="UBR1" t="s">
        <v>15833</v>
      </c>
      <c r="UBS1" t="s">
        <v>15834</v>
      </c>
      <c r="UBT1" t="s">
        <v>15835</v>
      </c>
      <c r="UBU1" t="s">
        <v>15836</v>
      </c>
      <c r="UBV1" t="s">
        <v>15837</v>
      </c>
      <c r="UBW1" t="s">
        <v>15838</v>
      </c>
      <c r="UBX1" t="s">
        <v>15839</v>
      </c>
      <c r="UBY1" t="s">
        <v>15840</v>
      </c>
      <c r="UBZ1" t="s">
        <v>15841</v>
      </c>
      <c r="UCA1" t="s">
        <v>15842</v>
      </c>
      <c r="UCB1" t="s">
        <v>15843</v>
      </c>
      <c r="UCC1" t="s">
        <v>15844</v>
      </c>
      <c r="UCD1" t="s">
        <v>15845</v>
      </c>
      <c r="UCE1" t="s">
        <v>15846</v>
      </c>
      <c r="UCF1" t="s">
        <v>15847</v>
      </c>
      <c r="UCG1" t="s">
        <v>15848</v>
      </c>
      <c r="UCH1" t="s">
        <v>15849</v>
      </c>
      <c r="UCI1" t="s">
        <v>15850</v>
      </c>
      <c r="UCJ1" t="s">
        <v>15851</v>
      </c>
      <c r="UCK1" t="s">
        <v>15852</v>
      </c>
      <c r="UCL1" t="s">
        <v>15853</v>
      </c>
      <c r="UCM1" t="s">
        <v>15854</v>
      </c>
      <c r="UCN1" t="s">
        <v>15855</v>
      </c>
      <c r="UCO1" t="s">
        <v>15856</v>
      </c>
      <c r="UCP1" t="s">
        <v>15857</v>
      </c>
      <c r="UCQ1" t="s">
        <v>15858</v>
      </c>
      <c r="UCR1" t="s">
        <v>15859</v>
      </c>
      <c r="UCS1" t="s">
        <v>15860</v>
      </c>
      <c r="UCT1" t="s">
        <v>15861</v>
      </c>
      <c r="UCU1" t="s">
        <v>15862</v>
      </c>
      <c r="UCV1" t="s">
        <v>15863</v>
      </c>
      <c r="UCW1" t="s">
        <v>15864</v>
      </c>
      <c r="UCX1" t="s">
        <v>15865</v>
      </c>
      <c r="UCY1" t="s">
        <v>15866</v>
      </c>
      <c r="UCZ1" t="s">
        <v>15867</v>
      </c>
      <c r="UDA1" t="s">
        <v>15868</v>
      </c>
      <c r="UDB1" t="s">
        <v>15869</v>
      </c>
      <c r="UDC1" t="s">
        <v>15870</v>
      </c>
      <c r="UDD1" t="s">
        <v>15871</v>
      </c>
      <c r="UDE1" t="s">
        <v>15872</v>
      </c>
      <c r="UDF1" t="s">
        <v>15873</v>
      </c>
      <c r="UDG1" t="s">
        <v>15874</v>
      </c>
      <c r="UDH1" t="s">
        <v>15875</v>
      </c>
      <c r="UDI1" t="s">
        <v>15876</v>
      </c>
      <c r="UDJ1" t="s">
        <v>15877</v>
      </c>
      <c r="UDK1" t="s">
        <v>15878</v>
      </c>
      <c r="UDL1" t="s">
        <v>15879</v>
      </c>
      <c r="UDM1" t="s">
        <v>15880</v>
      </c>
      <c r="UDN1" t="s">
        <v>15881</v>
      </c>
      <c r="UDO1" t="s">
        <v>15882</v>
      </c>
      <c r="UDP1" t="s">
        <v>15883</v>
      </c>
      <c r="UDQ1" t="s">
        <v>15884</v>
      </c>
      <c r="UDR1" t="s">
        <v>15885</v>
      </c>
      <c r="UDS1" t="s">
        <v>15886</v>
      </c>
      <c r="UDT1" t="s">
        <v>15887</v>
      </c>
      <c r="UDU1" t="s">
        <v>15888</v>
      </c>
      <c r="UDV1" t="s">
        <v>15889</v>
      </c>
      <c r="UDW1" t="s">
        <v>15890</v>
      </c>
      <c r="UDX1" t="s">
        <v>15891</v>
      </c>
      <c r="UDY1" t="s">
        <v>15892</v>
      </c>
      <c r="UDZ1" t="s">
        <v>15893</v>
      </c>
      <c r="UEA1" t="s">
        <v>15894</v>
      </c>
      <c r="UEB1" t="s">
        <v>15895</v>
      </c>
      <c r="UEC1" t="s">
        <v>15896</v>
      </c>
      <c r="UED1" t="s">
        <v>15897</v>
      </c>
      <c r="UEE1" t="s">
        <v>15898</v>
      </c>
      <c r="UEF1" t="s">
        <v>15899</v>
      </c>
      <c r="UEG1" t="s">
        <v>15900</v>
      </c>
      <c r="UEH1" t="s">
        <v>15901</v>
      </c>
      <c r="UEI1" t="s">
        <v>15902</v>
      </c>
      <c r="UEJ1" t="s">
        <v>15903</v>
      </c>
      <c r="UEK1" t="s">
        <v>15904</v>
      </c>
      <c r="UEL1" t="s">
        <v>15905</v>
      </c>
      <c r="UEM1" t="s">
        <v>15906</v>
      </c>
      <c r="UEN1" t="s">
        <v>15907</v>
      </c>
      <c r="UEO1" t="s">
        <v>15908</v>
      </c>
      <c r="UEP1" t="s">
        <v>15909</v>
      </c>
      <c r="UEQ1" t="s">
        <v>15910</v>
      </c>
      <c r="UER1" t="s">
        <v>15911</v>
      </c>
      <c r="UES1" t="s">
        <v>15912</v>
      </c>
      <c r="UET1" t="s">
        <v>15913</v>
      </c>
      <c r="UEU1" t="s">
        <v>15914</v>
      </c>
      <c r="UEV1" t="s">
        <v>15915</v>
      </c>
      <c r="UEW1" t="s">
        <v>15916</v>
      </c>
      <c r="UEX1" t="s">
        <v>15917</v>
      </c>
      <c r="UEY1" t="s">
        <v>15918</v>
      </c>
      <c r="UEZ1" t="s">
        <v>15919</v>
      </c>
      <c r="UFA1" t="s">
        <v>15920</v>
      </c>
      <c r="UFB1" t="s">
        <v>15921</v>
      </c>
      <c r="UFC1" t="s">
        <v>15922</v>
      </c>
      <c r="UFD1" t="s">
        <v>15923</v>
      </c>
      <c r="UFE1" t="s">
        <v>15924</v>
      </c>
      <c r="UFF1" t="s">
        <v>15925</v>
      </c>
      <c r="UFG1" t="s">
        <v>15926</v>
      </c>
      <c r="UFH1" t="s">
        <v>15927</v>
      </c>
      <c r="UFI1" t="s">
        <v>15928</v>
      </c>
      <c r="UFJ1" t="s">
        <v>15929</v>
      </c>
      <c r="UFK1" t="s">
        <v>15930</v>
      </c>
      <c r="UFL1" t="s">
        <v>15931</v>
      </c>
      <c r="UFM1" t="s">
        <v>15932</v>
      </c>
      <c r="UFN1" t="s">
        <v>15933</v>
      </c>
      <c r="UFO1" t="s">
        <v>15934</v>
      </c>
      <c r="UFP1" t="s">
        <v>15935</v>
      </c>
      <c r="UFQ1" t="s">
        <v>15936</v>
      </c>
      <c r="UFR1" t="s">
        <v>15937</v>
      </c>
      <c r="UFS1" t="s">
        <v>15938</v>
      </c>
      <c r="UFT1" t="s">
        <v>15939</v>
      </c>
      <c r="UFU1" t="s">
        <v>15940</v>
      </c>
      <c r="UFV1" t="s">
        <v>15941</v>
      </c>
      <c r="UFW1" t="s">
        <v>15942</v>
      </c>
      <c r="UFX1" t="s">
        <v>15943</v>
      </c>
      <c r="UFY1" t="s">
        <v>15944</v>
      </c>
      <c r="UFZ1" t="s">
        <v>15945</v>
      </c>
      <c r="UGA1" t="s">
        <v>15946</v>
      </c>
      <c r="UGB1" t="s">
        <v>15947</v>
      </c>
      <c r="UGC1" t="s">
        <v>15948</v>
      </c>
      <c r="UGD1" t="s">
        <v>15949</v>
      </c>
      <c r="UGE1" t="s">
        <v>15950</v>
      </c>
      <c r="UGF1" t="s">
        <v>15951</v>
      </c>
      <c r="UGG1" t="s">
        <v>15952</v>
      </c>
      <c r="UGH1" t="s">
        <v>15953</v>
      </c>
      <c r="UGI1" t="s">
        <v>15954</v>
      </c>
      <c r="UGJ1" t="s">
        <v>15955</v>
      </c>
      <c r="UGK1" t="s">
        <v>15956</v>
      </c>
      <c r="UGL1" t="s">
        <v>15957</v>
      </c>
      <c r="UGM1" t="s">
        <v>15958</v>
      </c>
      <c r="UGN1" t="s">
        <v>15959</v>
      </c>
      <c r="UGO1" t="s">
        <v>15960</v>
      </c>
      <c r="UGP1" t="s">
        <v>15961</v>
      </c>
      <c r="UGQ1" t="s">
        <v>15962</v>
      </c>
      <c r="UGR1" t="s">
        <v>15963</v>
      </c>
      <c r="UGS1" t="s">
        <v>15964</v>
      </c>
      <c r="UGT1" t="s">
        <v>15965</v>
      </c>
      <c r="UGU1" t="s">
        <v>15966</v>
      </c>
      <c r="UGV1" t="s">
        <v>15967</v>
      </c>
      <c r="UGW1" t="s">
        <v>15968</v>
      </c>
      <c r="UGX1" t="s">
        <v>15969</v>
      </c>
      <c r="UGY1" t="s">
        <v>15970</v>
      </c>
      <c r="UGZ1" t="s">
        <v>15971</v>
      </c>
      <c r="UHA1" t="s">
        <v>15972</v>
      </c>
      <c r="UHB1" t="s">
        <v>15973</v>
      </c>
      <c r="UHC1" t="s">
        <v>15974</v>
      </c>
      <c r="UHD1" t="s">
        <v>15975</v>
      </c>
      <c r="UHE1" t="s">
        <v>15976</v>
      </c>
      <c r="UHF1" t="s">
        <v>15977</v>
      </c>
      <c r="UHG1" t="s">
        <v>15978</v>
      </c>
      <c r="UHH1" t="s">
        <v>15979</v>
      </c>
      <c r="UHI1" t="s">
        <v>15980</v>
      </c>
      <c r="UHJ1" t="s">
        <v>15981</v>
      </c>
      <c r="UHK1" t="s">
        <v>15982</v>
      </c>
      <c r="UHL1" t="s">
        <v>15983</v>
      </c>
      <c r="UHM1" t="s">
        <v>15984</v>
      </c>
      <c r="UHN1" t="s">
        <v>15985</v>
      </c>
      <c r="UHO1" t="s">
        <v>15986</v>
      </c>
      <c r="UHP1" t="s">
        <v>15987</v>
      </c>
      <c r="UHQ1" t="s">
        <v>15988</v>
      </c>
      <c r="UHR1" t="s">
        <v>15989</v>
      </c>
      <c r="UHS1" t="s">
        <v>15990</v>
      </c>
      <c r="UHT1" t="s">
        <v>15991</v>
      </c>
      <c r="UHU1" t="s">
        <v>15992</v>
      </c>
      <c r="UHV1" t="s">
        <v>15993</v>
      </c>
      <c r="UHW1" t="s">
        <v>15994</v>
      </c>
      <c r="UHX1" t="s">
        <v>15995</v>
      </c>
      <c r="UHY1" t="s">
        <v>15996</v>
      </c>
      <c r="UHZ1" t="s">
        <v>15997</v>
      </c>
      <c r="UIA1" t="s">
        <v>15998</v>
      </c>
      <c r="UIB1" t="s">
        <v>15999</v>
      </c>
      <c r="UIC1" t="s">
        <v>16000</v>
      </c>
      <c r="UID1" t="s">
        <v>16001</v>
      </c>
      <c r="UIE1" t="s">
        <v>16002</v>
      </c>
      <c r="UIF1" t="s">
        <v>16003</v>
      </c>
      <c r="UIG1" t="s">
        <v>16004</v>
      </c>
      <c r="UIH1" t="s">
        <v>16005</v>
      </c>
      <c r="UII1" t="s">
        <v>16006</v>
      </c>
      <c r="UIJ1" t="s">
        <v>16007</v>
      </c>
      <c r="UIK1" t="s">
        <v>16008</v>
      </c>
      <c r="UIL1" t="s">
        <v>16009</v>
      </c>
      <c r="UIM1" t="s">
        <v>16010</v>
      </c>
      <c r="UIN1" t="s">
        <v>16011</v>
      </c>
      <c r="UIO1" t="s">
        <v>16012</v>
      </c>
      <c r="UIP1" t="s">
        <v>16013</v>
      </c>
      <c r="UIQ1" t="s">
        <v>16014</v>
      </c>
      <c r="UIR1" t="s">
        <v>16015</v>
      </c>
      <c r="UIS1" t="s">
        <v>16016</v>
      </c>
      <c r="UIT1" t="s">
        <v>16017</v>
      </c>
      <c r="UIU1" t="s">
        <v>16018</v>
      </c>
      <c r="UIV1" t="s">
        <v>16019</v>
      </c>
      <c r="UIW1" t="s">
        <v>16020</v>
      </c>
      <c r="UIX1" t="s">
        <v>16021</v>
      </c>
      <c r="UIY1" t="s">
        <v>16022</v>
      </c>
      <c r="UIZ1" t="s">
        <v>16023</v>
      </c>
      <c r="UJA1" t="s">
        <v>16024</v>
      </c>
      <c r="UJB1" t="s">
        <v>16025</v>
      </c>
      <c r="UJC1" t="s">
        <v>16026</v>
      </c>
      <c r="UJD1" t="s">
        <v>16027</v>
      </c>
      <c r="UJE1" t="s">
        <v>16028</v>
      </c>
      <c r="UJF1" t="s">
        <v>16029</v>
      </c>
      <c r="UJG1" t="s">
        <v>16030</v>
      </c>
      <c r="UJH1" t="s">
        <v>16031</v>
      </c>
      <c r="UJI1" t="s">
        <v>16032</v>
      </c>
      <c r="UJJ1" t="s">
        <v>16033</v>
      </c>
      <c r="UJK1" t="s">
        <v>16034</v>
      </c>
      <c r="UJL1" t="s">
        <v>16035</v>
      </c>
      <c r="UJM1" t="s">
        <v>16036</v>
      </c>
      <c r="UJN1" t="s">
        <v>16037</v>
      </c>
      <c r="UJO1" t="s">
        <v>16038</v>
      </c>
      <c r="UJP1" t="s">
        <v>16039</v>
      </c>
      <c r="UJQ1" t="s">
        <v>16040</v>
      </c>
      <c r="UJR1" t="s">
        <v>16041</v>
      </c>
      <c r="UJS1" t="s">
        <v>16042</v>
      </c>
      <c r="UJT1" t="s">
        <v>16043</v>
      </c>
      <c r="UJU1" t="s">
        <v>16044</v>
      </c>
      <c r="UJV1" t="s">
        <v>16045</v>
      </c>
      <c r="UJW1" t="s">
        <v>16046</v>
      </c>
      <c r="UJX1" t="s">
        <v>16047</v>
      </c>
      <c r="UJY1" t="s">
        <v>16048</v>
      </c>
      <c r="UJZ1" t="s">
        <v>16049</v>
      </c>
      <c r="UKA1" t="s">
        <v>16050</v>
      </c>
      <c r="UKB1" t="s">
        <v>16051</v>
      </c>
      <c r="UKC1" t="s">
        <v>16052</v>
      </c>
      <c r="UKD1" t="s">
        <v>16053</v>
      </c>
      <c r="UKE1" t="s">
        <v>16054</v>
      </c>
      <c r="UKF1" t="s">
        <v>16055</v>
      </c>
      <c r="UKG1" t="s">
        <v>16056</v>
      </c>
      <c r="UKH1" t="s">
        <v>16057</v>
      </c>
      <c r="UKI1" t="s">
        <v>16058</v>
      </c>
      <c r="UKJ1" t="s">
        <v>16059</v>
      </c>
      <c r="UKK1" t="s">
        <v>16060</v>
      </c>
      <c r="UKL1" t="s">
        <v>16061</v>
      </c>
      <c r="UKM1" t="s">
        <v>16062</v>
      </c>
      <c r="UKN1" t="s">
        <v>16063</v>
      </c>
      <c r="UKO1" t="s">
        <v>16064</v>
      </c>
      <c r="UKP1" t="s">
        <v>16065</v>
      </c>
      <c r="UKQ1" t="s">
        <v>16066</v>
      </c>
      <c r="UKR1" t="s">
        <v>16067</v>
      </c>
      <c r="UKS1" t="s">
        <v>16068</v>
      </c>
      <c r="UKT1" t="s">
        <v>16069</v>
      </c>
      <c r="UKU1" t="s">
        <v>16070</v>
      </c>
      <c r="UKV1" t="s">
        <v>16071</v>
      </c>
      <c r="UKW1" t="s">
        <v>16072</v>
      </c>
      <c r="UKX1" t="s">
        <v>16073</v>
      </c>
      <c r="UKY1" t="s">
        <v>16074</v>
      </c>
      <c r="UKZ1" t="s">
        <v>16075</v>
      </c>
      <c r="ULA1" t="s">
        <v>16076</v>
      </c>
      <c r="ULB1" t="s">
        <v>16077</v>
      </c>
      <c r="ULC1" t="s">
        <v>16078</v>
      </c>
      <c r="ULD1" t="s">
        <v>16079</v>
      </c>
      <c r="ULE1" t="s">
        <v>16080</v>
      </c>
      <c r="ULF1" t="s">
        <v>16081</v>
      </c>
      <c r="ULG1" t="s">
        <v>16082</v>
      </c>
      <c r="ULH1" t="s">
        <v>16083</v>
      </c>
      <c r="ULI1" t="s">
        <v>16084</v>
      </c>
      <c r="ULJ1" t="s">
        <v>16085</v>
      </c>
      <c r="ULK1" t="s">
        <v>16086</v>
      </c>
      <c r="ULL1" t="s">
        <v>16087</v>
      </c>
      <c r="ULM1" t="s">
        <v>16088</v>
      </c>
      <c r="ULN1" t="s">
        <v>16089</v>
      </c>
      <c r="ULO1" t="s">
        <v>16090</v>
      </c>
      <c r="ULP1" t="s">
        <v>16091</v>
      </c>
      <c r="ULQ1" t="s">
        <v>16092</v>
      </c>
      <c r="ULR1" t="s">
        <v>16093</v>
      </c>
      <c r="ULS1" t="s">
        <v>16094</v>
      </c>
      <c r="ULT1" t="s">
        <v>16095</v>
      </c>
      <c r="ULU1" t="s">
        <v>16096</v>
      </c>
      <c r="ULV1" t="s">
        <v>16097</v>
      </c>
      <c r="ULW1" t="s">
        <v>16098</v>
      </c>
      <c r="ULX1" t="s">
        <v>16099</v>
      </c>
      <c r="ULY1" t="s">
        <v>16100</v>
      </c>
      <c r="ULZ1" t="s">
        <v>16101</v>
      </c>
      <c r="UMA1" t="s">
        <v>16102</v>
      </c>
      <c r="UMB1" t="s">
        <v>16103</v>
      </c>
      <c r="UMC1" t="s">
        <v>16104</v>
      </c>
      <c r="UMD1" t="s">
        <v>16105</v>
      </c>
      <c r="UME1" t="s">
        <v>16106</v>
      </c>
      <c r="UMF1" t="s">
        <v>16107</v>
      </c>
      <c r="UMG1" t="s">
        <v>16108</v>
      </c>
      <c r="UMH1" t="s">
        <v>16109</v>
      </c>
      <c r="UMI1" t="s">
        <v>16110</v>
      </c>
      <c r="UMJ1" t="s">
        <v>16111</v>
      </c>
      <c r="UMK1" t="s">
        <v>16112</v>
      </c>
      <c r="UML1" t="s">
        <v>16113</v>
      </c>
      <c r="UMM1" t="s">
        <v>16114</v>
      </c>
      <c r="UMN1" t="s">
        <v>16115</v>
      </c>
      <c r="UMO1" t="s">
        <v>16116</v>
      </c>
      <c r="UMP1" t="s">
        <v>16117</v>
      </c>
      <c r="UMQ1" t="s">
        <v>16118</v>
      </c>
      <c r="UMR1" t="s">
        <v>16119</v>
      </c>
      <c r="UMS1" t="s">
        <v>16120</v>
      </c>
      <c r="UMT1" t="s">
        <v>16121</v>
      </c>
      <c r="UMU1" t="s">
        <v>16122</v>
      </c>
      <c r="UMV1" t="s">
        <v>16123</v>
      </c>
      <c r="UMW1" t="s">
        <v>16124</v>
      </c>
      <c r="UMX1" t="s">
        <v>16125</v>
      </c>
      <c r="UMY1" t="s">
        <v>16126</v>
      </c>
      <c r="UMZ1" t="s">
        <v>16127</v>
      </c>
      <c r="UNA1" t="s">
        <v>16128</v>
      </c>
      <c r="UNB1" t="s">
        <v>16129</v>
      </c>
      <c r="UNC1" t="s">
        <v>16130</v>
      </c>
      <c r="UND1" t="s">
        <v>16131</v>
      </c>
      <c r="UNE1" t="s">
        <v>16132</v>
      </c>
      <c r="UNF1" t="s">
        <v>16133</v>
      </c>
      <c r="UNG1" t="s">
        <v>16134</v>
      </c>
      <c r="UNH1" t="s">
        <v>16135</v>
      </c>
      <c r="UNI1" t="s">
        <v>16136</v>
      </c>
      <c r="UNJ1" t="s">
        <v>16137</v>
      </c>
      <c r="UNK1" t="s">
        <v>16138</v>
      </c>
      <c r="UNL1" t="s">
        <v>16139</v>
      </c>
      <c r="UNM1" t="s">
        <v>16140</v>
      </c>
      <c r="UNN1" t="s">
        <v>16141</v>
      </c>
      <c r="UNO1" t="s">
        <v>16142</v>
      </c>
      <c r="UNP1" t="s">
        <v>16143</v>
      </c>
      <c r="UNQ1" t="s">
        <v>16144</v>
      </c>
      <c r="UNR1" t="s">
        <v>16145</v>
      </c>
      <c r="UNS1" t="s">
        <v>16146</v>
      </c>
      <c r="UNT1" t="s">
        <v>16147</v>
      </c>
      <c r="UNU1" t="s">
        <v>16148</v>
      </c>
      <c r="UNV1" t="s">
        <v>16149</v>
      </c>
      <c r="UNW1" t="s">
        <v>16150</v>
      </c>
      <c r="UNX1" t="s">
        <v>16151</v>
      </c>
      <c r="UNY1" t="s">
        <v>16152</v>
      </c>
      <c r="UNZ1" t="s">
        <v>16153</v>
      </c>
      <c r="UOA1" t="s">
        <v>16154</v>
      </c>
      <c r="UOB1" t="s">
        <v>16155</v>
      </c>
      <c r="UOC1" t="s">
        <v>16156</v>
      </c>
      <c r="UOD1" t="s">
        <v>16157</v>
      </c>
      <c r="UOE1" t="s">
        <v>16158</v>
      </c>
      <c r="UOF1" t="s">
        <v>16159</v>
      </c>
      <c r="UOG1" t="s">
        <v>16160</v>
      </c>
      <c r="UOH1" t="s">
        <v>16161</v>
      </c>
      <c r="UOI1" t="s">
        <v>16162</v>
      </c>
      <c r="UOJ1" t="s">
        <v>16163</v>
      </c>
      <c r="UOK1" t="s">
        <v>16164</v>
      </c>
      <c r="UOL1" t="s">
        <v>16165</v>
      </c>
      <c r="UOM1" t="s">
        <v>16166</v>
      </c>
      <c r="UON1" t="s">
        <v>16167</v>
      </c>
      <c r="UOO1" t="s">
        <v>16168</v>
      </c>
      <c r="UOP1" t="s">
        <v>16169</v>
      </c>
      <c r="UOQ1" t="s">
        <v>16170</v>
      </c>
      <c r="UOR1" t="s">
        <v>16171</v>
      </c>
      <c r="UOS1" t="s">
        <v>16172</v>
      </c>
      <c r="UOT1" t="s">
        <v>16173</v>
      </c>
      <c r="UOU1" t="s">
        <v>16174</v>
      </c>
      <c r="UOV1" t="s">
        <v>16175</v>
      </c>
      <c r="UOW1" t="s">
        <v>16176</v>
      </c>
      <c r="UOX1" t="s">
        <v>16177</v>
      </c>
      <c r="UOY1" t="s">
        <v>16178</v>
      </c>
      <c r="UOZ1" t="s">
        <v>16179</v>
      </c>
      <c r="UPA1" t="s">
        <v>16180</v>
      </c>
      <c r="UPB1" t="s">
        <v>16181</v>
      </c>
      <c r="UPC1" t="s">
        <v>16182</v>
      </c>
      <c r="UPD1" t="s">
        <v>16183</v>
      </c>
      <c r="UPE1" t="s">
        <v>16184</v>
      </c>
      <c r="UPF1" t="s">
        <v>16185</v>
      </c>
      <c r="UPG1" t="s">
        <v>16186</v>
      </c>
      <c r="UPH1" t="s">
        <v>16187</v>
      </c>
      <c r="UPI1" t="s">
        <v>16188</v>
      </c>
      <c r="UPJ1" t="s">
        <v>16189</v>
      </c>
      <c r="UPK1" t="s">
        <v>16190</v>
      </c>
      <c r="UPL1" t="s">
        <v>16191</v>
      </c>
      <c r="UPM1" t="s">
        <v>16192</v>
      </c>
      <c r="UPN1" t="s">
        <v>16193</v>
      </c>
      <c r="UPO1" t="s">
        <v>16194</v>
      </c>
      <c r="UPP1" t="s">
        <v>16195</v>
      </c>
      <c r="UPQ1" t="s">
        <v>16196</v>
      </c>
      <c r="UPR1" t="s">
        <v>16197</v>
      </c>
      <c r="UPS1" t="s">
        <v>16198</v>
      </c>
      <c r="UPT1" t="s">
        <v>16199</v>
      </c>
      <c r="UPU1" t="s">
        <v>16200</v>
      </c>
      <c r="UPV1" t="s">
        <v>16201</v>
      </c>
      <c r="UPW1" t="s">
        <v>16202</v>
      </c>
      <c r="UPX1" t="s">
        <v>16203</v>
      </c>
      <c r="UPY1" t="s">
        <v>16204</v>
      </c>
      <c r="UPZ1" t="s">
        <v>16205</v>
      </c>
      <c r="UQA1" t="s">
        <v>16206</v>
      </c>
      <c r="UQB1" t="s">
        <v>16207</v>
      </c>
      <c r="UQC1" t="s">
        <v>16208</v>
      </c>
      <c r="UQD1" t="s">
        <v>16209</v>
      </c>
      <c r="UQE1" t="s">
        <v>16210</v>
      </c>
      <c r="UQF1" t="s">
        <v>16211</v>
      </c>
      <c r="UQG1" t="s">
        <v>16212</v>
      </c>
      <c r="UQH1" t="s">
        <v>16213</v>
      </c>
      <c r="UQI1" t="s">
        <v>16214</v>
      </c>
      <c r="UQJ1" t="s">
        <v>16215</v>
      </c>
      <c r="UQK1" t="s">
        <v>16216</v>
      </c>
      <c r="UQL1" t="s">
        <v>16217</v>
      </c>
      <c r="UQM1" t="s">
        <v>16218</v>
      </c>
      <c r="UQN1" t="s">
        <v>16219</v>
      </c>
      <c r="UQO1" t="s">
        <v>16220</v>
      </c>
      <c r="UQP1" t="s">
        <v>16221</v>
      </c>
      <c r="UQQ1" t="s">
        <v>16222</v>
      </c>
      <c r="UQR1" t="s">
        <v>16223</v>
      </c>
      <c r="UQS1" t="s">
        <v>16224</v>
      </c>
      <c r="UQT1" t="s">
        <v>16225</v>
      </c>
      <c r="UQU1" t="s">
        <v>16226</v>
      </c>
      <c r="UQV1" t="s">
        <v>16227</v>
      </c>
      <c r="UQW1" t="s">
        <v>16228</v>
      </c>
      <c r="UQX1" t="s">
        <v>16229</v>
      </c>
      <c r="UQY1" t="s">
        <v>16230</v>
      </c>
      <c r="UQZ1" t="s">
        <v>16231</v>
      </c>
      <c r="URA1" t="s">
        <v>16232</v>
      </c>
      <c r="URB1" t="s">
        <v>16233</v>
      </c>
      <c r="URC1" t="s">
        <v>16234</v>
      </c>
      <c r="URD1" t="s">
        <v>16235</v>
      </c>
      <c r="URE1" t="s">
        <v>16236</v>
      </c>
      <c r="URF1" t="s">
        <v>16237</v>
      </c>
      <c r="URG1" t="s">
        <v>16238</v>
      </c>
      <c r="URH1" t="s">
        <v>16239</v>
      </c>
      <c r="URI1" t="s">
        <v>16240</v>
      </c>
      <c r="URJ1" t="s">
        <v>16241</v>
      </c>
      <c r="URK1" t="s">
        <v>16242</v>
      </c>
      <c r="URL1" t="s">
        <v>16243</v>
      </c>
      <c r="URM1" t="s">
        <v>16244</v>
      </c>
      <c r="URN1" t="s">
        <v>16245</v>
      </c>
      <c r="URO1" t="s">
        <v>16246</v>
      </c>
      <c r="URP1" t="s">
        <v>16247</v>
      </c>
      <c r="URQ1" t="s">
        <v>16248</v>
      </c>
      <c r="URR1" t="s">
        <v>16249</v>
      </c>
      <c r="URS1" t="s">
        <v>16250</v>
      </c>
      <c r="URT1" t="s">
        <v>16251</v>
      </c>
      <c r="URU1" t="s">
        <v>16252</v>
      </c>
      <c r="URV1" t="s">
        <v>16253</v>
      </c>
      <c r="URW1" t="s">
        <v>16254</v>
      </c>
      <c r="URX1" t="s">
        <v>16255</v>
      </c>
      <c r="URY1" t="s">
        <v>16256</v>
      </c>
      <c r="URZ1" t="s">
        <v>16257</v>
      </c>
      <c r="USA1" t="s">
        <v>16258</v>
      </c>
      <c r="USB1" t="s">
        <v>16259</v>
      </c>
      <c r="USC1" t="s">
        <v>16260</v>
      </c>
      <c r="USD1" t="s">
        <v>16261</v>
      </c>
      <c r="USE1" t="s">
        <v>16262</v>
      </c>
      <c r="USF1" t="s">
        <v>16263</v>
      </c>
      <c r="USG1" t="s">
        <v>16264</v>
      </c>
      <c r="USH1" t="s">
        <v>16265</v>
      </c>
      <c r="USI1" t="s">
        <v>16266</v>
      </c>
      <c r="USJ1" t="s">
        <v>16267</v>
      </c>
      <c r="USK1" t="s">
        <v>16268</v>
      </c>
      <c r="USL1" t="s">
        <v>16269</v>
      </c>
      <c r="USM1" t="s">
        <v>16270</v>
      </c>
      <c r="USN1" t="s">
        <v>16271</v>
      </c>
      <c r="USO1" t="s">
        <v>16272</v>
      </c>
      <c r="USP1" t="s">
        <v>16273</v>
      </c>
      <c r="USQ1" t="s">
        <v>16274</v>
      </c>
      <c r="USR1" t="s">
        <v>16275</v>
      </c>
      <c r="USS1" t="s">
        <v>16276</v>
      </c>
      <c r="UST1" t="s">
        <v>16277</v>
      </c>
      <c r="USU1" t="s">
        <v>16278</v>
      </c>
      <c r="USV1" t="s">
        <v>16279</v>
      </c>
      <c r="USW1" t="s">
        <v>16280</v>
      </c>
      <c r="USX1" t="s">
        <v>16281</v>
      </c>
      <c r="USY1" t="s">
        <v>16282</v>
      </c>
      <c r="USZ1" t="s">
        <v>16283</v>
      </c>
      <c r="UTA1" t="s">
        <v>16284</v>
      </c>
      <c r="UTB1" t="s">
        <v>16285</v>
      </c>
      <c r="UTC1" t="s">
        <v>16286</v>
      </c>
      <c r="UTD1" t="s">
        <v>16287</v>
      </c>
      <c r="UTE1" t="s">
        <v>16288</v>
      </c>
      <c r="UTF1" t="s">
        <v>16289</v>
      </c>
      <c r="UTG1" t="s">
        <v>16290</v>
      </c>
      <c r="UTH1" t="s">
        <v>16291</v>
      </c>
      <c r="UTI1" t="s">
        <v>16292</v>
      </c>
      <c r="UTJ1" t="s">
        <v>16293</v>
      </c>
      <c r="UTK1" t="s">
        <v>16294</v>
      </c>
      <c r="UTL1" t="s">
        <v>16295</v>
      </c>
      <c r="UTM1" t="s">
        <v>16296</v>
      </c>
      <c r="UTN1" t="s">
        <v>16297</v>
      </c>
      <c r="UTO1" t="s">
        <v>16298</v>
      </c>
      <c r="UTP1" t="s">
        <v>16299</v>
      </c>
      <c r="UTQ1" t="s">
        <v>16300</v>
      </c>
      <c r="UTR1" t="s">
        <v>16301</v>
      </c>
      <c r="UTS1" t="s">
        <v>16302</v>
      </c>
      <c r="UTT1" t="s">
        <v>16303</v>
      </c>
      <c r="UTU1" t="s">
        <v>16304</v>
      </c>
      <c r="UTV1" t="s">
        <v>16305</v>
      </c>
      <c r="UTW1" t="s">
        <v>16306</v>
      </c>
      <c r="UTX1" t="s">
        <v>16307</v>
      </c>
      <c r="UTY1" t="s">
        <v>16308</v>
      </c>
      <c r="UTZ1" t="s">
        <v>16309</v>
      </c>
      <c r="UUA1" t="s">
        <v>16310</v>
      </c>
      <c r="UUB1" t="s">
        <v>16311</v>
      </c>
      <c r="UUC1" t="s">
        <v>16312</v>
      </c>
      <c r="UUD1" t="s">
        <v>16313</v>
      </c>
      <c r="UUE1" t="s">
        <v>16314</v>
      </c>
      <c r="UUF1" t="s">
        <v>16315</v>
      </c>
      <c r="UUG1" t="s">
        <v>16316</v>
      </c>
      <c r="UUH1" t="s">
        <v>16317</v>
      </c>
      <c r="UUI1" t="s">
        <v>16318</v>
      </c>
      <c r="UUJ1" t="s">
        <v>16319</v>
      </c>
      <c r="UUK1" t="s">
        <v>16320</v>
      </c>
      <c r="UUL1" t="s">
        <v>16321</v>
      </c>
      <c r="UUM1" t="s">
        <v>16322</v>
      </c>
      <c r="UUN1" t="s">
        <v>16323</v>
      </c>
      <c r="UUO1" t="s">
        <v>16324</v>
      </c>
      <c r="UUP1" t="s">
        <v>16325</v>
      </c>
      <c r="UUQ1" t="s">
        <v>16326</v>
      </c>
      <c r="UUR1" t="s">
        <v>16327</v>
      </c>
      <c r="UUS1" t="s">
        <v>16328</v>
      </c>
      <c r="UUT1" t="s">
        <v>16329</v>
      </c>
      <c r="UUU1" t="s">
        <v>16330</v>
      </c>
      <c r="UUV1" t="s">
        <v>16331</v>
      </c>
      <c r="UUW1" t="s">
        <v>16332</v>
      </c>
      <c r="UUX1" t="s">
        <v>16333</v>
      </c>
      <c r="UUY1" t="s">
        <v>16334</v>
      </c>
      <c r="UUZ1" t="s">
        <v>16335</v>
      </c>
      <c r="UVA1" t="s">
        <v>16336</v>
      </c>
      <c r="UVB1" t="s">
        <v>16337</v>
      </c>
      <c r="UVC1" t="s">
        <v>16338</v>
      </c>
      <c r="UVD1" t="s">
        <v>16339</v>
      </c>
      <c r="UVE1" t="s">
        <v>16340</v>
      </c>
      <c r="UVF1" t="s">
        <v>16341</v>
      </c>
      <c r="UVG1" t="s">
        <v>16342</v>
      </c>
      <c r="UVH1" t="s">
        <v>16343</v>
      </c>
      <c r="UVI1" t="s">
        <v>16344</v>
      </c>
      <c r="UVJ1" t="s">
        <v>16345</v>
      </c>
      <c r="UVK1" t="s">
        <v>16346</v>
      </c>
      <c r="UVL1" t="s">
        <v>16347</v>
      </c>
      <c r="UVM1" t="s">
        <v>16348</v>
      </c>
      <c r="UVN1" t="s">
        <v>16349</v>
      </c>
      <c r="UVO1" t="s">
        <v>16350</v>
      </c>
      <c r="UVP1" t="s">
        <v>16351</v>
      </c>
      <c r="UVQ1" t="s">
        <v>16352</v>
      </c>
      <c r="UVR1" t="s">
        <v>16353</v>
      </c>
      <c r="UVS1" t="s">
        <v>16354</v>
      </c>
      <c r="UVT1" t="s">
        <v>16355</v>
      </c>
      <c r="UVU1" t="s">
        <v>16356</v>
      </c>
      <c r="UVV1" t="s">
        <v>16357</v>
      </c>
      <c r="UVW1" t="s">
        <v>16358</v>
      </c>
      <c r="UVX1" t="s">
        <v>16359</v>
      </c>
      <c r="UVY1" t="s">
        <v>16360</v>
      </c>
      <c r="UVZ1" t="s">
        <v>16361</v>
      </c>
      <c r="UWA1" t="s">
        <v>16362</v>
      </c>
      <c r="UWB1" t="s">
        <v>16363</v>
      </c>
      <c r="UWC1" t="s">
        <v>16364</v>
      </c>
      <c r="UWD1" t="s">
        <v>16365</v>
      </c>
      <c r="UWE1" t="s">
        <v>16366</v>
      </c>
      <c r="UWF1" t="s">
        <v>16367</v>
      </c>
      <c r="UWG1" t="s">
        <v>16368</v>
      </c>
      <c r="UWH1" t="s">
        <v>16369</v>
      </c>
      <c r="UWI1" t="s">
        <v>16370</v>
      </c>
      <c r="UWJ1" t="s">
        <v>16371</v>
      </c>
      <c r="UWK1" t="s">
        <v>16372</v>
      </c>
      <c r="UWL1" t="s">
        <v>16373</v>
      </c>
      <c r="UWM1" t="s">
        <v>16374</v>
      </c>
      <c r="UWN1" t="s">
        <v>16375</v>
      </c>
      <c r="UWO1" t="s">
        <v>16376</v>
      </c>
      <c r="UWP1" t="s">
        <v>16377</v>
      </c>
      <c r="UWQ1" t="s">
        <v>16378</v>
      </c>
      <c r="UWR1" t="s">
        <v>16379</v>
      </c>
      <c r="UWS1" t="s">
        <v>16380</v>
      </c>
      <c r="UWT1" t="s">
        <v>16381</v>
      </c>
      <c r="UWU1" t="s">
        <v>16382</v>
      </c>
      <c r="UWV1" t="s">
        <v>16383</v>
      </c>
      <c r="UWW1" t="s">
        <v>16384</v>
      </c>
      <c r="UWX1" t="s">
        <v>16385</v>
      </c>
      <c r="UWY1" t="s">
        <v>16386</v>
      </c>
      <c r="UWZ1" t="s">
        <v>16387</v>
      </c>
      <c r="UXA1" t="s">
        <v>16388</v>
      </c>
      <c r="UXB1" t="s">
        <v>16389</v>
      </c>
      <c r="UXC1" t="s">
        <v>16390</v>
      </c>
      <c r="UXD1" t="s">
        <v>16391</v>
      </c>
      <c r="UXE1" t="s">
        <v>16392</v>
      </c>
      <c r="UXF1" t="s">
        <v>16393</v>
      </c>
      <c r="UXG1" t="s">
        <v>16394</v>
      </c>
      <c r="UXH1" t="s">
        <v>16395</v>
      </c>
      <c r="UXI1" t="s">
        <v>16396</v>
      </c>
      <c r="UXJ1" t="s">
        <v>16397</v>
      </c>
      <c r="UXK1" t="s">
        <v>16398</v>
      </c>
      <c r="UXL1" t="s">
        <v>16399</v>
      </c>
      <c r="UXM1" t="s">
        <v>16400</v>
      </c>
      <c r="UXN1" t="s">
        <v>16401</v>
      </c>
      <c r="UXO1" t="s">
        <v>16402</v>
      </c>
      <c r="UXP1" t="s">
        <v>16403</v>
      </c>
      <c r="UXQ1" t="s">
        <v>16404</v>
      </c>
      <c r="UXR1" t="s">
        <v>16405</v>
      </c>
      <c r="UXS1" t="s">
        <v>16406</v>
      </c>
      <c r="UXT1" t="s">
        <v>16407</v>
      </c>
      <c r="UXU1" t="s">
        <v>16408</v>
      </c>
      <c r="UXV1" t="s">
        <v>16409</v>
      </c>
      <c r="UXW1" t="s">
        <v>16410</v>
      </c>
      <c r="UXX1" t="s">
        <v>16411</v>
      </c>
      <c r="UXY1" t="s">
        <v>16412</v>
      </c>
      <c r="UXZ1" t="s">
        <v>16413</v>
      </c>
      <c r="UYA1" t="s">
        <v>16414</v>
      </c>
      <c r="UYB1" t="s">
        <v>16415</v>
      </c>
      <c r="UYC1" t="s">
        <v>16416</v>
      </c>
      <c r="UYD1" t="s">
        <v>16417</v>
      </c>
      <c r="UYE1" t="s">
        <v>16418</v>
      </c>
      <c r="UYF1" t="s">
        <v>16419</v>
      </c>
      <c r="UYG1" t="s">
        <v>16420</v>
      </c>
      <c r="UYH1" t="s">
        <v>16421</v>
      </c>
      <c r="UYI1" t="s">
        <v>16422</v>
      </c>
      <c r="UYJ1" t="s">
        <v>16423</v>
      </c>
      <c r="UYK1" t="s">
        <v>16424</v>
      </c>
      <c r="UYL1" t="s">
        <v>16425</v>
      </c>
      <c r="UYM1" t="s">
        <v>16426</v>
      </c>
      <c r="UYN1" t="s">
        <v>16427</v>
      </c>
      <c r="UYO1" t="s">
        <v>16428</v>
      </c>
      <c r="UYP1" t="s">
        <v>16429</v>
      </c>
      <c r="UYQ1" t="s">
        <v>16430</v>
      </c>
      <c r="UYR1" t="s">
        <v>16431</v>
      </c>
      <c r="UYS1" t="s">
        <v>16432</v>
      </c>
      <c r="UYT1" t="s">
        <v>16433</v>
      </c>
      <c r="UYU1" t="s">
        <v>16434</v>
      </c>
      <c r="UYV1" t="s">
        <v>16435</v>
      </c>
      <c r="UYW1" t="s">
        <v>16436</v>
      </c>
      <c r="UYX1" t="s">
        <v>16437</v>
      </c>
      <c r="UYY1" t="s">
        <v>16438</v>
      </c>
      <c r="UYZ1" t="s">
        <v>16439</v>
      </c>
      <c r="UZA1" t="s">
        <v>16440</v>
      </c>
      <c r="UZB1" t="s">
        <v>16441</v>
      </c>
      <c r="UZC1" t="s">
        <v>16442</v>
      </c>
      <c r="UZD1" t="s">
        <v>16443</v>
      </c>
      <c r="UZE1" t="s">
        <v>16444</v>
      </c>
      <c r="UZF1" t="s">
        <v>16445</v>
      </c>
      <c r="UZG1" t="s">
        <v>16446</v>
      </c>
      <c r="UZH1" t="s">
        <v>16447</v>
      </c>
      <c r="UZI1" t="s">
        <v>16448</v>
      </c>
      <c r="UZJ1" t="s">
        <v>16449</v>
      </c>
      <c r="UZK1" t="s">
        <v>16450</v>
      </c>
      <c r="UZL1" t="s">
        <v>16451</v>
      </c>
      <c r="UZM1" t="s">
        <v>16452</v>
      </c>
      <c r="UZN1" t="s">
        <v>16453</v>
      </c>
      <c r="UZO1" t="s">
        <v>16454</v>
      </c>
      <c r="UZP1" t="s">
        <v>16455</v>
      </c>
      <c r="UZQ1" t="s">
        <v>16456</v>
      </c>
      <c r="UZR1" t="s">
        <v>16457</v>
      </c>
      <c r="UZS1" t="s">
        <v>16458</v>
      </c>
      <c r="UZT1" t="s">
        <v>16459</v>
      </c>
      <c r="UZU1" t="s">
        <v>16460</v>
      </c>
      <c r="UZV1" t="s">
        <v>16461</v>
      </c>
      <c r="UZW1" t="s">
        <v>16462</v>
      </c>
      <c r="UZX1" t="s">
        <v>16463</v>
      </c>
      <c r="UZY1" t="s">
        <v>16464</v>
      </c>
      <c r="UZZ1" t="s">
        <v>16465</v>
      </c>
      <c r="VAA1" t="s">
        <v>16466</v>
      </c>
      <c r="VAB1" t="s">
        <v>16467</v>
      </c>
      <c r="VAC1" t="s">
        <v>16468</v>
      </c>
      <c r="VAD1" t="s">
        <v>16469</v>
      </c>
      <c r="VAE1" t="s">
        <v>16470</v>
      </c>
      <c r="VAF1" t="s">
        <v>16471</v>
      </c>
      <c r="VAG1" t="s">
        <v>16472</v>
      </c>
      <c r="VAH1" t="s">
        <v>16473</v>
      </c>
      <c r="VAI1" t="s">
        <v>16474</v>
      </c>
      <c r="VAJ1" t="s">
        <v>16475</v>
      </c>
      <c r="VAK1" t="s">
        <v>16476</v>
      </c>
      <c r="VAL1" t="s">
        <v>16477</v>
      </c>
      <c r="VAM1" t="s">
        <v>16478</v>
      </c>
      <c r="VAN1" t="s">
        <v>16479</v>
      </c>
      <c r="VAO1" t="s">
        <v>16480</v>
      </c>
      <c r="VAP1" t="s">
        <v>16481</v>
      </c>
      <c r="VAQ1" t="s">
        <v>16482</v>
      </c>
      <c r="VAR1" t="s">
        <v>16483</v>
      </c>
      <c r="VAS1" t="s">
        <v>16484</v>
      </c>
      <c r="VAT1" t="s">
        <v>16485</v>
      </c>
      <c r="VAU1" t="s">
        <v>16486</v>
      </c>
      <c r="VAV1" t="s">
        <v>16487</v>
      </c>
      <c r="VAW1" t="s">
        <v>16488</v>
      </c>
      <c r="VAX1" t="s">
        <v>16489</v>
      </c>
      <c r="VAY1" t="s">
        <v>16490</v>
      </c>
      <c r="VAZ1" t="s">
        <v>16491</v>
      </c>
      <c r="VBA1" t="s">
        <v>16492</v>
      </c>
      <c r="VBB1" t="s">
        <v>16493</v>
      </c>
      <c r="VBC1" t="s">
        <v>16494</v>
      </c>
      <c r="VBD1" t="s">
        <v>16495</v>
      </c>
      <c r="VBE1" t="s">
        <v>16496</v>
      </c>
      <c r="VBF1" t="s">
        <v>16497</v>
      </c>
      <c r="VBG1" t="s">
        <v>16498</v>
      </c>
      <c r="VBH1" t="s">
        <v>16499</v>
      </c>
      <c r="VBI1" t="s">
        <v>16500</v>
      </c>
      <c r="VBJ1" t="s">
        <v>16501</v>
      </c>
      <c r="VBK1" t="s">
        <v>16502</v>
      </c>
      <c r="VBL1" t="s">
        <v>16503</v>
      </c>
      <c r="VBM1" t="s">
        <v>16504</v>
      </c>
      <c r="VBN1" t="s">
        <v>16505</v>
      </c>
      <c r="VBO1" t="s">
        <v>16506</v>
      </c>
      <c r="VBP1" t="s">
        <v>16507</v>
      </c>
      <c r="VBQ1" t="s">
        <v>16508</v>
      </c>
      <c r="VBR1" t="s">
        <v>16509</v>
      </c>
      <c r="VBS1" t="s">
        <v>16510</v>
      </c>
      <c r="VBT1" t="s">
        <v>16511</v>
      </c>
      <c r="VBU1" t="s">
        <v>16512</v>
      </c>
      <c r="VBV1" t="s">
        <v>16513</v>
      </c>
      <c r="VBW1" t="s">
        <v>16514</v>
      </c>
      <c r="VBX1" t="s">
        <v>16515</v>
      </c>
      <c r="VBY1" t="s">
        <v>16516</v>
      </c>
      <c r="VBZ1" t="s">
        <v>16517</v>
      </c>
      <c r="VCA1" t="s">
        <v>16518</v>
      </c>
      <c r="VCB1" t="s">
        <v>16519</v>
      </c>
      <c r="VCC1" t="s">
        <v>16520</v>
      </c>
      <c r="VCD1" t="s">
        <v>16521</v>
      </c>
      <c r="VCE1" t="s">
        <v>16522</v>
      </c>
      <c r="VCF1" t="s">
        <v>16523</v>
      </c>
      <c r="VCG1" t="s">
        <v>16524</v>
      </c>
      <c r="VCH1" t="s">
        <v>16525</v>
      </c>
      <c r="VCI1" t="s">
        <v>16526</v>
      </c>
      <c r="VCJ1" t="s">
        <v>16527</v>
      </c>
      <c r="VCK1" t="s">
        <v>16528</v>
      </c>
      <c r="VCL1" t="s">
        <v>16529</v>
      </c>
      <c r="VCM1" t="s">
        <v>16530</v>
      </c>
      <c r="VCN1" t="s">
        <v>16531</v>
      </c>
      <c r="VCO1" t="s">
        <v>16532</v>
      </c>
      <c r="VCP1" t="s">
        <v>16533</v>
      </c>
      <c r="VCQ1" t="s">
        <v>16534</v>
      </c>
      <c r="VCR1" t="s">
        <v>16535</v>
      </c>
      <c r="VCS1" t="s">
        <v>16536</v>
      </c>
      <c r="VCT1" t="s">
        <v>16537</v>
      </c>
      <c r="VCU1" t="s">
        <v>16538</v>
      </c>
      <c r="VCV1" t="s">
        <v>16539</v>
      </c>
      <c r="VCW1" t="s">
        <v>16540</v>
      </c>
      <c r="VCX1" t="s">
        <v>16541</v>
      </c>
      <c r="VCY1" t="s">
        <v>16542</v>
      </c>
      <c r="VCZ1" t="s">
        <v>16543</v>
      </c>
      <c r="VDA1" t="s">
        <v>16544</v>
      </c>
      <c r="VDB1" t="s">
        <v>16545</v>
      </c>
      <c r="VDC1" t="s">
        <v>16546</v>
      </c>
      <c r="VDD1" t="s">
        <v>16547</v>
      </c>
      <c r="VDE1" t="s">
        <v>16548</v>
      </c>
      <c r="VDF1" t="s">
        <v>16549</v>
      </c>
      <c r="VDG1" t="s">
        <v>16550</v>
      </c>
      <c r="VDH1" t="s">
        <v>16551</v>
      </c>
      <c r="VDI1" t="s">
        <v>16552</v>
      </c>
      <c r="VDJ1" t="s">
        <v>16553</v>
      </c>
      <c r="VDK1" t="s">
        <v>16554</v>
      </c>
      <c r="VDL1" t="s">
        <v>16555</v>
      </c>
      <c r="VDM1" t="s">
        <v>16556</v>
      </c>
      <c r="VDN1" t="s">
        <v>16557</v>
      </c>
      <c r="VDO1" t="s">
        <v>16558</v>
      </c>
      <c r="VDP1" t="s">
        <v>16559</v>
      </c>
      <c r="VDQ1" t="s">
        <v>16560</v>
      </c>
      <c r="VDR1" t="s">
        <v>16561</v>
      </c>
      <c r="VDS1" t="s">
        <v>16562</v>
      </c>
      <c r="VDT1" t="s">
        <v>16563</v>
      </c>
      <c r="VDU1" t="s">
        <v>16564</v>
      </c>
      <c r="VDV1" t="s">
        <v>16565</v>
      </c>
      <c r="VDW1" t="s">
        <v>16566</v>
      </c>
      <c r="VDX1" t="s">
        <v>16567</v>
      </c>
      <c r="VDY1" t="s">
        <v>16568</v>
      </c>
      <c r="VDZ1" t="s">
        <v>16569</v>
      </c>
      <c r="VEA1" t="s">
        <v>16570</v>
      </c>
      <c r="VEB1" t="s">
        <v>16571</v>
      </c>
      <c r="VEC1" t="s">
        <v>16572</v>
      </c>
      <c r="VED1" t="s">
        <v>16573</v>
      </c>
      <c r="VEE1" t="s">
        <v>16574</v>
      </c>
      <c r="VEF1" t="s">
        <v>16575</v>
      </c>
      <c r="VEG1" t="s">
        <v>16576</v>
      </c>
      <c r="VEH1" t="s">
        <v>16577</v>
      </c>
      <c r="VEI1" t="s">
        <v>16578</v>
      </c>
      <c r="VEJ1" t="s">
        <v>16579</v>
      </c>
      <c r="VEK1" t="s">
        <v>16580</v>
      </c>
      <c r="VEL1" t="s">
        <v>16581</v>
      </c>
      <c r="VEM1" t="s">
        <v>16582</v>
      </c>
      <c r="VEN1" t="s">
        <v>16583</v>
      </c>
      <c r="VEO1" t="s">
        <v>16584</v>
      </c>
      <c r="VEP1" t="s">
        <v>16585</v>
      </c>
      <c r="VEQ1" t="s">
        <v>16586</v>
      </c>
      <c r="VER1" t="s">
        <v>16587</v>
      </c>
      <c r="VES1" t="s">
        <v>16588</v>
      </c>
      <c r="VET1" t="s">
        <v>16589</v>
      </c>
      <c r="VEU1" t="s">
        <v>16590</v>
      </c>
      <c r="VEV1" t="s">
        <v>16591</v>
      </c>
      <c r="VEW1" t="s">
        <v>16592</v>
      </c>
      <c r="VEX1" t="s">
        <v>16593</v>
      </c>
      <c r="VEY1" t="s">
        <v>16594</v>
      </c>
      <c r="VEZ1" t="s">
        <v>16595</v>
      </c>
      <c r="VFA1" t="s">
        <v>16596</v>
      </c>
      <c r="VFB1" t="s">
        <v>16597</v>
      </c>
      <c r="VFC1" t="s">
        <v>16598</v>
      </c>
      <c r="VFD1" t="s">
        <v>16599</v>
      </c>
      <c r="VFE1" t="s">
        <v>16600</v>
      </c>
      <c r="VFF1" t="s">
        <v>16601</v>
      </c>
      <c r="VFG1" t="s">
        <v>16602</v>
      </c>
      <c r="VFH1" t="s">
        <v>16603</v>
      </c>
      <c r="VFI1" t="s">
        <v>16604</v>
      </c>
      <c r="VFJ1" t="s">
        <v>16605</v>
      </c>
      <c r="VFK1" t="s">
        <v>16606</v>
      </c>
      <c r="VFL1" t="s">
        <v>16607</v>
      </c>
      <c r="VFM1" t="s">
        <v>16608</v>
      </c>
      <c r="VFN1" t="s">
        <v>16609</v>
      </c>
      <c r="VFO1" t="s">
        <v>16610</v>
      </c>
      <c r="VFP1" t="s">
        <v>16611</v>
      </c>
      <c r="VFQ1" t="s">
        <v>16612</v>
      </c>
      <c r="VFR1" t="s">
        <v>16613</v>
      </c>
      <c r="VFS1" t="s">
        <v>16614</v>
      </c>
      <c r="VFT1" t="s">
        <v>16615</v>
      </c>
      <c r="VFU1" t="s">
        <v>16616</v>
      </c>
      <c r="VFV1" t="s">
        <v>16617</v>
      </c>
      <c r="VFW1" t="s">
        <v>16618</v>
      </c>
      <c r="VFX1" t="s">
        <v>16619</v>
      </c>
      <c r="VFY1" t="s">
        <v>16620</v>
      </c>
      <c r="VFZ1" t="s">
        <v>16621</v>
      </c>
      <c r="VGA1" t="s">
        <v>16622</v>
      </c>
      <c r="VGB1" t="s">
        <v>16623</v>
      </c>
      <c r="VGC1" t="s">
        <v>16624</v>
      </c>
      <c r="VGD1" t="s">
        <v>16625</v>
      </c>
      <c r="VGE1" t="s">
        <v>16626</v>
      </c>
      <c r="VGF1" t="s">
        <v>16627</v>
      </c>
      <c r="VGG1" t="s">
        <v>16628</v>
      </c>
      <c r="VGH1" t="s">
        <v>16629</v>
      </c>
      <c r="VGI1" t="s">
        <v>16630</v>
      </c>
      <c r="VGJ1" t="s">
        <v>16631</v>
      </c>
      <c r="VGK1" t="s">
        <v>16632</v>
      </c>
      <c r="VGL1" t="s">
        <v>16633</v>
      </c>
      <c r="VGM1" t="s">
        <v>16634</v>
      </c>
      <c r="VGN1" t="s">
        <v>16635</v>
      </c>
      <c r="VGO1" t="s">
        <v>16636</v>
      </c>
      <c r="VGP1" t="s">
        <v>16637</v>
      </c>
      <c r="VGQ1" t="s">
        <v>16638</v>
      </c>
      <c r="VGR1" t="s">
        <v>16639</v>
      </c>
      <c r="VGS1" t="s">
        <v>16640</v>
      </c>
      <c r="VGT1" t="s">
        <v>16641</v>
      </c>
      <c r="VGU1" t="s">
        <v>16642</v>
      </c>
      <c r="VGV1" t="s">
        <v>16643</v>
      </c>
      <c r="VGW1" t="s">
        <v>16644</v>
      </c>
      <c r="VGX1" t="s">
        <v>16645</v>
      </c>
      <c r="VGY1" t="s">
        <v>16646</v>
      </c>
      <c r="VGZ1" t="s">
        <v>16647</v>
      </c>
      <c r="VHA1" t="s">
        <v>16648</v>
      </c>
      <c r="VHB1" t="s">
        <v>16649</v>
      </c>
      <c r="VHC1" t="s">
        <v>16650</v>
      </c>
      <c r="VHD1" t="s">
        <v>16651</v>
      </c>
      <c r="VHE1" t="s">
        <v>16652</v>
      </c>
      <c r="VHF1" t="s">
        <v>16653</v>
      </c>
      <c r="VHG1" t="s">
        <v>16654</v>
      </c>
      <c r="VHH1" t="s">
        <v>16655</v>
      </c>
      <c r="VHI1" t="s">
        <v>16656</v>
      </c>
      <c r="VHJ1" t="s">
        <v>16657</v>
      </c>
      <c r="VHK1" t="s">
        <v>16658</v>
      </c>
      <c r="VHL1" t="s">
        <v>16659</v>
      </c>
      <c r="VHM1" t="s">
        <v>16660</v>
      </c>
      <c r="VHN1" t="s">
        <v>16661</v>
      </c>
      <c r="VHO1" t="s">
        <v>16662</v>
      </c>
      <c r="VHP1" t="s">
        <v>16663</v>
      </c>
      <c r="VHQ1" t="s">
        <v>16664</v>
      </c>
      <c r="VHR1" t="s">
        <v>16665</v>
      </c>
      <c r="VHS1" t="s">
        <v>16666</v>
      </c>
      <c r="VHT1" t="s">
        <v>16667</v>
      </c>
      <c r="VHU1" t="s">
        <v>16668</v>
      </c>
      <c r="VHV1" t="s">
        <v>16669</v>
      </c>
      <c r="VHW1" t="s">
        <v>16670</v>
      </c>
      <c r="VHX1" t="s">
        <v>16671</v>
      </c>
      <c r="VHY1" t="s">
        <v>16672</v>
      </c>
      <c r="VHZ1" t="s">
        <v>16673</v>
      </c>
      <c r="VIA1" t="s">
        <v>16674</v>
      </c>
      <c r="VIB1" t="s">
        <v>16675</v>
      </c>
      <c r="VIC1" t="s">
        <v>16676</v>
      </c>
      <c r="VID1" t="s">
        <v>16677</v>
      </c>
      <c r="VIE1" t="s">
        <v>16678</v>
      </c>
      <c r="VIF1" t="s">
        <v>16679</v>
      </c>
      <c r="VIG1" t="s">
        <v>16680</v>
      </c>
      <c r="VIH1" t="s">
        <v>16681</v>
      </c>
      <c r="VII1" t="s">
        <v>16682</v>
      </c>
      <c r="VIJ1" t="s">
        <v>16683</v>
      </c>
      <c r="VIK1" t="s">
        <v>16684</v>
      </c>
      <c r="VIL1" t="s">
        <v>16685</v>
      </c>
      <c r="VIM1" t="s">
        <v>16686</v>
      </c>
      <c r="VIN1" t="s">
        <v>16687</v>
      </c>
      <c r="VIO1" t="s">
        <v>16688</v>
      </c>
      <c r="VIP1" t="s">
        <v>16689</v>
      </c>
      <c r="VIQ1" t="s">
        <v>16690</v>
      </c>
      <c r="VIR1" t="s">
        <v>16691</v>
      </c>
      <c r="VIS1" t="s">
        <v>16692</v>
      </c>
      <c r="VIT1" t="s">
        <v>16693</v>
      </c>
      <c r="VIU1" t="s">
        <v>16694</v>
      </c>
      <c r="VIV1" t="s">
        <v>16695</v>
      </c>
      <c r="VIW1" t="s">
        <v>16696</v>
      </c>
      <c r="VIX1" t="s">
        <v>16697</v>
      </c>
      <c r="VIY1" t="s">
        <v>16698</v>
      </c>
      <c r="VIZ1" t="s">
        <v>16699</v>
      </c>
      <c r="VJA1" t="s">
        <v>16700</v>
      </c>
      <c r="VJB1" t="s">
        <v>16701</v>
      </c>
      <c r="VJC1" t="s">
        <v>16702</v>
      </c>
      <c r="VJD1" t="s">
        <v>16703</v>
      </c>
      <c r="VJE1" t="s">
        <v>16704</v>
      </c>
      <c r="VJF1" t="s">
        <v>16705</v>
      </c>
      <c r="VJG1" t="s">
        <v>16706</v>
      </c>
      <c r="VJH1" t="s">
        <v>16707</v>
      </c>
      <c r="VJI1" t="s">
        <v>16708</v>
      </c>
      <c r="VJJ1" t="s">
        <v>16709</v>
      </c>
      <c r="VJK1" t="s">
        <v>16710</v>
      </c>
      <c r="VJL1" t="s">
        <v>16711</v>
      </c>
      <c r="VJM1" t="s">
        <v>16712</v>
      </c>
      <c r="VJN1" t="s">
        <v>16713</v>
      </c>
      <c r="VJO1" t="s">
        <v>16714</v>
      </c>
      <c r="VJP1" t="s">
        <v>16715</v>
      </c>
      <c r="VJQ1" t="s">
        <v>16716</v>
      </c>
      <c r="VJR1" t="s">
        <v>16717</v>
      </c>
      <c r="VJS1" t="s">
        <v>16718</v>
      </c>
      <c r="VJT1" t="s">
        <v>16719</v>
      </c>
      <c r="VJU1" t="s">
        <v>16720</v>
      </c>
      <c r="VJV1" t="s">
        <v>16721</v>
      </c>
      <c r="VJW1" t="s">
        <v>16722</v>
      </c>
      <c r="VJX1" t="s">
        <v>16723</v>
      </c>
      <c r="VJY1" t="s">
        <v>16724</v>
      </c>
      <c r="VJZ1" t="s">
        <v>16725</v>
      </c>
      <c r="VKA1" t="s">
        <v>16726</v>
      </c>
      <c r="VKB1" t="s">
        <v>16727</v>
      </c>
      <c r="VKC1" t="s">
        <v>16728</v>
      </c>
      <c r="VKD1" t="s">
        <v>16729</v>
      </c>
      <c r="VKE1" t="s">
        <v>16730</v>
      </c>
      <c r="VKF1" t="s">
        <v>16731</v>
      </c>
      <c r="VKG1" t="s">
        <v>16732</v>
      </c>
      <c r="VKH1" t="s">
        <v>16733</v>
      </c>
      <c r="VKI1" t="s">
        <v>16734</v>
      </c>
      <c r="VKJ1" t="s">
        <v>16735</v>
      </c>
      <c r="VKK1" t="s">
        <v>16736</v>
      </c>
      <c r="VKL1" t="s">
        <v>16737</v>
      </c>
      <c r="VKM1" t="s">
        <v>16738</v>
      </c>
      <c r="VKN1" t="s">
        <v>16739</v>
      </c>
      <c r="VKO1" t="s">
        <v>16740</v>
      </c>
      <c r="VKP1" t="s">
        <v>16741</v>
      </c>
      <c r="VKQ1" t="s">
        <v>16742</v>
      </c>
      <c r="VKR1" t="s">
        <v>16743</v>
      </c>
      <c r="VKS1" t="s">
        <v>16744</v>
      </c>
      <c r="VKT1" t="s">
        <v>16745</v>
      </c>
      <c r="VKU1" t="s">
        <v>16746</v>
      </c>
      <c r="VKV1" t="s">
        <v>16747</v>
      </c>
      <c r="VKW1" t="s">
        <v>16748</v>
      </c>
      <c r="VKX1" t="s">
        <v>16749</v>
      </c>
      <c r="VKY1" t="s">
        <v>16750</v>
      </c>
      <c r="VKZ1" t="s">
        <v>16751</v>
      </c>
      <c r="VLA1" t="s">
        <v>16752</v>
      </c>
      <c r="VLB1" t="s">
        <v>16753</v>
      </c>
      <c r="VLC1" t="s">
        <v>16754</v>
      </c>
      <c r="VLD1" t="s">
        <v>16755</v>
      </c>
      <c r="VLE1" t="s">
        <v>16756</v>
      </c>
      <c r="VLF1" t="s">
        <v>16757</v>
      </c>
      <c r="VLG1" t="s">
        <v>16758</v>
      </c>
      <c r="VLH1" t="s">
        <v>16759</v>
      </c>
      <c r="VLI1" t="s">
        <v>16760</v>
      </c>
      <c r="VLJ1" t="s">
        <v>16761</v>
      </c>
      <c r="VLK1" t="s">
        <v>16762</v>
      </c>
      <c r="VLL1" t="s">
        <v>16763</v>
      </c>
      <c r="VLM1" t="s">
        <v>16764</v>
      </c>
      <c r="VLN1" t="s">
        <v>16765</v>
      </c>
      <c r="VLO1" t="s">
        <v>16766</v>
      </c>
      <c r="VLP1" t="s">
        <v>16767</v>
      </c>
      <c r="VLQ1" t="s">
        <v>16768</v>
      </c>
      <c r="VLR1" t="s">
        <v>16769</v>
      </c>
      <c r="VLS1" t="s">
        <v>16770</v>
      </c>
      <c r="VLT1" t="s">
        <v>16771</v>
      </c>
      <c r="VLU1" t="s">
        <v>16772</v>
      </c>
      <c r="VLV1" t="s">
        <v>16773</v>
      </c>
      <c r="VLW1" t="s">
        <v>16774</v>
      </c>
      <c r="VLX1" t="s">
        <v>16775</v>
      </c>
      <c r="VLY1" t="s">
        <v>16776</v>
      </c>
      <c r="VLZ1" t="s">
        <v>16777</v>
      </c>
      <c r="VMA1" t="s">
        <v>16778</v>
      </c>
      <c r="VMB1" t="s">
        <v>16779</v>
      </c>
      <c r="VMC1" t="s">
        <v>16780</v>
      </c>
      <c r="VMD1" t="s">
        <v>16781</v>
      </c>
      <c r="VME1" t="s">
        <v>16782</v>
      </c>
      <c r="VMF1" t="s">
        <v>16783</v>
      </c>
      <c r="VMG1" t="s">
        <v>16784</v>
      </c>
      <c r="VMH1" t="s">
        <v>16785</v>
      </c>
      <c r="VMI1" t="s">
        <v>16786</v>
      </c>
      <c r="VMJ1" t="s">
        <v>16787</v>
      </c>
      <c r="VMK1" t="s">
        <v>16788</v>
      </c>
      <c r="VML1" t="s">
        <v>16789</v>
      </c>
      <c r="VMM1" t="s">
        <v>16790</v>
      </c>
      <c r="VMN1" t="s">
        <v>16791</v>
      </c>
      <c r="VMO1" t="s">
        <v>16792</v>
      </c>
      <c r="VMP1" t="s">
        <v>16793</v>
      </c>
      <c r="VMQ1" t="s">
        <v>16794</v>
      </c>
      <c r="VMR1" t="s">
        <v>16795</v>
      </c>
      <c r="VMS1" t="s">
        <v>16796</v>
      </c>
      <c r="VMT1" t="s">
        <v>16797</v>
      </c>
      <c r="VMU1" t="s">
        <v>16798</v>
      </c>
      <c r="VMV1" t="s">
        <v>16799</v>
      </c>
      <c r="VMW1" t="s">
        <v>16800</v>
      </c>
      <c r="VMX1" t="s">
        <v>16801</v>
      </c>
      <c r="VMY1" t="s">
        <v>16802</v>
      </c>
      <c r="VMZ1" t="s">
        <v>16803</v>
      </c>
      <c r="VNA1" t="s">
        <v>16804</v>
      </c>
      <c r="VNB1" t="s">
        <v>16805</v>
      </c>
      <c r="VNC1" t="s">
        <v>16806</v>
      </c>
      <c r="VND1" t="s">
        <v>16807</v>
      </c>
      <c r="VNE1" t="s">
        <v>16808</v>
      </c>
      <c r="VNF1" t="s">
        <v>16809</v>
      </c>
      <c r="VNG1" t="s">
        <v>16810</v>
      </c>
      <c r="VNH1" t="s">
        <v>16811</v>
      </c>
      <c r="VNI1" t="s">
        <v>16812</v>
      </c>
      <c r="VNJ1" t="s">
        <v>16813</v>
      </c>
      <c r="VNK1" t="s">
        <v>16814</v>
      </c>
      <c r="VNL1" t="s">
        <v>16815</v>
      </c>
      <c r="VNM1" t="s">
        <v>16816</v>
      </c>
      <c r="VNN1" t="s">
        <v>16817</v>
      </c>
      <c r="VNO1" t="s">
        <v>16818</v>
      </c>
      <c r="VNP1" t="s">
        <v>16819</v>
      </c>
      <c r="VNQ1" t="s">
        <v>16820</v>
      </c>
      <c r="VNR1" t="s">
        <v>16821</v>
      </c>
      <c r="VNS1" t="s">
        <v>16822</v>
      </c>
      <c r="VNT1" t="s">
        <v>16823</v>
      </c>
      <c r="VNU1" t="s">
        <v>16824</v>
      </c>
      <c r="VNV1" t="s">
        <v>16825</v>
      </c>
      <c r="VNW1" t="s">
        <v>16826</v>
      </c>
      <c r="VNX1" t="s">
        <v>16827</v>
      </c>
      <c r="VNY1" t="s">
        <v>16828</v>
      </c>
      <c r="VNZ1" t="s">
        <v>16829</v>
      </c>
      <c r="VOA1" t="s">
        <v>16830</v>
      </c>
      <c r="VOB1" t="s">
        <v>16831</v>
      </c>
      <c r="VOC1" t="s">
        <v>16832</v>
      </c>
      <c r="VOD1" t="s">
        <v>16833</v>
      </c>
      <c r="VOE1" t="s">
        <v>16834</v>
      </c>
      <c r="VOF1" t="s">
        <v>16835</v>
      </c>
      <c r="VOG1" t="s">
        <v>16836</v>
      </c>
      <c r="VOH1" t="s">
        <v>16837</v>
      </c>
      <c r="VOI1" t="s">
        <v>16838</v>
      </c>
      <c r="VOJ1" t="s">
        <v>16839</v>
      </c>
      <c r="VOK1" t="s">
        <v>16840</v>
      </c>
      <c r="VOL1" t="s">
        <v>16841</v>
      </c>
      <c r="VOM1" t="s">
        <v>16842</v>
      </c>
      <c r="VON1" t="s">
        <v>16843</v>
      </c>
      <c r="VOO1" t="s">
        <v>16844</v>
      </c>
      <c r="VOP1" t="s">
        <v>16845</v>
      </c>
      <c r="VOQ1" t="s">
        <v>16846</v>
      </c>
      <c r="VOR1" t="s">
        <v>16847</v>
      </c>
      <c r="VOS1" t="s">
        <v>16848</v>
      </c>
      <c r="VOT1" t="s">
        <v>16849</v>
      </c>
      <c r="VOU1" t="s">
        <v>16850</v>
      </c>
      <c r="VOV1" t="s">
        <v>16851</v>
      </c>
      <c r="VOW1" t="s">
        <v>16852</v>
      </c>
      <c r="VOX1" t="s">
        <v>16853</v>
      </c>
      <c r="VOY1" t="s">
        <v>16854</v>
      </c>
      <c r="VOZ1" t="s">
        <v>16855</v>
      </c>
      <c r="VPA1" t="s">
        <v>16856</v>
      </c>
      <c r="VPB1" t="s">
        <v>16857</v>
      </c>
      <c r="VPC1" t="s">
        <v>16858</v>
      </c>
      <c r="VPD1" t="s">
        <v>16859</v>
      </c>
      <c r="VPE1" t="s">
        <v>16860</v>
      </c>
      <c r="VPF1" t="s">
        <v>16861</v>
      </c>
      <c r="VPG1" t="s">
        <v>16862</v>
      </c>
      <c r="VPH1" t="s">
        <v>16863</v>
      </c>
      <c r="VPI1" t="s">
        <v>16864</v>
      </c>
      <c r="VPJ1" t="s">
        <v>16865</v>
      </c>
      <c r="VPK1" t="s">
        <v>16866</v>
      </c>
      <c r="VPL1" t="s">
        <v>16867</v>
      </c>
      <c r="VPM1" t="s">
        <v>16868</v>
      </c>
      <c r="VPN1" t="s">
        <v>16869</v>
      </c>
      <c r="VPO1" t="s">
        <v>16870</v>
      </c>
      <c r="VPP1" t="s">
        <v>16871</v>
      </c>
      <c r="VPQ1" t="s">
        <v>16872</v>
      </c>
      <c r="VPR1" t="s">
        <v>16873</v>
      </c>
      <c r="VPS1" t="s">
        <v>16874</v>
      </c>
      <c r="VPT1" t="s">
        <v>16875</v>
      </c>
      <c r="VPU1" t="s">
        <v>16876</v>
      </c>
      <c r="VPV1" t="s">
        <v>16877</v>
      </c>
      <c r="VPW1" t="s">
        <v>16878</v>
      </c>
      <c r="VPX1" t="s">
        <v>16879</v>
      </c>
      <c r="VPY1" t="s">
        <v>16880</v>
      </c>
      <c r="VPZ1" t="s">
        <v>16881</v>
      </c>
      <c r="VQA1" t="s">
        <v>16882</v>
      </c>
      <c r="VQB1" t="s">
        <v>16883</v>
      </c>
      <c r="VQC1" t="s">
        <v>16884</v>
      </c>
      <c r="VQD1" t="s">
        <v>16885</v>
      </c>
      <c r="VQE1" t="s">
        <v>16886</v>
      </c>
      <c r="VQF1" t="s">
        <v>16887</v>
      </c>
      <c r="VQG1" t="s">
        <v>16888</v>
      </c>
      <c r="VQH1" t="s">
        <v>16889</v>
      </c>
      <c r="VQI1" t="s">
        <v>16890</v>
      </c>
      <c r="VQJ1" t="s">
        <v>16891</v>
      </c>
      <c r="VQK1" t="s">
        <v>16892</v>
      </c>
      <c r="VQL1" t="s">
        <v>16893</v>
      </c>
      <c r="VQM1" t="s">
        <v>16894</v>
      </c>
      <c r="VQN1" t="s">
        <v>16895</v>
      </c>
      <c r="VQO1" t="s">
        <v>16896</v>
      </c>
      <c r="VQP1" t="s">
        <v>16897</v>
      </c>
      <c r="VQQ1" t="s">
        <v>16898</v>
      </c>
      <c r="VQR1" t="s">
        <v>16899</v>
      </c>
      <c r="VQS1" t="s">
        <v>16900</v>
      </c>
      <c r="VQT1" t="s">
        <v>16901</v>
      </c>
      <c r="VQU1" t="s">
        <v>16902</v>
      </c>
      <c r="VQV1" t="s">
        <v>16903</v>
      </c>
      <c r="VQW1" t="s">
        <v>16904</v>
      </c>
      <c r="VQX1" t="s">
        <v>16905</v>
      </c>
      <c r="VQY1" t="s">
        <v>16906</v>
      </c>
      <c r="VQZ1" t="s">
        <v>16907</v>
      </c>
      <c r="VRA1" t="s">
        <v>16908</v>
      </c>
      <c r="VRB1" t="s">
        <v>16909</v>
      </c>
      <c r="VRC1" t="s">
        <v>16910</v>
      </c>
      <c r="VRD1" t="s">
        <v>16911</v>
      </c>
      <c r="VRE1" t="s">
        <v>16912</v>
      </c>
      <c r="VRF1" t="s">
        <v>16913</v>
      </c>
      <c r="VRG1" t="s">
        <v>16914</v>
      </c>
      <c r="VRH1" t="s">
        <v>16915</v>
      </c>
      <c r="VRI1" t="s">
        <v>16916</v>
      </c>
      <c r="VRJ1" t="s">
        <v>16917</v>
      </c>
      <c r="VRK1" t="s">
        <v>16918</v>
      </c>
      <c r="VRL1" t="s">
        <v>16919</v>
      </c>
      <c r="VRM1" t="s">
        <v>16920</v>
      </c>
      <c r="VRN1" t="s">
        <v>16921</v>
      </c>
      <c r="VRO1" t="s">
        <v>16922</v>
      </c>
      <c r="VRP1" t="s">
        <v>16923</v>
      </c>
      <c r="VRQ1" t="s">
        <v>16924</v>
      </c>
      <c r="VRR1" t="s">
        <v>16925</v>
      </c>
      <c r="VRS1" t="s">
        <v>16926</v>
      </c>
      <c r="VRT1" t="s">
        <v>16927</v>
      </c>
      <c r="VRU1" t="s">
        <v>16928</v>
      </c>
      <c r="VRV1" t="s">
        <v>16929</v>
      </c>
      <c r="VRW1" t="s">
        <v>16930</v>
      </c>
      <c r="VRX1" t="s">
        <v>16931</v>
      </c>
      <c r="VRY1" t="s">
        <v>16932</v>
      </c>
      <c r="VRZ1" t="s">
        <v>16933</v>
      </c>
      <c r="VSA1" t="s">
        <v>16934</v>
      </c>
      <c r="VSB1" t="s">
        <v>16935</v>
      </c>
      <c r="VSC1" t="s">
        <v>16936</v>
      </c>
      <c r="VSD1" t="s">
        <v>16937</v>
      </c>
      <c r="VSE1" t="s">
        <v>16938</v>
      </c>
      <c r="VSF1" t="s">
        <v>16939</v>
      </c>
      <c r="VSG1" t="s">
        <v>16940</v>
      </c>
      <c r="VSH1" t="s">
        <v>16941</v>
      </c>
      <c r="VSI1" t="s">
        <v>16942</v>
      </c>
      <c r="VSJ1" t="s">
        <v>16943</v>
      </c>
      <c r="VSK1" t="s">
        <v>16944</v>
      </c>
      <c r="VSL1" t="s">
        <v>16945</v>
      </c>
      <c r="VSM1" t="s">
        <v>16946</v>
      </c>
      <c r="VSN1" t="s">
        <v>16947</v>
      </c>
      <c r="VSO1" t="s">
        <v>16948</v>
      </c>
      <c r="VSP1" t="s">
        <v>16949</v>
      </c>
      <c r="VSQ1" t="s">
        <v>16950</v>
      </c>
      <c r="VSR1" t="s">
        <v>16951</v>
      </c>
      <c r="VSS1" t="s">
        <v>16952</v>
      </c>
      <c r="VST1" t="s">
        <v>16953</v>
      </c>
      <c r="VSU1" t="s">
        <v>16954</v>
      </c>
      <c r="VSV1" t="s">
        <v>16955</v>
      </c>
      <c r="VSW1" t="s">
        <v>16956</v>
      </c>
      <c r="VSX1" t="s">
        <v>16957</v>
      </c>
      <c r="VSY1" t="s">
        <v>16958</v>
      </c>
      <c r="VSZ1" t="s">
        <v>16959</v>
      </c>
      <c r="VTA1" t="s">
        <v>16960</v>
      </c>
      <c r="VTB1" t="s">
        <v>16961</v>
      </c>
      <c r="VTC1" t="s">
        <v>16962</v>
      </c>
      <c r="VTD1" t="s">
        <v>16963</v>
      </c>
      <c r="VTE1" t="s">
        <v>16964</v>
      </c>
      <c r="VTF1" t="s">
        <v>16965</v>
      </c>
      <c r="VTG1" t="s">
        <v>16966</v>
      </c>
      <c r="VTH1" t="s">
        <v>16967</v>
      </c>
      <c r="VTI1" t="s">
        <v>16968</v>
      </c>
      <c r="VTJ1" t="s">
        <v>16969</v>
      </c>
      <c r="VTK1" t="s">
        <v>16970</v>
      </c>
      <c r="VTL1" t="s">
        <v>16971</v>
      </c>
      <c r="VTM1" t="s">
        <v>16972</v>
      </c>
      <c r="VTN1" t="s">
        <v>16973</v>
      </c>
      <c r="VTO1" t="s">
        <v>16974</v>
      </c>
      <c r="VTP1" t="s">
        <v>16975</v>
      </c>
      <c r="VTQ1" t="s">
        <v>16976</v>
      </c>
      <c r="VTR1" t="s">
        <v>16977</v>
      </c>
      <c r="VTS1" t="s">
        <v>16978</v>
      </c>
      <c r="VTT1" t="s">
        <v>16979</v>
      </c>
      <c r="VTU1" t="s">
        <v>16980</v>
      </c>
      <c r="VTV1" t="s">
        <v>16981</v>
      </c>
      <c r="VTW1" t="s">
        <v>16982</v>
      </c>
      <c r="VTX1" t="s">
        <v>16983</v>
      </c>
      <c r="VTY1" t="s">
        <v>16984</v>
      </c>
      <c r="VTZ1" t="s">
        <v>16985</v>
      </c>
      <c r="VUA1" t="s">
        <v>16986</v>
      </c>
      <c r="VUB1" t="s">
        <v>16987</v>
      </c>
      <c r="VUC1" t="s">
        <v>16988</v>
      </c>
      <c r="VUD1" t="s">
        <v>16989</v>
      </c>
      <c r="VUE1" t="s">
        <v>16990</v>
      </c>
      <c r="VUF1" t="s">
        <v>16991</v>
      </c>
      <c r="VUG1" t="s">
        <v>16992</v>
      </c>
      <c r="VUH1" t="s">
        <v>16993</v>
      </c>
      <c r="VUI1" t="s">
        <v>16994</v>
      </c>
      <c r="VUJ1" t="s">
        <v>16995</v>
      </c>
      <c r="VUK1" t="s">
        <v>16996</v>
      </c>
      <c r="VUL1" t="s">
        <v>16997</v>
      </c>
      <c r="VUM1" t="s">
        <v>16998</v>
      </c>
      <c r="VUN1" t="s">
        <v>16999</v>
      </c>
      <c r="VUO1" t="s">
        <v>17000</v>
      </c>
      <c r="VUP1" t="s">
        <v>17001</v>
      </c>
      <c r="VUQ1" t="s">
        <v>17002</v>
      </c>
      <c r="VUR1" t="s">
        <v>17003</v>
      </c>
      <c r="VUS1" t="s">
        <v>17004</v>
      </c>
      <c r="VUT1" t="s">
        <v>17005</v>
      </c>
      <c r="VUU1" t="s">
        <v>17006</v>
      </c>
      <c r="VUV1" t="s">
        <v>17007</v>
      </c>
      <c r="VUW1" t="s">
        <v>17008</v>
      </c>
      <c r="VUX1" t="s">
        <v>17009</v>
      </c>
      <c r="VUY1" t="s">
        <v>17010</v>
      </c>
      <c r="VUZ1" t="s">
        <v>17011</v>
      </c>
      <c r="VVA1" t="s">
        <v>17012</v>
      </c>
      <c r="VVB1" t="s">
        <v>17013</v>
      </c>
      <c r="VVC1" t="s">
        <v>17014</v>
      </c>
      <c r="VVD1" t="s">
        <v>17015</v>
      </c>
      <c r="VVE1" t="s">
        <v>17016</v>
      </c>
      <c r="VVF1" t="s">
        <v>17017</v>
      </c>
      <c r="VVG1" t="s">
        <v>17018</v>
      </c>
      <c r="VVH1" t="s">
        <v>17019</v>
      </c>
      <c r="VVI1" t="s">
        <v>17020</v>
      </c>
      <c r="VVJ1" t="s">
        <v>17021</v>
      </c>
      <c r="VVK1" t="s">
        <v>17022</v>
      </c>
      <c r="VVL1" t="s">
        <v>17023</v>
      </c>
      <c r="VVM1" t="s">
        <v>17024</v>
      </c>
      <c r="VVN1" t="s">
        <v>17025</v>
      </c>
      <c r="VVO1" t="s">
        <v>17026</v>
      </c>
      <c r="VVP1" t="s">
        <v>17027</v>
      </c>
      <c r="VVQ1" t="s">
        <v>17028</v>
      </c>
      <c r="VVR1" t="s">
        <v>17029</v>
      </c>
      <c r="VVS1" t="s">
        <v>17030</v>
      </c>
      <c r="VVT1" t="s">
        <v>17031</v>
      </c>
      <c r="VVU1" t="s">
        <v>17032</v>
      </c>
      <c r="VVV1" t="s">
        <v>17033</v>
      </c>
      <c r="VVW1" t="s">
        <v>17034</v>
      </c>
      <c r="VVX1" t="s">
        <v>17035</v>
      </c>
      <c r="VVY1" t="s">
        <v>17036</v>
      </c>
      <c r="VVZ1" t="s">
        <v>17037</v>
      </c>
      <c r="VWA1" t="s">
        <v>17038</v>
      </c>
      <c r="VWB1" t="s">
        <v>17039</v>
      </c>
      <c r="VWC1" t="s">
        <v>17040</v>
      </c>
      <c r="VWD1" t="s">
        <v>17041</v>
      </c>
      <c r="VWE1" t="s">
        <v>17042</v>
      </c>
      <c r="VWF1" t="s">
        <v>17043</v>
      </c>
      <c r="VWG1" t="s">
        <v>17044</v>
      </c>
      <c r="VWH1" t="s">
        <v>17045</v>
      </c>
      <c r="VWI1" t="s">
        <v>17046</v>
      </c>
      <c r="VWJ1" t="s">
        <v>17047</v>
      </c>
      <c r="VWK1" t="s">
        <v>17048</v>
      </c>
      <c r="VWL1" t="s">
        <v>17049</v>
      </c>
      <c r="VWM1" t="s">
        <v>17050</v>
      </c>
      <c r="VWN1" t="s">
        <v>17051</v>
      </c>
      <c r="VWO1" t="s">
        <v>17052</v>
      </c>
      <c r="VWP1" t="s">
        <v>17053</v>
      </c>
      <c r="VWQ1" t="s">
        <v>17054</v>
      </c>
      <c r="VWR1" t="s">
        <v>17055</v>
      </c>
      <c r="VWS1" t="s">
        <v>17056</v>
      </c>
      <c r="VWT1" t="s">
        <v>17057</v>
      </c>
      <c r="VWU1" t="s">
        <v>17058</v>
      </c>
      <c r="VWV1" t="s">
        <v>17059</v>
      </c>
      <c r="VWW1" t="s">
        <v>17060</v>
      </c>
      <c r="VWX1" t="s">
        <v>17061</v>
      </c>
      <c r="VWY1" t="s">
        <v>17062</v>
      </c>
      <c r="VWZ1" t="s">
        <v>17063</v>
      </c>
      <c r="VXA1" t="s">
        <v>17064</v>
      </c>
      <c r="VXB1" t="s">
        <v>17065</v>
      </c>
      <c r="VXC1" t="s">
        <v>17066</v>
      </c>
      <c r="VXD1" t="s">
        <v>17067</v>
      </c>
      <c r="VXE1" t="s">
        <v>17068</v>
      </c>
      <c r="VXF1" t="s">
        <v>17069</v>
      </c>
      <c r="VXG1" t="s">
        <v>17070</v>
      </c>
      <c r="VXH1" t="s">
        <v>17071</v>
      </c>
      <c r="VXI1" t="s">
        <v>17072</v>
      </c>
      <c r="VXJ1" t="s">
        <v>17073</v>
      </c>
      <c r="VXK1" t="s">
        <v>17074</v>
      </c>
      <c r="VXL1" t="s">
        <v>17075</v>
      </c>
      <c r="VXM1" t="s">
        <v>17076</v>
      </c>
      <c r="VXN1" t="s">
        <v>17077</v>
      </c>
      <c r="VXO1" t="s">
        <v>17078</v>
      </c>
      <c r="VXP1" t="s">
        <v>17079</v>
      </c>
      <c r="VXQ1" t="s">
        <v>17080</v>
      </c>
      <c r="VXR1" t="s">
        <v>17081</v>
      </c>
      <c r="VXS1" t="s">
        <v>17082</v>
      </c>
      <c r="VXT1" t="s">
        <v>17083</v>
      </c>
      <c r="VXU1" t="s">
        <v>17084</v>
      </c>
      <c r="VXV1" t="s">
        <v>17085</v>
      </c>
      <c r="VXW1" t="s">
        <v>17086</v>
      </c>
      <c r="VXX1" t="s">
        <v>17087</v>
      </c>
      <c r="VXY1" t="s">
        <v>17088</v>
      </c>
      <c r="VXZ1" t="s">
        <v>17089</v>
      </c>
      <c r="VYA1" t="s">
        <v>17090</v>
      </c>
      <c r="VYB1" t="s">
        <v>17091</v>
      </c>
      <c r="VYC1" t="s">
        <v>17092</v>
      </c>
      <c r="VYD1" t="s">
        <v>17093</v>
      </c>
      <c r="VYE1" t="s">
        <v>17094</v>
      </c>
      <c r="VYF1" t="s">
        <v>17095</v>
      </c>
      <c r="VYG1" t="s">
        <v>17096</v>
      </c>
      <c r="VYH1" t="s">
        <v>17097</v>
      </c>
      <c r="VYI1" t="s">
        <v>17098</v>
      </c>
      <c r="VYJ1" t="s">
        <v>17099</v>
      </c>
      <c r="VYK1" t="s">
        <v>17100</v>
      </c>
      <c r="VYL1" t="s">
        <v>17101</v>
      </c>
      <c r="VYM1" t="s">
        <v>17102</v>
      </c>
      <c r="VYN1" t="s">
        <v>17103</v>
      </c>
      <c r="VYO1" t="s">
        <v>17104</v>
      </c>
      <c r="VYP1" t="s">
        <v>17105</v>
      </c>
      <c r="VYQ1" t="s">
        <v>17106</v>
      </c>
      <c r="VYR1" t="s">
        <v>17107</v>
      </c>
      <c r="VYS1" t="s">
        <v>17108</v>
      </c>
      <c r="VYT1" t="s">
        <v>17109</v>
      </c>
      <c r="VYU1" t="s">
        <v>17110</v>
      </c>
      <c r="VYV1" t="s">
        <v>17111</v>
      </c>
      <c r="VYW1" t="s">
        <v>17112</v>
      </c>
      <c r="VYX1" t="s">
        <v>17113</v>
      </c>
      <c r="VYY1" t="s">
        <v>17114</v>
      </c>
      <c r="VYZ1" t="s">
        <v>17115</v>
      </c>
      <c r="VZA1" t="s">
        <v>17116</v>
      </c>
      <c r="VZB1" t="s">
        <v>17117</v>
      </c>
      <c r="VZC1" t="s">
        <v>17118</v>
      </c>
      <c r="VZD1" t="s">
        <v>17119</v>
      </c>
      <c r="VZE1" t="s">
        <v>17120</v>
      </c>
      <c r="VZF1" t="s">
        <v>17121</v>
      </c>
      <c r="VZG1" t="s">
        <v>17122</v>
      </c>
      <c r="VZH1" t="s">
        <v>17123</v>
      </c>
      <c r="VZI1" t="s">
        <v>17124</v>
      </c>
      <c r="VZJ1" t="s">
        <v>17125</v>
      </c>
      <c r="VZK1" t="s">
        <v>17126</v>
      </c>
      <c r="VZL1" t="s">
        <v>17127</v>
      </c>
      <c r="VZM1" t="s">
        <v>17128</v>
      </c>
      <c r="VZN1" t="s">
        <v>17129</v>
      </c>
      <c r="VZO1" t="s">
        <v>17130</v>
      </c>
      <c r="VZP1" t="s">
        <v>17131</v>
      </c>
      <c r="VZQ1" t="s">
        <v>17132</v>
      </c>
      <c r="VZR1" t="s">
        <v>17133</v>
      </c>
      <c r="VZS1" t="s">
        <v>17134</v>
      </c>
      <c r="VZT1" t="s">
        <v>17135</v>
      </c>
      <c r="VZU1" t="s">
        <v>17136</v>
      </c>
      <c r="VZV1" t="s">
        <v>17137</v>
      </c>
      <c r="VZW1" t="s">
        <v>17138</v>
      </c>
      <c r="VZX1" t="s">
        <v>17139</v>
      </c>
      <c r="VZY1" t="s">
        <v>17140</v>
      </c>
      <c r="VZZ1" t="s">
        <v>17141</v>
      </c>
      <c r="WAA1" t="s">
        <v>17142</v>
      </c>
      <c r="WAB1" t="s">
        <v>17143</v>
      </c>
      <c r="WAC1" t="s">
        <v>17144</v>
      </c>
      <c r="WAD1" t="s">
        <v>17145</v>
      </c>
      <c r="WAE1" t="s">
        <v>17146</v>
      </c>
      <c r="WAF1" t="s">
        <v>17147</v>
      </c>
      <c r="WAG1" t="s">
        <v>17148</v>
      </c>
      <c r="WAH1" t="s">
        <v>17149</v>
      </c>
      <c r="WAI1" t="s">
        <v>17150</v>
      </c>
      <c r="WAJ1" t="s">
        <v>17151</v>
      </c>
      <c r="WAK1" t="s">
        <v>17152</v>
      </c>
      <c r="WAL1" t="s">
        <v>17153</v>
      </c>
      <c r="WAM1" t="s">
        <v>17154</v>
      </c>
      <c r="WAN1" t="s">
        <v>17155</v>
      </c>
      <c r="WAO1" t="s">
        <v>17156</v>
      </c>
      <c r="WAP1" t="s">
        <v>17157</v>
      </c>
      <c r="WAQ1" t="s">
        <v>17158</v>
      </c>
      <c r="WAR1" t="s">
        <v>17159</v>
      </c>
      <c r="WAS1" t="s">
        <v>17160</v>
      </c>
      <c r="WAT1" t="s">
        <v>17161</v>
      </c>
      <c r="WAU1" t="s">
        <v>17162</v>
      </c>
      <c r="WAV1" t="s">
        <v>17163</v>
      </c>
      <c r="WAW1" t="s">
        <v>17164</v>
      </c>
      <c r="WAX1" t="s">
        <v>17165</v>
      </c>
      <c r="WAY1" t="s">
        <v>17166</v>
      </c>
      <c r="WAZ1" t="s">
        <v>17167</v>
      </c>
      <c r="WBA1" t="s">
        <v>17168</v>
      </c>
      <c r="WBB1" t="s">
        <v>17169</v>
      </c>
      <c r="WBC1" t="s">
        <v>17170</v>
      </c>
      <c r="WBD1" t="s">
        <v>17171</v>
      </c>
      <c r="WBE1" t="s">
        <v>17172</v>
      </c>
      <c r="WBF1" t="s">
        <v>17173</v>
      </c>
      <c r="WBG1" t="s">
        <v>17174</v>
      </c>
      <c r="WBH1" t="s">
        <v>17175</v>
      </c>
      <c r="WBI1" t="s">
        <v>17176</v>
      </c>
      <c r="WBJ1" t="s">
        <v>17177</v>
      </c>
      <c r="WBK1" t="s">
        <v>17178</v>
      </c>
      <c r="WBL1" t="s">
        <v>17179</v>
      </c>
      <c r="WBM1" t="s">
        <v>17180</v>
      </c>
      <c r="WBN1" t="s">
        <v>17181</v>
      </c>
      <c r="WBO1" t="s">
        <v>17182</v>
      </c>
      <c r="WBP1" t="s">
        <v>17183</v>
      </c>
      <c r="WBQ1" t="s">
        <v>17184</v>
      </c>
      <c r="WBR1" t="s">
        <v>17185</v>
      </c>
      <c r="WBS1" t="s">
        <v>17186</v>
      </c>
      <c r="WBT1" t="s">
        <v>17187</v>
      </c>
      <c r="WBU1" t="s">
        <v>17188</v>
      </c>
      <c r="WBV1" t="s">
        <v>17189</v>
      </c>
      <c r="WBW1" t="s">
        <v>17190</v>
      </c>
      <c r="WBX1" t="s">
        <v>17191</v>
      </c>
      <c r="WBY1" t="s">
        <v>17192</v>
      </c>
      <c r="WBZ1" t="s">
        <v>17193</v>
      </c>
      <c r="WCA1" t="s">
        <v>17194</v>
      </c>
      <c r="WCB1" t="s">
        <v>17195</v>
      </c>
      <c r="WCC1" t="s">
        <v>17196</v>
      </c>
      <c r="WCD1" t="s">
        <v>17197</v>
      </c>
      <c r="WCE1" t="s">
        <v>17198</v>
      </c>
      <c r="WCF1" t="s">
        <v>17199</v>
      </c>
      <c r="WCG1" t="s">
        <v>17200</v>
      </c>
      <c r="WCH1" t="s">
        <v>17201</v>
      </c>
      <c r="WCI1" t="s">
        <v>17202</v>
      </c>
      <c r="WCJ1" t="s">
        <v>17203</v>
      </c>
      <c r="WCK1" t="s">
        <v>17204</v>
      </c>
      <c r="WCL1" t="s">
        <v>17205</v>
      </c>
      <c r="WCM1" t="s">
        <v>17206</v>
      </c>
      <c r="WCN1" t="s">
        <v>17207</v>
      </c>
      <c r="WCO1" t="s">
        <v>17208</v>
      </c>
      <c r="WCP1" t="s">
        <v>17209</v>
      </c>
      <c r="WCQ1" t="s">
        <v>17210</v>
      </c>
      <c r="WCR1" t="s">
        <v>17211</v>
      </c>
      <c r="WCS1" t="s">
        <v>17212</v>
      </c>
      <c r="WCT1" t="s">
        <v>17213</v>
      </c>
      <c r="WCU1" t="s">
        <v>17214</v>
      </c>
      <c r="WCV1" t="s">
        <v>17215</v>
      </c>
      <c r="WCW1" t="s">
        <v>17216</v>
      </c>
      <c r="WCX1" t="s">
        <v>17217</v>
      </c>
      <c r="WCY1" t="s">
        <v>17218</v>
      </c>
      <c r="WCZ1" t="s">
        <v>17219</v>
      </c>
      <c r="WDA1" t="s">
        <v>17220</v>
      </c>
      <c r="WDB1" t="s">
        <v>17221</v>
      </c>
      <c r="WDC1" t="s">
        <v>17222</v>
      </c>
      <c r="WDD1" t="s">
        <v>17223</v>
      </c>
      <c r="WDE1" t="s">
        <v>17224</v>
      </c>
      <c r="WDF1" t="s">
        <v>17225</v>
      </c>
      <c r="WDG1" t="s">
        <v>17226</v>
      </c>
      <c r="WDH1" t="s">
        <v>17227</v>
      </c>
      <c r="WDI1" t="s">
        <v>17228</v>
      </c>
      <c r="WDJ1" t="s">
        <v>17229</v>
      </c>
      <c r="WDK1" t="s">
        <v>17230</v>
      </c>
      <c r="WDL1" t="s">
        <v>17231</v>
      </c>
      <c r="WDM1" t="s">
        <v>17232</v>
      </c>
      <c r="WDN1" t="s">
        <v>17233</v>
      </c>
      <c r="WDO1" t="s">
        <v>17234</v>
      </c>
      <c r="WDP1" t="s">
        <v>17235</v>
      </c>
      <c r="WDQ1" t="s">
        <v>17236</v>
      </c>
      <c r="WDR1" t="s">
        <v>17237</v>
      </c>
      <c r="WDS1" t="s">
        <v>17238</v>
      </c>
      <c r="WDT1" t="s">
        <v>17239</v>
      </c>
      <c r="WDU1" t="s">
        <v>17240</v>
      </c>
      <c r="WDV1" t="s">
        <v>17241</v>
      </c>
      <c r="WDW1" t="s">
        <v>17242</v>
      </c>
      <c r="WDX1" t="s">
        <v>17243</v>
      </c>
      <c r="WDY1" t="s">
        <v>17244</v>
      </c>
      <c r="WDZ1" t="s">
        <v>17245</v>
      </c>
      <c r="WEA1" t="s">
        <v>17246</v>
      </c>
      <c r="WEB1" t="s">
        <v>17247</v>
      </c>
      <c r="WEC1" t="s">
        <v>17248</v>
      </c>
      <c r="WED1" t="s">
        <v>17249</v>
      </c>
      <c r="WEE1" t="s">
        <v>17250</v>
      </c>
      <c r="WEF1" t="s">
        <v>17251</v>
      </c>
      <c r="WEG1" t="s">
        <v>17252</v>
      </c>
      <c r="WEH1" t="s">
        <v>17253</v>
      </c>
      <c r="WEI1" t="s">
        <v>17254</v>
      </c>
      <c r="WEJ1" t="s">
        <v>17255</v>
      </c>
      <c r="WEK1" t="s">
        <v>17256</v>
      </c>
      <c r="WEL1" t="s">
        <v>17257</v>
      </c>
      <c r="WEM1" t="s">
        <v>17258</v>
      </c>
      <c r="WEN1" t="s">
        <v>17259</v>
      </c>
      <c r="WEO1" t="s">
        <v>17260</v>
      </c>
      <c r="WEP1" t="s">
        <v>17261</v>
      </c>
      <c r="WEQ1" t="s">
        <v>17262</v>
      </c>
      <c r="WER1" t="s">
        <v>17263</v>
      </c>
      <c r="WES1" t="s">
        <v>17264</v>
      </c>
      <c r="WET1" t="s">
        <v>17265</v>
      </c>
      <c r="WEU1" t="s">
        <v>17266</v>
      </c>
      <c r="WEV1" t="s">
        <v>17267</v>
      </c>
      <c r="WEW1" t="s">
        <v>17268</v>
      </c>
      <c r="WEX1" t="s">
        <v>17269</v>
      </c>
      <c r="WEY1" t="s">
        <v>17270</v>
      </c>
      <c r="WEZ1" t="s">
        <v>17271</v>
      </c>
      <c r="WFA1" t="s">
        <v>17272</v>
      </c>
      <c r="WFB1" t="s">
        <v>17273</v>
      </c>
      <c r="WFC1" t="s">
        <v>17274</v>
      </c>
      <c r="WFD1" t="s">
        <v>17275</v>
      </c>
      <c r="WFE1" t="s">
        <v>17276</v>
      </c>
      <c r="WFF1" t="s">
        <v>17277</v>
      </c>
      <c r="WFG1" t="s">
        <v>17278</v>
      </c>
      <c r="WFH1" t="s">
        <v>17279</v>
      </c>
      <c r="WFI1" t="s">
        <v>17280</v>
      </c>
      <c r="WFJ1" t="s">
        <v>17281</v>
      </c>
      <c r="WFK1" t="s">
        <v>17282</v>
      </c>
      <c r="WFL1" t="s">
        <v>17283</v>
      </c>
      <c r="WFM1" t="s">
        <v>17284</v>
      </c>
      <c r="WFN1" t="s">
        <v>17285</v>
      </c>
      <c r="WFO1" t="s">
        <v>17286</v>
      </c>
      <c r="WFP1" t="s">
        <v>17287</v>
      </c>
      <c r="WFQ1" t="s">
        <v>17288</v>
      </c>
      <c r="WFR1" t="s">
        <v>17289</v>
      </c>
      <c r="WFS1" t="s">
        <v>17290</v>
      </c>
      <c r="WFT1" t="s">
        <v>17291</v>
      </c>
      <c r="WFU1" t="s">
        <v>17292</v>
      </c>
      <c r="WFV1" t="s">
        <v>17293</v>
      </c>
      <c r="WFW1" t="s">
        <v>17294</v>
      </c>
      <c r="WFX1" t="s">
        <v>17295</v>
      </c>
      <c r="WFY1" t="s">
        <v>17296</v>
      </c>
      <c r="WFZ1" t="s">
        <v>17297</v>
      </c>
      <c r="WGA1" t="s">
        <v>17298</v>
      </c>
      <c r="WGB1" t="s">
        <v>17299</v>
      </c>
      <c r="WGC1" t="s">
        <v>17300</v>
      </c>
      <c r="WGD1" t="s">
        <v>17301</v>
      </c>
      <c r="WGE1" t="s">
        <v>17302</v>
      </c>
      <c r="WGF1" t="s">
        <v>17303</v>
      </c>
      <c r="WGG1" t="s">
        <v>17304</v>
      </c>
      <c r="WGH1" t="s">
        <v>17305</v>
      </c>
      <c r="WGI1" t="s">
        <v>17306</v>
      </c>
      <c r="WGJ1" t="s">
        <v>17307</v>
      </c>
      <c r="WGK1" t="s">
        <v>17308</v>
      </c>
      <c r="WGL1" t="s">
        <v>17309</v>
      </c>
      <c r="WGM1" t="s">
        <v>17310</v>
      </c>
      <c r="WGN1" t="s">
        <v>17311</v>
      </c>
      <c r="WGO1" t="s">
        <v>17312</v>
      </c>
      <c r="WGP1" t="s">
        <v>17313</v>
      </c>
      <c r="WGQ1" t="s">
        <v>17314</v>
      </c>
      <c r="WGR1" t="s">
        <v>17315</v>
      </c>
      <c r="WGS1" t="s">
        <v>17316</v>
      </c>
      <c r="WGT1" t="s">
        <v>17317</v>
      </c>
      <c r="WGU1" t="s">
        <v>17318</v>
      </c>
      <c r="WGV1" t="s">
        <v>17319</v>
      </c>
      <c r="WGW1" t="s">
        <v>17320</v>
      </c>
      <c r="WGX1" t="s">
        <v>17321</v>
      </c>
      <c r="WGY1" t="s">
        <v>17322</v>
      </c>
      <c r="WGZ1" t="s">
        <v>17323</v>
      </c>
      <c r="WHA1" t="s">
        <v>17324</v>
      </c>
      <c r="WHB1" t="s">
        <v>17325</v>
      </c>
      <c r="WHC1" t="s">
        <v>17326</v>
      </c>
      <c r="WHD1" t="s">
        <v>17327</v>
      </c>
      <c r="WHE1" t="s">
        <v>17328</v>
      </c>
      <c r="WHF1" t="s">
        <v>17329</v>
      </c>
      <c r="WHG1" t="s">
        <v>17330</v>
      </c>
      <c r="WHH1" t="s">
        <v>17331</v>
      </c>
      <c r="WHI1" t="s">
        <v>17332</v>
      </c>
      <c r="WHJ1" t="s">
        <v>17333</v>
      </c>
      <c r="WHK1" t="s">
        <v>17334</v>
      </c>
      <c r="WHL1" t="s">
        <v>17335</v>
      </c>
      <c r="WHM1" t="s">
        <v>17336</v>
      </c>
      <c r="WHN1" t="s">
        <v>17337</v>
      </c>
      <c r="WHO1" t="s">
        <v>17338</v>
      </c>
      <c r="WHP1" t="s">
        <v>17339</v>
      </c>
      <c r="WHQ1" t="s">
        <v>17340</v>
      </c>
      <c r="WHR1" t="s">
        <v>17341</v>
      </c>
      <c r="WHS1" t="s">
        <v>17342</v>
      </c>
      <c r="WHT1" t="s">
        <v>17343</v>
      </c>
      <c r="WHU1" t="s">
        <v>17344</v>
      </c>
      <c r="WHV1" t="s">
        <v>17345</v>
      </c>
      <c r="WHW1" t="s">
        <v>17346</v>
      </c>
      <c r="WHX1" t="s">
        <v>17347</v>
      </c>
      <c r="WHY1" t="s">
        <v>17348</v>
      </c>
      <c r="WHZ1" t="s">
        <v>17349</v>
      </c>
      <c r="WIA1" t="s">
        <v>17350</v>
      </c>
      <c r="WIB1" t="s">
        <v>17351</v>
      </c>
      <c r="WIC1" t="s">
        <v>17352</v>
      </c>
      <c r="WID1" t="s">
        <v>17353</v>
      </c>
      <c r="WIE1" t="s">
        <v>17354</v>
      </c>
      <c r="WIF1" t="s">
        <v>17355</v>
      </c>
      <c r="WIG1" t="s">
        <v>17356</v>
      </c>
      <c r="WIH1" t="s">
        <v>17357</v>
      </c>
      <c r="WII1" t="s">
        <v>17358</v>
      </c>
      <c r="WIJ1" t="s">
        <v>17359</v>
      </c>
      <c r="WIK1" t="s">
        <v>17360</v>
      </c>
      <c r="WIL1" t="s">
        <v>17361</v>
      </c>
      <c r="WIM1" t="s">
        <v>17362</v>
      </c>
      <c r="WIN1" t="s">
        <v>17363</v>
      </c>
      <c r="WIO1" t="s">
        <v>17364</v>
      </c>
      <c r="WIP1" t="s">
        <v>17365</v>
      </c>
      <c r="WIQ1" t="s">
        <v>17366</v>
      </c>
      <c r="WIR1" t="s">
        <v>17367</v>
      </c>
      <c r="WIS1" t="s">
        <v>17368</v>
      </c>
      <c r="WIT1" t="s">
        <v>17369</v>
      </c>
      <c r="WIU1" t="s">
        <v>17370</v>
      </c>
      <c r="WIV1" t="s">
        <v>17371</v>
      </c>
      <c r="WIW1" t="s">
        <v>17372</v>
      </c>
      <c r="WIX1" t="s">
        <v>17373</v>
      </c>
      <c r="WIY1" t="s">
        <v>17374</v>
      </c>
      <c r="WIZ1" t="s">
        <v>17375</v>
      </c>
      <c r="WJA1" t="s">
        <v>17376</v>
      </c>
      <c r="WJB1" t="s">
        <v>17377</v>
      </c>
      <c r="WJC1" t="s">
        <v>17378</v>
      </c>
      <c r="WJD1" t="s">
        <v>17379</v>
      </c>
      <c r="WJE1" t="s">
        <v>17380</v>
      </c>
      <c r="WJF1" t="s">
        <v>17381</v>
      </c>
      <c r="WJG1" t="s">
        <v>17382</v>
      </c>
      <c r="WJH1" t="s">
        <v>17383</v>
      </c>
      <c r="WJI1" t="s">
        <v>17384</v>
      </c>
      <c r="WJJ1" t="s">
        <v>17385</v>
      </c>
      <c r="WJK1" t="s">
        <v>17386</v>
      </c>
      <c r="WJL1" t="s">
        <v>17387</v>
      </c>
      <c r="WJM1" t="s">
        <v>17388</v>
      </c>
      <c r="WJN1" t="s">
        <v>17389</v>
      </c>
      <c r="WJO1" t="s">
        <v>17390</v>
      </c>
      <c r="WJP1" t="s">
        <v>17391</v>
      </c>
      <c r="WJQ1" t="s">
        <v>17392</v>
      </c>
      <c r="WJR1" t="s">
        <v>17393</v>
      </c>
      <c r="WJS1" t="s">
        <v>17394</v>
      </c>
      <c r="WJT1" t="s">
        <v>17395</v>
      </c>
      <c r="WJU1" t="s">
        <v>17396</v>
      </c>
      <c r="WJV1" t="s">
        <v>17397</v>
      </c>
      <c r="WJW1" t="s">
        <v>17398</v>
      </c>
      <c r="WJX1" t="s">
        <v>17399</v>
      </c>
      <c r="WJY1" t="s">
        <v>17400</v>
      </c>
      <c r="WJZ1" t="s">
        <v>17401</v>
      </c>
      <c r="WKA1" t="s">
        <v>17402</v>
      </c>
      <c r="WKB1" t="s">
        <v>17403</v>
      </c>
      <c r="WKC1" t="s">
        <v>17404</v>
      </c>
      <c r="WKD1" t="s">
        <v>17405</v>
      </c>
      <c r="WKE1" t="s">
        <v>17406</v>
      </c>
      <c r="WKF1" t="s">
        <v>17407</v>
      </c>
      <c r="WKG1" t="s">
        <v>17408</v>
      </c>
      <c r="WKH1" t="s">
        <v>17409</v>
      </c>
      <c r="WKI1" t="s">
        <v>17410</v>
      </c>
      <c r="WKJ1" t="s">
        <v>17411</v>
      </c>
      <c r="WKK1" t="s">
        <v>17412</v>
      </c>
      <c r="WKL1" t="s">
        <v>17413</v>
      </c>
      <c r="WKM1" t="s">
        <v>17414</v>
      </c>
      <c r="WKN1" t="s">
        <v>17415</v>
      </c>
      <c r="WKO1" t="s">
        <v>17416</v>
      </c>
      <c r="WKP1" t="s">
        <v>17417</v>
      </c>
      <c r="WKQ1" t="s">
        <v>17418</v>
      </c>
      <c r="WKR1" t="s">
        <v>17419</v>
      </c>
      <c r="WKS1" t="s">
        <v>17420</v>
      </c>
      <c r="WKT1" t="s">
        <v>17421</v>
      </c>
      <c r="WKU1" t="s">
        <v>17422</v>
      </c>
      <c r="WKV1" t="s">
        <v>17423</v>
      </c>
      <c r="WKW1" t="s">
        <v>17424</v>
      </c>
      <c r="WKX1" t="s">
        <v>17425</v>
      </c>
      <c r="WKY1" t="s">
        <v>17426</v>
      </c>
      <c r="WKZ1" t="s">
        <v>17427</v>
      </c>
      <c r="WLA1" t="s">
        <v>17428</v>
      </c>
      <c r="WLB1" t="s">
        <v>17429</v>
      </c>
      <c r="WLC1" t="s">
        <v>17430</v>
      </c>
      <c r="WLD1" t="s">
        <v>17431</v>
      </c>
      <c r="WLE1" t="s">
        <v>17432</v>
      </c>
      <c r="WLF1" t="s">
        <v>17433</v>
      </c>
      <c r="WLG1" t="s">
        <v>17434</v>
      </c>
      <c r="WLH1" t="s">
        <v>17435</v>
      </c>
      <c r="WLI1" t="s">
        <v>17436</v>
      </c>
      <c r="WLJ1" t="s">
        <v>17437</v>
      </c>
      <c r="WLK1" t="s">
        <v>17438</v>
      </c>
      <c r="WLL1" t="s">
        <v>17439</v>
      </c>
      <c r="WLM1" t="s">
        <v>17440</v>
      </c>
      <c r="WLN1" t="s">
        <v>17441</v>
      </c>
      <c r="WLO1" t="s">
        <v>17442</v>
      </c>
      <c r="WLP1" t="s">
        <v>17443</v>
      </c>
      <c r="WLQ1" t="s">
        <v>17444</v>
      </c>
      <c r="WLR1" t="s">
        <v>17445</v>
      </c>
      <c r="WLS1" t="s">
        <v>17446</v>
      </c>
      <c r="WLT1" t="s">
        <v>17447</v>
      </c>
      <c r="WLU1" t="s">
        <v>17448</v>
      </c>
      <c r="WLV1" t="s">
        <v>17449</v>
      </c>
      <c r="WLW1" t="s">
        <v>17450</v>
      </c>
      <c r="WLX1" t="s">
        <v>17451</v>
      </c>
      <c r="WLY1" t="s">
        <v>17452</v>
      </c>
      <c r="WLZ1" t="s">
        <v>17453</v>
      </c>
      <c r="WMA1" t="s">
        <v>17454</v>
      </c>
      <c r="WMB1" t="s">
        <v>17455</v>
      </c>
      <c r="WMC1" t="s">
        <v>17456</v>
      </c>
      <c r="WMD1" t="s">
        <v>17457</v>
      </c>
      <c r="WME1" t="s">
        <v>17458</v>
      </c>
      <c r="WMF1" t="s">
        <v>17459</v>
      </c>
      <c r="WMG1" t="s">
        <v>17460</v>
      </c>
      <c r="WMH1" t="s">
        <v>17461</v>
      </c>
      <c r="WMI1" t="s">
        <v>17462</v>
      </c>
      <c r="WMJ1" t="s">
        <v>17463</v>
      </c>
      <c r="WMK1" t="s">
        <v>17464</v>
      </c>
      <c r="WML1" t="s">
        <v>17465</v>
      </c>
      <c r="WMM1" t="s">
        <v>17466</v>
      </c>
      <c r="WMN1" t="s">
        <v>17467</v>
      </c>
      <c r="WMO1" t="s">
        <v>17468</v>
      </c>
      <c r="WMP1" t="s">
        <v>17469</v>
      </c>
      <c r="WMQ1" t="s">
        <v>17470</v>
      </c>
      <c r="WMR1" t="s">
        <v>17471</v>
      </c>
      <c r="WMS1" t="s">
        <v>17472</v>
      </c>
      <c r="WMT1" t="s">
        <v>17473</v>
      </c>
      <c r="WMU1" t="s">
        <v>17474</v>
      </c>
      <c r="WMV1" t="s">
        <v>17475</v>
      </c>
      <c r="WMW1" t="s">
        <v>17476</v>
      </c>
      <c r="WMX1" t="s">
        <v>17477</v>
      </c>
      <c r="WMY1" t="s">
        <v>17478</v>
      </c>
      <c r="WMZ1" t="s">
        <v>17479</v>
      </c>
      <c r="WNA1" t="s">
        <v>17480</v>
      </c>
      <c r="WNB1" t="s">
        <v>17481</v>
      </c>
      <c r="WNC1" t="s">
        <v>17482</v>
      </c>
      <c r="WND1" t="s">
        <v>17483</v>
      </c>
      <c r="WNE1" t="s">
        <v>17484</v>
      </c>
      <c r="WNF1" t="s">
        <v>17485</v>
      </c>
      <c r="WNG1" t="s">
        <v>17486</v>
      </c>
      <c r="WNH1" t="s">
        <v>17487</v>
      </c>
      <c r="WNI1" t="s">
        <v>17488</v>
      </c>
      <c r="WNJ1" t="s">
        <v>17489</v>
      </c>
      <c r="WNK1" t="s">
        <v>17490</v>
      </c>
      <c r="WNL1" t="s">
        <v>17491</v>
      </c>
      <c r="WNM1" t="s">
        <v>17492</v>
      </c>
      <c r="WNN1" t="s">
        <v>17493</v>
      </c>
      <c r="WNO1" t="s">
        <v>17494</v>
      </c>
      <c r="WNP1" t="s">
        <v>17495</v>
      </c>
      <c r="WNQ1" t="s">
        <v>17496</v>
      </c>
      <c r="WNR1" t="s">
        <v>17497</v>
      </c>
      <c r="WNS1" t="s">
        <v>17498</v>
      </c>
      <c r="WNT1" t="s">
        <v>17499</v>
      </c>
      <c r="WNU1" t="s">
        <v>17500</v>
      </c>
      <c r="WNV1" t="s">
        <v>17501</v>
      </c>
      <c r="WNW1" t="s">
        <v>17502</v>
      </c>
      <c r="WNX1" t="s">
        <v>17503</v>
      </c>
      <c r="WNY1" t="s">
        <v>17504</v>
      </c>
      <c r="WNZ1" t="s">
        <v>17505</v>
      </c>
      <c r="WOA1" t="s">
        <v>17506</v>
      </c>
      <c r="WOB1" t="s">
        <v>17507</v>
      </c>
      <c r="WOC1" t="s">
        <v>17508</v>
      </c>
      <c r="WOD1" t="s">
        <v>17509</v>
      </c>
      <c r="WOE1" t="s">
        <v>17510</v>
      </c>
      <c r="WOF1" t="s">
        <v>17511</v>
      </c>
      <c r="WOG1" t="s">
        <v>17512</v>
      </c>
      <c r="WOH1" t="s">
        <v>17513</v>
      </c>
      <c r="WOI1" t="s">
        <v>17514</v>
      </c>
      <c r="WOJ1" t="s">
        <v>17515</v>
      </c>
      <c r="WOK1" t="s">
        <v>17516</v>
      </c>
      <c r="WOL1" t="s">
        <v>17517</v>
      </c>
      <c r="WOM1" t="s">
        <v>17518</v>
      </c>
      <c r="WON1" t="s">
        <v>17519</v>
      </c>
      <c r="WOO1" t="s">
        <v>17520</v>
      </c>
      <c r="WOP1" t="s">
        <v>17521</v>
      </c>
      <c r="WOQ1" t="s">
        <v>17522</v>
      </c>
      <c r="WOR1" t="s">
        <v>17523</v>
      </c>
      <c r="WOS1" t="s">
        <v>17524</v>
      </c>
      <c r="WOT1" t="s">
        <v>17525</v>
      </c>
      <c r="WOU1" t="s">
        <v>17526</v>
      </c>
      <c r="WOV1" t="s">
        <v>17527</v>
      </c>
      <c r="WOW1" t="s">
        <v>17528</v>
      </c>
      <c r="WOX1" t="s">
        <v>17529</v>
      </c>
      <c r="WOY1" t="s">
        <v>17530</v>
      </c>
      <c r="WOZ1" t="s">
        <v>17531</v>
      </c>
      <c r="WPA1" t="s">
        <v>17532</v>
      </c>
      <c r="WPB1" t="s">
        <v>17533</v>
      </c>
      <c r="WPC1" t="s">
        <v>17534</v>
      </c>
      <c r="WPD1" t="s">
        <v>17535</v>
      </c>
      <c r="WPE1" t="s">
        <v>17536</v>
      </c>
      <c r="WPF1" t="s">
        <v>17537</v>
      </c>
      <c r="WPG1" t="s">
        <v>17538</v>
      </c>
      <c r="WPH1" t="s">
        <v>17539</v>
      </c>
      <c r="WPI1" t="s">
        <v>17540</v>
      </c>
      <c r="WPJ1" t="s">
        <v>17541</v>
      </c>
      <c r="WPK1" t="s">
        <v>17542</v>
      </c>
      <c r="WPL1" t="s">
        <v>17543</v>
      </c>
      <c r="WPM1" t="s">
        <v>17544</v>
      </c>
      <c r="WPN1" t="s">
        <v>17545</v>
      </c>
      <c r="WPO1" t="s">
        <v>17546</v>
      </c>
      <c r="WPP1" t="s">
        <v>17547</v>
      </c>
      <c r="WPQ1" t="s">
        <v>17548</v>
      </c>
      <c r="WPR1" t="s">
        <v>17549</v>
      </c>
      <c r="WPS1" t="s">
        <v>17550</v>
      </c>
      <c r="WPT1" t="s">
        <v>17551</v>
      </c>
      <c r="WPU1" t="s">
        <v>17552</v>
      </c>
      <c r="WPV1" t="s">
        <v>17553</v>
      </c>
      <c r="WPW1" t="s">
        <v>17554</v>
      </c>
      <c r="WPX1" t="s">
        <v>17555</v>
      </c>
      <c r="WPY1" t="s">
        <v>17556</v>
      </c>
      <c r="WPZ1" t="s">
        <v>17557</v>
      </c>
      <c r="WQA1" t="s">
        <v>17558</v>
      </c>
      <c r="WQB1" t="s">
        <v>17559</v>
      </c>
      <c r="WQC1" t="s">
        <v>17560</v>
      </c>
      <c r="WQD1" t="s">
        <v>17561</v>
      </c>
      <c r="WQE1" t="s">
        <v>17562</v>
      </c>
      <c r="WQF1" t="s">
        <v>17563</v>
      </c>
      <c r="WQG1" t="s">
        <v>17564</v>
      </c>
      <c r="WQH1" t="s">
        <v>17565</v>
      </c>
      <c r="WQI1" t="s">
        <v>17566</v>
      </c>
      <c r="WQJ1" t="s">
        <v>17567</v>
      </c>
      <c r="WQK1" t="s">
        <v>17568</v>
      </c>
      <c r="WQL1" t="s">
        <v>17569</v>
      </c>
      <c r="WQM1" t="s">
        <v>17570</v>
      </c>
      <c r="WQN1" t="s">
        <v>17571</v>
      </c>
      <c r="WQO1" t="s">
        <v>17572</v>
      </c>
      <c r="WQP1" t="s">
        <v>17573</v>
      </c>
      <c r="WQQ1" t="s">
        <v>17574</v>
      </c>
      <c r="WQR1" t="s">
        <v>17575</v>
      </c>
      <c r="WQS1" t="s">
        <v>17576</v>
      </c>
      <c r="WQT1" t="s">
        <v>17577</v>
      </c>
      <c r="WQU1" t="s">
        <v>17578</v>
      </c>
      <c r="WQV1" t="s">
        <v>17579</v>
      </c>
      <c r="WQW1" t="s">
        <v>17580</v>
      </c>
      <c r="WQX1" t="s">
        <v>17581</v>
      </c>
      <c r="WQY1" t="s">
        <v>17582</v>
      </c>
      <c r="WQZ1" t="s">
        <v>17583</v>
      </c>
      <c r="WRA1" t="s">
        <v>17584</v>
      </c>
      <c r="WRB1" t="s">
        <v>17585</v>
      </c>
      <c r="WRC1" t="s">
        <v>17586</v>
      </c>
      <c r="WRD1" t="s">
        <v>17587</v>
      </c>
      <c r="WRE1" t="s">
        <v>17588</v>
      </c>
      <c r="WRF1" t="s">
        <v>17589</v>
      </c>
      <c r="WRG1" t="s">
        <v>17590</v>
      </c>
      <c r="WRH1" t="s">
        <v>17591</v>
      </c>
      <c r="WRI1" t="s">
        <v>17592</v>
      </c>
      <c r="WRJ1" t="s">
        <v>17593</v>
      </c>
      <c r="WRK1" t="s">
        <v>17594</v>
      </c>
      <c r="WRL1" t="s">
        <v>17595</v>
      </c>
      <c r="WRM1" t="s">
        <v>17596</v>
      </c>
      <c r="WRN1" t="s">
        <v>17597</v>
      </c>
      <c r="WRO1" t="s">
        <v>17598</v>
      </c>
      <c r="WRP1" t="s">
        <v>17599</v>
      </c>
      <c r="WRQ1" t="s">
        <v>17600</v>
      </c>
      <c r="WRR1" t="s">
        <v>17601</v>
      </c>
      <c r="WRS1" t="s">
        <v>17602</v>
      </c>
      <c r="WRT1" t="s">
        <v>17603</v>
      </c>
      <c r="WRU1" t="s">
        <v>17604</v>
      </c>
      <c r="WRV1" t="s">
        <v>17605</v>
      </c>
      <c r="WRW1" t="s">
        <v>17606</v>
      </c>
      <c r="WRX1" t="s">
        <v>17607</v>
      </c>
      <c r="WRY1" t="s">
        <v>17608</v>
      </c>
      <c r="WRZ1" t="s">
        <v>17609</v>
      </c>
      <c r="WSA1" t="s">
        <v>17610</v>
      </c>
      <c r="WSB1" t="s">
        <v>17611</v>
      </c>
      <c r="WSC1" t="s">
        <v>17612</v>
      </c>
      <c r="WSD1" t="s">
        <v>17613</v>
      </c>
      <c r="WSE1" t="s">
        <v>17614</v>
      </c>
      <c r="WSF1" t="s">
        <v>17615</v>
      </c>
      <c r="WSG1" t="s">
        <v>17616</v>
      </c>
      <c r="WSH1" t="s">
        <v>17617</v>
      </c>
      <c r="WSI1" t="s">
        <v>17618</v>
      </c>
      <c r="WSJ1" t="s">
        <v>17619</v>
      </c>
      <c r="WSK1" t="s">
        <v>17620</v>
      </c>
      <c r="WSL1" t="s">
        <v>17621</v>
      </c>
      <c r="WSM1" t="s">
        <v>17622</v>
      </c>
      <c r="WSN1" t="s">
        <v>17623</v>
      </c>
      <c r="WSO1" t="s">
        <v>17624</v>
      </c>
      <c r="WSP1" t="s">
        <v>17625</v>
      </c>
      <c r="WSQ1" t="s">
        <v>17626</v>
      </c>
      <c r="WSR1" t="s">
        <v>17627</v>
      </c>
      <c r="WSS1" t="s">
        <v>17628</v>
      </c>
      <c r="WST1" t="s">
        <v>17629</v>
      </c>
      <c r="WSU1" t="s">
        <v>17630</v>
      </c>
      <c r="WSV1" t="s">
        <v>17631</v>
      </c>
      <c r="WSW1" t="s">
        <v>17632</v>
      </c>
      <c r="WSX1" t="s">
        <v>17633</v>
      </c>
      <c r="WSY1" t="s">
        <v>17634</v>
      </c>
      <c r="WSZ1" t="s">
        <v>17635</v>
      </c>
      <c r="WTA1" t="s">
        <v>17636</v>
      </c>
      <c r="WTB1" t="s">
        <v>17637</v>
      </c>
      <c r="WTC1" t="s">
        <v>17638</v>
      </c>
      <c r="WTD1" t="s">
        <v>17639</v>
      </c>
      <c r="WTE1" t="s">
        <v>17640</v>
      </c>
      <c r="WTF1" t="s">
        <v>17641</v>
      </c>
      <c r="WTG1" t="s">
        <v>17642</v>
      </c>
      <c r="WTH1" t="s">
        <v>17643</v>
      </c>
      <c r="WTI1" t="s">
        <v>17644</v>
      </c>
      <c r="WTJ1" t="s">
        <v>17645</v>
      </c>
      <c r="WTK1" t="s">
        <v>17646</v>
      </c>
      <c r="WTL1" t="s">
        <v>17647</v>
      </c>
      <c r="WTM1" t="s">
        <v>17648</v>
      </c>
      <c r="WTN1" t="s">
        <v>17649</v>
      </c>
      <c r="WTO1" t="s">
        <v>17650</v>
      </c>
      <c r="WTP1" t="s">
        <v>17651</v>
      </c>
      <c r="WTQ1" t="s">
        <v>17652</v>
      </c>
      <c r="WTR1" t="s">
        <v>17653</v>
      </c>
      <c r="WTS1" t="s">
        <v>17654</v>
      </c>
      <c r="WTT1" t="s">
        <v>17655</v>
      </c>
      <c r="WTU1" t="s">
        <v>17656</v>
      </c>
      <c r="WTV1" t="s">
        <v>17657</v>
      </c>
      <c r="WTW1" t="s">
        <v>17658</v>
      </c>
      <c r="WTX1" t="s">
        <v>17659</v>
      </c>
      <c r="WTY1" t="s">
        <v>17660</v>
      </c>
      <c r="WTZ1" t="s">
        <v>17661</v>
      </c>
      <c r="WUA1" t="s">
        <v>17662</v>
      </c>
      <c r="WUB1" t="s">
        <v>17663</v>
      </c>
      <c r="WUC1" t="s">
        <v>17664</v>
      </c>
      <c r="WUD1" t="s">
        <v>17665</v>
      </c>
      <c r="WUE1" t="s">
        <v>17666</v>
      </c>
      <c r="WUF1" t="s">
        <v>17667</v>
      </c>
      <c r="WUG1" t="s">
        <v>17668</v>
      </c>
      <c r="WUH1" t="s">
        <v>17669</v>
      </c>
      <c r="WUI1" t="s">
        <v>17670</v>
      </c>
      <c r="WUJ1" t="s">
        <v>17671</v>
      </c>
      <c r="WUK1" t="s">
        <v>17672</v>
      </c>
      <c r="WUL1" t="s">
        <v>17673</v>
      </c>
      <c r="WUM1" t="s">
        <v>17674</v>
      </c>
      <c r="WUN1" t="s">
        <v>17675</v>
      </c>
      <c r="WUO1" t="s">
        <v>17676</v>
      </c>
      <c r="WUP1" t="s">
        <v>17677</v>
      </c>
      <c r="WUQ1" t="s">
        <v>17678</v>
      </c>
      <c r="WUR1" t="s">
        <v>17679</v>
      </c>
      <c r="WUS1" t="s">
        <v>17680</v>
      </c>
      <c r="WUT1" t="s">
        <v>17681</v>
      </c>
      <c r="WUU1" t="s">
        <v>17682</v>
      </c>
      <c r="WUV1" t="s">
        <v>17683</v>
      </c>
      <c r="WUW1" t="s">
        <v>17684</v>
      </c>
      <c r="WUX1" t="s">
        <v>17685</v>
      </c>
      <c r="WUY1" t="s">
        <v>17686</v>
      </c>
      <c r="WUZ1" t="s">
        <v>17687</v>
      </c>
      <c r="WVA1" t="s">
        <v>17688</v>
      </c>
      <c r="WVB1" t="s">
        <v>17689</v>
      </c>
      <c r="WVC1" t="s">
        <v>17690</v>
      </c>
      <c r="WVD1" t="s">
        <v>17691</v>
      </c>
      <c r="WVE1" t="s">
        <v>17692</v>
      </c>
      <c r="WVF1" t="s">
        <v>17693</v>
      </c>
      <c r="WVG1" t="s">
        <v>17694</v>
      </c>
      <c r="WVH1" t="s">
        <v>17695</v>
      </c>
      <c r="WVI1" t="s">
        <v>17696</v>
      </c>
      <c r="WVJ1" t="s">
        <v>17697</v>
      </c>
      <c r="WVK1" t="s">
        <v>17698</v>
      </c>
      <c r="WVL1" t="s">
        <v>17699</v>
      </c>
      <c r="WVM1" t="s">
        <v>17700</v>
      </c>
      <c r="WVN1" t="s">
        <v>17701</v>
      </c>
      <c r="WVO1" t="s">
        <v>17702</v>
      </c>
      <c r="WVP1" t="s">
        <v>17703</v>
      </c>
      <c r="WVQ1" t="s">
        <v>17704</v>
      </c>
      <c r="WVR1" t="s">
        <v>17705</v>
      </c>
      <c r="WVS1" t="s">
        <v>17706</v>
      </c>
      <c r="WVT1" t="s">
        <v>17707</v>
      </c>
      <c r="WVU1" t="s">
        <v>17708</v>
      </c>
      <c r="WVV1" t="s">
        <v>17709</v>
      </c>
      <c r="WVW1" t="s">
        <v>17710</v>
      </c>
      <c r="WVX1" t="s">
        <v>17711</v>
      </c>
      <c r="WVY1" t="s">
        <v>17712</v>
      </c>
      <c r="WVZ1" t="s">
        <v>17713</v>
      </c>
      <c r="WWA1" t="s">
        <v>17714</v>
      </c>
      <c r="WWB1" t="s">
        <v>17715</v>
      </c>
      <c r="WWC1" t="s">
        <v>17716</v>
      </c>
      <c r="WWD1" t="s">
        <v>17717</v>
      </c>
      <c r="WWE1" t="s">
        <v>17718</v>
      </c>
      <c r="WWF1" t="s">
        <v>17719</v>
      </c>
      <c r="WWG1" t="s">
        <v>17720</v>
      </c>
      <c r="WWH1" t="s">
        <v>17721</v>
      </c>
      <c r="WWI1" t="s">
        <v>17722</v>
      </c>
      <c r="WWJ1" t="s">
        <v>17723</v>
      </c>
      <c r="WWK1" t="s">
        <v>17724</v>
      </c>
      <c r="WWL1" t="s">
        <v>17725</v>
      </c>
      <c r="WWM1" t="s">
        <v>17726</v>
      </c>
      <c r="WWN1" t="s">
        <v>17727</v>
      </c>
      <c r="WWO1" t="s">
        <v>17728</v>
      </c>
      <c r="WWP1" t="s">
        <v>17729</v>
      </c>
      <c r="WWQ1" t="s">
        <v>17730</v>
      </c>
      <c r="WWR1" t="s">
        <v>17731</v>
      </c>
      <c r="WWS1" t="s">
        <v>17732</v>
      </c>
      <c r="WWT1" t="s">
        <v>17733</v>
      </c>
      <c r="WWU1" t="s">
        <v>17734</v>
      </c>
      <c r="WWV1" t="s">
        <v>17735</v>
      </c>
      <c r="WWW1" t="s">
        <v>17736</v>
      </c>
      <c r="WWX1" t="s">
        <v>17737</v>
      </c>
      <c r="WWY1" t="s">
        <v>17738</v>
      </c>
      <c r="WWZ1" t="s">
        <v>17739</v>
      </c>
      <c r="WXA1" t="s">
        <v>17740</v>
      </c>
      <c r="WXB1" t="s">
        <v>17741</v>
      </c>
      <c r="WXC1" t="s">
        <v>17742</v>
      </c>
      <c r="WXD1" t="s">
        <v>17743</v>
      </c>
      <c r="WXE1" t="s">
        <v>17744</v>
      </c>
      <c r="WXF1" t="s">
        <v>17745</v>
      </c>
      <c r="WXG1" t="s">
        <v>17746</v>
      </c>
      <c r="WXH1" t="s">
        <v>17747</v>
      </c>
      <c r="WXI1" t="s">
        <v>17748</v>
      </c>
      <c r="WXJ1" t="s">
        <v>17749</v>
      </c>
      <c r="WXK1" t="s">
        <v>17750</v>
      </c>
      <c r="WXL1" t="s">
        <v>17751</v>
      </c>
      <c r="WXM1" t="s">
        <v>17752</v>
      </c>
      <c r="WXN1" t="s">
        <v>17753</v>
      </c>
      <c r="WXO1" t="s">
        <v>17754</v>
      </c>
      <c r="WXP1" t="s">
        <v>17755</v>
      </c>
      <c r="WXQ1" t="s">
        <v>17756</v>
      </c>
      <c r="WXR1" t="s">
        <v>17757</v>
      </c>
      <c r="WXS1" t="s">
        <v>17758</v>
      </c>
      <c r="WXT1" t="s">
        <v>17759</v>
      </c>
      <c r="WXU1" t="s">
        <v>17760</v>
      </c>
      <c r="WXV1" t="s">
        <v>17761</v>
      </c>
      <c r="WXW1" t="s">
        <v>17762</v>
      </c>
      <c r="WXX1" t="s">
        <v>17763</v>
      </c>
      <c r="WXY1" t="s">
        <v>17764</v>
      </c>
      <c r="WXZ1" t="s">
        <v>17765</v>
      </c>
      <c r="WYA1" t="s">
        <v>17766</v>
      </c>
      <c r="WYB1" t="s">
        <v>17767</v>
      </c>
      <c r="WYC1" t="s">
        <v>17768</v>
      </c>
      <c r="WYD1" t="s">
        <v>17769</v>
      </c>
      <c r="WYE1" t="s">
        <v>17770</v>
      </c>
      <c r="WYF1" t="s">
        <v>17771</v>
      </c>
      <c r="WYG1" t="s">
        <v>17772</v>
      </c>
      <c r="WYH1" t="s">
        <v>17773</v>
      </c>
      <c r="WYI1" t="s">
        <v>17774</v>
      </c>
      <c r="WYJ1" t="s">
        <v>17775</v>
      </c>
      <c r="WYK1" t="s">
        <v>17776</v>
      </c>
      <c r="WYL1" t="s">
        <v>17777</v>
      </c>
      <c r="WYM1" t="s">
        <v>17778</v>
      </c>
      <c r="WYN1" t="s">
        <v>17779</v>
      </c>
      <c r="WYO1" t="s">
        <v>17780</v>
      </c>
      <c r="WYP1" t="s">
        <v>17781</v>
      </c>
      <c r="WYQ1" t="s">
        <v>17782</v>
      </c>
      <c r="WYR1" t="s">
        <v>17783</v>
      </c>
      <c r="WYS1" t="s">
        <v>17784</v>
      </c>
      <c r="WYT1" t="s">
        <v>17785</v>
      </c>
      <c r="WYU1" t="s">
        <v>17786</v>
      </c>
      <c r="WYV1" t="s">
        <v>17787</v>
      </c>
      <c r="WYW1" t="s">
        <v>17788</v>
      </c>
      <c r="WYX1" t="s">
        <v>17789</v>
      </c>
      <c r="WYY1" t="s">
        <v>17790</v>
      </c>
      <c r="WYZ1" t="s">
        <v>17791</v>
      </c>
      <c r="WZA1" t="s">
        <v>17792</v>
      </c>
      <c r="WZB1" t="s">
        <v>17793</v>
      </c>
      <c r="WZC1" t="s">
        <v>17794</v>
      </c>
      <c r="WZD1" t="s">
        <v>17795</v>
      </c>
      <c r="WZE1" t="s">
        <v>17796</v>
      </c>
      <c r="WZF1" t="s">
        <v>17797</v>
      </c>
      <c r="WZG1" t="s">
        <v>17798</v>
      </c>
      <c r="WZH1" t="s">
        <v>17799</v>
      </c>
      <c r="WZI1" t="s">
        <v>17800</v>
      </c>
      <c r="WZJ1" t="s">
        <v>17801</v>
      </c>
      <c r="WZK1" t="s">
        <v>17802</v>
      </c>
      <c r="WZL1" t="s">
        <v>17803</v>
      </c>
      <c r="WZM1" t="s">
        <v>17804</v>
      </c>
      <c r="WZN1" t="s">
        <v>17805</v>
      </c>
      <c r="WZO1" t="s">
        <v>17806</v>
      </c>
      <c r="WZP1" t="s">
        <v>17807</v>
      </c>
      <c r="WZQ1" t="s">
        <v>17808</v>
      </c>
      <c r="WZR1" t="s">
        <v>17809</v>
      </c>
      <c r="WZS1" t="s">
        <v>17810</v>
      </c>
      <c r="WZT1" t="s">
        <v>17811</v>
      </c>
      <c r="WZU1" t="s">
        <v>17812</v>
      </c>
      <c r="WZV1" t="s">
        <v>17813</v>
      </c>
      <c r="WZW1" t="s">
        <v>17814</v>
      </c>
      <c r="WZX1" t="s">
        <v>17815</v>
      </c>
      <c r="WZY1" t="s">
        <v>17816</v>
      </c>
      <c r="WZZ1" t="s">
        <v>17817</v>
      </c>
      <c r="XAA1" t="s">
        <v>17818</v>
      </c>
      <c r="XAB1" t="s">
        <v>17819</v>
      </c>
      <c r="XAC1" t="s">
        <v>17820</v>
      </c>
      <c r="XAD1" t="s">
        <v>17821</v>
      </c>
      <c r="XAE1" t="s">
        <v>17822</v>
      </c>
      <c r="XAF1" t="s">
        <v>17823</v>
      </c>
      <c r="XAG1" t="s">
        <v>17824</v>
      </c>
      <c r="XAH1" t="s">
        <v>17825</v>
      </c>
      <c r="XAI1" t="s">
        <v>17826</v>
      </c>
      <c r="XAJ1" t="s">
        <v>17827</v>
      </c>
      <c r="XAK1" t="s">
        <v>17828</v>
      </c>
      <c r="XAL1" t="s">
        <v>17829</v>
      </c>
      <c r="XAM1" t="s">
        <v>17830</v>
      </c>
      <c r="XAN1" t="s">
        <v>17831</v>
      </c>
      <c r="XAO1" t="s">
        <v>17832</v>
      </c>
      <c r="XAP1" t="s">
        <v>17833</v>
      </c>
      <c r="XAQ1" t="s">
        <v>17834</v>
      </c>
      <c r="XAR1" t="s">
        <v>17835</v>
      </c>
      <c r="XAS1" t="s">
        <v>17836</v>
      </c>
      <c r="XAT1" t="s">
        <v>17837</v>
      </c>
      <c r="XAU1" t="s">
        <v>17838</v>
      </c>
      <c r="XAV1" t="s">
        <v>17839</v>
      </c>
      <c r="XAW1" t="s">
        <v>17840</v>
      </c>
      <c r="XAX1" t="s">
        <v>17841</v>
      </c>
      <c r="XAY1" t="s">
        <v>17842</v>
      </c>
      <c r="XAZ1" t="s">
        <v>17843</v>
      </c>
      <c r="XBA1" t="s">
        <v>17844</v>
      </c>
      <c r="XBB1" t="s">
        <v>17845</v>
      </c>
      <c r="XBC1" t="s">
        <v>17846</v>
      </c>
      <c r="XBD1" t="s">
        <v>17847</v>
      </c>
      <c r="XBE1" t="s">
        <v>17848</v>
      </c>
      <c r="XBF1" t="s">
        <v>17849</v>
      </c>
      <c r="XBG1" t="s">
        <v>17850</v>
      </c>
      <c r="XBH1" t="s">
        <v>17851</v>
      </c>
      <c r="XBI1" t="s">
        <v>17852</v>
      </c>
      <c r="XBJ1" t="s">
        <v>17853</v>
      </c>
      <c r="XBK1" t="s">
        <v>17854</v>
      </c>
      <c r="XBL1" t="s">
        <v>17855</v>
      </c>
      <c r="XBM1" t="s">
        <v>17856</v>
      </c>
      <c r="XBN1" t="s">
        <v>17857</v>
      </c>
      <c r="XBO1" t="s">
        <v>17858</v>
      </c>
      <c r="XBP1" t="s">
        <v>17859</v>
      </c>
      <c r="XBQ1" t="s">
        <v>17860</v>
      </c>
      <c r="XBR1" t="s">
        <v>17861</v>
      </c>
      <c r="XBS1" t="s">
        <v>17862</v>
      </c>
      <c r="XBT1" t="s">
        <v>17863</v>
      </c>
      <c r="XBU1" t="s">
        <v>17864</v>
      </c>
      <c r="XBV1" t="s">
        <v>17865</v>
      </c>
      <c r="XBW1" t="s">
        <v>17866</v>
      </c>
      <c r="XBX1" t="s">
        <v>17867</v>
      </c>
      <c r="XBY1" t="s">
        <v>17868</v>
      </c>
      <c r="XBZ1" t="s">
        <v>17869</v>
      </c>
      <c r="XCA1" t="s">
        <v>17870</v>
      </c>
      <c r="XCB1" t="s">
        <v>17871</v>
      </c>
      <c r="XCC1" t="s">
        <v>17872</v>
      </c>
      <c r="XCD1" t="s">
        <v>17873</v>
      </c>
      <c r="XCE1" t="s">
        <v>17874</v>
      </c>
      <c r="XCF1" t="s">
        <v>17875</v>
      </c>
      <c r="XCG1" t="s">
        <v>17876</v>
      </c>
      <c r="XCH1" t="s">
        <v>17877</v>
      </c>
      <c r="XCI1" t="s">
        <v>17878</v>
      </c>
      <c r="XCJ1" t="s">
        <v>17879</v>
      </c>
      <c r="XCK1" t="s">
        <v>17880</v>
      </c>
      <c r="XCL1" t="s">
        <v>17881</v>
      </c>
      <c r="XCM1" t="s">
        <v>17882</v>
      </c>
      <c r="XCN1" t="s">
        <v>17883</v>
      </c>
      <c r="XCO1" t="s">
        <v>17884</v>
      </c>
      <c r="XCP1" t="s">
        <v>17885</v>
      </c>
      <c r="XCQ1" t="s">
        <v>17886</v>
      </c>
      <c r="XCR1" t="s">
        <v>17887</v>
      </c>
      <c r="XCS1" t="s">
        <v>17888</v>
      </c>
      <c r="XCT1" t="s">
        <v>17889</v>
      </c>
      <c r="XCU1" t="s">
        <v>17890</v>
      </c>
      <c r="XCV1" t="s">
        <v>17891</v>
      </c>
      <c r="XCW1" t="s">
        <v>17892</v>
      </c>
      <c r="XCX1" t="s">
        <v>17893</v>
      </c>
      <c r="XCY1" t="s">
        <v>17894</v>
      </c>
      <c r="XCZ1" t="s">
        <v>17895</v>
      </c>
      <c r="XDA1" t="s">
        <v>17896</v>
      </c>
      <c r="XDB1" t="s">
        <v>17897</v>
      </c>
      <c r="XDC1" t="s">
        <v>17898</v>
      </c>
      <c r="XDD1" t="s">
        <v>17899</v>
      </c>
      <c r="XDE1" t="s">
        <v>17900</v>
      </c>
      <c r="XDF1" t="s">
        <v>17901</v>
      </c>
      <c r="XDG1" t="s">
        <v>17902</v>
      </c>
      <c r="XDH1" t="s">
        <v>17903</v>
      </c>
      <c r="XDI1" t="s">
        <v>17904</v>
      </c>
      <c r="XDJ1" t="s">
        <v>17905</v>
      </c>
      <c r="XDK1" t="s">
        <v>17906</v>
      </c>
      <c r="XDL1" t="s">
        <v>17907</v>
      </c>
      <c r="XDM1" t="s">
        <v>17908</v>
      </c>
      <c r="XDN1" t="s">
        <v>17909</v>
      </c>
      <c r="XDO1" t="s">
        <v>17910</v>
      </c>
      <c r="XDP1" t="s">
        <v>17911</v>
      </c>
      <c r="XDQ1" t="s">
        <v>17912</v>
      </c>
      <c r="XDR1" t="s">
        <v>17913</v>
      </c>
      <c r="XDS1" t="s">
        <v>17914</v>
      </c>
      <c r="XDT1" t="s">
        <v>17915</v>
      </c>
      <c r="XDU1" t="s">
        <v>17916</v>
      </c>
      <c r="XDV1" t="s">
        <v>17917</v>
      </c>
      <c r="XDW1" t="s">
        <v>17918</v>
      </c>
      <c r="XDX1" t="s">
        <v>17919</v>
      </c>
      <c r="XDY1" t="s">
        <v>17920</v>
      </c>
      <c r="XDZ1" t="s">
        <v>17921</v>
      </c>
      <c r="XEA1" t="s">
        <v>17922</v>
      </c>
      <c r="XEB1" t="s">
        <v>17923</v>
      </c>
      <c r="XEC1" t="s">
        <v>17924</v>
      </c>
      <c r="XED1" t="s">
        <v>17925</v>
      </c>
      <c r="XEE1" t="s">
        <v>17926</v>
      </c>
      <c r="XEF1" t="s">
        <v>17927</v>
      </c>
      <c r="XEG1" t="s">
        <v>17928</v>
      </c>
      <c r="XEH1" t="s">
        <v>17929</v>
      </c>
      <c r="XEI1" t="s">
        <v>17930</v>
      </c>
      <c r="XEJ1" t="s">
        <v>17931</v>
      </c>
      <c r="XEK1" t="s">
        <v>17932</v>
      </c>
      <c r="XEL1" t="s">
        <v>17933</v>
      </c>
      <c r="XEM1" t="s">
        <v>17934</v>
      </c>
      <c r="XEN1" t="s">
        <v>17935</v>
      </c>
      <c r="XEO1" t="s">
        <v>17936</v>
      </c>
      <c r="XEP1" t="s">
        <v>17937</v>
      </c>
      <c r="XEQ1" t="s">
        <v>17938</v>
      </c>
      <c r="XER1" t="s">
        <v>17939</v>
      </c>
      <c r="XES1" t="s">
        <v>17940</v>
      </c>
      <c r="XET1" t="s">
        <v>17941</v>
      </c>
      <c r="XEU1" t="s">
        <v>17942</v>
      </c>
      <c r="XEV1" t="s">
        <v>17943</v>
      </c>
      <c r="XEW1" t="s">
        <v>17944</v>
      </c>
      <c r="XEX1" t="s">
        <v>17945</v>
      </c>
      <c r="XEY1" t="s">
        <v>17946</v>
      </c>
      <c r="XEZ1" t="s">
        <v>17947</v>
      </c>
      <c r="XFA1" t="s">
        <v>17948</v>
      </c>
      <c r="XFB1" t="s">
        <v>17949</v>
      </c>
      <c r="XFC1" t="s">
        <v>17950</v>
      </c>
      <c r="XFD1" t="s">
        <v>17951</v>
      </c>
    </row>
    <row r="2" spans="1:16384" x14ac:dyDescent="0.3">
      <c r="A2">
        <v>283</v>
      </c>
      <c r="B2" t="s">
        <v>313</v>
      </c>
      <c r="C2">
        <v>107</v>
      </c>
      <c r="D2" t="s">
        <v>13</v>
      </c>
      <c r="E2">
        <v>1561</v>
      </c>
      <c r="F2" t="s">
        <v>314</v>
      </c>
      <c r="G2">
        <v>0</v>
      </c>
      <c r="H2">
        <v>0</v>
      </c>
      <c r="I2">
        <v>0</v>
      </c>
      <c r="J2">
        <v>0</v>
      </c>
      <c r="K2">
        <v>0</v>
      </c>
      <c r="L2">
        <v>0</v>
      </c>
    </row>
    <row r="3" spans="1:16384" x14ac:dyDescent="0.3">
      <c r="A3">
        <v>283</v>
      </c>
      <c r="B3" t="s">
        <v>313</v>
      </c>
      <c r="C3">
        <v>107</v>
      </c>
      <c r="D3" t="s">
        <v>13</v>
      </c>
      <c r="E3">
        <v>1562</v>
      </c>
      <c r="F3" t="s">
        <v>315</v>
      </c>
    </row>
    <row r="4" spans="1:16384" x14ac:dyDescent="0.3">
      <c r="A4">
        <v>283</v>
      </c>
      <c r="B4" t="s">
        <v>313</v>
      </c>
      <c r="C4">
        <v>107</v>
      </c>
      <c r="D4" t="s">
        <v>13</v>
      </c>
      <c r="E4">
        <v>1565</v>
      </c>
      <c r="F4" t="s">
        <v>318</v>
      </c>
    </row>
    <row r="5" spans="1:16384" x14ac:dyDescent="0.3">
      <c r="A5">
        <v>283</v>
      </c>
      <c r="B5" t="s">
        <v>313</v>
      </c>
      <c r="C5">
        <v>107</v>
      </c>
      <c r="D5" t="s">
        <v>13</v>
      </c>
      <c r="E5">
        <v>1566</v>
      </c>
      <c r="F5" t="s">
        <v>319</v>
      </c>
    </row>
    <row r="6" spans="1:16384" x14ac:dyDescent="0.3">
      <c r="A6">
        <v>283</v>
      </c>
      <c r="B6" t="s">
        <v>313</v>
      </c>
      <c r="C6">
        <v>107</v>
      </c>
      <c r="D6" t="s">
        <v>13</v>
      </c>
      <c r="E6">
        <v>1567</v>
      </c>
      <c r="F6" t="s">
        <v>320</v>
      </c>
    </row>
    <row r="7" spans="1:16384" x14ac:dyDescent="0.3">
      <c r="A7">
        <v>283</v>
      </c>
      <c r="B7" t="s">
        <v>313</v>
      </c>
      <c r="C7">
        <v>107</v>
      </c>
      <c r="D7" t="s">
        <v>13</v>
      </c>
      <c r="E7">
        <v>1569</v>
      </c>
      <c r="F7" t="s">
        <v>322</v>
      </c>
    </row>
    <row r="8" spans="1:16384" x14ac:dyDescent="0.3">
      <c r="A8">
        <v>283</v>
      </c>
      <c r="B8" t="s">
        <v>313</v>
      </c>
      <c r="C8">
        <v>107</v>
      </c>
      <c r="D8" t="s">
        <v>13</v>
      </c>
      <c r="E8">
        <v>1916</v>
      </c>
      <c r="F8" t="s">
        <v>1208</v>
      </c>
    </row>
    <row r="9" spans="1:16384" x14ac:dyDescent="0.3">
      <c r="A9">
        <v>286</v>
      </c>
      <c r="B9" t="s">
        <v>323</v>
      </c>
      <c r="C9">
        <v>111</v>
      </c>
      <c r="D9" t="s">
        <v>23</v>
      </c>
      <c r="E9">
        <v>1423</v>
      </c>
      <c r="F9" t="s">
        <v>349</v>
      </c>
      <c r="G9">
        <v>0</v>
      </c>
      <c r="H9">
        <v>1</v>
      </c>
      <c r="I9">
        <v>1</v>
      </c>
      <c r="J9">
        <v>0</v>
      </c>
      <c r="K9">
        <v>1</v>
      </c>
      <c r="L9">
        <v>0</v>
      </c>
      <c r="M9" t="s">
        <v>325</v>
      </c>
      <c r="N9" t="s">
        <v>336</v>
      </c>
    </row>
    <row r="10" spans="1:16384" x14ac:dyDescent="0.3">
      <c r="A10">
        <v>286</v>
      </c>
      <c r="B10" t="s">
        <v>323</v>
      </c>
      <c r="C10">
        <v>111</v>
      </c>
      <c r="D10" t="s">
        <v>23</v>
      </c>
      <c r="E10">
        <v>1424</v>
      </c>
      <c r="F10" t="s">
        <v>350</v>
      </c>
      <c r="G10">
        <v>0</v>
      </c>
      <c r="H10">
        <v>0</v>
      </c>
      <c r="I10">
        <v>0</v>
      </c>
      <c r="J10">
        <v>0</v>
      </c>
      <c r="K10">
        <v>5</v>
      </c>
      <c r="L10">
        <v>0</v>
      </c>
      <c r="M10" t="s">
        <v>333</v>
      </c>
      <c r="N10" t="s">
        <v>326</v>
      </c>
    </row>
    <row r="11" spans="1:16384" x14ac:dyDescent="0.3">
      <c r="A11">
        <v>286</v>
      </c>
      <c r="B11" t="s">
        <v>323</v>
      </c>
      <c r="C11">
        <v>111</v>
      </c>
      <c r="D11" t="s">
        <v>23</v>
      </c>
      <c r="E11">
        <v>1425</v>
      </c>
      <c r="F11" t="s">
        <v>351</v>
      </c>
      <c r="G11">
        <v>0</v>
      </c>
      <c r="H11">
        <v>1</v>
      </c>
      <c r="I11">
        <v>0</v>
      </c>
      <c r="J11">
        <v>0</v>
      </c>
      <c r="K11">
        <v>6</v>
      </c>
      <c r="L11">
        <v>0</v>
      </c>
      <c r="M11" t="s">
        <v>333</v>
      </c>
      <c r="N11" t="s">
        <v>484</v>
      </c>
    </row>
    <row r="12" spans="1:16384" x14ac:dyDescent="0.3">
      <c r="A12">
        <v>286</v>
      </c>
      <c r="B12" t="s">
        <v>323</v>
      </c>
      <c r="C12">
        <v>111</v>
      </c>
      <c r="D12" t="s">
        <v>23</v>
      </c>
      <c r="E12">
        <v>1426</v>
      </c>
      <c r="F12" t="s">
        <v>353</v>
      </c>
      <c r="G12">
        <v>0</v>
      </c>
      <c r="H12">
        <v>0</v>
      </c>
      <c r="I12">
        <v>0</v>
      </c>
      <c r="J12">
        <v>0</v>
      </c>
      <c r="K12">
        <v>4</v>
      </c>
      <c r="L12">
        <v>0</v>
      </c>
      <c r="M12" t="s">
        <v>333</v>
      </c>
      <c r="N12" t="s">
        <v>326</v>
      </c>
    </row>
    <row r="13" spans="1:16384" x14ac:dyDescent="0.3">
      <c r="A13">
        <v>286</v>
      </c>
      <c r="B13" t="s">
        <v>323</v>
      </c>
      <c r="C13">
        <v>111</v>
      </c>
      <c r="D13" t="s">
        <v>23</v>
      </c>
      <c r="E13">
        <v>1427</v>
      </c>
      <c r="F13" t="s">
        <v>354</v>
      </c>
      <c r="G13">
        <v>0</v>
      </c>
      <c r="H13">
        <v>1</v>
      </c>
      <c r="I13">
        <v>0</v>
      </c>
      <c r="J13">
        <v>1</v>
      </c>
      <c r="K13">
        <v>3</v>
      </c>
      <c r="L13">
        <v>0</v>
      </c>
      <c r="M13" t="s">
        <v>333</v>
      </c>
      <c r="N13" t="s">
        <v>484</v>
      </c>
    </row>
    <row r="14" spans="1:16384" x14ac:dyDescent="0.3">
      <c r="A14">
        <v>286</v>
      </c>
      <c r="B14" t="s">
        <v>323</v>
      </c>
      <c r="C14">
        <v>111</v>
      </c>
      <c r="D14" t="s">
        <v>23</v>
      </c>
      <c r="E14">
        <v>1428</v>
      </c>
      <c r="F14" t="s">
        <v>355</v>
      </c>
      <c r="G14">
        <v>0</v>
      </c>
      <c r="H14">
        <v>0</v>
      </c>
      <c r="I14">
        <v>0</v>
      </c>
      <c r="J14">
        <v>0</v>
      </c>
      <c r="K14">
        <v>2</v>
      </c>
      <c r="L14">
        <v>0</v>
      </c>
      <c r="M14" t="s">
        <v>333</v>
      </c>
      <c r="N14" t="s">
        <v>484</v>
      </c>
    </row>
    <row r="15" spans="1:16384" x14ac:dyDescent="0.3">
      <c r="A15">
        <v>286</v>
      </c>
      <c r="B15" t="s">
        <v>323</v>
      </c>
      <c r="C15">
        <v>111</v>
      </c>
      <c r="D15" t="s">
        <v>23</v>
      </c>
      <c r="E15">
        <v>1429</v>
      </c>
      <c r="F15" t="s">
        <v>356</v>
      </c>
      <c r="G15">
        <v>0</v>
      </c>
      <c r="H15">
        <v>0</v>
      </c>
      <c r="I15">
        <v>0</v>
      </c>
      <c r="J15">
        <v>0</v>
      </c>
      <c r="K15">
        <v>5</v>
      </c>
      <c r="L15">
        <v>0</v>
      </c>
      <c r="M15" t="s">
        <v>333</v>
      </c>
      <c r="N15" t="s">
        <v>484</v>
      </c>
    </row>
    <row r="16" spans="1:16384" x14ac:dyDescent="0.3">
      <c r="A16">
        <v>286</v>
      </c>
      <c r="B16" t="s">
        <v>323</v>
      </c>
      <c r="C16">
        <v>111</v>
      </c>
      <c r="D16" t="s">
        <v>23</v>
      </c>
      <c r="E16">
        <v>1430</v>
      </c>
      <c r="F16" t="s">
        <v>357</v>
      </c>
      <c r="G16">
        <v>0</v>
      </c>
      <c r="H16">
        <v>0</v>
      </c>
      <c r="I16">
        <v>0</v>
      </c>
      <c r="J16">
        <v>0</v>
      </c>
      <c r="K16">
        <v>0</v>
      </c>
      <c r="L16">
        <v>0</v>
      </c>
      <c r="M16" t="s">
        <v>325</v>
      </c>
      <c r="N16" t="s">
        <v>329</v>
      </c>
    </row>
    <row r="17" spans="1:14" x14ac:dyDescent="0.3">
      <c r="A17">
        <v>286</v>
      </c>
      <c r="B17" t="s">
        <v>323</v>
      </c>
      <c r="C17">
        <v>111</v>
      </c>
      <c r="D17" t="s">
        <v>23</v>
      </c>
      <c r="E17">
        <v>1431</v>
      </c>
      <c r="F17" t="s">
        <v>358</v>
      </c>
      <c r="G17">
        <v>0</v>
      </c>
      <c r="H17">
        <v>0</v>
      </c>
      <c r="I17">
        <v>0</v>
      </c>
      <c r="J17">
        <v>0</v>
      </c>
      <c r="K17">
        <v>4</v>
      </c>
      <c r="L17">
        <v>0</v>
      </c>
      <c r="M17" t="s">
        <v>325</v>
      </c>
      <c r="N17" t="s">
        <v>348</v>
      </c>
    </row>
    <row r="18" spans="1:14" x14ac:dyDescent="0.3">
      <c r="A18">
        <v>286</v>
      </c>
      <c r="B18" t="s">
        <v>323</v>
      </c>
      <c r="C18">
        <v>111</v>
      </c>
      <c r="D18" t="s">
        <v>23</v>
      </c>
      <c r="E18">
        <v>1432</v>
      </c>
      <c r="F18" t="s">
        <v>359</v>
      </c>
      <c r="G18">
        <v>0</v>
      </c>
      <c r="H18">
        <v>1</v>
      </c>
      <c r="I18">
        <v>0</v>
      </c>
      <c r="J18">
        <v>0</v>
      </c>
      <c r="K18">
        <v>1</v>
      </c>
      <c r="L18">
        <v>0</v>
      </c>
      <c r="M18" t="s">
        <v>333</v>
      </c>
      <c r="N18" t="s">
        <v>329</v>
      </c>
    </row>
    <row r="19" spans="1:14" x14ac:dyDescent="0.3">
      <c r="A19">
        <v>286</v>
      </c>
      <c r="B19" t="s">
        <v>323</v>
      </c>
      <c r="C19">
        <v>111</v>
      </c>
      <c r="D19" t="s">
        <v>23</v>
      </c>
      <c r="E19">
        <v>1433</v>
      </c>
      <c r="F19" t="s">
        <v>360</v>
      </c>
      <c r="G19">
        <v>0</v>
      </c>
      <c r="H19">
        <v>0</v>
      </c>
      <c r="I19">
        <v>0</v>
      </c>
      <c r="J19">
        <v>0</v>
      </c>
      <c r="K19">
        <v>3</v>
      </c>
      <c r="L19">
        <v>0</v>
      </c>
      <c r="M19" t="s">
        <v>333</v>
      </c>
      <c r="N19" t="s">
        <v>484</v>
      </c>
    </row>
    <row r="20" spans="1:14" x14ac:dyDescent="0.3">
      <c r="A20">
        <v>286</v>
      </c>
      <c r="B20" t="s">
        <v>323</v>
      </c>
      <c r="C20">
        <v>111</v>
      </c>
      <c r="D20" t="s">
        <v>23</v>
      </c>
      <c r="E20">
        <v>1434</v>
      </c>
      <c r="F20" t="s">
        <v>361</v>
      </c>
      <c r="G20">
        <v>0</v>
      </c>
      <c r="H20">
        <v>0</v>
      </c>
      <c r="I20">
        <v>0</v>
      </c>
      <c r="J20">
        <v>1</v>
      </c>
      <c r="K20">
        <v>2</v>
      </c>
      <c r="L20">
        <v>0</v>
      </c>
      <c r="M20" t="s">
        <v>333</v>
      </c>
      <c r="N20" t="s">
        <v>484</v>
      </c>
    </row>
    <row r="21" spans="1:14" x14ac:dyDescent="0.3">
      <c r="A21">
        <v>286</v>
      </c>
      <c r="B21" t="s">
        <v>323</v>
      </c>
      <c r="C21">
        <v>111</v>
      </c>
      <c r="D21" t="s">
        <v>23</v>
      </c>
      <c r="E21">
        <v>1436</v>
      </c>
      <c r="F21" t="s">
        <v>363</v>
      </c>
      <c r="G21">
        <v>0</v>
      </c>
      <c r="H21">
        <v>0</v>
      </c>
      <c r="I21">
        <v>0</v>
      </c>
      <c r="J21">
        <v>0</v>
      </c>
      <c r="K21">
        <v>0</v>
      </c>
      <c r="L21">
        <v>0</v>
      </c>
      <c r="M21" t="s">
        <v>333</v>
      </c>
      <c r="N21" t="s">
        <v>484</v>
      </c>
    </row>
    <row r="22" spans="1:14" x14ac:dyDescent="0.3">
      <c r="A22">
        <v>286</v>
      </c>
      <c r="B22" t="s">
        <v>323</v>
      </c>
      <c r="C22">
        <v>111</v>
      </c>
      <c r="D22" t="s">
        <v>23</v>
      </c>
      <c r="E22">
        <v>1437</v>
      </c>
      <c r="F22" t="s">
        <v>364</v>
      </c>
      <c r="G22">
        <v>0</v>
      </c>
      <c r="H22">
        <v>0</v>
      </c>
      <c r="I22">
        <v>0</v>
      </c>
      <c r="J22">
        <v>0</v>
      </c>
      <c r="K22">
        <v>0</v>
      </c>
      <c r="L22">
        <v>0</v>
      </c>
      <c r="M22" t="s">
        <v>333</v>
      </c>
      <c r="N22" t="s">
        <v>484</v>
      </c>
    </row>
    <row r="23" spans="1:14" x14ac:dyDescent="0.3">
      <c r="A23">
        <v>287</v>
      </c>
      <c r="B23" t="s">
        <v>323</v>
      </c>
      <c r="C23">
        <v>112</v>
      </c>
      <c r="D23" t="s">
        <v>25</v>
      </c>
      <c r="E23">
        <v>1143</v>
      </c>
      <c r="F23" t="s">
        <v>365</v>
      </c>
      <c r="G23">
        <v>0</v>
      </c>
      <c r="H23">
        <v>0</v>
      </c>
      <c r="I23">
        <v>2</v>
      </c>
      <c r="J23">
        <v>0</v>
      </c>
      <c r="K23">
        <v>0</v>
      </c>
      <c r="L23">
        <v>0</v>
      </c>
      <c r="M23" t="s">
        <v>333</v>
      </c>
      <c r="N23" t="s">
        <v>326</v>
      </c>
    </row>
    <row r="24" spans="1:14" x14ac:dyDescent="0.3">
      <c r="A24">
        <v>287</v>
      </c>
      <c r="B24" t="s">
        <v>323</v>
      </c>
      <c r="C24">
        <v>112</v>
      </c>
      <c r="D24" t="s">
        <v>25</v>
      </c>
      <c r="E24">
        <v>1144</v>
      </c>
      <c r="F24" t="s">
        <v>339</v>
      </c>
      <c r="G24">
        <v>0</v>
      </c>
      <c r="H24">
        <v>0</v>
      </c>
      <c r="I24">
        <v>1</v>
      </c>
      <c r="J24">
        <v>1</v>
      </c>
      <c r="K24">
        <v>0</v>
      </c>
      <c r="L24">
        <v>0</v>
      </c>
      <c r="M24" t="s">
        <v>333</v>
      </c>
      <c r="N24" t="s">
        <v>336</v>
      </c>
    </row>
    <row r="25" spans="1:14" x14ac:dyDescent="0.3">
      <c r="A25">
        <v>287</v>
      </c>
      <c r="B25" t="s">
        <v>323</v>
      </c>
      <c r="C25">
        <v>112</v>
      </c>
      <c r="D25" t="s">
        <v>25</v>
      </c>
      <c r="E25">
        <v>1145</v>
      </c>
      <c r="F25" t="s">
        <v>366</v>
      </c>
      <c r="G25">
        <v>0</v>
      </c>
      <c r="H25">
        <v>0</v>
      </c>
      <c r="I25">
        <v>0</v>
      </c>
      <c r="J25">
        <v>0</v>
      </c>
      <c r="K25">
        <v>0</v>
      </c>
      <c r="L25">
        <v>0</v>
      </c>
      <c r="M25" t="s">
        <v>325</v>
      </c>
      <c r="N25" t="s">
        <v>343</v>
      </c>
    </row>
    <row r="26" spans="1:14" x14ac:dyDescent="0.3">
      <c r="A26">
        <v>287</v>
      </c>
      <c r="B26" t="s">
        <v>323</v>
      </c>
      <c r="C26">
        <v>112</v>
      </c>
      <c r="D26" t="s">
        <v>25</v>
      </c>
      <c r="E26">
        <v>1146</v>
      </c>
      <c r="F26" t="s">
        <v>367</v>
      </c>
      <c r="G26">
        <v>0</v>
      </c>
      <c r="H26">
        <v>0</v>
      </c>
      <c r="I26">
        <v>1</v>
      </c>
      <c r="J26">
        <v>1</v>
      </c>
      <c r="K26">
        <v>0</v>
      </c>
      <c r="L26">
        <v>0</v>
      </c>
      <c r="M26" t="s">
        <v>333</v>
      </c>
      <c r="N26" t="s">
        <v>329</v>
      </c>
    </row>
    <row r="27" spans="1:14" x14ac:dyDescent="0.3">
      <c r="A27">
        <v>287</v>
      </c>
      <c r="B27" t="s">
        <v>323</v>
      </c>
      <c r="C27">
        <v>112</v>
      </c>
      <c r="D27" t="s">
        <v>25</v>
      </c>
      <c r="E27">
        <v>1147</v>
      </c>
      <c r="F27" t="s">
        <v>368</v>
      </c>
      <c r="G27">
        <v>1</v>
      </c>
      <c r="H27">
        <v>1</v>
      </c>
      <c r="I27">
        <v>0</v>
      </c>
      <c r="J27">
        <v>1</v>
      </c>
      <c r="K27">
        <v>0</v>
      </c>
      <c r="L27">
        <v>0</v>
      </c>
      <c r="M27" t="s">
        <v>410</v>
      </c>
      <c r="N27" t="s">
        <v>329</v>
      </c>
    </row>
    <row r="28" spans="1:14" x14ac:dyDescent="0.3">
      <c r="A28">
        <v>287</v>
      </c>
      <c r="B28" t="s">
        <v>323</v>
      </c>
      <c r="C28">
        <v>112</v>
      </c>
      <c r="D28" t="s">
        <v>25</v>
      </c>
      <c r="E28">
        <v>1148</v>
      </c>
      <c r="F28" t="s">
        <v>369</v>
      </c>
      <c r="G28">
        <v>0</v>
      </c>
      <c r="H28">
        <v>0</v>
      </c>
      <c r="I28">
        <v>0</v>
      </c>
      <c r="J28">
        <v>0</v>
      </c>
      <c r="K28">
        <v>0</v>
      </c>
      <c r="L28">
        <v>0</v>
      </c>
      <c r="M28" t="s">
        <v>333</v>
      </c>
      <c r="N28" t="s">
        <v>336</v>
      </c>
    </row>
    <row r="29" spans="1:14" x14ac:dyDescent="0.3">
      <c r="A29">
        <v>287</v>
      </c>
      <c r="B29" t="s">
        <v>323</v>
      </c>
      <c r="C29">
        <v>112</v>
      </c>
      <c r="D29" t="s">
        <v>25</v>
      </c>
      <c r="E29">
        <v>1149</v>
      </c>
      <c r="F29" t="s">
        <v>370</v>
      </c>
      <c r="G29">
        <v>0</v>
      </c>
      <c r="H29">
        <v>1</v>
      </c>
      <c r="I29">
        <v>0</v>
      </c>
      <c r="J29">
        <v>2</v>
      </c>
      <c r="K29">
        <v>1</v>
      </c>
      <c r="L29">
        <v>2</v>
      </c>
      <c r="M29" t="s">
        <v>333</v>
      </c>
      <c r="N29" t="s">
        <v>326</v>
      </c>
    </row>
    <row r="30" spans="1:14" x14ac:dyDescent="0.3">
      <c r="A30">
        <v>287</v>
      </c>
      <c r="B30" t="s">
        <v>323</v>
      </c>
      <c r="C30">
        <v>112</v>
      </c>
      <c r="D30" t="s">
        <v>25</v>
      </c>
      <c r="E30">
        <v>1150</v>
      </c>
      <c r="F30" t="s">
        <v>371</v>
      </c>
      <c r="G30">
        <v>0</v>
      </c>
      <c r="H30">
        <v>0</v>
      </c>
      <c r="I30">
        <v>0</v>
      </c>
      <c r="J30">
        <v>0</v>
      </c>
      <c r="K30">
        <v>0</v>
      </c>
      <c r="L30">
        <v>0</v>
      </c>
      <c r="M30" t="s">
        <v>333</v>
      </c>
      <c r="N30" t="s">
        <v>329</v>
      </c>
    </row>
    <row r="31" spans="1:14" x14ac:dyDescent="0.3">
      <c r="A31">
        <v>287</v>
      </c>
      <c r="B31" t="s">
        <v>323</v>
      </c>
      <c r="C31">
        <v>112</v>
      </c>
      <c r="D31" t="s">
        <v>25</v>
      </c>
      <c r="E31">
        <v>1151</v>
      </c>
      <c r="F31" t="s">
        <v>372</v>
      </c>
      <c r="G31">
        <v>1</v>
      </c>
      <c r="H31">
        <v>0</v>
      </c>
      <c r="I31">
        <v>1</v>
      </c>
      <c r="J31">
        <v>2</v>
      </c>
      <c r="K31">
        <v>1</v>
      </c>
      <c r="L31">
        <v>1</v>
      </c>
      <c r="M31" t="s">
        <v>333</v>
      </c>
      <c r="N31" t="s">
        <v>326</v>
      </c>
    </row>
    <row r="32" spans="1:14" x14ac:dyDescent="0.3">
      <c r="A32">
        <v>287</v>
      </c>
      <c r="B32" t="s">
        <v>323</v>
      </c>
      <c r="C32">
        <v>112</v>
      </c>
      <c r="D32" t="s">
        <v>25</v>
      </c>
      <c r="E32">
        <v>1152</v>
      </c>
      <c r="F32" t="s">
        <v>373</v>
      </c>
      <c r="G32">
        <v>0</v>
      </c>
      <c r="H32">
        <v>0</v>
      </c>
      <c r="I32">
        <v>1</v>
      </c>
      <c r="J32">
        <v>1</v>
      </c>
      <c r="K32">
        <v>0</v>
      </c>
      <c r="L32">
        <v>0</v>
      </c>
      <c r="M32" t="s">
        <v>325</v>
      </c>
      <c r="N32" t="s">
        <v>348</v>
      </c>
    </row>
    <row r="33" spans="1:14" x14ac:dyDescent="0.3">
      <c r="A33">
        <v>287</v>
      </c>
      <c r="B33" t="s">
        <v>323</v>
      </c>
      <c r="C33">
        <v>112</v>
      </c>
      <c r="D33" t="s">
        <v>25</v>
      </c>
      <c r="E33">
        <v>1154</v>
      </c>
      <c r="F33" t="s">
        <v>375</v>
      </c>
      <c r="G33">
        <v>0</v>
      </c>
      <c r="H33">
        <v>0</v>
      </c>
      <c r="I33">
        <v>1</v>
      </c>
      <c r="J33">
        <v>0</v>
      </c>
      <c r="K33">
        <v>1</v>
      </c>
      <c r="L33">
        <v>1</v>
      </c>
      <c r="M33" t="s">
        <v>333</v>
      </c>
      <c r="N33" t="s">
        <v>326</v>
      </c>
    </row>
    <row r="34" spans="1:14" x14ac:dyDescent="0.3">
      <c r="A34">
        <v>287</v>
      </c>
      <c r="B34" t="s">
        <v>323</v>
      </c>
      <c r="C34">
        <v>112</v>
      </c>
      <c r="D34" t="s">
        <v>25</v>
      </c>
      <c r="E34">
        <v>1156</v>
      </c>
      <c r="F34" t="s">
        <v>377</v>
      </c>
      <c r="G34">
        <v>0</v>
      </c>
      <c r="H34">
        <v>0</v>
      </c>
      <c r="I34">
        <v>0</v>
      </c>
      <c r="J34">
        <v>0</v>
      </c>
      <c r="K34">
        <v>0</v>
      </c>
      <c r="L34">
        <v>0</v>
      </c>
      <c r="M34" t="s">
        <v>325</v>
      </c>
      <c r="N34" t="s">
        <v>348</v>
      </c>
    </row>
    <row r="35" spans="1:14" x14ac:dyDescent="0.3">
      <c r="A35">
        <v>287</v>
      </c>
      <c r="B35" t="s">
        <v>323</v>
      </c>
      <c r="C35">
        <v>112</v>
      </c>
      <c r="D35" t="s">
        <v>25</v>
      </c>
      <c r="E35">
        <v>1157</v>
      </c>
      <c r="F35" t="s">
        <v>378</v>
      </c>
      <c r="G35">
        <v>0</v>
      </c>
      <c r="H35">
        <v>0</v>
      </c>
      <c r="I35">
        <v>0</v>
      </c>
      <c r="J35">
        <v>0</v>
      </c>
      <c r="K35">
        <v>0</v>
      </c>
      <c r="L35">
        <v>0</v>
      </c>
      <c r="M35" t="s">
        <v>333</v>
      </c>
      <c r="N35" t="s">
        <v>326</v>
      </c>
    </row>
    <row r="36" spans="1:14" x14ac:dyDescent="0.3">
      <c r="A36">
        <v>287</v>
      </c>
      <c r="B36" t="s">
        <v>323</v>
      </c>
      <c r="C36">
        <v>112</v>
      </c>
      <c r="D36" t="s">
        <v>25</v>
      </c>
      <c r="E36">
        <v>1158</v>
      </c>
      <c r="F36" t="s">
        <v>379</v>
      </c>
      <c r="G36">
        <v>0</v>
      </c>
      <c r="H36">
        <v>2</v>
      </c>
      <c r="I36">
        <v>1</v>
      </c>
      <c r="J36">
        <v>3</v>
      </c>
      <c r="K36">
        <v>2</v>
      </c>
      <c r="L36">
        <v>3</v>
      </c>
      <c r="M36" t="s">
        <v>333</v>
      </c>
      <c r="N36" t="s">
        <v>326</v>
      </c>
    </row>
    <row r="37" spans="1:14" x14ac:dyDescent="0.3">
      <c r="A37">
        <v>287</v>
      </c>
      <c r="B37" t="s">
        <v>323</v>
      </c>
      <c r="C37">
        <v>112</v>
      </c>
      <c r="D37" t="s">
        <v>25</v>
      </c>
      <c r="E37">
        <v>1159</v>
      </c>
      <c r="F37" t="s">
        <v>380</v>
      </c>
      <c r="G37">
        <v>1</v>
      </c>
      <c r="H37">
        <v>0</v>
      </c>
      <c r="I37">
        <v>0</v>
      </c>
      <c r="J37">
        <v>0</v>
      </c>
      <c r="K37">
        <v>0</v>
      </c>
      <c r="L37">
        <v>0</v>
      </c>
      <c r="M37" t="s">
        <v>333</v>
      </c>
      <c r="N37" t="s">
        <v>326</v>
      </c>
    </row>
    <row r="38" spans="1:14" x14ac:dyDescent="0.3">
      <c r="A38">
        <v>287</v>
      </c>
      <c r="B38" t="s">
        <v>323</v>
      </c>
      <c r="C38">
        <v>112</v>
      </c>
      <c r="D38" t="s">
        <v>25</v>
      </c>
      <c r="E38">
        <v>1160</v>
      </c>
      <c r="F38" t="s">
        <v>381</v>
      </c>
      <c r="G38">
        <v>0</v>
      </c>
      <c r="H38">
        <v>0</v>
      </c>
      <c r="I38">
        <v>1</v>
      </c>
      <c r="J38">
        <v>2</v>
      </c>
      <c r="K38">
        <v>1</v>
      </c>
      <c r="L38">
        <v>2</v>
      </c>
      <c r="M38" t="s">
        <v>333</v>
      </c>
      <c r="N38" t="s">
        <v>326</v>
      </c>
    </row>
    <row r="39" spans="1:14" x14ac:dyDescent="0.3">
      <c r="A39">
        <v>287</v>
      </c>
      <c r="B39" t="s">
        <v>323</v>
      </c>
      <c r="C39">
        <v>112</v>
      </c>
      <c r="D39" t="s">
        <v>25</v>
      </c>
      <c r="E39">
        <v>1161</v>
      </c>
      <c r="F39" t="s">
        <v>382</v>
      </c>
      <c r="G39">
        <v>2</v>
      </c>
      <c r="H39">
        <v>0</v>
      </c>
      <c r="I39">
        <v>1</v>
      </c>
      <c r="J39">
        <v>1</v>
      </c>
      <c r="K39">
        <v>0</v>
      </c>
      <c r="L39">
        <v>2</v>
      </c>
      <c r="M39" t="s">
        <v>325</v>
      </c>
      <c r="N39" t="s">
        <v>326</v>
      </c>
    </row>
    <row r="40" spans="1:14" x14ac:dyDescent="0.3">
      <c r="A40">
        <v>287</v>
      </c>
      <c r="B40" t="s">
        <v>323</v>
      </c>
      <c r="C40">
        <v>112</v>
      </c>
      <c r="D40" t="s">
        <v>25</v>
      </c>
      <c r="E40">
        <v>1162</v>
      </c>
      <c r="F40" t="s">
        <v>383</v>
      </c>
      <c r="G40">
        <v>0</v>
      </c>
      <c r="H40">
        <v>0</v>
      </c>
      <c r="I40">
        <v>0</v>
      </c>
      <c r="J40">
        <v>0</v>
      </c>
      <c r="K40">
        <v>0</v>
      </c>
      <c r="L40">
        <v>0</v>
      </c>
      <c r="M40" t="s">
        <v>333</v>
      </c>
      <c r="N40" t="s">
        <v>326</v>
      </c>
    </row>
    <row r="41" spans="1:14" x14ac:dyDescent="0.3">
      <c r="A41">
        <v>287</v>
      </c>
      <c r="B41" t="s">
        <v>323</v>
      </c>
      <c r="C41">
        <v>112</v>
      </c>
      <c r="D41" t="s">
        <v>25</v>
      </c>
      <c r="E41">
        <v>1677</v>
      </c>
      <c r="F41" t="s">
        <v>1209</v>
      </c>
      <c r="G41">
        <v>1</v>
      </c>
      <c r="H41">
        <v>0</v>
      </c>
      <c r="I41">
        <v>1</v>
      </c>
      <c r="J41">
        <v>0</v>
      </c>
      <c r="K41">
        <v>0</v>
      </c>
      <c r="L41">
        <v>0</v>
      </c>
      <c r="M41" t="s">
        <v>325</v>
      </c>
      <c r="N41" t="s">
        <v>329</v>
      </c>
    </row>
    <row r="42" spans="1:14" x14ac:dyDescent="0.3">
      <c r="A42">
        <v>287</v>
      </c>
      <c r="B42" t="s">
        <v>323</v>
      </c>
      <c r="C42">
        <v>112</v>
      </c>
      <c r="D42" t="s">
        <v>25</v>
      </c>
      <c r="E42">
        <v>1155</v>
      </c>
      <c r="F42" t="s">
        <v>376</v>
      </c>
      <c r="G42">
        <v>0</v>
      </c>
      <c r="H42">
        <v>0</v>
      </c>
      <c r="I42">
        <v>0</v>
      </c>
      <c r="J42">
        <v>1</v>
      </c>
      <c r="K42">
        <v>2</v>
      </c>
      <c r="L42">
        <v>0</v>
      </c>
      <c r="M42" t="s">
        <v>333</v>
      </c>
      <c r="N42" t="s">
        <v>336</v>
      </c>
    </row>
    <row r="43" spans="1:14" x14ac:dyDescent="0.3">
      <c r="A43">
        <v>287</v>
      </c>
      <c r="B43" t="s">
        <v>323</v>
      </c>
      <c r="C43">
        <v>112</v>
      </c>
      <c r="D43" t="s">
        <v>25</v>
      </c>
      <c r="E43">
        <v>1163</v>
      </c>
      <c r="F43" t="s">
        <v>384</v>
      </c>
      <c r="G43">
        <v>0</v>
      </c>
      <c r="H43">
        <v>0</v>
      </c>
      <c r="I43">
        <v>0</v>
      </c>
      <c r="J43">
        <v>0</v>
      </c>
      <c r="K43">
        <v>0</v>
      </c>
      <c r="L43">
        <v>0</v>
      </c>
      <c r="M43" t="s">
        <v>325</v>
      </c>
      <c r="N43" t="s">
        <v>348</v>
      </c>
    </row>
    <row r="44" spans="1:14" x14ac:dyDescent="0.3">
      <c r="A44">
        <v>287</v>
      </c>
      <c r="B44" t="s">
        <v>323</v>
      </c>
      <c r="C44">
        <v>112</v>
      </c>
      <c r="D44" t="s">
        <v>25</v>
      </c>
      <c r="E44">
        <v>1164</v>
      </c>
      <c r="F44" t="s">
        <v>385</v>
      </c>
      <c r="G44">
        <v>0</v>
      </c>
      <c r="H44">
        <v>0</v>
      </c>
      <c r="I44">
        <v>0</v>
      </c>
      <c r="J44">
        <v>0</v>
      </c>
      <c r="K44">
        <v>0</v>
      </c>
      <c r="L44">
        <v>0</v>
      </c>
      <c r="M44" t="s">
        <v>325</v>
      </c>
      <c r="N44" t="s">
        <v>326</v>
      </c>
    </row>
    <row r="45" spans="1:14" x14ac:dyDescent="0.3">
      <c r="A45">
        <v>287</v>
      </c>
      <c r="B45" t="s">
        <v>323</v>
      </c>
      <c r="C45">
        <v>112</v>
      </c>
      <c r="D45" t="s">
        <v>25</v>
      </c>
      <c r="E45">
        <v>1165</v>
      </c>
      <c r="F45" t="s">
        <v>386</v>
      </c>
      <c r="G45">
        <v>1</v>
      </c>
      <c r="H45">
        <v>0</v>
      </c>
      <c r="I45">
        <v>2</v>
      </c>
      <c r="J45">
        <v>0</v>
      </c>
      <c r="K45">
        <v>0</v>
      </c>
      <c r="L45">
        <v>0</v>
      </c>
      <c r="M45" t="s">
        <v>325</v>
      </c>
      <c r="N45" t="s">
        <v>348</v>
      </c>
    </row>
    <row r="46" spans="1:14" x14ac:dyDescent="0.3">
      <c r="A46">
        <v>287</v>
      </c>
      <c r="B46" t="s">
        <v>323</v>
      </c>
      <c r="C46">
        <v>112</v>
      </c>
      <c r="D46" t="s">
        <v>25</v>
      </c>
      <c r="E46">
        <v>1166</v>
      </c>
      <c r="F46" t="s">
        <v>387</v>
      </c>
      <c r="G46">
        <v>0</v>
      </c>
      <c r="H46">
        <v>0</v>
      </c>
      <c r="I46">
        <v>1</v>
      </c>
      <c r="J46">
        <v>4</v>
      </c>
      <c r="K46">
        <v>3</v>
      </c>
      <c r="L46">
        <v>2</v>
      </c>
      <c r="M46" t="s">
        <v>333</v>
      </c>
      <c r="N46" t="s">
        <v>326</v>
      </c>
    </row>
    <row r="47" spans="1:14" x14ac:dyDescent="0.3">
      <c r="A47">
        <v>287</v>
      </c>
      <c r="B47" t="s">
        <v>323</v>
      </c>
      <c r="C47">
        <v>112</v>
      </c>
      <c r="D47" t="s">
        <v>25</v>
      </c>
      <c r="E47">
        <v>1167</v>
      </c>
      <c r="F47" t="s">
        <v>388</v>
      </c>
      <c r="G47">
        <v>0</v>
      </c>
      <c r="H47">
        <v>0</v>
      </c>
      <c r="I47">
        <v>0</v>
      </c>
      <c r="J47">
        <v>0</v>
      </c>
      <c r="K47">
        <v>0</v>
      </c>
      <c r="L47">
        <v>0</v>
      </c>
      <c r="M47" t="s">
        <v>333</v>
      </c>
      <c r="N47" t="s">
        <v>348</v>
      </c>
    </row>
    <row r="48" spans="1:14" x14ac:dyDescent="0.3">
      <c r="A48">
        <v>287</v>
      </c>
      <c r="B48" t="s">
        <v>323</v>
      </c>
      <c r="C48">
        <v>112</v>
      </c>
      <c r="D48" t="s">
        <v>25</v>
      </c>
      <c r="E48">
        <v>1398</v>
      </c>
      <c r="F48" t="s">
        <v>390</v>
      </c>
      <c r="G48">
        <v>0</v>
      </c>
      <c r="H48">
        <v>0</v>
      </c>
      <c r="I48">
        <v>0</v>
      </c>
      <c r="J48">
        <v>0</v>
      </c>
      <c r="K48">
        <v>0</v>
      </c>
      <c r="L48">
        <v>0</v>
      </c>
      <c r="M48" t="s">
        <v>333</v>
      </c>
      <c r="N48" t="s">
        <v>326</v>
      </c>
    </row>
    <row r="49" spans="1:14" x14ac:dyDescent="0.3">
      <c r="A49">
        <v>287</v>
      </c>
      <c r="B49" t="s">
        <v>323</v>
      </c>
      <c r="C49">
        <v>112</v>
      </c>
      <c r="D49" t="s">
        <v>25</v>
      </c>
      <c r="E49">
        <v>1672</v>
      </c>
      <c r="F49" t="s">
        <v>1210</v>
      </c>
      <c r="G49">
        <v>0</v>
      </c>
      <c r="H49">
        <v>0</v>
      </c>
      <c r="I49">
        <v>0</v>
      </c>
      <c r="J49">
        <v>0</v>
      </c>
      <c r="K49">
        <v>0</v>
      </c>
      <c r="L49">
        <v>0</v>
      </c>
      <c r="M49" t="s">
        <v>325</v>
      </c>
      <c r="N49" t="s">
        <v>336</v>
      </c>
    </row>
    <row r="50" spans="1:14" x14ac:dyDescent="0.3">
      <c r="A50">
        <v>287</v>
      </c>
      <c r="B50" t="s">
        <v>323</v>
      </c>
      <c r="C50">
        <v>112</v>
      </c>
      <c r="D50" t="s">
        <v>25</v>
      </c>
      <c r="E50">
        <v>1675</v>
      </c>
      <c r="F50" t="s">
        <v>1211</v>
      </c>
      <c r="G50">
        <v>0</v>
      </c>
      <c r="H50">
        <v>0</v>
      </c>
      <c r="I50">
        <v>0</v>
      </c>
      <c r="J50">
        <v>0</v>
      </c>
      <c r="K50">
        <v>0</v>
      </c>
      <c r="L50">
        <v>0</v>
      </c>
      <c r="M50" t="s">
        <v>333</v>
      </c>
      <c r="N50" t="s">
        <v>348</v>
      </c>
    </row>
    <row r="51" spans="1:14" x14ac:dyDescent="0.3">
      <c r="A51">
        <v>288</v>
      </c>
      <c r="B51" t="s">
        <v>323</v>
      </c>
      <c r="C51">
        <v>113</v>
      </c>
      <c r="D51" t="s">
        <v>27</v>
      </c>
      <c r="E51">
        <v>615</v>
      </c>
      <c r="F51" t="s">
        <v>391</v>
      </c>
      <c r="G51">
        <v>0</v>
      </c>
      <c r="H51">
        <v>0</v>
      </c>
      <c r="I51">
        <v>0</v>
      </c>
      <c r="J51">
        <v>1</v>
      </c>
      <c r="K51">
        <v>3</v>
      </c>
      <c r="L51">
        <v>0</v>
      </c>
      <c r="M51" t="s">
        <v>333</v>
      </c>
      <c r="N51" t="s">
        <v>326</v>
      </c>
    </row>
    <row r="52" spans="1:14" x14ac:dyDescent="0.3">
      <c r="A52">
        <v>288</v>
      </c>
      <c r="B52" t="s">
        <v>323</v>
      </c>
      <c r="C52">
        <v>113</v>
      </c>
      <c r="D52" t="s">
        <v>27</v>
      </c>
      <c r="E52">
        <v>618</v>
      </c>
      <c r="F52" t="s">
        <v>376</v>
      </c>
      <c r="G52">
        <v>0</v>
      </c>
      <c r="H52">
        <v>0</v>
      </c>
      <c r="I52">
        <v>0</v>
      </c>
      <c r="J52">
        <v>0</v>
      </c>
      <c r="K52">
        <v>4</v>
      </c>
      <c r="L52">
        <v>0</v>
      </c>
      <c r="M52" t="s">
        <v>333</v>
      </c>
      <c r="N52" t="s">
        <v>336</v>
      </c>
    </row>
    <row r="53" spans="1:14" x14ac:dyDescent="0.3">
      <c r="A53">
        <v>288</v>
      </c>
      <c r="B53" t="s">
        <v>323</v>
      </c>
      <c r="C53">
        <v>113</v>
      </c>
      <c r="D53" t="s">
        <v>27</v>
      </c>
      <c r="E53">
        <v>619</v>
      </c>
      <c r="F53" t="s">
        <v>393</v>
      </c>
      <c r="G53">
        <v>0</v>
      </c>
      <c r="H53">
        <v>0</v>
      </c>
      <c r="I53">
        <v>1</v>
      </c>
      <c r="J53">
        <v>1</v>
      </c>
      <c r="K53">
        <v>1</v>
      </c>
      <c r="L53">
        <v>0</v>
      </c>
      <c r="M53" t="s">
        <v>325</v>
      </c>
      <c r="N53" t="s">
        <v>336</v>
      </c>
    </row>
    <row r="54" spans="1:14" x14ac:dyDescent="0.3">
      <c r="A54">
        <v>288</v>
      </c>
      <c r="B54" t="s">
        <v>323</v>
      </c>
      <c r="C54">
        <v>113</v>
      </c>
      <c r="D54" t="s">
        <v>27</v>
      </c>
      <c r="E54">
        <v>620</v>
      </c>
      <c r="F54" t="s">
        <v>351</v>
      </c>
      <c r="G54">
        <v>0</v>
      </c>
      <c r="H54">
        <v>0</v>
      </c>
      <c r="I54">
        <v>2</v>
      </c>
      <c r="J54">
        <v>2</v>
      </c>
      <c r="K54">
        <v>0</v>
      </c>
      <c r="L54">
        <v>0</v>
      </c>
      <c r="M54" t="s">
        <v>325</v>
      </c>
      <c r="N54" t="s">
        <v>343</v>
      </c>
    </row>
    <row r="55" spans="1:14" x14ac:dyDescent="0.3">
      <c r="A55">
        <v>288</v>
      </c>
      <c r="B55" t="s">
        <v>323</v>
      </c>
      <c r="C55">
        <v>113</v>
      </c>
      <c r="D55" t="s">
        <v>27</v>
      </c>
      <c r="E55">
        <v>621</v>
      </c>
      <c r="F55" t="s">
        <v>394</v>
      </c>
      <c r="G55">
        <v>0</v>
      </c>
      <c r="H55">
        <v>0</v>
      </c>
      <c r="I55">
        <v>0</v>
      </c>
      <c r="J55">
        <v>0</v>
      </c>
      <c r="K55">
        <v>4</v>
      </c>
      <c r="L55">
        <v>0</v>
      </c>
      <c r="M55" t="s">
        <v>333</v>
      </c>
      <c r="N55" t="s">
        <v>326</v>
      </c>
    </row>
    <row r="56" spans="1:14" x14ac:dyDescent="0.3">
      <c r="A56">
        <v>288</v>
      </c>
      <c r="B56" t="s">
        <v>323</v>
      </c>
      <c r="C56">
        <v>113</v>
      </c>
      <c r="D56" t="s">
        <v>27</v>
      </c>
      <c r="E56">
        <v>1559</v>
      </c>
      <c r="F56" t="s">
        <v>395</v>
      </c>
      <c r="G56">
        <v>0</v>
      </c>
      <c r="H56">
        <v>1</v>
      </c>
      <c r="I56">
        <v>0</v>
      </c>
      <c r="J56">
        <v>1</v>
      </c>
      <c r="K56">
        <v>2</v>
      </c>
      <c r="L56">
        <v>0</v>
      </c>
      <c r="M56" t="s">
        <v>333</v>
      </c>
      <c r="N56" t="s">
        <v>336</v>
      </c>
    </row>
    <row r="57" spans="1:14" x14ac:dyDescent="0.3">
      <c r="A57">
        <v>289</v>
      </c>
      <c r="B57" t="s">
        <v>313</v>
      </c>
      <c r="C57">
        <v>114</v>
      </c>
      <c r="D57" t="s">
        <v>29</v>
      </c>
      <c r="E57">
        <v>354</v>
      </c>
      <c r="F57" t="s">
        <v>339</v>
      </c>
    </row>
    <row r="58" spans="1:14" x14ac:dyDescent="0.3">
      <c r="A58">
        <v>289</v>
      </c>
      <c r="B58" t="s">
        <v>313</v>
      </c>
      <c r="C58">
        <v>114</v>
      </c>
      <c r="D58" t="s">
        <v>29</v>
      </c>
      <c r="E58">
        <v>355</v>
      </c>
      <c r="F58" t="s">
        <v>396</v>
      </c>
    </row>
    <row r="59" spans="1:14" x14ac:dyDescent="0.3">
      <c r="A59">
        <v>289</v>
      </c>
      <c r="B59" t="s">
        <v>313</v>
      </c>
      <c r="C59">
        <v>114</v>
      </c>
      <c r="D59" t="s">
        <v>29</v>
      </c>
      <c r="E59">
        <v>356</v>
      </c>
      <c r="F59" t="s">
        <v>397</v>
      </c>
    </row>
    <row r="60" spans="1:14" x14ac:dyDescent="0.3">
      <c r="A60">
        <v>289</v>
      </c>
      <c r="B60" t="s">
        <v>313</v>
      </c>
      <c r="C60">
        <v>114</v>
      </c>
      <c r="D60" t="s">
        <v>29</v>
      </c>
      <c r="E60">
        <v>357</v>
      </c>
      <c r="F60" t="s">
        <v>398</v>
      </c>
    </row>
    <row r="61" spans="1:14" x14ac:dyDescent="0.3">
      <c r="A61">
        <v>289</v>
      </c>
      <c r="B61" t="s">
        <v>313</v>
      </c>
      <c r="C61">
        <v>114</v>
      </c>
      <c r="D61" t="s">
        <v>29</v>
      </c>
      <c r="E61">
        <v>359</v>
      </c>
      <c r="F61" t="s">
        <v>376</v>
      </c>
    </row>
    <row r="62" spans="1:14" x14ac:dyDescent="0.3">
      <c r="A62">
        <v>289</v>
      </c>
      <c r="B62" t="s">
        <v>313</v>
      </c>
      <c r="C62">
        <v>114</v>
      </c>
      <c r="D62" t="s">
        <v>29</v>
      </c>
      <c r="E62">
        <v>360</v>
      </c>
      <c r="F62" t="s">
        <v>399</v>
      </c>
    </row>
    <row r="63" spans="1:14" x14ac:dyDescent="0.3">
      <c r="A63">
        <v>289</v>
      </c>
      <c r="B63" t="s">
        <v>313</v>
      </c>
      <c r="C63">
        <v>114</v>
      </c>
      <c r="D63" t="s">
        <v>29</v>
      </c>
      <c r="E63">
        <v>361</v>
      </c>
      <c r="F63" t="s">
        <v>400</v>
      </c>
    </row>
    <row r="64" spans="1:14" x14ac:dyDescent="0.3">
      <c r="A64">
        <v>289</v>
      </c>
      <c r="B64" t="s">
        <v>313</v>
      </c>
      <c r="C64">
        <v>114</v>
      </c>
      <c r="D64" t="s">
        <v>29</v>
      </c>
      <c r="E64">
        <v>362</v>
      </c>
      <c r="F64" t="s">
        <v>401</v>
      </c>
    </row>
    <row r="65" spans="1:6" x14ac:dyDescent="0.3">
      <c r="A65">
        <v>289</v>
      </c>
      <c r="B65" t="s">
        <v>313</v>
      </c>
      <c r="C65">
        <v>114</v>
      </c>
      <c r="D65" t="s">
        <v>29</v>
      </c>
      <c r="E65">
        <v>363</v>
      </c>
      <c r="F65" t="s">
        <v>402</v>
      </c>
    </row>
    <row r="66" spans="1:6" x14ac:dyDescent="0.3">
      <c r="A66">
        <v>289</v>
      </c>
      <c r="B66" t="s">
        <v>313</v>
      </c>
      <c r="C66">
        <v>114</v>
      </c>
      <c r="D66" t="s">
        <v>29</v>
      </c>
      <c r="E66">
        <v>364</v>
      </c>
      <c r="F66" t="s">
        <v>390</v>
      </c>
    </row>
    <row r="67" spans="1:6" x14ac:dyDescent="0.3">
      <c r="A67">
        <v>289</v>
      </c>
      <c r="B67" t="s">
        <v>313</v>
      </c>
      <c r="C67">
        <v>114</v>
      </c>
      <c r="D67" t="s">
        <v>29</v>
      </c>
      <c r="E67">
        <v>365</v>
      </c>
      <c r="F67" t="s">
        <v>403</v>
      </c>
    </row>
    <row r="68" spans="1:6" x14ac:dyDescent="0.3">
      <c r="A68">
        <v>289</v>
      </c>
      <c r="B68" t="s">
        <v>313</v>
      </c>
      <c r="C68">
        <v>114</v>
      </c>
      <c r="D68" t="s">
        <v>29</v>
      </c>
      <c r="E68">
        <v>366</v>
      </c>
      <c r="F68" t="s">
        <v>404</v>
      </c>
    </row>
    <row r="69" spans="1:6" x14ac:dyDescent="0.3">
      <c r="A69">
        <v>289</v>
      </c>
      <c r="B69" t="s">
        <v>313</v>
      </c>
      <c r="C69">
        <v>114</v>
      </c>
      <c r="D69" t="s">
        <v>29</v>
      </c>
      <c r="E69">
        <v>368</v>
      </c>
      <c r="F69" t="s">
        <v>405</v>
      </c>
    </row>
    <row r="70" spans="1:6" x14ac:dyDescent="0.3">
      <c r="A70">
        <v>289</v>
      </c>
      <c r="B70" t="s">
        <v>313</v>
      </c>
      <c r="C70">
        <v>114</v>
      </c>
      <c r="D70" t="s">
        <v>29</v>
      </c>
      <c r="E70">
        <v>369</v>
      </c>
      <c r="F70" t="s">
        <v>406</v>
      </c>
    </row>
    <row r="71" spans="1:6" x14ac:dyDescent="0.3">
      <c r="A71">
        <v>289</v>
      </c>
      <c r="B71" t="s">
        <v>313</v>
      </c>
      <c r="C71">
        <v>114</v>
      </c>
      <c r="D71" t="s">
        <v>29</v>
      </c>
      <c r="E71">
        <v>370</v>
      </c>
      <c r="F71" t="s">
        <v>407</v>
      </c>
    </row>
    <row r="72" spans="1:6" x14ac:dyDescent="0.3">
      <c r="A72">
        <v>289</v>
      </c>
      <c r="B72" t="s">
        <v>313</v>
      </c>
      <c r="C72">
        <v>114</v>
      </c>
      <c r="D72" t="s">
        <v>29</v>
      </c>
      <c r="E72">
        <v>371</v>
      </c>
      <c r="F72" t="s">
        <v>408</v>
      </c>
    </row>
    <row r="73" spans="1:6" x14ac:dyDescent="0.3">
      <c r="A73">
        <v>289</v>
      </c>
      <c r="B73" t="s">
        <v>313</v>
      </c>
      <c r="C73">
        <v>114</v>
      </c>
      <c r="D73" t="s">
        <v>29</v>
      </c>
      <c r="E73">
        <v>1385</v>
      </c>
      <c r="F73" t="s">
        <v>409</v>
      </c>
    </row>
    <row r="74" spans="1:6" x14ac:dyDescent="0.3">
      <c r="A74">
        <v>289</v>
      </c>
      <c r="B74" t="s">
        <v>313</v>
      </c>
      <c r="C74">
        <v>114</v>
      </c>
      <c r="D74" t="s">
        <v>29</v>
      </c>
      <c r="E74">
        <v>1891</v>
      </c>
      <c r="F74" t="s">
        <v>1212</v>
      </c>
    </row>
    <row r="75" spans="1:6" x14ac:dyDescent="0.3">
      <c r="A75">
        <v>290</v>
      </c>
      <c r="B75" t="s">
        <v>313</v>
      </c>
      <c r="C75">
        <v>115</v>
      </c>
      <c r="D75" t="s">
        <v>31</v>
      </c>
      <c r="E75">
        <v>284</v>
      </c>
      <c r="F75" t="s">
        <v>1213</v>
      </c>
    </row>
    <row r="76" spans="1:6" x14ac:dyDescent="0.3">
      <c r="A76">
        <v>290</v>
      </c>
      <c r="B76" t="s">
        <v>313</v>
      </c>
      <c r="C76">
        <v>115</v>
      </c>
      <c r="D76" t="s">
        <v>31</v>
      </c>
      <c r="E76">
        <v>285</v>
      </c>
      <c r="F76" t="s">
        <v>1214</v>
      </c>
    </row>
    <row r="77" spans="1:6" x14ac:dyDescent="0.3">
      <c r="A77">
        <v>290</v>
      </c>
      <c r="B77" t="s">
        <v>313</v>
      </c>
      <c r="C77">
        <v>115</v>
      </c>
      <c r="D77" t="s">
        <v>31</v>
      </c>
      <c r="E77">
        <v>286</v>
      </c>
      <c r="F77" t="s">
        <v>523</v>
      </c>
    </row>
    <row r="78" spans="1:6" x14ac:dyDescent="0.3">
      <c r="A78">
        <v>290</v>
      </c>
      <c r="B78" t="s">
        <v>313</v>
      </c>
      <c r="C78">
        <v>115</v>
      </c>
      <c r="D78" t="s">
        <v>31</v>
      </c>
      <c r="E78">
        <v>287</v>
      </c>
      <c r="F78" t="s">
        <v>1215</v>
      </c>
    </row>
    <row r="79" spans="1:6" x14ac:dyDescent="0.3">
      <c r="A79">
        <v>290</v>
      </c>
      <c r="B79" t="s">
        <v>313</v>
      </c>
      <c r="C79">
        <v>115</v>
      </c>
      <c r="D79" t="s">
        <v>31</v>
      </c>
      <c r="E79">
        <v>288</v>
      </c>
      <c r="F79" t="s">
        <v>1216</v>
      </c>
    </row>
    <row r="80" spans="1:6" x14ac:dyDescent="0.3">
      <c r="A80">
        <v>290</v>
      </c>
      <c r="B80" t="s">
        <v>313</v>
      </c>
      <c r="C80">
        <v>115</v>
      </c>
      <c r="D80" t="s">
        <v>31</v>
      </c>
      <c r="E80">
        <v>289</v>
      </c>
      <c r="F80" t="s">
        <v>1217</v>
      </c>
    </row>
    <row r="81" spans="1:14" x14ac:dyDescent="0.3">
      <c r="A81">
        <v>290</v>
      </c>
      <c r="B81" t="s">
        <v>313</v>
      </c>
      <c r="C81">
        <v>115</v>
      </c>
      <c r="D81" t="s">
        <v>31</v>
      </c>
      <c r="E81">
        <v>290</v>
      </c>
      <c r="F81" t="s">
        <v>1218</v>
      </c>
    </row>
    <row r="82" spans="1:14" x14ac:dyDescent="0.3">
      <c r="A82">
        <v>290</v>
      </c>
      <c r="B82" t="s">
        <v>313</v>
      </c>
      <c r="C82">
        <v>115</v>
      </c>
      <c r="D82" t="s">
        <v>31</v>
      </c>
      <c r="E82">
        <v>291</v>
      </c>
      <c r="F82" t="s">
        <v>1219</v>
      </c>
    </row>
    <row r="83" spans="1:14" x14ac:dyDescent="0.3">
      <c r="A83">
        <v>290</v>
      </c>
      <c r="B83" t="s">
        <v>313</v>
      </c>
      <c r="C83">
        <v>115</v>
      </c>
      <c r="D83" t="s">
        <v>31</v>
      </c>
      <c r="E83">
        <v>292</v>
      </c>
      <c r="F83" t="s">
        <v>1220</v>
      </c>
    </row>
    <row r="84" spans="1:14" x14ac:dyDescent="0.3">
      <c r="A84">
        <v>290</v>
      </c>
      <c r="B84" t="s">
        <v>313</v>
      </c>
      <c r="C84">
        <v>115</v>
      </c>
      <c r="D84" t="s">
        <v>31</v>
      </c>
      <c r="E84">
        <v>1799</v>
      </c>
      <c r="F84" t="s">
        <v>1221</v>
      </c>
    </row>
    <row r="85" spans="1:14" x14ac:dyDescent="0.3">
      <c r="A85">
        <v>290</v>
      </c>
      <c r="B85" t="s">
        <v>313</v>
      </c>
      <c r="C85">
        <v>115</v>
      </c>
      <c r="D85" t="s">
        <v>31</v>
      </c>
      <c r="E85">
        <v>1801</v>
      </c>
      <c r="F85" t="s">
        <v>1222</v>
      </c>
    </row>
    <row r="86" spans="1:14" x14ac:dyDescent="0.3">
      <c r="A86">
        <v>290</v>
      </c>
      <c r="B86" t="s">
        <v>313</v>
      </c>
      <c r="C86">
        <v>115</v>
      </c>
      <c r="D86" t="s">
        <v>31</v>
      </c>
      <c r="E86">
        <v>1802</v>
      </c>
      <c r="F86" t="s">
        <v>1223</v>
      </c>
    </row>
    <row r="87" spans="1:14" x14ac:dyDescent="0.3">
      <c r="A87">
        <v>290</v>
      </c>
      <c r="B87" t="s">
        <v>313</v>
      </c>
      <c r="C87">
        <v>115</v>
      </c>
      <c r="D87" t="s">
        <v>31</v>
      </c>
      <c r="E87">
        <v>1805</v>
      </c>
      <c r="F87" t="s">
        <v>1224</v>
      </c>
    </row>
    <row r="88" spans="1:14" x14ac:dyDescent="0.3">
      <c r="A88">
        <v>290</v>
      </c>
      <c r="B88" t="s">
        <v>313</v>
      </c>
      <c r="C88">
        <v>115</v>
      </c>
      <c r="D88" t="s">
        <v>31</v>
      </c>
      <c r="E88">
        <v>1806</v>
      </c>
      <c r="F88" t="s">
        <v>1225</v>
      </c>
    </row>
    <row r="89" spans="1:14" x14ac:dyDescent="0.3">
      <c r="A89">
        <v>292</v>
      </c>
      <c r="B89" t="s">
        <v>323</v>
      </c>
      <c r="C89">
        <v>117</v>
      </c>
      <c r="D89" t="s">
        <v>35</v>
      </c>
      <c r="E89">
        <v>333</v>
      </c>
      <c r="F89" t="s">
        <v>393</v>
      </c>
      <c r="G89">
        <v>0</v>
      </c>
      <c r="H89">
        <v>1</v>
      </c>
      <c r="I89">
        <v>1</v>
      </c>
      <c r="J89">
        <v>0</v>
      </c>
      <c r="K89">
        <v>1</v>
      </c>
      <c r="L89">
        <v>0</v>
      </c>
      <c r="M89" t="s">
        <v>325</v>
      </c>
      <c r="N89" t="s">
        <v>326</v>
      </c>
    </row>
    <row r="90" spans="1:14" x14ac:dyDescent="0.3">
      <c r="A90">
        <v>292</v>
      </c>
      <c r="B90" t="s">
        <v>323</v>
      </c>
      <c r="C90">
        <v>117</v>
      </c>
      <c r="D90" t="s">
        <v>35</v>
      </c>
      <c r="E90">
        <v>334</v>
      </c>
      <c r="F90" t="s">
        <v>354</v>
      </c>
      <c r="G90">
        <v>0</v>
      </c>
      <c r="H90">
        <v>0</v>
      </c>
      <c r="I90">
        <v>0</v>
      </c>
      <c r="J90">
        <v>0</v>
      </c>
      <c r="K90">
        <v>2</v>
      </c>
      <c r="L90">
        <v>4</v>
      </c>
      <c r="M90" t="s">
        <v>325</v>
      </c>
      <c r="N90" t="s">
        <v>326</v>
      </c>
    </row>
    <row r="91" spans="1:14" x14ac:dyDescent="0.3">
      <c r="A91">
        <v>292</v>
      </c>
      <c r="B91" t="s">
        <v>323</v>
      </c>
      <c r="C91">
        <v>117</v>
      </c>
      <c r="D91" t="s">
        <v>35</v>
      </c>
      <c r="E91">
        <v>335</v>
      </c>
      <c r="F91" t="s">
        <v>411</v>
      </c>
      <c r="G91">
        <v>0</v>
      </c>
      <c r="H91">
        <v>0</v>
      </c>
      <c r="I91">
        <v>1</v>
      </c>
      <c r="J91">
        <v>0</v>
      </c>
      <c r="K91">
        <v>0</v>
      </c>
      <c r="L91">
        <v>2</v>
      </c>
      <c r="M91" t="s">
        <v>333</v>
      </c>
      <c r="N91" t="s">
        <v>326</v>
      </c>
    </row>
    <row r="92" spans="1:14" x14ac:dyDescent="0.3">
      <c r="A92">
        <v>292</v>
      </c>
      <c r="B92" t="s">
        <v>323</v>
      </c>
      <c r="C92">
        <v>117</v>
      </c>
      <c r="D92" t="s">
        <v>35</v>
      </c>
      <c r="E92">
        <v>336</v>
      </c>
      <c r="F92" t="s">
        <v>412</v>
      </c>
      <c r="G92">
        <v>0</v>
      </c>
      <c r="H92">
        <v>2</v>
      </c>
      <c r="I92">
        <v>0</v>
      </c>
      <c r="J92">
        <v>2</v>
      </c>
      <c r="K92">
        <v>2</v>
      </c>
      <c r="L92">
        <v>0</v>
      </c>
      <c r="M92" t="s">
        <v>333</v>
      </c>
      <c r="N92" t="s">
        <v>326</v>
      </c>
    </row>
    <row r="93" spans="1:14" x14ac:dyDescent="0.3">
      <c r="A93">
        <v>292</v>
      </c>
      <c r="B93" t="s">
        <v>323</v>
      </c>
      <c r="C93">
        <v>117</v>
      </c>
      <c r="D93" t="s">
        <v>35</v>
      </c>
      <c r="E93">
        <v>337</v>
      </c>
      <c r="F93" t="s">
        <v>413</v>
      </c>
      <c r="G93">
        <v>1</v>
      </c>
      <c r="H93">
        <v>0</v>
      </c>
      <c r="I93">
        <v>1</v>
      </c>
      <c r="J93">
        <v>0</v>
      </c>
      <c r="K93">
        <v>0</v>
      </c>
      <c r="L93">
        <v>3</v>
      </c>
      <c r="M93" t="s">
        <v>325</v>
      </c>
      <c r="N93" t="s">
        <v>326</v>
      </c>
    </row>
    <row r="94" spans="1:14" x14ac:dyDescent="0.3">
      <c r="A94">
        <v>292</v>
      </c>
      <c r="B94" t="s">
        <v>323</v>
      </c>
      <c r="C94">
        <v>117</v>
      </c>
      <c r="D94" t="s">
        <v>35</v>
      </c>
      <c r="E94">
        <v>338</v>
      </c>
      <c r="F94" t="s">
        <v>376</v>
      </c>
      <c r="G94">
        <v>0</v>
      </c>
      <c r="H94">
        <v>0</v>
      </c>
      <c r="I94">
        <v>0</v>
      </c>
      <c r="J94">
        <v>0</v>
      </c>
      <c r="K94">
        <v>1</v>
      </c>
      <c r="L94">
        <v>2</v>
      </c>
      <c r="M94" t="s">
        <v>333</v>
      </c>
      <c r="N94" t="s">
        <v>336</v>
      </c>
    </row>
    <row r="95" spans="1:14" x14ac:dyDescent="0.3">
      <c r="A95">
        <v>293</v>
      </c>
      <c r="B95" t="s">
        <v>323</v>
      </c>
      <c r="C95">
        <v>118</v>
      </c>
      <c r="D95" t="s">
        <v>37</v>
      </c>
      <c r="E95">
        <v>1573</v>
      </c>
      <c r="F95" t="s">
        <v>349</v>
      </c>
      <c r="G95">
        <v>0</v>
      </c>
      <c r="H95">
        <v>2</v>
      </c>
      <c r="I95">
        <v>2</v>
      </c>
      <c r="J95">
        <v>2</v>
      </c>
      <c r="K95">
        <v>0</v>
      </c>
      <c r="L95">
        <v>1</v>
      </c>
      <c r="M95" t="s">
        <v>416</v>
      </c>
      <c r="N95" t="s">
        <v>336</v>
      </c>
    </row>
    <row r="96" spans="1:14" x14ac:dyDescent="0.3">
      <c r="A96">
        <v>293</v>
      </c>
      <c r="B96" t="s">
        <v>323</v>
      </c>
      <c r="C96">
        <v>118</v>
      </c>
      <c r="D96" t="s">
        <v>37</v>
      </c>
      <c r="E96">
        <v>1574</v>
      </c>
      <c r="F96" t="s">
        <v>415</v>
      </c>
      <c r="G96">
        <v>0</v>
      </c>
      <c r="H96">
        <v>1</v>
      </c>
      <c r="I96">
        <v>2</v>
      </c>
      <c r="J96">
        <v>0</v>
      </c>
      <c r="K96">
        <v>1</v>
      </c>
      <c r="L96">
        <v>1</v>
      </c>
      <c r="M96" t="s">
        <v>416</v>
      </c>
      <c r="N96" t="s">
        <v>336</v>
      </c>
    </row>
    <row r="97" spans="1:14" x14ac:dyDescent="0.3">
      <c r="A97">
        <v>293</v>
      </c>
      <c r="B97" t="s">
        <v>323</v>
      </c>
      <c r="C97">
        <v>118</v>
      </c>
      <c r="D97" t="s">
        <v>37</v>
      </c>
      <c r="E97">
        <v>1575</v>
      </c>
      <c r="F97" t="s">
        <v>417</v>
      </c>
      <c r="G97">
        <v>0</v>
      </c>
      <c r="H97">
        <v>0</v>
      </c>
      <c r="I97">
        <v>2</v>
      </c>
      <c r="J97">
        <v>0</v>
      </c>
      <c r="K97">
        <v>4</v>
      </c>
      <c r="L97">
        <v>2</v>
      </c>
      <c r="M97" t="s">
        <v>325</v>
      </c>
      <c r="N97" t="s">
        <v>326</v>
      </c>
    </row>
    <row r="98" spans="1:14" x14ac:dyDescent="0.3">
      <c r="A98">
        <v>293</v>
      </c>
      <c r="B98" t="s">
        <v>323</v>
      </c>
      <c r="C98">
        <v>118</v>
      </c>
      <c r="D98" t="s">
        <v>37</v>
      </c>
      <c r="E98">
        <v>1576</v>
      </c>
      <c r="F98" t="s">
        <v>418</v>
      </c>
      <c r="G98">
        <v>3</v>
      </c>
      <c r="H98">
        <v>3</v>
      </c>
      <c r="I98">
        <v>3</v>
      </c>
      <c r="J98">
        <v>1</v>
      </c>
      <c r="K98">
        <v>0</v>
      </c>
      <c r="L98">
        <v>0</v>
      </c>
      <c r="M98" t="s">
        <v>410</v>
      </c>
      <c r="N98" t="s">
        <v>348</v>
      </c>
    </row>
    <row r="99" spans="1:14" x14ac:dyDescent="0.3">
      <c r="A99">
        <v>293</v>
      </c>
      <c r="B99" t="s">
        <v>323</v>
      </c>
      <c r="C99">
        <v>118</v>
      </c>
      <c r="D99" t="s">
        <v>37</v>
      </c>
      <c r="E99">
        <v>1577</v>
      </c>
      <c r="F99" t="s">
        <v>419</v>
      </c>
      <c r="G99">
        <v>3</v>
      </c>
      <c r="H99">
        <v>2</v>
      </c>
      <c r="I99">
        <v>3</v>
      </c>
      <c r="J99">
        <v>2</v>
      </c>
      <c r="K99">
        <v>0</v>
      </c>
      <c r="L99">
        <v>0</v>
      </c>
      <c r="M99" t="s">
        <v>410</v>
      </c>
      <c r="N99" t="s">
        <v>348</v>
      </c>
    </row>
    <row r="100" spans="1:14" x14ac:dyDescent="0.3">
      <c r="A100">
        <v>293</v>
      </c>
      <c r="B100" t="s">
        <v>323</v>
      </c>
      <c r="C100">
        <v>118</v>
      </c>
      <c r="D100" t="s">
        <v>37</v>
      </c>
      <c r="E100">
        <v>1578</v>
      </c>
      <c r="F100" t="s">
        <v>420</v>
      </c>
      <c r="G100">
        <v>0</v>
      </c>
      <c r="H100">
        <v>1</v>
      </c>
      <c r="I100">
        <v>2</v>
      </c>
      <c r="J100">
        <v>1</v>
      </c>
      <c r="K100">
        <v>2</v>
      </c>
      <c r="L100">
        <v>0</v>
      </c>
      <c r="M100" t="s">
        <v>333</v>
      </c>
      <c r="N100" t="s">
        <v>326</v>
      </c>
    </row>
    <row r="101" spans="1:14" x14ac:dyDescent="0.3">
      <c r="A101">
        <v>293</v>
      </c>
      <c r="B101" t="s">
        <v>323</v>
      </c>
      <c r="C101">
        <v>118</v>
      </c>
      <c r="D101" t="s">
        <v>37</v>
      </c>
      <c r="E101">
        <v>1579</v>
      </c>
      <c r="F101" t="s">
        <v>421</v>
      </c>
      <c r="G101">
        <v>3</v>
      </c>
      <c r="H101">
        <v>3</v>
      </c>
      <c r="I101">
        <v>0</v>
      </c>
      <c r="J101">
        <v>0</v>
      </c>
      <c r="K101">
        <v>3</v>
      </c>
      <c r="L101">
        <v>0</v>
      </c>
      <c r="M101" t="s">
        <v>325</v>
      </c>
      <c r="N101" t="s">
        <v>326</v>
      </c>
    </row>
    <row r="102" spans="1:14" x14ac:dyDescent="0.3">
      <c r="A102">
        <v>293</v>
      </c>
      <c r="B102" t="s">
        <v>323</v>
      </c>
      <c r="C102">
        <v>118</v>
      </c>
      <c r="D102" t="s">
        <v>37</v>
      </c>
      <c r="E102">
        <v>1580</v>
      </c>
      <c r="F102" t="s">
        <v>422</v>
      </c>
      <c r="G102">
        <v>0</v>
      </c>
      <c r="H102">
        <v>0</v>
      </c>
      <c r="I102">
        <v>3</v>
      </c>
      <c r="J102">
        <v>4</v>
      </c>
      <c r="K102">
        <v>5</v>
      </c>
      <c r="L102">
        <v>0</v>
      </c>
      <c r="M102" t="s">
        <v>333</v>
      </c>
      <c r="N102" t="s">
        <v>326</v>
      </c>
    </row>
    <row r="103" spans="1:14" x14ac:dyDescent="0.3">
      <c r="A103">
        <v>293</v>
      </c>
      <c r="B103" t="s">
        <v>323</v>
      </c>
      <c r="C103">
        <v>118</v>
      </c>
      <c r="D103" t="s">
        <v>37</v>
      </c>
      <c r="E103">
        <v>1581</v>
      </c>
      <c r="F103" t="s">
        <v>423</v>
      </c>
      <c r="G103">
        <v>0</v>
      </c>
      <c r="H103">
        <v>1</v>
      </c>
      <c r="I103">
        <v>3</v>
      </c>
      <c r="J103">
        <v>2</v>
      </c>
      <c r="K103">
        <v>4</v>
      </c>
      <c r="L103">
        <v>0</v>
      </c>
      <c r="M103" t="s">
        <v>325</v>
      </c>
      <c r="N103" t="s">
        <v>329</v>
      </c>
    </row>
    <row r="104" spans="1:14" x14ac:dyDescent="0.3">
      <c r="A104">
        <v>293</v>
      </c>
      <c r="B104" t="s">
        <v>323</v>
      </c>
      <c r="C104">
        <v>118</v>
      </c>
      <c r="D104" t="s">
        <v>37</v>
      </c>
      <c r="E104">
        <v>1583</v>
      </c>
      <c r="F104" t="s">
        <v>424</v>
      </c>
      <c r="G104">
        <v>1</v>
      </c>
      <c r="H104">
        <v>0</v>
      </c>
      <c r="I104">
        <v>3</v>
      </c>
      <c r="J104">
        <v>1</v>
      </c>
      <c r="K104">
        <v>1</v>
      </c>
      <c r="L104">
        <v>0</v>
      </c>
      <c r="M104" t="s">
        <v>325</v>
      </c>
      <c r="N104" t="s">
        <v>326</v>
      </c>
    </row>
    <row r="105" spans="1:14" x14ac:dyDescent="0.3">
      <c r="A105">
        <v>293</v>
      </c>
      <c r="B105" t="s">
        <v>323</v>
      </c>
      <c r="C105">
        <v>118</v>
      </c>
      <c r="D105" t="s">
        <v>37</v>
      </c>
      <c r="E105">
        <v>1584</v>
      </c>
      <c r="F105" t="s">
        <v>425</v>
      </c>
      <c r="G105">
        <v>10</v>
      </c>
      <c r="H105">
        <v>0</v>
      </c>
      <c r="I105">
        <v>0</v>
      </c>
      <c r="J105">
        <v>0</v>
      </c>
      <c r="K105">
        <v>0</v>
      </c>
      <c r="L105">
        <v>0</v>
      </c>
      <c r="M105" t="s">
        <v>333</v>
      </c>
      <c r="N105" t="s">
        <v>348</v>
      </c>
    </row>
    <row r="106" spans="1:14" x14ac:dyDescent="0.3">
      <c r="A106">
        <v>293</v>
      </c>
      <c r="B106" t="s">
        <v>323</v>
      </c>
      <c r="C106">
        <v>118</v>
      </c>
      <c r="D106" t="s">
        <v>37</v>
      </c>
      <c r="E106">
        <v>1585</v>
      </c>
      <c r="F106" t="s">
        <v>426</v>
      </c>
      <c r="G106">
        <v>0</v>
      </c>
      <c r="H106">
        <v>2</v>
      </c>
      <c r="I106">
        <v>3</v>
      </c>
      <c r="J106">
        <v>2</v>
      </c>
      <c r="K106">
        <v>3</v>
      </c>
      <c r="L106">
        <v>0</v>
      </c>
      <c r="M106" t="s">
        <v>333</v>
      </c>
      <c r="N106" t="s">
        <v>326</v>
      </c>
    </row>
    <row r="107" spans="1:14" x14ac:dyDescent="0.3">
      <c r="A107">
        <v>293</v>
      </c>
      <c r="B107" t="s">
        <v>323</v>
      </c>
      <c r="C107">
        <v>118</v>
      </c>
      <c r="D107" t="s">
        <v>37</v>
      </c>
      <c r="E107">
        <v>1586</v>
      </c>
      <c r="F107" t="s">
        <v>427</v>
      </c>
      <c r="G107">
        <v>2</v>
      </c>
      <c r="H107">
        <v>2</v>
      </c>
      <c r="I107">
        <v>3</v>
      </c>
      <c r="J107">
        <v>1</v>
      </c>
      <c r="K107">
        <v>4</v>
      </c>
      <c r="L107">
        <v>0</v>
      </c>
      <c r="M107" t="s">
        <v>333</v>
      </c>
      <c r="N107" t="s">
        <v>326</v>
      </c>
    </row>
    <row r="108" spans="1:14" x14ac:dyDescent="0.3">
      <c r="A108">
        <v>293</v>
      </c>
      <c r="B108" t="s">
        <v>323</v>
      </c>
      <c r="C108">
        <v>118</v>
      </c>
      <c r="D108" t="s">
        <v>37</v>
      </c>
      <c r="E108">
        <v>1588</v>
      </c>
      <c r="F108" t="s">
        <v>353</v>
      </c>
      <c r="G108">
        <v>0</v>
      </c>
      <c r="H108">
        <v>0</v>
      </c>
      <c r="I108">
        <v>2</v>
      </c>
      <c r="J108">
        <v>0</v>
      </c>
      <c r="K108">
        <v>2</v>
      </c>
      <c r="L108">
        <v>0</v>
      </c>
      <c r="M108" t="s">
        <v>325</v>
      </c>
      <c r="N108" t="s">
        <v>326</v>
      </c>
    </row>
    <row r="109" spans="1:14" x14ac:dyDescent="0.3">
      <c r="A109">
        <v>293</v>
      </c>
      <c r="B109" t="s">
        <v>323</v>
      </c>
      <c r="C109">
        <v>118</v>
      </c>
      <c r="D109" t="s">
        <v>37</v>
      </c>
      <c r="E109">
        <v>1593</v>
      </c>
      <c r="F109" t="s">
        <v>430</v>
      </c>
      <c r="G109">
        <v>0</v>
      </c>
      <c r="H109">
        <v>1</v>
      </c>
      <c r="I109">
        <v>3</v>
      </c>
      <c r="J109">
        <v>2</v>
      </c>
      <c r="K109">
        <v>4</v>
      </c>
      <c r="L109">
        <v>0</v>
      </c>
      <c r="M109" t="s">
        <v>325</v>
      </c>
      <c r="N109" t="s">
        <v>326</v>
      </c>
    </row>
    <row r="110" spans="1:14" x14ac:dyDescent="0.3">
      <c r="A110">
        <v>293</v>
      </c>
      <c r="B110" t="s">
        <v>323</v>
      </c>
      <c r="C110">
        <v>118</v>
      </c>
      <c r="D110" t="s">
        <v>37</v>
      </c>
      <c r="E110">
        <v>1950</v>
      </c>
      <c r="F110" t="s">
        <v>450</v>
      </c>
      <c r="G110">
        <v>0</v>
      </c>
      <c r="H110">
        <v>0</v>
      </c>
      <c r="I110">
        <v>3</v>
      </c>
      <c r="J110">
        <v>1</v>
      </c>
      <c r="K110">
        <v>0</v>
      </c>
      <c r="L110">
        <v>1</v>
      </c>
      <c r="M110" t="s">
        <v>325</v>
      </c>
      <c r="N110" t="s">
        <v>348</v>
      </c>
    </row>
    <row r="111" spans="1:14" x14ac:dyDescent="0.3">
      <c r="A111">
        <v>293</v>
      </c>
      <c r="B111" t="s">
        <v>323</v>
      </c>
      <c r="C111">
        <v>118</v>
      </c>
      <c r="D111" t="s">
        <v>37</v>
      </c>
      <c r="E111">
        <v>1951</v>
      </c>
      <c r="F111" t="s">
        <v>1226</v>
      </c>
      <c r="G111">
        <v>1</v>
      </c>
      <c r="H111">
        <v>0</v>
      </c>
      <c r="I111">
        <v>3</v>
      </c>
      <c r="J111">
        <v>4</v>
      </c>
      <c r="K111">
        <v>2</v>
      </c>
      <c r="L111">
        <v>2</v>
      </c>
      <c r="M111" t="s">
        <v>333</v>
      </c>
      <c r="N111" t="s">
        <v>326</v>
      </c>
    </row>
    <row r="112" spans="1:14" x14ac:dyDescent="0.3">
      <c r="A112">
        <v>293</v>
      </c>
      <c r="B112" t="s">
        <v>323</v>
      </c>
      <c r="C112">
        <v>118</v>
      </c>
      <c r="D112" t="s">
        <v>37</v>
      </c>
      <c r="E112">
        <v>1952</v>
      </c>
      <c r="F112" t="s">
        <v>1227</v>
      </c>
      <c r="G112">
        <v>1</v>
      </c>
      <c r="H112">
        <v>2</v>
      </c>
      <c r="I112">
        <v>1</v>
      </c>
      <c r="J112">
        <v>1</v>
      </c>
      <c r="K112">
        <v>0</v>
      </c>
      <c r="L112">
        <v>1</v>
      </c>
      <c r="M112" t="s">
        <v>325</v>
      </c>
      <c r="N112" t="s">
        <v>348</v>
      </c>
    </row>
    <row r="113" spans="1:14" x14ac:dyDescent="0.3">
      <c r="A113">
        <v>295</v>
      </c>
      <c r="B113" t="s">
        <v>323</v>
      </c>
      <c r="C113">
        <v>120</v>
      </c>
      <c r="D113" t="s">
        <v>41</v>
      </c>
      <c r="E113">
        <v>1045</v>
      </c>
      <c r="F113" t="s">
        <v>431</v>
      </c>
      <c r="G113">
        <v>0</v>
      </c>
      <c r="H113">
        <v>2</v>
      </c>
      <c r="I113">
        <v>1</v>
      </c>
      <c r="J113">
        <v>1</v>
      </c>
      <c r="K113">
        <v>1</v>
      </c>
      <c r="L113">
        <v>3</v>
      </c>
      <c r="M113" t="s">
        <v>325</v>
      </c>
      <c r="N113" t="s">
        <v>326</v>
      </c>
    </row>
    <row r="114" spans="1:14" x14ac:dyDescent="0.3">
      <c r="A114">
        <v>295</v>
      </c>
      <c r="B114" t="s">
        <v>323</v>
      </c>
      <c r="C114">
        <v>120</v>
      </c>
      <c r="D114" t="s">
        <v>41</v>
      </c>
      <c r="E114">
        <v>1046</v>
      </c>
      <c r="F114" t="s">
        <v>432</v>
      </c>
      <c r="G114">
        <v>0</v>
      </c>
      <c r="H114">
        <v>3</v>
      </c>
      <c r="I114">
        <v>2</v>
      </c>
      <c r="J114">
        <v>0</v>
      </c>
      <c r="K114">
        <v>0</v>
      </c>
      <c r="L114">
        <v>0</v>
      </c>
      <c r="M114" t="s">
        <v>333</v>
      </c>
      <c r="N114" t="s">
        <v>348</v>
      </c>
    </row>
    <row r="115" spans="1:14" x14ac:dyDescent="0.3">
      <c r="A115">
        <v>295</v>
      </c>
      <c r="B115" t="s">
        <v>323</v>
      </c>
      <c r="C115">
        <v>120</v>
      </c>
      <c r="D115" t="s">
        <v>41</v>
      </c>
      <c r="E115">
        <v>1047</v>
      </c>
      <c r="F115" t="s">
        <v>433</v>
      </c>
      <c r="G115">
        <v>0</v>
      </c>
      <c r="H115">
        <v>3</v>
      </c>
      <c r="I115">
        <v>5</v>
      </c>
      <c r="J115">
        <v>3</v>
      </c>
      <c r="K115">
        <v>0</v>
      </c>
      <c r="L115">
        <v>0</v>
      </c>
      <c r="M115" t="s">
        <v>410</v>
      </c>
      <c r="N115" t="s">
        <v>484</v>
      </c>
    </row>
    <row r="116" spans="1:14" x14ac:dyDescent="0.3">
      <c r="A116">
        <v>295</v>
      </c>
      <c r="B116" t="s">
        <v>323</v>
      </c>
      <c r="C116">
        <v>120</v>
      </c>
      <c r="D116" t="s">
        <v>41</v>
      </c>
      <c r="E116">
        <v>1048</v>
      </c>
      <c r="F116" t="s">
        <v>434</v>
      </c>
      <c r="G116">
        <v>0</v>
      </c>
      <c r="H116">
        <v>3</v>
      </c>
      <c r="I116">
        <v>1</v>
      </c>
      <c r="J116">
        <v>1</v>
      </c>
      <c r="K116">
        <v>1</v>
      </c>
      <c r="L116">
        <v>1</v>
      </c>
      <c r="M116" t="s">
        <v>333</v>
      </c>
      <c r="N116" t="s">
        <v>484</v>
      </c>
    </row>
    <row r="117" spans="1:14" x14ac:dyDescent="0.3">
      <c r="A117">
        <v>295</v>
      </c>
      <c r="B117" t="s">
        <v>323</v>
      </c>
      <c r="C117">
        <v>120</v>
      </c>
      <c r="D117" t="s">
        <v>41</v>
      </c>
      <c r="E117">
        <v>1049</v>
      </c>
      <c r="F117" t="s">
        <v>435</v>
      </c>
      <c r="G117">
        <v>0</v>
      </c>
      <c r="H117">
        <v>5</v>
      </c>
      <c r="I117">
        <v>2</v>
      </c>
      <c r="J117">
        <v>0</v>
      </c>
      <c r="K117">
        <v>2</v>
      </c>
      <c r="L117">
        <v>0</v>
      </c>
      <c r="M117" t="s">
        <v>410</v>
      </c>
      <c r="N117" t="s">
        <v>343</v>
      </c>
    </row>
    <row r="118" spans="1:14" x14ac:dyDescent="0.3">
      <c r="A118">
        <v>295</v>
      </c>
      <c r="B118" t="s">
        <v>323</v>
      </c>
      <c r="C118">
        <v>120</v>
      </c>
      <c r="D118" t="s">
        <v>41</v>
      </c>
      <c r="E118">
        <v>1050</v>
      </c>
      <c r="F118" t="s">
        <v>436</v>
      </c>
      <c r="G118">
        <v>0</v>
      </c>
      <c r="H118">
        <v>1</v>
      </c>
      <c r="I118">
        <v>3</v>
      </c>
      <c r="J118">
        <v>4</v>
      </c>
      <c r="K118">
        <v>5</v>
      </c>
      <c r="L118">
        <v>0</v>
      </c>
      <c r="M118" t="s">
        <v>325</v>
      </c>
      <c r="N118" t="s">
        <v>326</v>
      </c>
    </row>
    <row r="119" spans="1:14" x14ac:dyDescent="0.3">
      <c r="A119">
        <v>295</v>
      </c>
      <c r="B119" t="s">
        <v>323</v>
      </c>
      <c r="C119">
        <v>120</v>
      </c>
      <c r="D119" t="s">
        <v>41</v>
      </c>
      <c r="E119">
        <v>1051</v>
      </c>
      <c r="F119" t="s">
        <v>437</v>
      </c>
      <c r="G119">
        <v>0</v>
      </c>
      <c r="H119">
        <v>2</v>
      </c>
      <c r="I119">
        <v>3</v>
      </c>
      <c r="J119">
        <v>2</v>
      </c>
      <c r="K119">
        <v>1</v>
      </c>
      <c r="L119">
        <v>1</v>
      </c>
      <c r="M119" t="s">
        <v>333</v>
      </c>
      <c r="N119" t="s">
        <v>326</v>
      </c>
    </row>
    <row r="120" spans="1:14" x14ac:dyDescent="0.3">
      <c r="A120">
        <v>295</v>
      </c>
      <c r="B120" t="s">
        <v>323</v>
      </c>
      <c r="C120">
        <v>120</v>
      </c>
      <c r="D120" t="s">
        <v>41</v>
      </c>
      <c r="E120">
        <v>1052</v>
      </c>
      <c r="F120" t="s">
        <v>438</v>
      </c>
      <c r="G120">
        <v>2</v>
      </c>
      <c r="H120">
        <v>4</v>
      </c>
      <c r="I120">
        <v>1</v>
      </c>
      <c r="J120">
        <v>1</v>
      </c>
      <c r="K120">
        <v>0</v>
      </c>
      <c r="L120">
        <v>0</v>
      </c>
      <c r="M120" t="s">
        <v>325</v>
      </c>
      <c r="N120" t="s">
        <v>484</v>
      </c>
    </row>
    <row r="121" spans="1:14" x14ac:dyDescent="0.3">
      <c r="A121">
        <v>295</v>
      </c>
      <c r="B121" t="s">
        <v>323</v>
      </c>
      <c r="C121">
        <v>120</v>
      </c>
      <c r="D121" t="s">
        <v>41</v>
      </c>
      <c r="E121">
        <v>1053</v>
      </c>
      <c r="F121" t="s">
        <v>439</v>
      </c>
      <c r="G121">
        <v>0</v>
      </c>
      <c r="H121">
        <v>4</v>
      </c>
      <c r="I121">
        <v>2</v>
      </c>
      <c r="J121">
        <v>1</v>
      </c>
      <c r="K121">
        <v>3</v>
      </c>
      <c r="L121">
        <v>2</v>
      </c>
      <c r="M121" t="s">
        <v>333</v>
      </c>
      <c r="N121" t="s">
        <v>326</v>
      </c>
    </row>
    <row r="122" spans="1:14" x14ac:dyDescent="0.3">
      <c r="A122">
        <v>295</v>
      </c>
      <c r="B122" t="s">
        <v>323</v>
      </c>
      <c r="C122">
        <v>120</v>
      </c>
      <c r="D122" t="s">
        <v>41</v>
      </c>
      <c r="E122">
        <v>1054</v>
      </c>
      <c r="F122" t="s">
        <v>398</v>
      </c>
      <c r="G122">
        <v>0</v>
      </c>
      <c r="H122">
        <v>4</v>
      </c>
      <c r="I122">
        <v>2</v>
      </c>
      <c r="J122">
        <v>2</v>
      </c>
      <c r="K122">
        <v>0</v>
      </c>
      <c r="L122">
        <v>0</v>
      </c>
      <c r="M122" t="s">
        <v>333</v>
      </c>
      <c r="N122" t="s">
        <v>348</v>
      </c>
    </row>
    <row r="123" spans="1:14" x14ac:dyDescent="0.3">
      <c r="A123">
        <v>295</v>
      </c>
      <c r="B123" t="s">
        <v>323</v>
      </c>
      <c r="C123">
        <v>120</v>
      </c>
      <c r="D123" t="s">
        <v>41</v>
      </c>
      <c r="E123">
        <v>1055</v>
      </c>
      <c r="F123" t="s">
        <v>440</v>
      </c>
      <c r="G123">
        <v>6</v>
      </c>
      <c r="H123">
        <v>3</v>
      </c>
      <c r="I123">
        <v>1</v>
      </c>
      <c r="J123">
        <v>4</v>
      </c>
      <c r="K123">
        <v>0</v>
      </c>
      <c r="L123">
        <v>0</v>
      </c>
      <c r="M123" t="s">
        <v>325</v>
      </c>
      <c r="N123" t="s">
        <v>348</v>
      </c>
    </row>
    <row r="124" spans="1:14" x14ac:dyDescent="0.3">
      <c r="A124">
        <v>295</v>
      </c>
      <c r="B124" t="s">
        <v>323</v>
      </c>
      <c r="C124">
        <v>120</v>
      </c>
      <c r="D124" t="s">
        <v>41</v>
      </c>
      <c r="E124">
        <v>1056</v>
      </c>
      <c r="F124" t="s">
        <v>441</v>
      </c>
      <c r="G124">
        <v>0</v>
      </c>
      <c r="H124">
        <v>0</v>
      </c>
      <c r="I124">
        <v>2</v>
      </c>
      <c r="J124">
        <v>0</v>
      </c>
      <c r="K124">
        <v>4</v>
      </c>
      <c r="L124">
        <v>0</v>
      </c>
      <c r="M124" t="s">
        <v>333</v>
      </c>
      <c r="N124" t="s">
        <v>326</v>
      </c>
    </row>
    <row r="125" spans="1:14" x14ac:dyDescent="0.3">
      <c r="A125">
        <v>295</v>
      </c>
      <c r="B125" t="s">
        <v>323</v>
      </c>
      <c r="C125">
        <v>120</v>
      </c>
      <c r="D125" t="s">
        <v>41</v>
      </c>
      <c r="E125">
        <v>1057</v>
      </c>
      <c r="F125" t="s">
        <v>442</v>
      </c>
      <c r="G125">
        <v>0</v>
      </c>
      <c r="H125">
        <v>0</v>
      </c>
      <c r="I125">
        <v>5</v>
      </c>
      <c r="J125">
        <v>2</v>
      </c>
      <c r="K125">
        <v>2</v>
      </c>
      <c r="L125">
        <v>0</v>
      </c>
      <c r="M125" t="s">
        <v>325</v>
      </c>
      <c r="N125" t="s">
        <v>326</v>
      </c>
    </row>
    <row r="126" spans="1:14" x14ac:dyDescent="0.3">
      <c r="A126">
        <v>295</v>
      </c>
      <c r="B126" t="s">
        <v>323</v>
      </c>
      <c r="C126">
        <v>120</v>
      </c>
      <c r="D126" t="s">
        <v>41</v>
      </c>
      <c r="E126">
        <v>1059</v>
      </c>
      <c r="F126" t="s">
        <v>443</v>
      </c>
      <c r="G126">
        <v>3</v>
      </c>
      <c r="H126">
        <v>0</v>
      </c>
      <c r="I126">
        <v>1</v>
      </c>
      <c r="J126">
        <v>1</v>
      </c>
      <c r="K126">
        <v>3</v>
      </c>
      <c r="L126">
        <v>0</v>
      </c>
      <c r="M126" t="s">
        <v>325</v>
      </c>
      <c r="N126" t="s">
        <v>326</v>
      </c>
    </row>
    <row r="127" spans="1:14" x14ac:dyDescent="0.3">
      <c r="A127">
        <v>295</v>
      </c>
      <c r="B127" t="s">
        <v>323</v>
      </c>
      <c r="C127">
        <v>120</v>
      </c>
      <c r="D127" t="s">
        <v>41</v>
      </c>
      <c r="E127">
        <v>1060</v>
      </c>
      <c r="F127" t="s">
        <v>444</v>
      </c>
      <c r="G127">
        <v>2</v>
      </c>
      <c r="H127">
        <v>0</v>
      </c>
      <c r="I127">
        <v>4</v>
      </c>
      <c r="J127">
        <v>1</v>
      </c>
      <c r="K127">
        <v>1</v>
      </c>
      <c r="L127">
        <v>1</v>
      </c>
      <c r="M127" t="s">
        <v>333</v>
      </c>
      <c r="N127" t="s">
        <v>326</v>
      </c>
    </row>
    <row r="128" spans="1:14" x14ac:dyDescent="0.3">
      <c r="A128">
        <v>295</v>
      </c>
      <c r="B128" t="s">
        <v>323</v>
      </c>
      <c r="C128">
        <v>120</v>
      </c>
      <c r="D128" t="s">
        <v>41</v>
      </c>
      <c r="E128">
        <v>1061</v>
      </c>
      <c r="F128" t="s">
        <v>445</v>
      </c>
      <c r="G128">
        <v>0</v>
      </c>
      <c r="H128">
        <v>0</v>
      </c>
      <c r="I128">
        <v>6</v>
      </c>
      <c r="J128">
        <v>1</v>
      </c>
      <c r="K128">
        <v>0</v>
      </c>
      <c r="L128">
        <v>2</v>
      </c>
      <c r="M128" t="s">
        <v>410</v>
      </c>
      <c r="N128" t="s">
        <v>343</v>
      </c>
    </row>
    <row r="129" spans="1:14" x14ac:dyDescent="0.3">
      <c r="A129">
        <v>295</v>
      </c>
      <c r="B129" t="s">
        <v>323</v>
      </c>
      <c r="C129">
        <v>120</v>
      </c>
      <c r="D129" t="s">
        <v>41</v>
      </c>
      <c r="E129">
        <v>1062</v>
      </c>
      <c r="F129" t="s">
        <v>446</v>
      </c>
      <c r="G129">
        <v>0</v>
      </c>
      <c r="H129">
        <v>4</v>
      </c>
      <c r="I129">
        <v>0</v>
      </c>
      <c r="J129">
        <v>0</v>
      </c>
      <c r="K129">
        <v>0</v>
      </c>
      <c r="L129">
        <v>0</v>
      </c>
      <c r="M129" t="s">
        <v>333</v>
      </c>
      <c r="N129" t="s">
        <v>329</v>
      </c>
    </row>
    <row r="130" spans="1:14" x14ac:dyDescent="0.3">
      <c r="A130">
        <v>295</v>
      </c>
      <c r="B130" t="s">
        <v>323</v>
      </c>
      <c r="C130">
        <v>120</v>
      </c>
      <c r="D130" t="s">
        <v>41</v>
      </c>
      <c r="E130">
        <v>1063</v>
      </c>
      <c r="F130" t="s">
        <v>447</v>
      </c>
      <c r="G130">
        <v>0</v>
      </c>
      <c r="H130">
        <v>0</v>
      </c>
      <c r="I130">
        <v>2</v>
      </c>
      <c r="J130">
        <v>1</v>
      </c>
      <c r="K130">
        <v>4</v>
      </c>
      <c r="L130">
        <v>0</v>
      </c>
      <c r="M130" t="s">
        <v>333</v>
      </c>
      <c r="N130" t="s">
        <v>326</v>
      </c>
    </row>
    <row r="131" spans="1:14" x14ac:dyDescent="0.3">
      <c r="A131">
        <v>295</v>
      </c>
      <c r="B131" t="s">
        <v>323</v>
      </c>
      <c r="C131">
        <v>120</v>
      </c>
      <c r="D131" t="s">
        <v>41</v>
      </c>
      <c r="E131">
        <v>1064</v>
      </c>
      <c r="F131" t="s">
        <v>448</v>
      </c>
      <c r="G131">
        <v>1</v>
      </c>
      <c r="H131">
        <v>6</v>
      </c>
      <c r="I131">
        <v>3</v>
      </c>
      <c r="J131">
        <v>1</v>
      </c>
      <c r="K131">
        <v>0</v>
      </c>
      <c r="L131">
        <v>0</v>
      </c>
      <c r="M131" t="s">
        <v>410</v>
      </c>
      <c r="N131" t="s">
        <v>343</v>
      </c>
    </row>
    <row r="132" spans="1:14" x14ac:dyDescent="0.3">
      <c r="A132">
        <v>295</v>
      </c>
      <c r="B132" t="s">
        <v>323</v>
      </c>
      <c r="C132">
        <v>120</v>
      </c>
      <c r="D132" t="s">
        <v>41</v>
      </c>
      <c r="E132">
        <v>1065</v>
      </c>
      <c r="F132" t="s">
        <v>449</v>
      </c>
      <c r="G132">
        <v>0</v>
      </c>
      <c r="H132">
        <v>1</v>
      </c>
      <c r="I132">
        <v>4</v>
      </c>
      <c r="J132">
        <v>3</v>
      </c>
      <c r="K132">
        <v>4</v>
      </c>
      <c r="L132">
        <v>0</v>
      </c>
      <c r="M132" t="s">
        <v>333</v>
      </c>
      <c r="N132" t="s">
        <v>326</v>
      </c>
    </row>
    <row r="133" spans="1:14" x14ac:dyDescent="0.3">
      <c r="A133">
        <v>295</v>
      </c>
      <c r="B133" t="s">
        <v>323</v>
      </c>
      <c r="C133">
        <v>120</v>
      </c>
      <c r="D133" t="s">
        <v>41</v>
      </c>
      <c r="E133">
        <v>1066</v>
      </c>
      <c r="F133" t="s">
        <v>450</v>
      </c>
      <c r="G133">
        <v>1</v>
      </c>
      <c r="H133">
        <v>3</v>
      </c>
      <c r="I133">
        <v>1</v>
      </c>
      <c r="J133">
        <v>2</v>
      </c>
      <c r="K133">
        <v>0</v>
      </c>
      <c r="L133">
        <v>0</v>
      </c>
      <c r="M133" t="s">
        <v>333</v>
      </c>
      <c r="N133" t="s">
        <v>484</v>
      </c>
    </row>
    <row r="134" spans="1:14" x14ac:dyDescent="0.3">
      <c r="A134">
        <v>295</v>
      </c>
      <c r="B134" t="s">
        <v>323</v>
      </c>
      <c r="C134">
        <v>120</v>
      </c>
      <c r="D134" t="s">
        <v>41</v>
      </c>
      <c r="E134">
        <v>1067</v>
      </c>
      <c r="F134" t="s">
        <v>451</v>
      </c>
      <c r="G134">
        <v>0</v>
      </c>
      <c r="H134">
        <v>0</v>
      </c>
      <c r="I134">
        <v>0</v>
      </c>
      <c r="J134">
        <v>1</v>
      </c>
      <c r="K134">
        <v>2</v>
      </c>
      <c r="L134">
        <v>0</v>
      </c>
      <c r="M134" t="s">
        <v>333</v>
      </c>
      <c r="N134" t="s">
        <v>326</v>
      </c>
    </row>
    <row r="135" spans="1:14" x14ac:dyDescent="0.3">
      <c r="A135">
        <v>295</v>
      </c>
      <c r="B135" t="s">
        <v>323</v>
      </c>
      <c r="C135">
        <v>120</v>
      </c>
      <c r="D135" t="s">
        <v>41</v>
      </c>
      <c r="E135">
        <v>1068</v>
      </c>
      <c r="F135" t="s">
        <v>452</v>
      </c>
      <c r="G135">
        <v>0</v>
      </c>
      <c r="H135">
        <v>0</v>
      </c>
      <c r="I135">
        <v>1</v>
      </c>
      <c r="J135">
        <v>0</v>
      </c>
      <c r="K135">
        <v>1</v>
      </c>
      <c r="L135">
        <v>1</v>
      </c>
      <c r="M135" t="s">
        <v>333</v>
      </c>
      <c r="N135" t="s">
        <v>348</v>
      </c>
    </row>
    <row r="136" spans="1:14" x14ac:dyDescent="0.3">
      <c r="A136">
        <v>295</v>
      </c>
      <c r="B136" t="s">
        <v>323</v>
      </c>
      <c r="C136">
        <v>120</v>
      </c>
      <c r="D136" t="s">
        <v>41</v>
      </c>
      <c r="E136">
        <v>1069</v>
      </c>
      <c r="F136" t="s">
        <v>453</v>
      </c>
      <c r="G136">
        <v>0</v>
      </c>
      <c r="H136">
        <v>0</v>
      </c>
      <c r="I136">
        <v>3</v>
      </c>
      <c r="J136">
        <v>3</v>
      </c>
      <c r="K136">
        <v>0</v>
      </c>
      <c r="L136">
        <v>0</v>
      </c>
      <c r="M136" t="s">
        <v>333</v>
      </c>
      <c r="N136" t="s">
        <v>348</v>
      </c>
    </row>
    <row r="137" spans="1:14" x14ac:dyDescent="0.3">
      <c r="A137">
        <v>295</v>
      </c>
      <c r="B137" t="s">
        <v>323</v>
      </c>
      <c r="C137">
        <v>120</v>
      </c>
      <c r="D137" t="s">
        <v>41</v>
      </c>
      <c r="E137">
        <v>1070</v>
      </c>
      <c r="F137" t="s">
        <v>381</v>
      </c>
      <c r="G137">
        <v>0</v>
      </c>
      <c r="H137">
        <v>0</v>
      </c>
      <c r="I137">
        <v>1</v>
      </c>
      <c r="J137">
        <v>0</v>
      </c>
      <c r="K137">
        <v>4</v>
      </c>
      <c r="L137">
        <v>0</v>
      </c>
      <c r="M137" t="s">
        <v>333</v>
      </c>
      <c r="N137" t="s">
        <v>326</v>
      </c>
    </row>
    <row r="138" spans="1:14" x14ac:dyDescent="0.3">
      <c r="A138">
        <v>295</v>
      </c>
      <c r="B138" t="s">
        <v>323</v>
      </c>
      <c r="C138">
        <v>120</v>
      </c>
      <c r="D138" t="s">
        <v>41</v>
      </c>
      <c r="E138">
        <v>1071</v>
      </c>
      <c r="F138" t="s">
        <v>454</v>
      </c>
      <c r="G138">
        <v>0</v>
      </c>
      <c r="H138">
        <v>5</v>
      </c>
      <c r="I138">
        <v>3</v>
      </c>
      <c r="J138">
        <v>0</v>
      </c>
      <c r="K138">
        <v>2</v>
      </c>
      <c r="L138">
        <v>1</v>
      </c>
      <c r="M138" t="s">
        <v>333</v>
      </c>
      <c r="N138" t="s">
        <v>326</v>
      </c>
    </row>
    <row r="139" spans="1:14" x14ac:dyDescent="0.3">
      <c r="A139">
        <v>295</v>
      </c>
      <c r="B139" t="s">
        <v>323</v>
      </c>
      <c r="C139">
        <v>120</v>
      </c>
      <c r="D139" t="s">
        <v>41</v>
      </c>
      <c r="E139">
        <v>1072</v>
      </c>
      <c r="F139" t="s">
        <v>455</v>
      </c>
      <c r="G139">
        <v>4</v>
      </c>
      <c r="H139">
        <v>0</v>
      </c>
      <c r="I139">
        <v>3</v>
      </c>
      <c r="J139">
        <v>2</v>
      </c>
      <c r="K139">
        <v>6</v>
      </c>
      <c r="L139">
        <v>0</v>
      </c>
      <c r="M139" t="s">
        <v>325</v>
      </c>
      <c r="N139" t="s">
        <v>326</v>
      </c>
    </row>
    <row r="140" spans="1:14" x14ac:dyDescent="0.3">
      <c r="A140">
        <v>295</v>
      </c>
      <c r="B140" t="s">
        <v>323</v>
      </c>
      <c r="C140">
        <v>120</v>
      </c>
      <c r="D140" t="s">
        <v>41</v>
      </c>
      <c r="E140">
        <v>1073</v>
      </c>
      <c r="F140" t="s">
        <v>456</v>
      </c>
      <c r="G140">
        <v>0</v>
      </c>
      <c r="H140">
        <v>0</v>
      </c>
      <c r="I140">
        <v>4</v>
      </c>
      <c r="J140">
        <v>0</v>
      </c>
      <c r="K140">
        <v>0</v>
      </c>
      <c r="L140">
        <v>0</v>
      </c>
      <c r="M140" t="s">
        <v>325</v>
      </c>
      <c r="N140" t="s">
        <v>326</v>
      </c>
    </row>
    <row r="141" spans="1:14" x14ac:dyDescent="0.3">
      <c r="A141">
        <v>295</v>
      </c>
      <c r="B141" t="s">
        <v>323</v>
      </c>
      <c r="C141">
        <v>120</v>
      </c>
      <c r="D141" t="s">
        <v>41</v>
      </c>
      <c r="E141">
        <v>1074</v>
      </c>
      <c r="F141" t="s">
        <v>457</v>
      </c>
      <c r="G141">
        <v>0</v>
      </c>
      <c r="H141">
        <v>0</v>
      </c>
      <c r="I141">
        <v>0</v>
      </c>
      <c r="J141">
        <v>0</v>
      </c>
      <c r="K141">
        <v>0</v>
      </c>
      <c r="L141">
        <v>0</v>
      </c>
      <c r="M141" t="s">
        <v>333</v>
      </c>
      <c r="N141" t="s">
        <v>326</v>
      </c>
    </row>
    <row r="142" spans="1:14" x14ac:dyDescent="0.3">
      <c r="A142">
        <v>295</v>
      </c>
      <c r="B142" t="s">
        <v>323</v>
      </c>
      <c r="C142">
        <v>120</v>
      </c>
      <c r="D142" t="s">
        <v>41</v>
      </c>
      <c r="E142">
        <v>1075</v>
      </c>
      <c r="F142" t="s">
        <v>458</v>
      </c>
      <c r="G142">
        <v>0</v>
      </c>
      <c r="H142">
        <v>1</v>
      </c>
      <c r="I142">
        <v>4</v>
      </c>
      <c r="J142">
        <v>3</v>
      </c>
      <c r="K142">
        <v>2</v>
      </c>
      <c r="L142">
        <v>0</v>
      </c>
      <c r="M142" t="s">
        <v>325</v>
      </c>
      <c r="N142" t="s">
        <v>326</v>
      </c>
    </row>
    <row r="143" spans="1:14" x14ac:dyDescent="0.3">
      <c r="A143">
        <v>295</v>
      </c>
      <c r="B143" t="s">
        <v>323</v>
      </c>
      <c r="C143">
        <v>120</v>
      </c>
      <c r="D143" t="s">
        <v>41</v>
      </c>
      <c r="E143">
        <v>1076</v>
      </c>
      <c r="F143" t="s">
        <v>459</v>
      </c>
      <c r="G143">
        <v>0</v>
      </c>
      <c r="H143">
        <v>0</v>
      </c>
      <c r="I143">
        <v>2</v>
      </c>
      <c r="J143">
        <v>4</v>
      </c>
      <c r="K143">
        <v>5</v>
      </c>
      <c r="L143">
        <v>0</v>
      </c>
      <c r="M143" t="s">
        <v>410</v>
      </c>
      <c r="N143" t="s">
        <v>336</v>
      </c>
    </row>
    <row r="144" spans="1:14" x14ac:dyDescent="0.3">
      <c r="A144">
        <v>295</v>
      </c>
      <c r="B144" t="s">
        <v>323</v>
      </c>
      <c r="C144">
        <v>120</v>
      </c>
      <c r="D144" t="s">
        <v>41</v>
      </c>
      <c r="E144">
        <v>1077</v>
      </c>
      <c r="F144" t="s">
        <v>460</v>
      </c>
      <c r="G144">
        <v>0</v>
      </c>
      <c r="H144">
        <v>2</v>
      </c>
      <c r="I144">
        <v>1</v>
      </c>
      <c r="J144">
        <v>5</v>
      </c>
      <c r="K144">
        <v>1</v>
      </c>
      <c r="L144">
        <v>0</v>
      </c>
      <c r="M144" t="s">
        <v>325</v>
      </c>
      <c r="N144" t="s">
        <v>348</v>
      </c>
    </row>
    <row r="145" spans="1:14" x14ac:dyDescent="0.3">
      <c r="A145">
        <v>295</v>
      </c>
      <c r="B145" t="s">
        <v>323</v>
      </c>
      <c r="C145">
        <v>120</v>
      </c>
      <c r="D145" t="s">
        <v>41</v>
      </c>
      <c r="E145">
        <v>1079</v>
      </c>
      <c r="F145" t="s">
        <v>461</v>
      </c>
      <c r="G145">
        <v>0</v>
      </c>
      <c r="H145">
        <v>0</v>
      </c>
      <c r="I145">
        <v>0</v>
      </c>
      <c r="J145">
        <v>0</v>
      </c>
      <c r="K145">
        <v>3</v>
      </c>
      <c r="L145">
        <v>0</v>
      </c>
      <c r="M145" t="s">
        <v>333</v>
      </c>
      <c r="N145" t="s">
        <v>326</v>
      </c>
    </row>
    <row r="146" spans="1:14" x14ac:dyDescent="0.3">
      <c r="A146">
        <v>295</v>
      </c>
      <c r="B146" t="s">
        <v>323</v>
      </c>
      <c r="C146">
        <v>120</v>
      </c>
      <c r="D146" t="s">
        <v>41</v>
      </c>
      <c r="E146">
        <v>1657</v>
      </c>
      <c r="F146" t="s">
        <v>462</v>
      </c>
      <c r="G146">
        <v>0</v>
      </c>
      <c r="H146">
        <v>4</v>
      </c>
      <c r="I146">
        <v>0</v>
      </c>
      <c r="J146">
        <v>1</v>
      </c>
      <c r="K146">
        <v>0</v>
      </c>
      <c r="L146">
        <v>1</v>
      </c>
      <c r="M146" t="s">
        <v>333</v>
      </c>
      <c r="N146" t="s">
        <v>326</v>
      </c>
    </row>
    <row r="147" spans="1:14" x14ac:dyDescent="0.3">
      <c r="A147">
        <v>295</v>
      </c>
      <c r="B147" t="s">
        <v>323</v>
      </c>
      <c r="C147">
        <v>120</v>
      </c>
      <c r="D147" t="s">
        <v>41</v>
      </c>
      <c r="E147">
        <v>1658</v>
      </c>
      <c r="F147" t="s">
        <v>463</v>
      </c>
      <c r="G147">
        <v>0</v>
      </c>
      <c r="H147">
        <v>0</v>
      </c>
      <c r="I147">
        <v>0</v>
      </c>
      <c r="J147">
        <v>6</v>
      </c>
      <c r="K147">
        <v>2</v>
      </c>
      <c r="L147">
        <v>0</v>
      </c>
      <c r="M147" t="s">
        <v>333</v>
      </c>
      <c r="N147" t="s">
        <v>326</v>
      </c>
    </row>
    <row r="148" spans="1:14" x14ac:dyDescent="0.3">
      <c r="A148">
        <v>295</v>
      </c>
      <c r="B148" t="s">
        <v>323</v>
      </c>
      <c r="C148">
        <v>120</v>
      </c>
      <c r="D148" t="s">
        <v>41</v>
      </c>
      <c r="E148">
        <v>1659</v>
      </c>
      <c r="F148" t="s">
        <v>464</v>
      </c>
      <c r="G148">
        <v>0</v>
      </c>
      <c r="H148">
        <v>0</v>
      </c>
      <c r="I148">
        <v>0</v>
      </c>
      <c r="J148">
        <v>3</v>
      </c>
      <c r="K148">
        <v>4</v>
      </c>
      <c r="L148">
        <v>0</v>
      </c>
      <c r="M148" t="s">
        <v>333</v>
      </c>
      <c r="N148" t="s">
        <v>326</v>
      </c>
    </row>
    <row r="149" spans="1:14" x14ac:dyDescent="0.3">
      <c r="A149">
        <v>295</v>
      </c>
      <c r="B149" t="s">
        <v>323</v>
      </c>
      <c r="C149">
        <v>120</v>
      </c>
      <c r="D149" t="s">
        <v>41</v>
      </c>
      <c r="E149">
        <v>1681</v>
      </c>
      <c r="F149" t="s">
        <v>1228</v>
      </c>
      <c r="G149">
        <v>5</v>
      </c>
      <c r="H149">
        <v>2</v>
      </c>
      <c r="I149">
        <v>0</v>
      </c>
      <c r="J149">
        <v>0</v>
      </c>
      <c r="K149">
        <v>0</v>
      </c>
      <c r="L149">
        <v>0</v>
      </c>
      <c r="M149" t="s">
        <v>333</v>
      </c>
      <c r="N149" t="s">
        <v>336</v>
      </c>
    </row>
    <row r="150" spans="1:14" x14ac:dyDescent="0.3">
      <c r="A150">
        <v>295</v>
      </c>
      <c r="B150" t="s">
        <v>323</v>
      </c>
      <c r="C150">
        <v>120</v>
      </c>
      <c r="D150" t="s">
        <v>41</v>
      </c>
      <c r="E150">
        <v>1682</v>
      </c>
      <c r="F150" t="s">
        <v>1229</v>
      </c>
      <c r="G150">
        <v>0</v>
      </c>
      <c r="H150">
        <v>0</v>
      </c>
      <c r="I150">
        <v>0</v>
      </c>
      <c r="J150">
        <v>0</v>
      </c>
      <c r="K150">
        <v>0</v>
      </c>
      <c r="L150">
        <v>2</v>
      </c>
      <c r="M150" t="s">
        <v>333</v>
      </c>
      <c r="N150" t="s">
        <v>329</v>
      </c>
    </row>
    <row r="151" spans="1:14" x14ac:dyDescent="0.3">
      <c r="A151">
        <v>295</v>
      </c>
      <c r="B151" t="s">
        <v>323</v>
      </c>
      <c r="C151">
        <v>120</v>
      </c>
      <c r="D151" t="s">
        <v>41</v>
      </c>
      <c r="E151">
        <v>1683</v>
      </c>
      <c r="F151" t="s">
        <v>1230</v>
      </c>
      <c r="G151">
        <v>0</v>
      </c>
      <c r="H151">
        <v>0</v>
      </c>
      <c r="I151">
        <v>0</v>
      </c>
      <c r="J151">
        <v>0</v>
      </c>
      <c r="K151">
        <v>0</v>
      </c>
      <c r="L151">
        <v>2</v>
      </c>
      <c r="M151" t="s">
        <v>333</v>
      </c>
      <c r="N151" t="s">
        <v>329</v>
      </c>
    </row>
    <row r="152" spans="1:14" x14ac:dyDescent="0.3">
      <c r="A152">
        <v>296</v>
      </c>
      <c r="B152" t="s">
        <v>1231</v>
      </c>
      <c r="C152">
        <v>121</v>
      </c>
      <c r="D152" t="s">
        <v>43</v>
      </c>
      <c r="E152">
        <v>1903</v>
      </c>
      <c r="F152" t="s">
        <v>1232</v>
      </c>
    </row>
    <row r="153" spans="1:14" x14ac:dyDescent="0.3">
      <c r="A153">
        <v>296</v>
      </c>
      <c r="B153" t="s">
        <v>1231</v>
      </c>
      <c r="C153">
        <v>121</v>
      </c>
      <c r="D153" t="s">
        <v>43</v>
      </c>
      <c r="E153">
        <v>1904</v>
      </c>
      <c r="F153" t="s">
        <v>1233</v>
      </c>
    </row>
    <row r="154" spans="1:14" x14ac:dyDescent="0.3">
      <c r="A154">
        <v>296</v>
      </c>
      <c r="B154" t="s">
        <v>1231</v>
      </c>
      <c r="C154">
        <v>121</v>
      </c>
      <c r="D154" t="s">
        <v>43</v>
      </c>
      <c r="E154">
        <v>1905</v>
      </c>
      <c r="F154" t="s">
        <v>1234</v>
      </c>
    </row>
    <row r="155" spans="1:14" x14ac:dyDescent="0.3">
      <c r="A155">
        <v>296</v>
      </c>
      <c r="B155" t="s">
        <v>1231</v>
      </c>
      <c r="C155">
        <v>121</v>
      </c>
      <c r="D155" t="s">
        <v>43</v>
      </c>
      <c r="E155">
        <v>1906</v>
      </c>
      <c r="F155" t="s">
        <v>1063</v>
      </c>
    </row>
    <row r="156" spans="1:14" x14ac:dyDescent="0.3">
      <c r="A156">
        <v>296</v>
      </c>
      <c r="B156" t="s">
        <v>1231</v>
      </c>
      <c r="C156">
        <v>121</v>
      </c>
      <c r="D156" t="s">
        <v>43</v>
      </c>
      <c r="E156">
        <v>1907</v>
      </c>
      <c r="F156" t="s">
        <v>660</v>
      </c>
    </row>
    <row r="157" spans="1:14" x14ac:dyDescent="0.3">
      <c r="A157">
        <v>296</v>
      </c>
      <c r="B157" t="s">
        <v>1231</v>
      </c>
      <c r="C157">
        <v>121</v>
      </c>
      <c r="D157" t="s">
        <v>43</v>
      </c>
      <c r="E157">
        <v>1908</v>
      </c>
      <c r="F157" t="s">
        <v>1235</v>
      </c>
    </row>
    <row r="158" spans="1:14" x14ac:dyDescent="0.3">
      <c r="A158">
        <v>296</v>
      </c>
      <c r="B158" t="s">
        <v>1231</v>
      </c>
      <c r="C158">
        <v>121</v>
      </c>
      <c r="D158" t="s">
        <v>43</v>
      </c>
      <c r="E158">
        <v>1909</v>
      </c>
      <c r="F158" t="s">
        <v>1236</v>
      </c>
    </row>
    <row r="159" spans="1:14" x14ac:dyDescent="0.3">
      <c r="A159">
        <v>296</v>
      </c>
      <c r="B159" t="s">
        <v>1231</v>
      </c>
      <c r="C159">
        <v>121</v>
      </c>
      <c r="D159" t="s">
        <v>43</v>
      </c>
      <c r="E159">
        <v>1910</v>
      </c>
      <c r="F159" t="s">
        <v>1237</v>
      </c>
    </row>
    <row r="160" spans="1:14" x14ac:dyDescent="0.3">
      <c r="A160">
        <v>297</v>
      </c>
      <c r="B160" t="s">
        <v>323</v>
      </c>
      <c r="C160">
        <v>122</v>
      </c>
      <c r="D160" t="s">
        <v>45</v>
      </c>
      <c r="E160">
        <v>746</v>
      </c>
      <c r="F160" t="s">
        <v>495</v>
      </c>
      <c r="G160">
        <v>0</v>
      </c>
      <c r="H160">
        <v>2</v>
      </c>
      <c r="I160">
        <v>1</v>
      </c>
      <c r="J160">
        <v>1</v>
      </c>
      <c r="K160">
        <v>0</v>
      </c>
      <c r="L160">
        <v>0</v>
      </c>
      <c r="M160" t="s">
        <v>333</v>
      </c>
      <c r="N160" t="s">
        <v>343</v>
      </c>
    </row>
    <row r="161" spans="1:14" x14ac:dyDescent="0.3">
      <c r="A161">
        <v>297</v>
      </c>
      <c r="B161" t="s">
        <v>323</v>
      </c>
      <c r="C161">
        <v>122</v>
      </c>
      <c r="D161" t="s">
        <v>45</v>
      </c>
      <c r="E161">
        <v>747</v>
      </c>
      <c r="F161" t="s">
        <v>1238</v>
      </c>
      <c r="G161">
        <v>0</v>
      </c>
      <c r="H161">
        <v>1</v>
      </c>
      <c r="I161">
        <v>4</v>
      </c>
      <c r="J161">
        <v>0</v>
      </c>
      <c r="K161">
        <v>0</v>
      </c>
      <c r="L161">
        <v>1</v>
      </c>
      <c r="M161" t="s">
        <v>325</v>
      </c>
      <c r="N161" t="s">
        <v>348</v>
      </c>
    </row>
    <row r="162" spans="1:14" x14ac:dyDescent="0.3">
      <c r="A162">
        <v>297</v>
      </c>
      <c r="B162" t="s">
        <v>323</v>
      </c>
      <c r="C162">
        <v>122</v>
      </c>
      <c r="D162" t="s">
        <v>45</v>
      </c>
      <c r="E162">
        <v>748</v>
      </c>
      <c r="F162" t="s">
        <v>1239</v>
      </c>
      <c r="G162">
        <v>0</v>
      </c>
      <c r="H162">
        <v>1</v>
      </c>
      <c r="I162">
        <v>6</v>
      </c>
      <c r="J162">
        <v>0</v>
      </c>
      <c r="K162">
        <v>0</v>
      </c>
      <c r="L162">
        <v>0</v>
      </c>
      <c r="M162" t="s">
        <v>333</v>
      </c>
      <c r="N162" t="s">
        <v>348</v>
      </c>
    </row>
    <row r="163" spans="1:14" x14ac:dyDescent="0.3">
      <c r="A163">
        <v>297</v>
      </c>
      <c r="B163" t="s">
        <v>323</v>
      </c>
      <c r="C163">
        <v>122</v>
      </c>
      <c r="D163" t="s">
        <v>45</v>
      </c>
      <c r="E163">
        <v>749</v>
      </c>
      <c r="F163" t="s">
        <v>353</v>
      </c>
      <c r="G163">
        <v>0</v>
      </c>
      <c r="H163">
        <v>0</v>
      </c>
      <c r="I163">
        <v>0</v>
      </c>
      <c r="J163">
        <v>0</v>
      </c>
      <c r="K163">
        <v>2</v>
      </c>
      <c r="L163">
        <v>2</v>
      </c>
      <c r="M163" t="s">
        <v>333</v>
      </c>
      <c r="N163" t="s">
        <v>326</v>
      </c>
    </row>
    <row r="164" spans="1:14" x14ac:dyDescent="0.3">
      <c r="A164">
        <v>297</v>
      </c>
      <c r="B164" t="s">
        <v>323</v>
      </c>
      <c r="C164">
        <v>122</v>
      </c>
      <c r="D164" t="s">
        <v>45</v>
      </c>
      <c r="E164">
        <v>750</v>
      </c>
      <c r="F164" t="s">
        <v>1240</v>
      </c>
      <c r="G164">
        <v>0</v>
      </c>
      <c r="H164">
        <v>0</v>
      </c>
      <c r="I164">
        <v>7</v>
      </c>
      <c r="J164">
        <v>0</v>
      </c>
      <c r="K164">
        <v>0</v>
      </c>
      <c r="L164">
        <v>0</v>
      </c>
      <c r="M164" t="s">
        <v>325</v>
      </c>
      <c r="N164" t="s">
        <v>348</v>
      </c>
    </row>
    <row r="165" spans="1:14" x14ac:dyDescent="0.3">
      <c r="A165">
        <v>297</v>
      </c>
      <c r="B165" t="s">
        <v>323</v>
      </c>
      <c r="C165">
        <v>122</v>
      </c>
      <c r="D165" t="s">
        <v>45</v>
      </c>
      <c r="E165">
        <v>751</v>
      </c>
      <c r="F165" t="s">
        <v>1241</v>
      </c>
      <c r="G165">
        <v>0</v>
      </c>
      <c r="H165">
        <v>1</v>
      </c>
      <c r="I165">
        <v>2</v>
      </c>
      <c r="J165">
        <v>0</v>
      </c>
      <c r="K165">
        <v>0</v>
      </c>
      <c r="L165">
        <v>0</v>
      </c>
      <c r="M165" t="s">
        <v>333</v>
      </c>
      <c r="N165" t="s">
        <v>329</v>
      </c>
    </row>
    <row r="166" spans="1:14" x14ac:dyDescent="0.3">
      <c r="A166">
        <v>297</v>
      </c>
      <c r="B166" t="s">
        <v>323</v>
      </c>
      <c r="C166">
        <v>122</v>
      </c>
      <c r="D166" t="s">
        <v>45</v>
      </c>
      <c r="E166">
        <v>752</v>
      </c>
      <c r="F166" t="s">
        <v>1242</v>
      </c>
      <c r="G166">
        <v>0</v>
      </c>
      <c r="H166">
        <v>0</v>
      </c>
      <c r="I166">
        <v>3</v>
      </c>
      <c r="J166">
        <v>2</v>
      </c>
      <c r="K166">
        <v>0</v>
      </c>
      <c r="L166">
        <v>0</v>
      </c>
      <c r="M166" t="s">
        <v>333</v>
      </c>
      <c r="N166" t="s">
        <v>326</v>
      </c>
    </row>
    <row r="167" spans="1:14" x14ac:dyDescent="0.3">
      <c r="A167">
        <v>297</v>
      </c>
      <c r="B167" t="s">
        <v>323</v>
      </c>
      <c r="C167">
        <v>122</v>
      </c>
      <c r="D167" t="s">
        <v>45</v>
      </c>
      <c r="E167">
        <v>753</v>
      </c>
      <c r="F167" t="s">
        <v>1243</v>
      </c>
      <c r="G167">
        <v>0</v>
      </c>
      <c r="H167">
        <v>0</v>
      </c>
      <c r="I167">
        <v>6</v>
      </c>
      <c r="J167">
        <v>0</v>
      </c>
      <c r="K167">
        <v>0</v>
      </c>
      <c r="L167">
        <v>0</v>
      </c>
      <c r="M167" t="s">
        <v>333</v>
      </c>
      <c r="N167" t="s">
        <v>326</v>
      </c>
    </row>
    <row r="168" spans="1:14" x14ac:dyDescent="0.3">
      <c r="A168">
        <v>297</v>
      </c>
      <c r="B168" t="s">
        <v>323</v>
      </c>
      <c r="C168">
        <v>122</v>
      </c>
      <c r="D168" t="s">
        <v>45</v>
      </c>
      <c r="E168">
        <v>754</v>
      </c>
      <c r="F168" t="s">
        <v>640</v>
      </c>
      <c r="G168">
        <v>0</v>
      </c>
      <c r="H168">
        <v>0</v>
      </c>
      <c r="I168">
        <v>1</v>
      </c>
      <c r="J168">
        <v>1</v>
      </c>
      <c r="K168">
        <v>1</v>
      </c>
      <c r="L168">
        <v>0</v>
      </c>
      <c r="M168" t="s">
        <v>333</v>
      </c>
      <c r="N168" t="s">
        <v>326</v>
      </c>
    </row>
    <row r="169" spans="1:14" x14ac:dyDescent="0.3">
      <c r="A169">
        <v>297</v>
      </c>
      <c r="B169" t="s">
        <v>323</v>
      </c>
      <c r="C169">
        <v>122</v>
      </c>
      <c r="D169" t="s">
        <v>45</v>
      </c>
      <c r="E169">
        <v>755</v>
      </c>
      <c r="F169" t="s">
        <v>393</v>
      </c>
      <c r="G169">
        <v>0</v>
      </c>
      <c r="H169">
        <v>1</v>
      </c>
      <c r="I169">
        <v>2</v>
      </c>
      <c r="J169">
        <v>1</v>
      </c>
      <c r="K169">
        <v>1</v>
      </c>
      <c r="L169">
        <v>0</v>
      </c>
      <c r="M169" t="s">
        <v>414</v>
      </c>
      <c r="N169" t="s">
        <v>326</v>
      </c>
    </row>
    <row r="170" spans="1:14" x14ac:dyDescent="0.3">
      <c r="A170">
        <v>297</v>
      </c>
      <c r="B170" t="s">
        <v>323</v>
      </c>
      <c r="C170">
        <v>122</v>
      </c>
      <c r="D170" t="s">
        <v>45</v>
      </c>
      <c r="E170">
        <v>756</v>
      </c>
      <c r="F170" t="s">
        <v>1244</v>
      </c>
      <c r="G170">
        <v>0</v>
      </c>
      <c r="H170">
        <v>1</v>
      </c>
      <c r="I170">
        <v>3</v>
      </c>
      <c r="J170">
        <v>0</v>
      </c>
      <c r="K170">
        <v>0</v>
      </c>
      <c r="L170">
        <v>0</v>
      </c>
      <c r="M170" t="s">
        <v>410</v>
      </c>
      <c r="N170" t="s">
        <v>336</v>
      </c>
    </row>
    <row r="171" spans="1:14" x14ac:dyDescent="0.3">
      <c r="A171">
        <v>297</v>
      </c>
      <c r="B171" t="s">
        <v>323</v>
      </c>
      <c r="C171">
        <v>122</v>
      </c>
      <c r="D171" t="s">
        <v>45</v>
      </c>
      <c r="E171">
        <v>757</v>
      </c>
      <c r="F171" t="s">
        <v>1245</v>
      </c>
      <c r="G171">
        <v>0</v>
      </c>
      <c r="H171">
        <v>2</v>
      </c>
      <c r="I171">
        <v>7</v>
      </c>
      <c r="J171">
        <v>6</v>
      </c>
      <c r="K171">
        <v>1</v>
      </c>
      <c r="L171">
        <v>0</v>
      </c>
      <c r="M171" t="s">
        <v>333</v>
      </c>
      <c r="N171" t="s">
        <v>326</v>
      </c>
    </row>
    <row r="172" spans="1:14" x14ac:dyDescent="0.3">
      <c r="A172">
        <v>297</v>
      </c>
      <c r="B172" t="s">
        <v>323</v>
      </c>
      <c r="C172">
        <v>122</v>
      </c>
      <c r="D172" t="s">
        <v>45</v>
      </c>
      <c r="E172">
        <v>758</v>
      </c>
      <c r="F172" t="s">
        <v>1246</v>
      </c>
      <c r="G172">
        <v>0</v>
      </c>
      <c r="H172">
        <v>1</v>
      </c>
      <c r="I172">
        <v>3</v>
      </c>
      <c r="J172">
        <v>0</v>
      </c>
      <c r="K172">
        <v>0</v>
      </c>
      <c r="L172">
        <v>0</v>
      </c>
      <c r="M172" t="s">
        <v>333</v>
      </c>
      <c r="N172" t="s">
        <v>348</v>
      </c>
    </row>
    <row r="173" spans="1:14" x14ac:dyDescent="0.3">
      <c r="A173">
        <v>297</v>
      </c>
      <c r="B173" t="s">
        <v>323</v>
      </c>
      <c r="C173">
        <v>122</v>
      </c>
      <c r="D173" t="s">
        <v>45</v>
      </c>
      <c r="E173">
        <v>759</v>
      </c>
      <c r="F173" t="s">
        <v>529</v>
      </c>
      <c r="G173">
        <v>0</v>
      </c>
      <c r="H173">
        <v>0</v>
      </c>
      <c r="I173">
        <v>4</v>
      </c>
      <c r="J173">
        <v>2</v>
      </c>
      <c r="K173">
        <v>1</v>
      </c>
      <c r="L173">
        <v>0</v>
      </c>
      <c r="M173" t="s">
        <v>333</v>
      </c>
      <c r="N173" t="s">
        <v>326</v>
      </c>
    </row>
    <row r="174" spans="1:14" x14ac:dyDescent="0.3">
      <c r="A174">
        <v>297</v>
      </c>
      <c r="B174" t="s">
        <v>323</v>
      </c>
      <c r="C174">
        <v>122</v>
      </c>
      <c r="D174" t="s">
        <v>45</v>
      </c>
      <c r="E174">
        <v>1842</v>
      </c>
      <c r="F174" t="s">
        <v>1247</v>
      </c>
      <c r="G174">
        <v>0</v>
      </c>
      <c r="H174">
        <v>0</v>
      </c>
      <c r="I174">
        <v>0</v>
      </c>
      <c r="J174">
        <v>0</v>
      </c>
      <c r="K174">
        <v>6</v>
      </c>
      <c r="L174">
        <v>0</v>
      </c>
      <c r="M174" t="s">
        <v>333</v>
      </c>
      <c r="N174" t="s">
        <v>348</v>
      </c>
    </row>
    <row r="175" spans="1:14" x14ac:dyDescent="0.3">
      <c r="A175">
        <v>297</v>
      </c>
      <c r="B175" t="s">
        <v>323</v>
      </c>
      <c r="C175">
        <v>122</v>
      </c>
      <c r="D175" t="s">
        <v>45</v>
      </c>
      <c r="E175">
        <v>1843</v>
      </c>
      <c r="F175" t="s">
        <v>1248</v>
      </c>
      <c r="G175">
        <v>0</v>
      </c>
      <c r="H175">
        <v>0</v>
      </c>
      <c r="I175">
        <v>2</v>
      </c>
      <c r="J175">
        <v>1</v>
      </c>
      <c r="K175">
        <v>2</v>
      </c>
      <c r="L175">
        <v>0</v>
      </c>
      <c r="M175" t="s">
        <v>333</v>
      </c>
      <c r="N175" t="s">
        <v>326</v>
      </c>
    </row>
    <row r="176" spans="1:14" x14ac:dyDescent="0.3">
      <c r="A176">
        <v>298</v>
      </c>
      <c r="B176" t="s">
        <v>323</v>
      </c>
      <c r="C176">
        <v>123</v>
      </c>
      <c r="D176" t="s">
        <v>47</v>
      </c>
      <c r="E176">
        <v>863</v>
      </c>
      <c r="F176" t="s">
        <v>381</v>
      </c>
      <c r="G176">
        <v>0</v>
      </c>
      <c r="H176">
        <v>0</v>
      </c>
      <c r="I176">
        <v>1</v>
      </c>
      <c r="J176">
        <v>0</v>
      </c>
      <c r="K176">
        <v>1</v>
      </c>
      <c r="L176">
        <v>1</v>
      </c>
      <c r="M176" t="s">
        <v>333</v>
      </c>
      <c r="N176" t="s">
        <v>336</v>
      </c>
    </row>
    <row r="177" spans="1:14" x14ac:dyDescent="0.3">
      <c r="A177">
        <v>298</v>
      </c>
      <c r="B177" t="s">
        <v>323</v>
      </c>
      <c r="C177">
        <v>123</v>
      </c>
      <c r="D177" t="s">
        <v>47</v>
      </c>
      <c r="E177">
        <v>865</v>
      </c>
      <c r="F177" t="s">
        <v>466</v>
      </c>
      <c r="G177">
        <v>4</v>
      </c>
      <c r="H177">
        <v>3</v>
      </c>
      <c r="I177">
        <v>2</v>
      </c>
      <c r="J177">
        <v>0</v>
      </c>
      <c r="K177">
        <v>0</v>
      </c>
      <c r="L177">
        <v>9</v>
      </c>
      <c r="M177" t="s">
        <v>333</v>
      </c>
      <c r="N177" t="s">
        <v>336</v>
      </c>
    </row>
    <row r="178" spans="1:14" x14ac:dyDescent="0.3">
      <c r="A178">
        <v>298</v>
      </c>
      <c r="B178" t="s">
        <v>323</v>
      </c>
      <c r="C178">
        <v>123</v>
      </c>
      <c r="D178" t="s">
        <v>47</v>
      </c>
      <c r="E178">
        <v>867</v>
      </c>
      <c r="F178" t="s">
        <v>467</v>
      </c>
      <c r="G178">
        <v>0</v>
      </c>
      <c r="H178">
        <v>1</v>
      </c>
      <c r="I178">
        <v>1</v>
      </c>
      <c r="J178">
        <v>1</v>
      </c>
      <c r="K178">
        <v>1</v>
      </c>
      <c r="L178">
        <v>2</v>
      </c>
      <c r="M178" t="s">
        <v>325</v>
      </c>
      <c r="N178" t="s">
        <v>326</v>
      </c>
    </row>
    <row r="179" spans="1:14" x14ac:dyDescent="0.3">
      <c r="A179">
        <v>298</v>
      </c>
      <c r="B179" t="s">
        <v>323</v>
      </c>
      <c r="C179">
        <v>123</v>
      </c>
      <c r="D179" t="s">
        <v>47</v>
      </c>
      <c r="E179">
        <v>870</v>
      </c>
      <c r="F179" t="s">
        <v>468</v>
      </c>
      <c r="G179">
        <v>0</v>
      </c>
      <c r="H179">
        <v>0</v>
      </c>
      <c r="I179">
        <v>0</v>
      </c>
      <c r="J179">
        <v>2</v>
      </c>
      <c r="K179">
        <v>2</v>
      </c>
      <c r="L179">
        <v>2</v>
      </c>
      <c r="M179" t="s">
        <v>325</v>
      </c>
      <c r="N179" t="s">
        <v>336</v>
      </c>
    </row>
    <row r="180" spans="1:14" x14ac:dyDescent="0.3">
      <c r="A180">
        <v>298</v>
      </c>
      <c r="B180" t="s">
        <v>323</v>
      </c>
      <c r="C180">
        <v>123</v>
      </c>
      <c r="D180" t="s">
        <v>47</v>
      </c>
      <c r="E180">
        <v>872</v>
      </c>
      <c r="F180" t="s">
        <v>469</v>
      </c>
      <c r="G180">
        <v>0</v>
      </c>
      <c r="H180">
        <v>1</v>
      </c>
      <c r="I180">
        <v>2</v>
      </c>
      <c r="J180">
        <v>0</v>
      </c>
      <c r="K180">
        <v>0</v>
      </c>
      <c r="L180">
        <v>1</v>
      </c>
      <c r="M180" t="s">
        <v>410</v>
      </c>
      <c r="N180" t="s">
        <v>348</v>
      </c>
    </row>
    <row r="181" spans="1:14" x14ac:dyDescent="0.3">
      <c r="A181">
        <v>298</v>
      </c>
      <c r="B181" t="s">
        <v>323</v>
      </c>
      <c r="C181">
        <v>123</v>
      </c>
      <c r="D181" t="s">
        <v>47</v>
      </c>
      <c r="E181">
        <v>873</v>
      </c>
      <c r="F181" t="s">
        <v>470</v>
      </c>
      <c r="G181">
        <v>1</v>
      </c>
      <c r="H181">
        <v>1</v>
      </c>
      <c r="I181">
        <v>0</v>
      </c>
      <c r="J181">
        <v>0</v>
      </c>
      <c r="K181">
        <v>0</v>
      </c>
      <c r="L181">
        <v>1</v>
      </c>
      <c r="M181" t="s">
        <v>333</v>
      </c>
      <c r="N181" t="s">
        <v>326</v>
      </c>
    </row>
    <row r="182" spans="1:14" x14ac:dyDescent="0.3">
      <c r="A182">
        <v>298</v>
      </c>
      <c r="B182" t="s">
        <v>323</v>
      </c>
      <c r="C182">
        <v>123</v>
      </c>
      <c r="D182" t="s">
        <v>47</v>
      </c>
      <c r="E182">
        <v>875</v>
      </c>
      <c r="F182" t="s">
        <v>471</v>
      </c>
      <c r="G182">
        <v>1</v>
      </c>
      <c r="H182">
        <v>4</v>
      </c>
      <c r="I182">
        <v>2</v>
      </c>
      <c r="J182">
        <v>0</v>
      </c>
      <c r="K182">
        <v>0</v>
      </c>
      <c r="L182">
        <v>0</v>
      </c>
      <c r="M182" t="s">
        <v>325</v>
      </c>
      <c r="N182" t="s">
        <v>326</v>
      </c>
    </row>
    <row r="183" spans="1:14" x14ac:dyDescent="0.3">
      <c r="A183">
        <v>298</v>
      </c>
      <c r="B183" t="s">
        <v>323</v>
      </c>
      <c r="C183">
        <v>123</v>
      </c>
      <c r="D183" t="s">
        <v>47</v>
      </c>
      <c r="E183">
        <v>876</v>
      </c>
      <c r="F183" t="s">
        <v>472</v>
      </c>
      <c r="G183">
        <v>0</v>
      </c>
      <c r="H183">
        <v>0</v>
      </c>
      <c r="I183">
        <v>4</v>
      </c>
      <c r="J183">
        <v>0</v>
      </c>
      <c r="K183">
        <v>1</v>
      </c>
      <c r="L183">
        <v>1</v>
      </c>
      <c r="M183" t="s">
        <v>325</v>
      </c>
      <c r="N183" t="s">
        <v>326</v>
      </c>
    </row>
    <row r="184" spans="1:14" x14ac:dyDescent="0.3">
      <c r="A184">
        <v>298</v>
      </c>
      <c r="B184" t="s">
        <v>323</v>
      </c>
      <c r="C184">
        <v>123</v>
      </c>
      <c r="D184" t="s">
        <v>47</v>
      </c>
      <c r="E184">
        <v>877</v>
      </c>
      <c r="F184" t="s">
        <v>473</v>
      </c>
      <c r="G184">
        <v>0</v>
      </c>
      <c r="H184">
        <v>3</v>
      </c>
      <c r="I184">
        <v>3</v>
      </c>
      <c r="J184">
        <v>2</v>
      </c>
      <c r="K184">
        <v>2</v>
      </c>
      <c r="L184">
        <v>1</v>
      </c>
      <c r="M184" t="s">
        <v>325</v>
      </c>
      <c r="N184" t="s">
        <v>326</v>
      </c>
    </row>
    <row r="185" spans="1:14" x14ac:dyDescent="0.3">
      <c r="A185">
        <v>298</v>
      </c>
      <c r="B185" t="s">
        <v>323</v>
      </c>
      <c r="C185">
        <v>123</v>
      </c>
      <c r="D185" t="s">
        <v>47</v>
      </c>
      <c r="E185">
        <v>878</v>
      </c>
      <c r="F185" t="s">
        <v>349</v>
      </c>
      <c r="G185">
        <v>1</v>
      </c>
      <c r="H185">
        <v>0</v>
      </c>
      <c r="I185">
        <v>1</v>
      </c>
      <c r="J185">
        <v>1</v>
      </c>
      <c r="K185">
        <v>1</v>
      </c>
      <c r="L185">
        <v>0</v>
      </c>
      <c r="M185" t="s">
        <v>410</v>
      </c>
      <c r="N185" t="s">
        <v>336</v>
      </c>
    </row>
    <row r="186" spans="1:14" x14ac:dyDescent="0.3">
      <c r="A186">
        <v>298</v>
      </c>
      <c r="B186" t="s">
        <v>323</v>
      </c>
      <c r="C186">
        <v>123</v>
      </c>
      <c r="D186" t="s">
        <v>47</v>
      </c>
      <c r="E186">
        <v>1486</v>
      </c>
      <c r="F186" t="s">
        <v>359</v>
      </c>
      <c r="G186">
        <v>0</v>
      </c>
      <c r="H186">
        <v>3</v>
      </c>
      <c r="I186">
        <v>0</v>
      </c>
      <c r="J186">
        <v>1</v>
      </c>
      <c r="K186">
        <v>0</v>
      </c>
      <c r="L186">
        <v>1</v>
      </c>
      <c r="M186" t="s">
        <v>410</v>
      </c>
      <c r="N186" t="s">
        <v>329</v>
      </c>
    </row>
    <row r="187" spans="1:14" x14ac:dyDescent="0.3">
      <c r="A187">
        <v>298</v>
      </c>
      <c r="B187" t="s">
        <v>323</v>
      </c>
      <c r="C187">
        <v>123</v>
      </c>
      <c r="D187" t="s">
        <v>47</v>
      </c>
      <c r="E187">
        <v>1487</v>
      </c>
      <c r="F187" t="s">
        <v>474</v>
      </c>
      <c r="G187">
        <v>2</v>
      </c>
      <c r="H187">
        <v>1</v>
      </c>
      <c r="I187">
        <v>2</v>
      </c>
      <c r="J187">
        <v>1</v>
      </c>
      <c r="K187">
        <v>1</v>
      </c>
      <c r="L187">
        <v>0</v>
      </c>
      <c r="M187" t="s">
        <v>325</v>
      </c>
      <c r="N187" t="s">
        <v>326</v>
      </c>
    </row>
    <row r="188" spans="1:14" x14ac:dyDescent="0.3">
      <c r="A188">
        <v>298</v>
      </c>
      <c r="B188" t="s">
        <v>323</v>
      </c>
      <c r="C188">
        <v>123</v>
      </c>
      <c r="D188" t="s">
        <v>47</v>
      </c>
      <c r="E188">
        <v>1488</v>
      </c>
      <c r="F188" t="s">
        <v>475</v>
      </c>
      <c r="G188">
        <v>0</v>
      </c>
      <c r="H188">
        <v>1</v>
      </c>
      <c r="I188">
        <v>1</v>
      </c>
      <c r="J188">
        <v>0</v>
      </c>
      <c r="K188">
        <v>0</v>
      </c>
      <c r="L188">
        <v>1</v>
      </c>
      <c r="M188" t="s">
        <v>333</v>
      </c>
      <c r="N188" t="s">
        <v>326</v>
      </c>
    </row>
    <row r="189" spans="1:14" x14ac:dyDescent="0.3">
      <c r="A189">
        <v>298</v>
      </c>
      <c r="B189" t="s">
        <v>323</v>
      </c>
      <c r="C189">
        <v>123</v>
      </c>
      <c r="D189" t="s">
        <v>47</v>
      </c>
      <c r="E189">
        <v>2008</v>
      </c>
      <c r="F189" t="s">
        <v>1249</v>
      </c>
      <c r="G189">
        <v>0</v>
      </c>
      <c r="H189">
        <v>1</v>
      </c>
      <c r="I189">
        <v>2</v>
      </c>
      <c r="J189">
        <v>0</v>
      </c>
      <c r="K189">
        <v>1</v>
      </c>
      <c r="L189">
        <v>1</v>
      </c>
      <c r="M189" t="s">
        <v>325</v>
      </c>
      <c r="N189" t="s">
        <v>348</v>
      </c>
    </row>
    <row r="190" spans="1:14" x14ac:dyDescent="0.3">
      <c r="A190">
        <v>298</v>
      </c>
      <c r="B190" t="s">
        <v>323</v>
      </c>
      <c r="C190">
        <v>123</v>
      </c>
      <c r="D190" t="s">
        <v>47</v>
      </c>
      <c r="E190">
        <v>2009</v>
      </c>
      <c r="F190" t="s">
        <v>398</v>
      </c>
      <c r="G190">
        <v>0</v>
      </c>
      <c r="H190">
        <v>3</v>
      </c>
      <c r="I190">
        <v>0</v>
      </c>
      <c r="J190">
        <v>0</v>
      </c>
      <c r="K190">
        <v>0</v>
      </c>
      <c r="L190">
        <v>3</v>
      </c>
      <c r="M190" t="s">
        <v>325</v>
      </c>
      <c r="N190" t="s">
        <v>329</v>
      </c>
    </row>
    <row r="191" spans="1:14" x14ac:dyDescent="0.3">
      <c r="A191">
        <v>299</v>
      </c>
      <c r="B191" t="s">
        <v>323</v>
      </c>
      <c r="C191">
        <v>124</v>
      </c>
      <c r="D191" t="s">
        <v>49</v>
      </c>
      <c r="E191">
        <v>322</v>
      </c>
      <c r="F191" t="s">
        <v>393</v>
      </c>
      <c r="G191">
        <v>0</v>
      </c>
      <c r="H191">
        <v>3</v>
      </c>
      <c r="I191">
        <v>0</v>
      </c>
      <c r="J191">
        <v>0</v>
      </c>
      <c r="K191">
        <v>1</v>
      </c>
      <c r="L191">
        <v>0</v>
      </c>
      <c r="M191" t="s">
        <v>410</v>
      </c>
      <c r="N191" t="s">
        <v>326</v>
      </c>
    </row>
    <row r="192" spans="1:14" x14ac:dyDescent="0.3">
      <c r="A192">
        <v>299</v>
      </c>
      <c r="B192" t="s">
        <v>323</v>
      </c>
      <c r="C192">
        <v>124</v>
      </c>
      <c r="D192" t="s">
        <v>49</v>
      </c>
      <c r="E192">
        <v>323</v>
      </c>
      <c r="F192" t="s">
        <v>476</v>
      </c>
      <c r="G192">
        <v>1</v>
      </c>
      <c r="H192">
        <v>0</v>
      </c>
      <c r="I192">
        <v>3</v>
      </c>
      <c r="J192">
        <v>1</v>
      </c>
      <c r="K192">
        <v>1</v>
      </c>
      <c r="L192">
        <v>1</v>
      </c>
      <c r="M192" t="s">
        <v>333</v>
      </c>
      <c r="N192" t="s">
        <v>348</v>
      </c>
    </row>
    <row r="193" spans="1:14" x14ac:dyDescent="0.3">
      <c r="A193">
        <v>299</v>
      </c>
      <c r="B193" t="s">
        <v>323</v>
      </c>
      <c r="C193">
        <v>124</v>
      </c>
      <c r="D193" t="s">
        <v>49</v>
      </c>
      <c r="E193">
        <v>324</v>
      </c>
      <c r="F193" t="s">
        <v>477</v>
      </c>
      <c r="G193">
        <v>0</v>
      </c>
      <c r="H193">
        <v>0</v>
      </c>
      <c r="I193">
        <v>1</v>
      </c>
      <c r="J193">
        <v>1</v>
      </c>
      <c r="K193">
        <v>0</v>
      </c>
      <c r="L193">
        <v>0</v>
      </c>
      <c r="M193" t="s">
        <v>333</v>
      </c>
      <c r="N193" t="s">
        <v>329</v>
      </c>
    </row>
    <row r="194" spans="1:14" x14ac:dyDescent="0.3">
      <c r="A194">
        <v>299</v>
      </c>
      <c r="B194" t="s">
        <v>323</v>
      </c>
      <c r="C194">
        <v>124</v>
      </c>
      <c r="D194" t="s">
        <v>49</v>
      </c>
      <c r="E194">
        <v>325</v>
      </c>
      <c r="F194" t="s">
        <v>351</v>
      </c>
      <c r="G194">
        <v>0</v>
      </c>
      <c r="H194">
        <v>1</v>
      </c>
      <c r="I194">
        <v>0</v>
      </c>
      <c r="J194">
        <v>1</v>
      </c>
      <c r="K194">
        <v>1</v>
      </c>
      <c r="L194">
        <v>1</v>
      </c>
      <c r="M194" t="s">
        <v>333</v>
      </c>
      <c r="N194" t="s">
        <v>336</v>
      </c>
    </row>
    <row r="195" spans="1:14" x14ac:dyDescent="0.3">
      <c r="A195">
        <v>299</v>
      </c>
      <c r="B195" t="s">
        <v>323</v>
      </c>
      <c r="C195">
        <v>124</v>
      </c>
      <c r="D195" t="s">
        <v>49</v>
      </c>
      <c r="E195">
        <v>326</v>
      </c>
      <c r="F195" t="s">
        <v>478</v>
      </c>
      <c r="G195">
        <v>0</v>
      </c>
      <c r="H195">
        <v>0</v>
      </c>
      <c r="I195">
        <v>1</v>
      </c>
      <c r="J195">
        <v>1</v>
      </c>
      <c r="K195">
        <v>0</v>
      </c>
      <c r="L195">
        <v>0</v>
      </c>
      <c r="M195" t="s">
        <v>333</v>
      </c>
      <c r="N195" t="s">
        <v>348</v>
      </c>
    </row>
    <row r="196" spans="1:14" x14ac:dyDescent="0.3">
      <c r="A196">
        <v>299</v>
      </c>
      <c r="B196" t="s">
        <v>323</v>
      </c>
      <c r="C196">
        <v>124</v>
      </c>
      <c r="D196" t="s">
        <v>49</v>
      </c>
      <c r="E196">
        <v>327</v>
      </c>
      <c r="F196" t="s">
        <v>479</v>
      </c>
      <c r="G196">
        <v>0</v>
      </c>
      <c r="H196">
        <v>2</v>
      </c>
      <c r="I196">
        <v>0</v>
      </c>
      <c r="J196">
        <v>0</v>
      </c>
      <c r="K196">
        <v>1</v>
      </c>
      <c r="L196">
        <v>2</v>
      </c>
      <c r="M196" t="s">
        <v>333</v>
      </c>
      <c r="N196" t="s">
        <v>329</v>
      </c>
    </row>
    <row r="197" spans="1:14" x14ac:dyDescent="0.3">
      <c r="A197">
        <v>299</v>
      </c>
      <c r="B197" t="s">
        <v>323</v>
      </c>
      <c r="C197">
        <v>124</v>
      </c>
      <c r="D197" t="s">
        <v>49</v>
      </c>
      <c r="E197">
        <v>328</v>
      </c>
      <c r="F197" t="s">
        <v>480</v>
      </c>
      <c r="G197">
        <v>0</v>
      </c>
      <c r="H197">
        <v>1</v>
      </c>
      <c r="I197">
        <v>1</v>
      </c>
      <c r="J197">
        <v>1</v>
      </c>
      <c r="K197">
        <v>1</v>
      </c>
      <c r="L197">
        <v>2</v>
      </c>
      <c r="M197" t="s">
        <v>333</v>
      </c>
      <c r="N197" t="s">
        <v>336</v>
      </c>
    </row>
    <row r="198" spans="1:14" x14ac:dyDescent="0.3">
      <c r="A198">
        <v>299</v>
      </c>
      <c r="B198" t="s">
        <v>323</v>
      </c>
      <c r="C198">
        <v>124</v>
      </c>
      <c r="D198" t="s">
        <v>49</v>
      </c>
      <c r="E198">
        <v>1646</v>
      </c>
      <c r="F198" t="s">
        <v>481</v>
      </c>
      <c r="G198">
        <v>0</v>
      </c>
      <c r="H198">
        <v>1</v>
      </c>
      <c r="I198">
        <v>1</v>
      </c>
      <c r="J198">
        <v>1</v>
      </c>
      <c r="K198">
        <v>1</v>
      </c>
      <c r="L198">
        <v>0</v>
      </c>
      <c r="M198" t="s">
        <v>333</v>
      </c>
      <c r="N198" t="s">
        <v>336</v>
      </c>
    </row>
    <row r="199" spans="1:14" x14ac:dyDescent="0.3">
      <c r="A199">
        <v>299</v>
      </c>
      <c r="B199" t="s">
        <v>323</v>
      </c>
      <c r="C199">
        <v>124</v>
      </c>
      <c r="D199" t="s">
        <v>49</v>
      </c>
      <c r="E199">
        <v>1647</v>
      </c>
      <c r="F199" t="s">
        <v>482</v>
      </c>
      <c r="G199">
        <v>0</v>
      </c>
      <c r="H199">
        <v>1</v>
      </c>
      <c r="I199">
        <v>2</v>
      </c>
      <c r="J199">
        <v>0</v>
      </c>
      <c r="K199">
        <v>0</v>
      </c>
      <c r="L199">
        <v>2</v>
      </c>
      <c r="M199" t="s">
        <v>333</v>
      </c>
      <c r="N199" t="s">
        <v>336</v>
      </c>
    </row>
    <row r="200" spans="1:14" x14ac:dyDescent="0.3">
      <c r="A200">
        <v>299</v>
      </c>
      <c r="B200" t="s">
        <v>323</v>
      </c>
      <c r="C200">
        <v>124</v>
      </c>
      <c r="D200" t="s">
        <v>49</v>
      </c>
      <c r="E200">
        <v>1920</v>
      </c>
      <c r="F200" t="s">
        <v>1250</v>
      </c>
      <c r="G200">
        <v>0</v>
      </c>
      <c r="H200">
        <v>1</v>
      </c>
      <c r="I200">
        <v>2</v>
      </c>
      <c r="J200">
        <v>2</v>
      </c>
      <c r="K200">
        <v>0</v>
      </c>
      <c r="L200">
        <v>1</v>
      </c>
      <c r="M200" t="s">
        <v>333</v>
      </c>
      <c r="N200" t="s">
        <v>329</v>
      </c>
    </row>
    <row r="201" spans="1:14" x14ac:dyDescent="0.3">
      <c r="A201">
        <v>299</v>
      </c>
      <c r="B201" t="s">
        <v>323</v>
      </c>
      <c r="C201">
        <v>124</v>
      </c>
      <c r="D201" t="s">
        <v>49</v>
      </c>
      <c r="E201">
        <v>1921</v>
      </c>
      <c r="F201" t="s">
        <v>1251</v>
      </c>
      <c r="G201">
        <v>0</v>
      </c>
      <c r="H201">
        <v>1</v>
      </c>
      <c r="I201">
        <v>0</v>
      </c>
      <c r="J201">
        <v>2</v>
      </c>
      <c r="K201">
        <v>0</v>
      </c>
      <c r="L201">
        <v>1</v>
      </c>
      <c r="M201" t="s">
        <v>333</v>
      </c>
      <c r="N201" t="s">
        <v>336</v>
      </c>
    </row>
    <row r="202" spans="1:14" x14ac:dyDescent="0.3">
      <c r="A202">
        <v>299</v>
      </c>
      <c r="B202" t="s">
        <v>323</v>
      </c>
      <c r="C202">
        <v>124</v>
      </c>
      <c r="D202" t="s">
        <v>49</v>
      </c>
      <c r="E202">
        <v>1922</v>
      </c>
      <c r="F202" t="s">
        <v>1252</v>
      </c>
      <c r="G202">
        <v>0</v>
      </c>
      <c r="H202">
        <v>1</v>
      </c>
      <c r="I202">
        <v>1</v>
      </c>
      <c r="J202">
        <v>0</v>
      </c>
      <c r="K202">
        <v>0</v>
      </c>
      <c r="L202">
        <v>0</v>
      </c>
      <c r="M202" t="s">
        <v>333</v>
      </c>
      <c r="N202" t="s">
        <v>326</v>
      </c>
    </row>
    <row r="203" spans="1:14" x14ac:dyDescent="0.3">
      <c r="A203">
        <v>299</v>
      </c>
      <c r="B203" t="s">
        <v>323</v>
      </c>
      <c r="C203">
        <v>124</v>
      </c>
      <c r="D203" t="s">
        <v>49</v>
      </c>
      <c r="E203">
        <v>1923</v>
      </c>
      <c r="F203" t="s">
        <v>1253</v>
      </c>
      <c r="G203">
        <v>0</v>
      </c>
      <c r="H203">
        <v>1</v>
      </c>
      <c r="I203">
        <v>2</v>
      </c>
      <c r="J203">
        <v>0</v>
      </c>
      <c r="K203">
        <v>0</v>
      </c>
      <c r="L203">
        <v>0</v>
      </c>
      <c r="M203" t="s">
        <v>333</v>
      </c>
      <c r="N203" t="s">
        <v>336</v>
      </c>
    </row>
    <row r="204" spans="1:14" x14ac:dyDescent="0.3">
      <c r="A204">
        <v>300</v>
      </c>
      <c r="B204" t="s">
        <v>323</v>
      </c>
      <c r="C204">
        <v>125</v>
      </c>
      <c r="D204" t="s">
        <v>51</v>
      </c>
      <c r="E204">
        <v>1547</v>
      </c>
      <c r="F204" t="s">
        <v>315</v>
      </c>
      <c r="G204">
        <v>1</v>
      </c>
      <c r="H204">
        <v>1</v>
      </c>
      <c r="I204">
        <v>1</v>
      </c>
      <c r="J204">
        <v>1</v>
      </c>
      <c r="K204">
        <v>0</v>
      </c>
      <c r="L204">
        <v>0</v>
      </c>
      <c r="M204" t="s">
        <v>325</v>
      </c>
      <c r="N204" t="s">
        <v>484</v>
      </c>
    </row>
    <row r="205" spans="1:14" x14ac:dyDescent="0.3">
      <c r="A205">
        <v>300</v>
      </c>
      <c r="B205" t="s">
        <v>323</v>
      </c>
      <c r="C205">
        <v>125</v>
      </c>
      <c r="D205" t="s">
        <v>51</v>
      </c>
      <c r="E205">
        <v>1548</v>
      </c>
      <c r="F205" t="s">
        <v>485</v>
      </c>
      <c r="G205">
        <v>1</v>
      </c>
      <c r="H205">
        <v>1</v>
      </c>
      <c r="I205">
        <v>0</v>
      </c>
      <c r="J205">
        <v>1</v>
      </c>
      <c r="K205">
        <v>2</v>
      </c>
      <c r="L205">
        <v>0</v>
      </c>
      <c r="M205" t="s">
        <v>333</v>
      </c>
      <c r="N205" t="s">
        <v>484</v>
      </c>
    </row>
    <row r="206" spans="1:14" x14ac:dyDescent="0.3">
      <c r="A206">
        <v>300</v>
      </c>
      <c r="B206" t="s">
        <v>323</v>
      </c>
      <c r="C206">
        <v>125</v>
      </c>
      <c r="D206" t="s">
        <v>51</v>
      </c>
      <c r="E206">
        <v>1550</v>
      </c>
      <c r="F206" t="s">
        <v>487</v>
      </c>
      <c r="G206">
        <v>0</v>
      </c>
      <c r="H206">
        <v>0</v>
      </c>
      <c r="I206">
        <v>2</v>
      </c>
      <c r="J206">
        <v>0</v>
      </c>
      <c r="K206">
        <v>0</v>
      </c>
      <c r="L206">
        <v>0</v>
      </c>
      <c r="M206" t="s">
        <v>333</v>
      </c>
      <c r="N206" t="s">
        <v>336</v>
      </c>
    </row>
    <row r="207" spans="1:14" x14ac:dyDescent="0.3">
      <c r="A207">
        <v>300</v>
      </c>
      <c r="B207" t="s">
        <v>323</v>
      </c>
      <c r="C207">
        <v>125</v>
      </c>
      <c r="D207" t="s">
        <v>51</v>
      </c>
      <c r="E207">
        <v>1992</v>
      </c>
      <c r="F207" t="s">
        <v>1254</v>
      </c>
      <c r="G207">
        <v>0</v>
      </c>
      <c r="H207">
        <v>0</v>
      </c>
      <c r="I207">
        <v>1</v>
      </c>
      <c r="J207">
        <v>1</v>
      </c>
      <c r="K207">
        <v>0</v>
      </c>
      <c r="L207">
        <v>0</v>
      </c>
      <c r="M207" t="s">
        <v>333</v>
      </c>
      <c r="N207" t="s">
        <v>348</v>
      </c>
    </row>
    <row r="208" spans="1:14" x14ac:dyDescent="0.3">
      <c r="A208">
        <v>300</v>
      </c>
      <c r="B208" t="s">
        <v>323</v>
      </c>
      <c r="C208">
        <v>125</v>
      </c>
      <c r="D208" t="s">
        <v>51</v>
      </c>
      <c r="E208">
        <v>1993</v>
      </c>
      <c r="F208" t="s">
        <v>773</v>
      </c>
      <c r="G208">
        <v>0</v>
      </c>
      <c r="H208">
        <v>0</v>
      </c>
      <c r="I208">
        <v>0</v>
      </c>
      <c r="J208">
        <v>1</v>
      </c>
      <c r="K208">
        <v>0</v>
      </c>
      <c r="L208">
        <v>2</v>
      </c>
      <c r="M208" t="s">
        <v>333</v>
      </c>
      <c r="N208" t="s">
        <v>348</v>
      </c>
    </row>
    <row r="209" spans="1:14" x14ac:dyDescent="0.3">
      <c r="A209">
        <v>300</v>
      </c>
      <c r="B209" t="s">
        <v>323</v>
      </c>
      <c r="C209">
        <v>125</v>
      </c>
      <c r="D209" t="s">
        <v>51</v>
      </c>
      <c r="E209">
        <v>1994</v>
      </c>
      <c r="F209" t="s">
        <v>1255</v>
      </c>
      <c r="G209">
        <v>0</v>
      </c>
      <c r="H209">
        <v>0</v>
      </c>
      <c r="I209">
        <v>0</v>
      </c>
      <c r="J209">
        <v>2</v>
      </c>
      <c r="K209">
        <v>0</v>
      </c>
      <c r="L209">
        <v>0</v>
      </c>
      <c r="M209" t="s">
        <v>333</v>
      </c>
      <c r="N209" t="s">
        <v>336</v>
      </c>
    </row>
    <row r="210" spans="1:14" x14ac:dyDescent="0.3">
      <c r="A210">
        <v>300</v>
      </c>
      <c r="B210" t="s">
        <v>323</v>
      </c>
      <c r="C210">
        <v>125</v>
      </c>
      <c r="D210" t="s">
        <v>51</v>
      </c>
      <c r="E210">
        <v>1996</v>
      </c>
      <c r="F210" t="s">
        <v>1256</v>
      </c>
      <c r="G210">
        <v>0</v>
      </c>
      <c r="H210">
        <v>0</v>
      </c>
      <c r="I210">
        <v>1</v>
      </c>
      <c r="J210">
        <v>1</v>
      </c>
      <c r="K210">
        <v>0</v>
      </c>
      <c r="L210">
        <v>0</v>
      </c>
      <c r="M210" t="s">
        <v>333</v>
      </c>
      <c r="N210" t="s">
        <v>336</v>
      </c>
    </row>
    <row r="211" spans="1:14" x14ac:dyDescent="0.3">
      <c r="A211">
        <v>300</v>
      </c>
      <c r="B211" t="s">
        <v>323</v>
      </c>
      <c r="C211">
        <v>125</v>
      </c>
      <c r="D211" t="s">
        <v>51</v>
      </c>
      <c r="E211">
        <v>1997</v>
      </c>
      <c r="F211" t="s">
        <v>1257</v>
      </c>
      <c r="G211">
        <v>0</v>
      </c>
      <c r="H211">
        <v>0</v>
      </c>
      <c r="I211">
        <v>0</v>
      </c>
      <c r="J211">
        <v>1</v>
      </c>
      <c r="K211">
        <v>0</v>
      </c>
      <c r="L211">
        <v>2</v>
      </c>
      <c r="M211" t="s">
        <v>333</v>
      </c>
      <c r="N211" t="s">
        <v>329</v>
      </c>
    </row>
    <row r="212" spans="1:14" x14ac:dyDescent="0.3">
      <c r="A212">
        <v>301</v>
      </c>
      <c r="B212" t="s">
        <v>323</v>
      </c>
      <c r="C212">
        <v>126</v>
      </c>
      <c r="D212" t="s">
        <v>53</v>
      </c>
      <c r="E212">
        <v>1502</v>
      </c>
      <c r="F212" t="s">
        <v>488</v>
      </c>
      <c r="G212">
        <v>0</v>
      </c>
      <c r="H212">
        <v>3</v>
      </c>
      <c r="I212">
        <v>0</v>
      </c>
      <c r="J212">
        <v>0</v>
      </c>
      <c r="K212">
        <v>0</v>
      </c>
      <c r="L212">
        <v>0</v>
      </c>
      <c r="M212" t="s">
        <v>325</v>
      </c>
      <c r="N212" t="s">
        <v>336</v>
      </c>
    </row>
    <row r="213" spans="1:14" x14ac:dyDescent="0.3">
      <c r="A213">
        <v>301</v>
      </c>
      <c r="B213" t="s">
        <v>323</v>
      </c>
      <c r="C213">
        <v>126</v>
      </c>
      <c r="D213" t="s">
        <v>53</v>
      </c>
      <c r="E213">
        <v>1513</v>
      </c>
      <c r="F213" t="s">
        <v>489</v>
      </c>
      <c r="G213">
        <v>0</v>
      </c>
      <c r="H213">
        <v>0</v>
      </c>
      <c r="I213">
        <v>1</v>
      </c>
      <c r="J213">
        <v>0</v>
      </c>
      <c r="K213">
        <v>2</v>
      </c>
      <c r="L213">
        <v>1</v>
      </c>
      <c r="M213" t="s">
        <v>333</v>
      </c>
      <c r="N213" t="s">
        <v>329</v>
      </c>
    </row>
    <row r="214" spans="1:14" x14ac:dyDescent="0.3">
      <c r="A214">
        <v>301</v>
      </c>
      <c r="B214" t="s">
        <v>323</v>
      </c>
      <c r="C214">
        <v>126</v>
      </c>
      <c r="D214" t="s">
        <v>53</v>
      </c>
      <c r="E214">
        <v>1516</v>
      </c>
      <c r="F214" t="s">
        <v>490</v>
      </c>
      <c r="G214">
        <v>0</v>
      </c>
      <c r="H214">
        <v>0</v>
      </c>
      <c r="I214">
        <v>1</v>
      </c>
      <c r="J214">
        <v>1</v>
      </c>
      <c r="K214">
        <v>0</v>
      </c>
      <c r="L214">
        <v>0</v>
      </c>
      <c r="M214" t="s">
        <v>333</v>
      </c>
      <c r="N214" t="s">
        <v>329</v>
      </c>
    </row>
    <row r="215" spans="1:14" x14ac:dyDescent="0.3">
      <c r="A215">
        <v>301</v>
      </c>
      <c r="B215" t="s">
        <v>323</v>
      </c>
      <c r="C215">
        <v>126</v>
      </c>
      <c r="D215" t="s">
        <v>53</v>
      </c>
      <c r="E215">
        <v>1518</v>
      </c>
      <c r="F215" t="s">
        <v>491</v>
      </c>
      <c r="G215">
        <v>0</v>
      </c>
      <c r="H215">
        <v>1</v>
      </c>
      <c r="I215">
        <v>3</v>
      </c>
      <c r="J215">
        <v>0</v>
      </c>
      <c r="K215">
        <v>0</v>
      </c>
      <c r="L215">
        <v>1</v>
      </c>
      <c r="M215" t="s">
        <v>333</v>
      </c>
      <c r="N215" t="s">
        <v>484</v>
      </c>
    </row>
    <row r="216" spans="1:14" x14ac:dyDescent="0.3">
      <c r="A216">
        <v>301</v>
      </c>
      <c r="B216" t="s">
        <v>323</v>
      </c>
      <c r="C216">
        <v>126</v>
      </c>
      <c r="D216" t="s">
        <v>53</v>
      </c>
      <c r="E216">
        <v>1957</v>
      </c>
      <c r="F216" t="s">
        <v>1258</v>
      </c>
      <c r="G216">
        <v>0</v>
      </c>
      <c r="H216">
        <v>1</v>
      </c>
      <c r="I216">
        <v>0</v>
      </c>
      <c r="J216">
        <v>1</v>
      </c>
      <c r="K216">
        <v>0</v>
      </c>
      <c r="L216">
        <v>1</v>
      </c>
      <c r="M216" t="s">
        <v>333</v>
      </c>
      <c r="N216" t="s">
        <v>329</v>
      </c>
    </row>
    <row r="217" spans="1:14" x14ac:dyDescent="0.3">
      <c r="A217">
        <v>301</v>
      </c>
      <c r="B217" t="s">
        <v>323</v>
      </c>
      <c r="C217">
        <v>126</v>
      </c>
      <c r="D217" t="s">
        <v>53</v>
      </c>
      <c r="E217">
        <v>1958</v>
      </c>
      <c r="F217" t="s">
        <v>1259</v>
      </c>
      <c r="G217">
        <v>0</v>
      </c>
      <c r="H217">
        <v>1</v>
      </c>
      <c r="I217">
        <v>0</v>
      </c>
      <c r="J217">
        <v>0</v>
      </c>
      <c r="K217">
        <v>0</v>
      </c>
      <c r="L217">
        <v>1</v>
      </c>
      <c r="M217" t="s">
        <v>333</v>
      </c>
      <c r="N217" t="s">
        <v>484</v>
      </c>
    </row>
    <row r="218" spans="1:14" x14ac:dyDescent="0.3">
      <c r="A218">
        <v>301</v>
      </c>
      <c r="B218" t="s">
        <v>323</v>
      </c>
      <c r="C218">
        <v>126</v>
      </c>
      <c r="D218" t="s">
        <v>53</v>
      </c>
      <c r="E218">
        <v>1959</v>
      </c>
      <c r="F218" t="s">
        <v>515</v>
      </c>
      <c r="G218">
        <v>0</v>
      </c>
      <c r="H218">
        <v>1</v>
      </c>
      <c r="I218">
        <v>0</v>
      </c>
      <c r="J218">
        <v>1</v>
      </c>
      <c r="K218">
        <v>0</v>
      </c>
      <c r="L218">
        <v>1</v>
      </c>
      <c r="M218" t="s">
        <v>333</v>
      </c>
      <c r="N218" t="s">
        <v>484</v>
      </c>
    </row>
    <row r="219" spans="1:14" x14ac:dyDescent="0.3">
      <c r="A219">
        <v>301</v>
      </c>
      <c r="B219" t="s">
        <v>323</v>
      </c>
      <c r="C219">
        <v>126</v>
      </c>
      <c r="D219" t="s">
        <v>53</v>
      </c>
      <c r="E219">
        <v>1960</v>
      </c>
      <c r="F219" t="s">
        <v>1260</v>
      </c>
      <c r="G219">
        <v>0</v>
      </c>
      <c r="H219">
        <v>0</v>
      </c>
      <c r="I219">
        <v>0</v>
      </c>
      <c r="J219">
        <v>0</v>
      </c>
      <c r="K219">
        <v>1</v>
      </c>
      <c r="L219">
        <v>0</v>
      </c>
      <c r="M219" t="s">
        <v>333</v>
      </c>
      <c r="N219" t="s">
        <v>348</v>
      </c>
    </row>
    <row r="220" spans="1:14" x14ac:dyDescent="0.3">
      <c r="A220">
        <v>301</v>
      </c>
      <c r="B220" t="s">
        <v>323</v>
      </c>
      <c r="C220">
        <v>126</v>
      </c>
      <c r="D220" t="s">
        <v>53</v>
      </c>
      <c r="E220">
        <v>1961</v>
      </c>
      <c r="F220" t="s">
        <v>1261</v>
      </c>
      <c r="G220">
        <v>0</v>
      </c>
      <c r="H220">
        <v>0</v>
      </c>
      <c r="I220">
        <v>0</v>
      </c>
      <c r="J220">
        <v>0</v>
      </c>
      <c r="K220">
        <v>0</v>
      </c>
      <c r="L220">
        <v>0</v>
      </c>
      <c r="M220" t="s">
        <v>333</v>
      </c>
      <c r="N220" t="s">
        <v>329</v>
      </c>
    </row>
    <row r="221" spans="1:14" x14ac:dyDescent="0.3">
      <c r="A221">
        <v>301</v>
      </c>
      <c r="B221" t="s">
        <v>323</v>
      </c>
      <c r="C221">
        <v>126</v>
      </c>
      <c r="D221" t="s">
        <v>53</v>
      </c>
      <c r="E221">
        <v>1962</v>
      </c>
      <c r="F221" t="s">
        <v>381</v>
      </c>
      <c r="G221">
        <v>0</v>
      </c>
      <c r="H221">
        <v>0</v>
      </c>
      <c r="I221">
        <v>0</v>
      </c>
      <c r="J221">
        <v>1</v>
      </c>
      <c r="K221">
        <v>4</v>
      </c>
      <c r="L221">
        <v>0</v>
      </c>
      <c r="M221" t="s">
        <v>333</v>
      </c>
      <c r="N221" t="s">
        <v>329</v>
      </c>
    </row>
    <row r="222" spans="1:14" x14ac:dyDescent="0.3">
      <c r="A222">
        <v>301</v>
      </c>
      <c r="B222" t="s">
        <v>323</v>
      </c>
      <c r="C222">
        <v>126</v>
      </c>
      <c r="D222" t="s">
        <v>53</v>
      </c>
      <c r="E222">
        <v>1963</v>
      </c>
      <c r="F222" t="s">
        <v>1262</v>
      </c>
      <c r="G222">
        <v>0</v>
      </c>
      <c r="H222">
        <v>3</v>
      </c>
      <c r="I222">
        <v>0</v>
      </c>
      <c r="J222">
        <v>0</v>
      </c>
      <c r="K222">
        <v>0</v>
      </c>
      <c r="L222">
        <v>0</v>
      </c>
      <c r="M222" t="s">
        <v>333</v>
      </c>
      <c r="N222" t="s">
        <v>329</v>
      </c>
    </row>
    <row r="223" spans="1:14" x14ac:dyDescent="0.3">
      <c r="A223">
        <v>301</v>
      </c>
      <c r="B223" t="s">
        <v>323</v>
      </c>
      <c r="C223">
        <v>126</v>
      </c>
      <c r="D223" t="s">
        <v>53</v>
      </c>
      <c r="E223">
        <v>1964</v>
      </c>
      <c r="F223" t="s">
        <v>660</v>
      </c>
      <c r="G223">
        <v>0</v>
      </c>
      <c r="H223">
        <v>0</v>
      </c>
      <c r="I223">
        <v>0</v>
      </c>
      <c r="J223">
        <v>0</v>
      </c>
      <c r="K223">
        <v>1</v>
      </c>
      <c r="L223">
        <v>0</v>
      </c>
      <c r="M223" t="s">
        <v>333</v>
      </c>
      <c r="N223" t="s">
        <v>336</v>
      </c>
    </row>
    <row r="224" spans="1:14" x14ac:dyDescent="0.3">
      <c r="A224">
        <v>302</v>
      </c>
      <c r="B224" t="s">
        <v>323</v>
      </c>
      <c r="C224">
        <v>127</v>
      </c>
      <c r="D224" t="s">
        <v>55</v>
      </c>
      <c r="E224">
        <v>330</v>
      </c>
      <c r="F224" t="s">
        <v>492</v>
      </c>
      <c r="G224">
        <v>1</v>
      </c>
      <c r="H224">
        <v>4</v>
      </c>
      <c r="I224">
        <v>1</v>
      </c>
      <c r="J224">
        <v>1</v>
      </c>
      <c r="K224">
        <v>0</v>
      </c>
      <c r="L224">
        <v>9</v>
      </c>
      <c r="M224" t="s">
        <v>333</v>
      </c>
      <c r="N224" t="s">
        <v>336</v>
      </c>
    </row>
    <row r="225" spans="1:14" x14ac:dyDescent="0.3">
      <c r="A225">
        <v>302</v>
      </c>
      <c r="B225" t="s">
        <v>323</v>
      </c>
      <c r="C225">
        <v>127</v>
      </c>
      <c r="D225" t="s">
        <v>55</v>
      </c>
      <c r="E225">
        <v>331</v>
      </c>
      <c r="F225" t="s">
        <v>493</v>
      </c>
      <c r="G225">
        <v>0</v>
      </c>
      <c r="H225">
        <v>1</v>
      </c>
      <c r="I225">
        <v>1</v>
      </c>
      <c r="J225">
        <v>0</v>
      </c>
      <c r="K225">
        <v>0</v>
      </c>
      <c r="L225">
        <v>1</v>
      </c>
      <c r="M225" t="s">
        <v>333</v>
      </c>
      <c r="N225" t="s">
        <v>326</v>
      </c>
    </row>
    <row r="226" spans="1:14" x14ac:dyDescent="0.3">
      <c r="A226">
        <v>302</v>
      </c>
      <c r="B226" t="s">
        <v>323</v>
      </c>
      <c r="C226">
        <v>127</v>
      </c>
      <c r="D226" t="s">
        <v>55</v>
      </c>
      <c r="E226">
        <v>332</v>
      </c>
      <c r="F226" t="s">
        <v>494</v>
      </c>
      <c r="G226">
        <v>0</v>
      </c>
      <c r="H226">
        <v>1</v>
      </c>
      <c r="I226">
        <v>0</v>
      </c>
      <c r="J226">
        <v>0</v>
      </c>
      <c r="K226">
        <v>0</v>
      </c>
      <c r="L226">
        <v>0</v>
      </c>
      <c r="M226" t="s">
        <v>325</v>
      </c>
      <c r="N226" t="s">
        <v>343</v>
      </c>
    </row>
    <row r="227" spans="1:14" x14ac:dyDescent="0.3">
      <c r="A227">
        <v>302</v>
      </c>
      <c r="B227" t="s">
        <v>323</v>
      </c>
      <c r="C227">
        <v>127</v>
      </c>
      <c r="D227" t="s">
        <v>55</v>
      </c>
      <c r="E227">
        <v>339</v>
      </c>
      <c r="F227" t="s">
        <v>495</v>
      </c>
      <c r="G227">
        <v>0</v>
      </c>
      <c r="H227">
        <v>0</v>
      </c>
      <c r="I227">
        <v>0</v>
      </c>
      <c r="J227">
        <v>0</v>
      </c>
      <c r="K227">
        <v>0</v>
      </c>
      <c r="L227">
        <v>2</v>
      </c>
      <c r="M227" t="s">
        <v>333</v>
      </c>
      <c r="N227" t="s">
        <v>329</v>
      </c>
    </row>
    <row r="228" spans="1:14" x14ac:dyDescent="0.3">
      <c r="A228">
        <v>302</v>
      </c>
      <c r="B228" t="s">
        <v>323</v>
      </c>
      <c r="C228">
        <v>127</v>
      </c>
      <c r="D228" t="s">
        <v>55</v>
      </c>
      <c r="E228">
        <v>341</v>
      </c>
      <c r="F228" t="s">
        <v>497</v>
      </c>
      <c r="G228">
        <v>0</v>
      </c>
      <c r="H228">
        <v>2</v>
      </c>
      <c r="I228">
        <v>0</v>
      </c>
      <c r="J228">
        <v>0</v>
      </c>
      <c r="K228">
        <v>0</v>
      </c>
      <c r="L228">
        <v>4</v>
      </c>
      <c r="M228" t="s">
        <v>333</v>
      </c>
      <c r="N228" t="s">
        <v>484</v>
      </c>
    </row>
    <row r="229" spans="1:14" x14ac:dyDescent="0.3">
      <c r="A229">
        <v>302</v>
      </c>
      <c r="B229" t="s">
        <v>323</v>
      </c>
      <c r="C229">
        <v>127</v>
      </c>
      <c r="D229" t="s">
        <v>55</v>
      </c>
      <c r="E229">
        <v>342</v>
      </c>
      <c r="F229" t="s">
        <v>498</v>
      </c>
      <c r="G229">
        <v>0</v>
      </c>
      <c r="H229">
        <v>0</v>
      </c>
      <c r="I229">
        <v>1</v>
      </c>
      <c r="J229">
        <v>1</v>
      </c>
      <c r="K229">
        <v>0</v>
      </c>
      <c r="L229">
        <v>1</v>
      </c>
      <c r="M229" t="s">
        <v>325</v>
      </c>
      <c r="N229" t="s">
        <v>329</v>
      </c>
    </row>
    <row r="230" spans="1:14" x14ac:dyDescent="0.3">
      <c r="A230">
        <v>302</v>
      </c>
      <c r="B230" t="s">
        <v>323</v>
      </c>
      <c r="C230">
        <v>127</v>
      </c>
      <c r="D230" t="s">
        <v>55</v>
      </c>
      <c r="E230">
        <v>343</v>
      </c>
      <c r="F230" t="s">
        <v>499</v>
      </c>
      <c r="G230">
        <v>0</v>
      </c>
      <c r="H230">
        <v>0</v>
      </c>
      <c r="I230">
        <v>1</v>
      </c>
      <c r="J230">
        <v>0</v>
      </c>
      <c r="K230">
        <v>0</v>
      </c>
      <c r="L230">
        <v>4</v>
      </c>
      <c r="M230" t="s">
        <v>333</v>
      </c>
      <c r="N230" t="s">
        <v>336</v>
      </c>
    </row>
    <row r="231" spans="1:14" x14ac:dyDescent="0.3">
      <c r="A231">
        <v>302</v>
      </c>
      <c r="B231" t="s">
        <v>323</v>
      </c>
      <c r="C231">
        <v>127</v>
      </c>
      <c r="D231" t="s">
        <v>55</v>
      </c>
      <c r="E231">
        <v>344</v>
      </c>
      <c r="F231" t="s">
        <v>500</v>
      </c>
      <c r="G231">
        <v>0</v>
      </c>
      <c r="H231">
        <v>0</v>
      </c>
      <c r="I231">
        <v>0</v>
      </c>
      <c r="J231">
        <v>0</v>
      </c>
      <c r="K231">
        <v>0</v>
      </c>
      <c r="L231">
        <v>4</v>
      </c>
      <c r="M231" t="s">
        <v>325</v>
      </c>
      <c r="N231" t="s">
        <v>329</v>
      </c>
    </row>
    <row r="232" spans="1:14" x14ac:dyDescent="0.3">
      <c r="A232">
        <v>302</v>
      </c>
      <c r="B232" t="s">
        <v>323</v>
      </c>
      <c r="C232">
        <v>127</v>
      </c>
      <c r="D232" t="s">
        <v>55</v>
      </c>
      <c r="E232">
        <v>345</v>
      </c>
      <c r="F232" t="s">
        <v>501</v>
      </c>
      <c r="G232">
        <v>0</v>
      </c>
      <c r="H232">
        <v>0</v>
      </c>
      <c r="I232">
        <v>0</v>
      </c>
      <c r="J232">
        <v>0</v>
      </c>
      <c r="K232">
        <v>0</v>
      </c>
      <c r="L232">
        <v>1</v>
      </c>
      <c r="M232" t="s">
        <v>325</v>
      </c>
      <c r="N232" t="s">
        <v>348</v>
      </c>
    </row>
    <row r="233" spans="1:14" x14ac:dyDescent="0.3">
      <c r="A233">
        <v>302</v>
      </c>
      <c r="B233" t="s">
        <v>323</v>
      </c>
      <c r="C233">
        <v>127</v>
      </c>
      <c r="D233" t="s">
        <v>55</v>
      </c>
      <c r="E233">
        <v>1418</v>
      </c>
      <c r="F233" t="s">
        <v>359</v>
      </c>
      <c r="G233">
        <v>0</v>
      </c>
      <c r="H233">
        <v>0</v>
      </c>
      <c r="I233">
        <v>0</v>
      </c>
      <c r="J233">
        <v>0</v>
      </c>
      <c r="K233">
        <v>0</v>
      </c>
      <c r="L233">
        <v>2</v>
      </c>
      <c r="M233" t="s">
        <v>325</v>
      </c>
      <c r="N233" t="s">
        <v>329</v>
      </c>
    </row>
    <row r="234" spans="1:14" x14ac:dyDescent="0.3">
      <c r="A234">
        <v>302</v>
      </c>
      <c r="B234" t="s">
        <v>323</v>
      </c>
      <c r="C234">
        <v>127</v>
      </c>
      <c r="D234" t="s">
        <v>55</v>
      </c>
      <c r="E234">
        <v>1419</v>
      </c>
      <c r="F234" t="s">
        <v>502</v>
      </c>
      <c r="G234">
        <v>0</v>
      </c>
      <c r="H234">
        <v>1</v>
      </c>
      <c r="I234">
        <v>2</v>
      </c>
      <c r="J234">
        <v>0</v>
      </c>
      <c r="K234">
        <v>1</v>
      </c>
      <c r="L234">
        <v>0</v>
      </c>
      <c r="M234" t="s">
        <v>325</v>
      </c>
      <c r="N234" t="s">
        <v>329</v>
      </c>
    </row>
    <row r="235" spans="1:14" x14ac:dyDescent="0.3">
      <c r="A235">
        <v>302</v>
      </c>
      <c r="B235" t="s">
        <v>323</v>
      </c>
      <c r="C235">
        <v>127</v>
      </c>
      <c r="D235" t="s">
        <v>55</v>
      </c>
      <c r="E235">
        <v>2012</v>
      </c>
      <c r="F235" t="s">
        <v>1263</v>
      </c>
      <c r="G235">
        <v>0</v>
      </c>
      <c r="H235">
        <v>0</v>
      </c>
      <c r="I235">
        <v>1</v>
      </c>
      <c r="J235">
        <v>1</v>
      </c>
      <c r="K235">
        <v>0</v>
      </c>
      <c r="L235">
        <v>2</v>
      </c>
      <c r="M235" t="s">
        <v>333</v>
      </c>
      <c r="N235" t="s">
        <v>484</v>
      </c>
    </row>
    <row r="236" spans="1:14" x14ac:dyDescent="0.3">
      <c r="A236">
        <v>302</v>
      </c>
      <c r="B236" t="s">
        <v>323</v>
      </c>
      <c r="C236">
        <v>127</v>
      </c>
      <c r="D236" t="s">
        <v>55</v>
      </c>
      <c r="E236">
        <v>2013</v>
      </c>
      <c r="F236" t="s">
        <v>1264</v>
      </c>
      <c r="G236">
        <v>0</v>
      </c>
      <c r="H236">
        <v>1</v>
      </c>
      <c r="I236">
        <v>2</v>
      </c>
      <c r="J236">
        <v>0</v>
      </c>
      <c r="K236">
        <v>0</v>
      </c>
      <c r="L236">
        <v>2</v>
      </c>
      <c r="M236" t="s">
        <v>325</v>
      </c>
      <c r="N236" t="s">
        <v>329</v>
      </c>
    </row>
    <row r="237" spans="1:14" x14ac:dyDescent="0.3">
      <c r="A237">
        <v>302</v>
      </c>
      <c r="B237" t="s">
        <v>323</v>
      </c>
      <c r="C237">
        <v>127</v>
      </c>
      <c r="D237" t="s">
        <v>55</v>
      </c>
      <c r="E237">
        <v>2014</v>
      </c>
      <c r="F237" t="s">
        <v>1265</v>
      </c>
      <c r="G237">
        <v>4</v>
      </c>
      <c r="H237">
        <v>0</v>
      </c>
      <c r="I237">
        <v>0</v>
      </c>
      <c r="J237">
        <v>0</v>
      </c>
      <c r="K237">
        <v>0</v>
      </c>
      <c r="L237">
        <v>0</v>
      </c>
      <c r="M237" t="s">
        <v>333</v>
      </c>
      <c r="N237" t="s">
        <v>329</v>
      </c>
    </row>
    <row r="238" spans="1:14" x14ac:dyDescent="0.3">
      <c r="A238">
        <v>302</v>
      </c>
      <c r="B238" t="s">
        <v>323</v>
      </c>
      <c r="C238">
        <v>127</v>
      </c>
      <c r="D238" t="s">
        <v>55</v>
      </c>
      <c r="E238">
        <v>2015</v>
      </c>
      <c r="F238" t="s">
        <v>1219</v>
      </c>
      <c r="G238">
        <v>0</v>
      </c>
      <c r="H238">
        <v>0</v>
      </c>
      <c r="I238">
        <v>0</v>
      </c>
      <c r="J238">
        <v>0</v>
      </c>
      <c r="K238">
        <v>0</v>
      </c>
      <c r="L238">
        <v>5</v>
      </c>
      <c r="M238" t="s">
        <v>325</v>
      </c>
      <c r="N238" t="s">
        <v>348</v>
      </c>
    </row>
    <row r="239" spans="1:14" x14ac:dyDescent="0.3">
      <c r="A239">
        <v>303</v>
      </c>
      <c r="B239" t="s">
        <v>323</v>
      </c>
      <c r="C239">
        <v>128</v>
      </c>
      <c r="D239" t="s">
        <v>57</v>
      </c>
      <c r="E239">
        <v>441</v>
      </c>
      <c r="F239" t="s">
        <v>1266</v>
      </c>
      <c r="G239">
        <v>0</v>
      </c>
      <c r="H239">
        <v>0</v>
      </c>
      <c r="I239">
        <v>0</v>
      </c>
      <c r="J239">
        <v>0</v>
      </c>
      <c r="K239">
        <v>2</v>
      </c>
      <c r="L239">
        <v>0</v>
      </c>
      <c r="M239" t="s">
        <v>325</v>
      </c>
      <c r="N239" t="s">
        <v>336</v>
      </c>
    </row>
    <row r="240" spans="1:14" x14ac:dyDescent="0.3">
      <c r="A240">
        <v>303</v>
      </c>
      <c r="B240" t="s">
        <v>323</v>
      </c>
      <c r="C240">
        <v>128</v>
      </c>
      <c r="D240" t="s">
        <v>57</v>
      </c>
      <c r="E240">
        <v>443</v>
      </c>
      <c r="F240" t="s">
        <v>317</v>
      </c>
      <c r="G240">
        <v>0</v>
      </c>
      <c r="H240">
        <v>0</v>
      </c>
      <c r="I240">
        <v>0</v>
      </c>
      <c r="J240">
        <v>1</v>
      </c>
      <c r="K240">
        <v>1</v>
      </c>
      <c r="L240">
        <v>0</v>
      </c>
      <c r="M240" t="s">
        <v>333</v>
      </c>
      <c r="N240" t="s">
        <v>336</v>
      </c>
    </row>
    <row r="241" spans="1:14" x14ac:dyDescent="0.3">
      <c r="A241">
        <v>303</v>
      </c>
      <c r="B241" t="s">
        <v>323</v>
      </c>
      <c r="C241">
        <v>128</v>
      </c>
      <c r="D241" t="s">
        <v>57</v>
      </c>
      <c r="E241">
        <v>445</v>
      </c>
      <c r="F241" t="s">
        <v>640</v>
      </c>
      <c r="G241">
        <v>0</v>
      </c>
      <c r="H241">
        <v>0</v>
      </c>
      <c r="I241">
        <v>0</v>
      </c>
      <c r="J241">
        <v>0</v>
      </c>
      <c r="K241">
        <v>3</v>
      </c>
      <c r="L241">
        <v>0</v>
      </c>
      <c r="M241" t="s">
        <v>333</v>
      </c>
      <c r="N241" t="s">
        <v>336</v>
      </c>
    </row>
    <row r="242" spans="1:14" x14ac:dyDescent="0.3">
      <c r="A242">
        <v>303</v>
      </c>
      <c r="B242" t="s">
        <v>323</v>
      </c>
      <c r="C242">
        <v>128</v>
      </c>
      <c r="D242" t="s">
        <v>57</v>
      </c>
      <c r="E242">
        <v>446</v>
      </c>
      <c r="F242" t="s">
        <v>1232</v>
      </c>
      <c r="G242">
        <v>0</v>
      </c>
      <c r="H242">
        <v>0</v>
      </c>
      <c r="I242">
        <v>0</v>
      </c>
      <c r="J242">
        <v>1</v>
      </c>
      <c r="K242">
        <v>2</v>
      </c>
      <c r="L242">
        <v>0</v>
      </c>
      <c r="M242" t="s">
        <v>325</v>
      </c>
      <c r="N242" t="s">
        <v>336</v>
      </c>
    </row>
    <row r="243" spans="1:14" x14ac:dyDescent="0.3">
      <c r="A243">
        <v>303</v>
      </c>
      <c r="B243" t="s">
        <v>323</v>
      </c>
      <c r="C243">
        <v>128</v>
      </c>
      <c r="D243" t="s">
        <v>57</v>
      </c>
      <c r="E243">
        <v>447</v>
      </c>
      <c r="F243" t="s">
        <v>1267</v>
      </c>
      <c r="G243">
        <v>0</v>
      </c>
      <c r="H243">
        <v>1</v>
      </c>
      <c r="I243">
        <v>0</v>
      </c>
      <c r="J243">
        <v>3</v>
      </c>
      <c r="K243">
        <v>0</v>
      </c>
      <c r="L243">
        <v>0</v>
      </c>
      <c r="M243" t="s">
        <v>410</v>
      </c>
      <c r="N243" t="s">
        <v>348</v>
      </c>
    </row>
    <row r="244" spans="1:14" x14ac:dyDescent="0.3">
      <c r="A244">
        <v>303</v>
      </c>
      <c r="B244" t="s">
        <v>323</v>
      </c>
      <c r="C244">
        <v>128</v>
      </c>
      <c r="D244" t="s">
        <v>57</v>
      </c>
      <c r="E244">
        <v>448</v>
      </c>
      <c r="F244" t="s">
        <v>1268</v>
      </c>
      <c r="G244">
        <v>2</v>
      </c>
      <c r="H244">
        <v>2</v>
      </c>
      <c r="I244">
        <v>0</v>
      </c>
      <c r="J244">
        <v>1</v>
      </c>
      <c r="K244">
        <v>1</v>
      </c>
      <c r="L244">
        <v>0</v>
      </c>
      <c r="M244" t="s">
        <v>325</v>
      </c>
      <c r="N244" t="s">
        <v>329</v>
      </c>
    </row>
    <row r="245" spans="1:14" x14ac:dyDescent="0.3">
      <c r="A245">
        <v>304</v>
      </c>
      <c r="B245" t="s">
        <v>323</v>
      </c>
      <c r="C245">
        <v>129</v>
      </c>
      <c r="D245" t="s">
        <v>59</v>
      </c>
      <c r="E245">
        <v>1924</v>
      </c>
      <c r="F245" t="s">
        <v>1269</v>
      </c>
      <c r="G245">
        <v>0</v>
      </c>
      <c r="H245">
        <v>0</v>
      </c>
      <c r="I245">
        <v>2</v>
      </c>
      <c r="J245">
        <v>1</v>
      </c>
      <c r="K245">
        <v>0</v>
      </c>
      <c r="L245">
        <v>2</v>
      </c>
      <c r="M245" t="s">
        <v>333</v>
      </c>
      <c r="N245" t="s">
        <v>484</v>
      </c>
    </row>
    <row r="246" spans="1:14" x14ac:dyDescent="0.3">
      <c r="A246">
        <v>304</v>
      </c>
      <c r="B246" t="s">
        <v>323</v>
      </c>
      <c r="C246">
        <v>129</v>
      </c>
      <c r="D246" t="s">
        <v>59</v>
      </c>
      <c r="E246">
        <v>1925</v>
      </c>
      <c r="F246" t="s">
        <v>1270</v>
      </c>
      <c r="G246">
        <v>0</v>
      </c>
      <c r="H246">
        <v>2</v>
      </c>
      <c r="I246">
        <v>0</v>
      </c>
      <c r="J246">
        <v>0</v>
      </c>
      <c r="K246">
        <v>0</v>
      </c>
      <c r="L246">
        <v>4</v>
      </c>
      <c r="M246" t="s">
        <v>325</v>
      </c>
      <c r="N246" t="s">
        <v>343</v>
      </c>
    </row>
    <row r="247" spans="1:14" x14ac:dyDescent="0.3">
      <c r="A247">
        <v>304</v>
      </c>
      <c r="B247" t="s">
        <v>323</v>
      </c>
      <c r="C247">
        <v>129</v>
      </c>
      <c r="D247" t="s">
        <v>59</v>
      </c>
      <c r="E247">
        <v>1926</v>
      </c>
      <c r="F247" t="s">
        <v>1271</v>
      </c>
      <c r="G247">
        <v>0</v>
      </c>
      <c r="H247">
        <v>0</v>
      </c>
      <c r="I247">
        <v>0</v>
      </c>
      <c r="J247">
        <v>0</v>
      </c>
      <c r="K247">
        <v>2</v>
      </c>
      <c r="L247">
        <v>3</v>
      </c>
      <c r="M247" t="s">
        <v>325</v>
      </c>
      <c r="N247" t="s">
        <v>336</v>
      </c>
    </row>
    <row r="248" spans="1:14" x14ac:dyDescent="0.3">
      <c r="A248">
        <v>304</v>
      </c>
      <c r="B248" t="s">
        <v>323</v>
      </c>
      <c r="C248">
        <v>129</v>
      </c>
      <c r="D248" t="s">
        <v>59</v>
      </c>
      <c r="E248">
        <v>1927</v>
      </c>
      <c r="F248" t="s">
        <v>481</v>
      </c>
      <c r="G248">
        <v>0</v>
      </c>
      <c r="H248">
        <v>0</v>
      </c>
      <c r="I248">
        <v>0</v>
      </c>
      <c r="J248">
        <v>0</v>
      </c>
      <c r="K248">
        <v>0</v>
      </c>
      <c r="L248">
        <v>2</v>
      </c>
      <c r="M248" t="s">
        <v>333</v>
      </c>
      <c r="N248" t="s">
        <v>326</v>
      </c>
    </row>
    <row r="249" spans="1:14" x14ac:dyDescent="0.3">
      <c r="A249">
        <v>304</v>
      </c>
      <c r="B249" t="s">
        <v>323</v>
      </c>
      <c r="C249">
        <v>129</v>
      </c>
      <c r="D249" t="s">
        <v>59</v>
      </c>
      <c r="E249">
        <v>1928</v>
      </c>
      <c r="F249" t="s">
        <v>363</v>
      </c>
      <c r="G249">
        <v>0</v>
      </c>
      <c r="H249">
        <v>0</v>
      </c>
      <c r="I249">
        <v>2</v>
      </c>
      <c r="J249">
        <v>0</v>
      </c>
      <c r="K249">
        <v>3</v>
      </c>
      <c r="L249">
        <v>1</v>
      </c>
      <c r="M249" t="s">
        <v>325</v>
      </c>
      <c r="N249" t="s">
        <v>326</v>
      </c>
    </row>
    <row r="250" spans="1:14" x14ac:dyDescent="0.3">
      <c r="A250">
        <v>304</v>
      </c>
      <c r="B250" t="s">
        <v>323</v>
      </c>
      <c r="C250">
        <v>129</v>
      </c>
      <c r="D250" t="s">
        <v>59</v>
      </c>
      <c r="E250">
        <v>1929</v>
      </c>
      <c r="F250" t="s">
        <v>412</v>
      </c>
      <c r="G250">
        <v>0</v>
      </c>
      <c r="H250">
        <v>0</v>
      </c>
      <c r="I250">
        <v>2</v>
      </c>
      <c r="J250">
        <v>0</v>
      </c>
      <c r="K250">
        <v>2</v>
      </c>
      <c r="L250">
        <v>0</v>
      </c>
      <c r="M250" t="s">
        <v>333</v>
      </c>
      <c r="N250" t="s">
        <v>336</v>
      </c>
    </row>
    <row r="251" spans="1:14" x14ac:dyDescent="0.3">
      <c r="A251">
        <v>305</v>
      </c>
      <c r="B251" t="s">
        <v>323</v>
      </c>
      <c r="C251">
        <v>130</v>
      </c>
      <c r="D251" t="s">
        <v>61</v>
      </c>
      <c r="E251">
        <v>761</v>
      </c>
      <c r="F251" t="s">
        <v>503</v>
      </c>
      <c r="G251">
        <v>0</v>
      </c>
      <c r="H251">
        <v>1</v>
      </c>
      <c r="I251">
        <v>3</v>
      </c>
      <c r="J251">
        <v>1</v>
      </c>
      <c r="K251">
        <v>0</v>
      </c>
      <c r="L251">
        <v>0</v>
      </c>
      <c r="M251" t="s">
        <v>325</v>
      </c>
      <c r="N251" t="s">
        <v>336</v>
      </c>
    </row>
    <row r="252" spans="1:14" x14ac:dyDescent="0.3">
      <c r="A252">
        <v>305</v>
      </c>
      <c r="B252" t="s">
        <v>323</v>
      </c>
      <c r="C252">
        <v>130</v>
      </c>
      <c r="D252" t="s">
        <v>61</v>
      </c>
      <c r="E252">
        <v>762</v>
      </c>
      <c r="F252" t="s">
        <v>504</v>
      </c>
      <c r="G252">
        <v>1</v>
      </c>
      <c r="H252">
        <v>1</v>
      </c>
      <c r="I252">
        <v>0</v>
      </c>
      <c r="J252">
        <v>0</v>
      </c>
      <c r="K252">
        <v>1</v>
      </c>
      <c r="L252">
        <v>0</v>
      </c>
      <c r="M252" t="s">
        <v>333</v>
      </c>
      <c r="N252" t="s">
        <v>348</v>
      </c>
    </row>
    <row r="253" spans="1:14" x14ac:dyDescent="0.3">
      <c r="A253">
        <v>305</v>
      </c>
      <c r="B253" t="s">
        <v>323</v>
      </c>
      <c r="C253">
        <v>130</v>
      </c>
      <c r="D253" t="s">
        <v>61</v>
      </c>
      <c r="E253">
        <v>763</v>
      </c>
      <c r="F253" t="s">
        <v>505</v>
      </c>
      <c r="G253">
        <v>0</v>
      </c>
      <c r="H253">
        <v>0</v>
      </c>
      <c r="I253">
        <v>3</v>
      </c>
      <c r="J253">
        <v>0</v>
      </c>
      <c r="K253">
        <v>2</v>
      </c>
      <c r="L253">
        <v>0</v>
      </c>
      <c r="M253" t="s">
        <v>333</v>
      </c>
      <c r="N253" t="s">
        <v>336</v>
      </c>
    </row>
    <row r="254" spans="1:14" x14ac:dyDescent="0.3">
      <c r="A254">
        <v>305</v>
      </c>
      <c r="B254" t="s">
        <v>323</v>
      </c>
      <c r="C254">
        <v>130</v>
      </c>
      <c r="D254" t="s">
        <v>61</v>
      </c>
      <c r="E254">
        <v>765</v>
      </c>
      <c r="F254" t="s">
        <v>506</v>
      </c>
      <c r="G254">
        <v>0</v>
      </c>
      <c r="H254">
        <v>0</v>
      </c>
      <c r="I254">
        <v>0</v>
      </c>
      <c r="J254">
        <v>0</v>
      </c>
      <c r="K254">
        <v>0</v>
      </c>
      <c r="L254">
        <v>0</v>
      </c>
      <c r="M254" t="s">
        <v>333</v>
      </c>
      <c r="N254" t="s">
        <v>336</v>
      </c>
    </row>
    <row r="255" spans="1:14" x14ac:dyDescent="0.3">
      <c r="A255">
        <v>305</v>
      </c>
      <c r="B255" t="s">
        <v>323</v>
      </c>
      <c r="C255">
        <v>130</v>
      </c>
      <c r="D255" t="s">
        <v>61</v>
      </c>
      <c r="E255">
        <v>766</v>
      </c>
      <c r="F255" t="s">
        <v>507</v>
      </c>
      <c r="G255">
        <v>0</v>
      </c>
      <c r="H255">
        <v>0</v>
      </c>
      <c r="I255">
        <v>0</v>
      </c>
      <c r="J255">
        <v>0</v>
      </c>
      <c r="K255">
        <v>0</v>
      </c>
      <c r="L255">
        <v>0</v>
      </c>
      <c r="M255" t="s">
        <v>333</v>
      </c>
      <c r="N255" t="s">
        <v>348</v>
      </c>
    </row>
    <row r="256" spans="1:14" x14ac:dyDescent="0.3">
      <c r="A256">
        <v>305</v>
      </c>
      <c r="B256" t="s">
        <v>323</v>
      </c>
      <c r="C256">
        <v>130</v>
      </c>
      <c r="D256" t="s">
        <v>61</v>
      </c>
      <c r="E256">
        <v>767</v>
      </c>
      <c r="F256" t="s">
        <v>508</v>
      </c>
      <c r="G256">
        <v>0</v>
      </c>
      <c r="H256">
        <v>0</v>
      </c>
      <c r="I256">
        <v>1</v>
      </c>
      <c r="J256">
        <v>0</v>
      </c>
      <c r="K256">
        <v>1</v>
      </c>
      <c r="L256">
        <v>0</v>
      </c>
      <c r="M256" t="s">
        <v>333</v>
      </c>
      <c r="N256" t="s">
        <v>336</v>
      </c>
    </row>
    <row r="257" spans="1:14" x14ac:dyDescent="0.3">
      <c r="A257">
        <v>305</v>
      </c>
      <c r="B257" t="s">
        <v>323</v>
      </c>
      <c r="C257">
        <v>130</v>
      </c>
      <c r="D257" t="s">
        <v>61</v>
      </c>
      <c r="E257">
        <v>769</v>
      </c>
      <c r="F257" t="s">
        <v>510</v>
      </c>
      <c r="G257">
        <v>0</v>
      </c>
      <c r="H257">
        <v>0</v>
      </c>
      <c r="I257">
        <v>2</v>
      </c>
      <c r="J257">
        <v>0</v>
      </c>
      <c r="K257">
        <v>1</v>
      </c>
      <c r="L257">
        <v>0</v>
      </c>
      <c r="M257" t="s">
        <v>333</v>
      </c>
      <c r="N257" t="s">
        <v>336</v>
      </c>
    </row>
    <row r="258" spans="1:14" x14ac:dyDescent="0.3">
      <c r="A258">
        <v>305</v>
      </c>
      <c r="B258" t="s">
        <v>323</v>
      </c>
      <c r="C258">
        <v>130</v>
      </c>
      <c r="D258" t="s">
        <v>61</v>
      </c>
      <c r="E258">
        <v>770</v>
      </c>
      <c r="F258" t="s">
        <v>511</v>
      </c>
      <c r="G258">
        <v>2</v>
      </c>
      <c r="H258">
        <v>0</v>
      </c>
      <c r="I258">
        <v>1</v>
      </c>
      <c r="J258">
        <v>0</v>
      </c>
      <c r="K258">
        <v>1</v>
      </c>
      <c r="L258">
        <v>0</v>
      </c>
      <c r="M258" t="s">
        <v>325</v>
      </c>
      <c r="N258" t="s">
        <v>484</v>
      </c>
    </row>
    <row r="259" spans="1:14" x14ac:dyDescent="0.3">
      <c r="A259">
        <v>305</v>
      </c>
      <c r="B259" t="s">
        <v>323</v>
      </c>
      <c r="C259">
        <v>130</v>
      </c>
      <c r="D259" t="s">
        <v>61</v>
      </c>
      <c r="E259">
        <v>773</v>
      </c>
      <c r="F259" t="s">
        <v>376</v>
      </c>
      <c r="G259">
        <v>0</v>
      </c>
      <c r="H259">
        <v>0</v>
      </c>
      <c r="I259">
        <v>1</v>
      </c>
      <c r="J259">
        <v>0</v>
      </c>
      <c r="K259">
        <v>2</v>
      </c>
      <c r="L259">
        <v>0</v>
      </c>
      <c r="M259" t="s">
        <v>333</v>
      </c>
      <c r="N259" t="s">
        <v>336</v>
      </c>
    </row>
    <row r="260" spans="1:14" x14ac:dyDescent="0.3">
      <c r="A260">
        <v>305</v>
      </c>
      <c r="B260" t="s">
        <v>323</v>
      </c>
      <c r="C260">
        <v>130</v>
      </c>
      <c r="D260" t="s">
        <v>61</v>
      </c>
      <c r="E260">
        <v>1470</v>
      </c>
      <c r="F260" t="s">
        <v>512</v>
      </c>
      <c r="G260">
        <v>0</v>
      </c>
      <c r="H260">
        <v>3</v>
      </c>
      <c r="I260">
        <v>0</v>
      </c>
      <c r="J260">
        <v>0</v>
      </c>
      <c r="K260">
        <v>1</v>
      </c>
      <c r="L260">
        <v>0</v>
      </c>
      <c r="M260" t="s">
        <v>325</v>
      </c>
      <c r="N260" t="s">
        <v>336</v>
      </c>
    </row>
    <row r="261" spans="1:14" x14ac:dyDescent="0.3">
      <c r="A261">
        <v>305</v>
      </c>
      <c r="B261" t="s">
        <v>323</v>
      </c>
      <c r="C261">
        <v>130</v>
      </c>
      <c r="D261" t="s">
        <v>61</v>
      </c>
      <c r="E261">
        <v>1471</v>
      </c>
      <c r="F261" t="s">
        <v>513</v>
      </c>
      <c r="G261">
        <v>0</v>
      </c>
      <c r="H261">
        <v>2</v>
      </c>
      <c r="I261">
        <v>1</v>
      </c>
      <c r="J261">
        <v>0</v>
      </c>
      <c r="K261">
        <v>2</v>
      </c>
      <c r="L261">
        <v>0</v>
      </c>
      <c r="M261" t="s">
        <v>333</v>
      </c>
      <c r="N261" t="s">
        <v>336</v>
      </c>
    </row>
    <row r="262" spans="1:14" x14ac:dyDescent="0.3">
      <c r="A262">
        <v>305</v>
      </c>
      <c r="B262" t="s">
        <v>323</v>
      </c>
      <c r="C262">
        <v>130</v>
      </c>
      <c r="D262" t="s">
        <v>61</v>
      </c>
      <c r="E262">
        <v>1741</v>
      </c>
      <c r="F262" t="s">
        <v>355</v>
      </c>
      <c r="G262">
        <v>0</v>
      </c>
      <c r="H262">
        <v>0</v>
      </c>
      <c r="I262">
        <v>1</v>
      </c>
      <c r="J262">
        <v>0</v>
      </c>
      <c r="K262">
        <v>0</v>
      </c>
      <c r="L262">
        <v>0</v>
      </c>
      <c r="M262" t="s">
        <v>333</v>
      </c>
      <c r="N262" t="s">
        <v>484</v>
      </c>
    </row>
    <row r="263" spans="1:14" x14ac:dyDescent="0.3">
      <c r="A263">
        <v>305</v>
      </c>
      <c r="B263" t="s">
        <v>323</v>
      </c>
      <c r="C263">
        <v>130</v>
      </c>
      <c r="D263" t="s">
        <v>61</v>
      </c>
      <c r="E263">
        <v>1742</v>
      </c>
      <c r="F263" t="s">
        <v>1272</v>
      </c>
      <c r="G263">
        <v>0</v>
      </c>
      <c r="H263">
        <v>0</v>
      </c>
      <c r="I263">
        <v>1</v>
      </c>
      <c r="J263">
        <v>0</v>
      </c>
      <c r="K263">
        <v>0</v>
      </c>
      <c r="L263">
        <v>0</v>
      </c>
      <c r="M263" t="s">
        <v>333</v>
      </c>
      <c r="N263" t="s">
        <v>484</v>
      </c>
    </row>
    <row r="264" spans="1:14" x14ac:dyDescent="0.3">
      <c r="A264">
        <v>305</v>
      </c>
      <c r="B264" t="s">
        <v>323</v>
      </c>
      <c r="C264">
        <v>130</v>
      </c>
      <c r="D264" t="s">
        <v>61</v>
      </c>
      <c r="E264">
        <v>1743</v>
      </c>
      <c r="F264" t="s">
        <v>1273</v>
      </c>
      <c r="G264">
        <v>0</v>
      </c>
      <c r="H264">
        <v>0</v>
      </c>
      <c r="I264">
        <v>0</v>
      </c>
      <c r="J264">
        <v>1</v>
      </c>
      <c r="K264">
        <v>3</v>
      </c>
      <c r="L264">
        <v>0</v>
      </c>
      <c r="M264" t="s">
        <v>333</v>
      </c>
      <c r="N264" t="s">
        <v>336</v>
      </c>
    </row>
    <row r="265" spans="1:14" x14ac:dyDescent="0.3">
      <c r="A265">
        <v>305</v>
      </c>
      <c r="B265" t="s">
        <v>323</v>
      </c>
      <c r="C265">
        <v>130</v>
      </c>
      <c r="D265" t="s">
        <v>61</v>
      </c>
      <c r="E265">
        <v>1744</v>
      </c>
      <c r="F265" t="s">
        <v>1274</v>
      </c>
      <c r="G265">
        <v>0</v>
      </c>
      <c r="H265">
        <v>1</v>
      </c>
      <c r="I265">
        <v>0</v>
      </c>
      <c r="J265">
        <v>1</v>
      </c>
      <c r="K265">
        <v>2</v>
      </c>
      <c r="L265">
        <v>0</v>
      </c>
      <c r="M265" t="s">
        <v>333</v>
      </c>
      <c r="N265" t="s">
        <v>336</v>
      </c>
    </row>
    <row r="266" spans="1:14" x14ac:dyDescent="0.3">
      <c r="A266">
        <v>305</v>
      </c>
      <c r="B266" t="s">
        <v>323</v>
      </c>
      <c r="C266">
        <v>130</v>
      </c>
      <c r="D266" t="s">
        <v>61</v>
      </c>
      <c r="E266">
        <v>1745</v>
      </c>
      <c r="F266" t="s">
        <v>1275</v>
      </c>
      <c r="G266">
        <v>0</v>
      </c>
      <c r="H266">
        <v>0</v>
      </c>
      <c r="I266">
        <v>2</v>
      </c>
      <c r="J266">
        <v>1</v>
      </c>
      <c r="K266">
        <v>1</v>
      </c>
      <c r="L266">
        <v>0</v>
      </c>
      <c r="M266" t="s">
        <v>333</v>
      </c>
      <c r="N266" t="s">
        <v>336</v>
      </c>
    </row>
    <row r="267" spans="1:14" x14ac:dyDescent="0.3">
      <c r="A267">
        <v>306</v>
      </c>
      <c r="B267" t="s">
        <v>323</v>
      </c>
      <c r="C267">
        <v>131</v>
      </c>
      <c r="D267" t="s">
        <v>63</v>
      </c>
      <c r="E267">
        <v>625</v>
      </c>
      <c r="F267" t="s">
        <v>393</v>
      </c>
      <c r="G267">
        <v>0</v>
      </c>
      <c r="H267">
        <v>2</v>
      </c>
      <c r="I267">
        <v>3</v>
      </c>
      <c r="J267">
        <v>0</v>
      </c>
      <c r="K267">
        <v>0</v>
      </c>
      <c r="L267">
        <v>0</v>
      </c>
      <c r="M267" t="s">
        <v>414</v>
      </c>
      <c r="N267" t="s">
        <v>336</v>
      </c>
    </row>
    <row r="268" spans="1:14" x14ac:dyDescent="0.3">
      <c r="A268">
        <v>306</v>
      </c>
      <c r="B268" t="s">
        <v>323</v>
      </c>
      <c r="C268">
        <v>131</v>
      </c>
      <c r="D268" t="s">
        <v>63</v>
      </c>
      <c r="E268">
        <v>626</v>
      </c>
      <c r="F268" t="s">
        <v>514</v>
      </c>
      <c r="G268">
        <v>0</v>
      </c>
      <c r="H268">
        <v>2</v>
      </c>
      <c r="I268">
        <v>1</v>
      </c>
      <c r="J268">
        <v>0</v>
      </c>
      <c r="K268">
        <v>3</v>
      </c>
      <c r="L268">
        <v>0</v>
      </c>
      <c r="M268" t="s">
        <v>410</v>
      </c>
      <c r="N268" t="s">
        <v>484</v>
      </c>
    </row>
    <row r="269" spans="1:14" x14ac:dyDescent="0.3">
      <c r="A269">
        <v>306</v>
      </c>
      <c r="B269" t="s">
        <v>323</v>
      </c>
      <c r="C269">
        <v>131</v>
      </c>
      <c r="D269" t="s">
        <v>63</v>
      </c>
      <c r="E269">
        <v>627</v>
      </c>
      <c r="F269" t="s">
        <v>515</v>
      </c>
      <c r="G269">
        <v>0</v>
      </c>
      <c r="H269">
        <v>2</v>
      </c>
      <c r="I269">
        <v>1</v>
      </c>
      <c r="J269">
        <v>0</v>
      </c>
      <c r="K269">
        <v>2</v>
      </c>
      <c r="L269">
        <v>0</v>
      </c>
      <c r="M269" t="s">
        <v>410</v>
      </c>
      <c r="N269" t="s">
        <v>336</v>
      </c>
    </row>
    <row r="270" spans="1:14" x14ac:dyDescent="0.3">
      <c r="A270">
        <v>306</v>
      </c>
      <c r="B270" t="s">
        <v>323</v>
      </c>
      <c r="C270">
        <v>131</v>
      </c>
      <c r="D270" t="s">
        <v>63</v>
      </c>
      <c r="E270">
        <v>628</v>
      </c>
      <c r="F270" t="s">
        <v>516</v>
      </c>
      <c r="G270">
        <v>0</v>
      </c>
      <c r="H270">
        <v>0</v>
      </c>
      <c r="I270">
        <v>0</v>
      </c>
      <c r="J270">
        <v>0</v>
      </c>
      <c r="K270">
        <v>2</v>
      </c>
      <c r="L270">
        <v>0</v>
      </c>
      <c r="M270" t="s">
        <v>333</v>
      </c>
      <c r="N270" t="s">
        <v>484</v>
      </c>
    </row>
    <row r="271" spans="1:14" x14ac:dyDescent="0.3">
      <c r="A271">
        <v>306</v>
      </c>
      <c r="B271" t="s">
        <v>323</v>
      </c>
      <c r="C271">
        <v>131</v>
      </c>
      <c r="D271" t="s">
        <v>63</v>
      </c>
      <c r="E271">
        <v>632</v>
      </c>
      <c r="F271" t="s">
        <v>518</v>
      </c>
      <c r="G271">
        <v>0</v>
      </c>
      <c r="H271">
        <v>0</v>
      </c>
      <c r="I271">
        <v>0</v>
      </c>
      <c r="J271">
        <v>0</v>
      </c>
      <c r="K271">
        <v>2</v>
      </c>
      <c r="L271">
        <v>0</v>
      </c>
      <c r="M271" t="s">
        <v>414</v>
      </c>
      <c r="N271" t="s">
        <v>348</v>
      </c>
    </row>
    <row r="272" spans="1:14" x14ac:dyDescent="0.3">
      <c r="A272">
        <v>306</v>
      </c>
      <c r="B272" t="s">
        <v>323</v>
      </c>
      <c r="C272">
        <v>131</v>
      </c>
      <c r="D272" t="s">
        <v>63</v>
      </c>
      <c r="E272">
        <v>633</v>
      </c>
      <c r="F272" t="s">
        <v>350</v>
      </c>
      <c r="G272">
        <v>0</v>
      </c>
      <c r="H272">
        <v>0</v>
      </c>
      <c r="I272">
        <v>0</v>
      </c>
      <c r="J272">
        <v>0</v>
      </c>
      <c r="K272">
        <v>2</v>
      </c>
      <c r="L272">
        <v>0</v>
      </c>
      <c r="M272" t="s">
        <v>333</v>
      </c>
      <c r="N272" t="s">
        <v>484</v>
      </c>
    </row>
    <row r="273" spans="1:14" x14ac:dyDescent="0.3">
      <c r="A273">
        <v>306</v>
      </c>
      <c r="B273" t="s">
        <v>323</v>
      </c>
      <c r="C273">
        <v>131</v>
      </c>
      <c r="D273" t="s">
        <v>63</v>
      </c>
      <c r="E273">
        <v>1840</v>
      </c>
      <c r="F273" t="s">
        <v>1276</v>
      </c>
      <c r="G273">
        <v>0</v>
      </c>
      <c r="H273">
        <v>1</v>
      </c>
      <c r="I273">
        <v>1</v>
      </c>
      <c r="J273">
        <v>0</v>
      </c>
      <c r="K273">
        <v>1</v>
      </c>
      <c r="L273">
        <v>0</v>
      </c>
      <c r="M273" t="s">
        <v>410</v>
      </c>
      <c r="N273" t="s">
        <v>336</v>
      </c>
    </row>
    <row r="274" spans="1:14" x14ac:dyDescent="0.3">
      <c r="A274">
        <v>306</v>
      </c>
      <c r="B274" t="s">
        <v>323</v>
      </c>
      <c r="C274">
        <v>131</v>
      </c>
      <c r="D274" t="s">
        <v>63</v>
      </c>
      <c r="E274">
        <v>1841</v>
      </c>
      <c r="F274" t="s">
        <v>1277</v>
      </c>
      <c r="G274">
        <v>0</v>
      </c>
      <c r="H274">
        <v>2</v>
      </c>
      <c r="I274">
        <v>1</v>
      </c>
      <c r="J274">
        <v>0</v>
      </c>
      <c r="K274">
        <v>1</v>
      </c>
      <c r="L274">
        <v>0</v>
      </c>
      <c r="M274" t="s">
        <v>414</v>
      </c>
      <c r="N274" t="s">
        <v>329</v>
      </c>
    </row>
    <row r="275" spans="1:14" x14ac:dyDescent="0.3">
      <c r="A275">
        <v>308</v>
      </c>
      <c r="B275" t="s">
        <v>323</v>
      </c>
      <c r="C275">
        <v>133</v>
      </c>
      <c r="D275" t="s">
        <v>1199</v>
      </c>
      <c r="E275">
        <v>1865</v>
      </c>
      <c r="F275" t="s">
        <v>1278</v>
      </c>
      <c r="G275">
        <v>0</v>
      </c>
      <c r="H275">
        <v>0</v>
      </c>
      <c r="I275">
        <v>0</v>
      </c>
      <c r="J275">
        <v>1</v>
      </c>
      <c r="K275">
        <v>2</v>
      </c>
      <c r="L275">
        <v>0</v>
      </c>
      <c r="M275" t="s">
        <v>333</v>
      </c>
      <c r="N275" t="s">
        <v>326</v>
      </c>
    </row>
    <row r="276" spans="1:14" x14ac:dyDescent="0.3">
      <c r="A276">
        <v>308</v>
      </c>
      <c r="B276" t="s">
        <v>323</v>
      </c>
      <c r="C276">
        <v>133</v>
      </c>
      <c r="D276" t="s">
        <v>1199</v>
      </c>
      <c r="E276">
        <v>1866</v>
      </c>
      <c r="F276" t="s">
        <v>393</v>
      </c>
      <c r="G276">
        <v>0</v>
      </c>
      <c r="H276">
        <v>3</v>
      </c>
      <c r="I276">
        <v>2</v>
      </c>
      <c r="J276">
        <v>0</v>
      </c>
      <c r="K276">
        <v>0</v>
      </c>
      <c r="L276">
        <v>0</v>
      </c>
      <c r="M276" t="s">
        <v>325</v>
      </c>
      <c r="N276" t="s">
        <v>336</v>
      </c>
    </row>
    <row r="277" spans="1:14" x14ac:dyDescent="0.3">
      <c r="A277">
        <v>308</v>
      </c>
      <c r="B277" t="s">
        <v>323</v>
      </c>
      <c r="C277">
        <v>133</v>
      </c>
      <c r="D277" t="s">
        <v>1199</v>
      </c>
      <c r="E277">
        <v>1867</v>
      </c>
      <c r="F277" t="s">
        <v>1279</v>
      </c>
      <c r="G277">
        <v>0</v>
      </c>
      <c r="H277">
        <v>2</v>
      </c>
      <c r="I277">
        <v>3</v>
      </c>
      <c r="J277">
        <v>0</v>
      </c>
      <c r="K277">
        <v>0</v>
      </c>
      <c r="L277">
        <v>0</v>
      </c>
      <c r="M277" t="s">
        <v>333</v>
      </c>
      <c r="N277" t="s">
        <v>336</v>
      </c>
    </row>
    <row r="278" spans="1:14" x14ac:dyDescent="0.3">
      <c r="A278">
        <v>308</v>
      </c>
      <c r="B278" t="s">
        <v>323</v>
      </c>
      <c r="C278">
        <v>133</v>
      </c>
      <c r="D278" t="s">
        <v>1199</v>
      </c>
      <c r="E278">
        <v>1868</v>
      </c>
      <c r="F278" t="s">
        <v>1277</v>
      </c>
      <c r="G278">
        <v>2</v>
      </c>
      <c r="H278">
        <v>0</v>
      </c>
      <c r="I278">
        <v>2</v>
      </c>
      <c r="J278">
        <v>2</v>
      </c>
      <c r="K278">
        <v>0</v>
      </c>
      <c r="L278">
        <v>0</v>
      </c>
      <c r="M278" t="s">
        <v>325</v>
      </c>
      <c r="N278" t="s">
        <v>348</v>
      </c>
    </row>
    <row r="279" spans="1:14" x14ac:dyDescent="0.3">
      <c r="A279">
        <v>308</v>
      </c>
      <c r="B279" t="s">
        <v>323</v>
      </c>
      <c r="C279">
        <v>133</v>
      </c>
      <c r="D279" t="s">
        <v>1199</v>
      </c>
      <c r="E279">
        <v>1869</v>
      </c>
      <c r="F279" t="s">
        <v>1280</v>
      </c>
      <c r="G279">
        <v>0</v>
      </c>
      <c r="H279">
        <v>3</v>
      </c>
      <c r="I279">
        <v>0</v>
      </c>
      <c r="J279">
        <v>1</v>
      </c>
      <c r="K279">
        <v>0</v>
      </c>
      <c r="L279">
        <v>0</v>
      </c>
      <c r="M279" t="s">
        <v>325</v>
      </c>
      <c r="N279" t="s">
        <v>329</v>
      </c>
    </row>
    <row r="280" spans="1:14" x14ac:dyDescent="0.3">
      <c r="A280">
        <v>308</v>
      </c>
      <c r="B280" t="s">
        <v>323</v>
      </c>
      <c r="C280">
        <v>133</v>
      </c>
      <c r="D280" t="s">
        <v>1199</v>
      </c>
      <c r="E280">
        <v>1870</v>
      </c>
      <c r="F280" t="s">
        <v>1234</v>
      </c>
      <c r="G280">
        <v>0</v>
      </c>
      <c r="H280">
        <v>0</v>
      </c>
      <c r="I280">
        <v>0</v>
      </c>
      <c r="J280">
        <v>2</v>
      </c>
      <c r="K280">
        <v>1</v>
      </c>
      <c r="L280">
        <v>0</v>
      </c>
      <c r="M280" t="s">
        <v>333</v>
      </c>
      <c r="N280" t="s">
        <v>326</v>
      </c>
    </row>
    <row r="281" spans="1:14" x14ac:dyDescent="0.3">
      <c r="A281">
        <v>309</v>
      </c>
      <c r="B281" t="s">
        <v>323</v>
      </c>
      <c r="C281">
        <v>134</v>
      </c>
      <c r="D281" t="s">
        <v>69</v>
      </c>
      <c r="E281">
        <v>784</v>
      </c>
      <c r="F281" t="s">
        <v>1281</v>
      </c>
      <c r="G281">
        <v>0</v>
      </c>
      <c r="H281">
        <v>0</v>
      </c>
      <c r="I281">
        <v>0</v>
      </c>
      <c r="J281">
        <v>0</v>
      </c>
      <c r="K281">
        <v>0</v>
      </c>
      <c r="L281">
        <v>6</v>
      </c>
      <c r="M281" t="s">
        <v>333</v>
      </c>
      <c r="N281" t="s">
        <v>343</v>
      </c>
    </row>
    <row r="282" spans="1:14" x14ac:dyDescent="0.3">
      <c r="A282">
        <v>309</v>
      </c>
      <c r="B282" t="s">
        <v>323</v>
      </c>
      <c r="C282">
        <v>134</v>
      </c>
      <c r="D282" t="s">
        <v>69</v>
      </c>
      <c r="E282">
        <v>785</v>
      </c>
      <c r="F282" t="s">
        <v>1282</v>
      </c>
      <c r="G282">
        <v>0</v>
      </c>
      <c r="H282">
        <v>0</v>
      </c>
      <c r="I282">
        <v>0</v>
      </c>
      <c r="J282">
        <v>0</v>
      </c>
      <c r="K282">
        <v>0</v>
      </c>
      <c r="L282">
        <v>8</v>
      </c>
      <c r="M282" t="s">
        <v>325</v>
      </c>
      <c r="N282" t="s">
        <v>336</v>
      </c>
    </row>
    <row r="283" spans="1:14" x14ac:dyDescent="0.3">
      <c r="A283">
        <v>309</v>
      </c>
      <c r="B283" t="s">
        <v>323</v>
      </c>
      <c r="C283">
        <v>134</v>
      </c>
      <c r="D283" t="s">
        <v>69</v>
      </c>
      <c r="E283">
        <v>786</v>
      </c>
      <c r="F283" t="s">
        <v>1283</v>
      </c>
      <c r="G283">
        <v>0</v>
      </c>
      <c r="H283">
        <v>0</v>
      </c>
      <c r="I283">
        <v>0</v>
      </c>
      <c r="J283">
        <v>0</v>
      </c>
      <c r="K283">
        <v>0</v>
      </c>
      <c r="L283">
        <v>5</v>
      </c>
      <c r="M283" t="s">
        <v>325</v>
      </c>
      <c r="N283" t="s">
        <v>336</v>
      </c>
    </row>
    <row r="284" spans="1:14" x14ac:dyDescent="0.3">
      <c r="A284">
        <v>309</v>
      </c>
      <c r="B284" t="s">
        <v>323</v>
      </c>
      <c r="C284">
        <v>134</v>
      </c>
      <c r="D284" t="s">
        <v>69</v>
      </c>
      <c r="E284">
        <v>790</v>
      </c>
      <c r="F284" t="s">
        <v>1213</v>
      </c>
      <c r="G284">
        <v>0</v>
      </c>
      <c r="H284">
        <v>0</v>
      </c>
      <c r="I284">
        <v>0</v>
      </c>
      <c r="J284">
        <v>0</v>
      </c>
      <c r="K284">
        <v>0</v>
      </c>
      <c r="L284">
        <v>12</v>
      </c>
      <c r="M284" t="s">
        <v>333</v>
      </c>
      <c r="N284" t="s">
        <v>336</v>
      </c>
    </row>
    <row r="285" spans="1:14" x14ac:dyDescent="0.3">
      <c r="A285">
        <v>309</v>
      </c>
      <c r="B285" t="s">
        <v>323</v>
      </c>
      <c r="C285">
        <v>134</v>
      </c>
      <c r="D285" t="s">
        <v>69</v>
      </c>
      <c r="E285">
        <v>791</v>
      </c>
      <c r="F285" t="s">
        <v>1274</v>
      </c>
      <c r="G285">
        <v>0</v>
      </c>
      <c r="H285">
        <v>0</v>
      </c>
      <c r="I285">
        <v>0</v>
      </c>
      <c r="J285">
        <v>0</v>
      </c>
      <c r="K285">
        <v>0</v>
      </c>
      <c r="L285">
        <v>10</v>
      </c>
      <c r="M285" t="s">
        <v>325</v>
      </c>
      <c r="N285" t="s">
        <v>336</v>
      </c>
    </row>
    <row r="286" spans="1:14" x14ac:dyDescent="0.3">
      <c r="A286">
        <v>309</v>
      </c>
      <c r="B286" t="s">
        <v>323</v>
      </c>
      <c r="C286">
        <v>134</v>
      </c>
      <c r="D286" t="s">
        <v>69</v>
      </c>
      <c r="E286">
        <v>792</v>
      </c>
      <c r="F286" t="s">
        <v>1217</v>
      </c>
      <c r="G286">
        <v>0</v>
      </c>
      <c r="H286">
        <v>0</v>
      </c>
      <c r="I286">
        <v>0</v>
      </c>
      <c r="J286">
        <v>0</v>
      </c>
      <c r="K286">
        <v>0</v>
      </c>
      <c r="L286">
        <v>8</v>
      </c>
      <c r="M286" t="s">
        <v>325</v>
      </c>
      <c r="N286" t="s">
        <v>336</v>
      </c>
    </row>
    <row r="287" spans="1:14" x14ac:dyDescent="0.3">
      <c r="A287">
        <v>309</v>
      </c>
      <c r="B287" t="s">
        <v>323</v>
      </c>
      <c r="C287">
        <v>134</v>
      </c>
      <c r="D287" t="s">
        <v>69</v>
      </c>
      <c r="E287">
        <v>793</v>
      </c>
      <c r="F287" t="s">
        <v>1284</v>
      </c>
      <c r="G287">
        <v>0</v>
      </c>
      <c r="H287">
        <v>0</v>
      </c>
      <c r="I287">
        <v>0</v>
      </c>
      <c r="J287">
        <v>0</v>
      </c>
      <c r="K287">
        <v>0</v>
      </c>
      <c r="L287">
        <v>6</v>
      </c>
      <c r="M287" t="s">
        <v>333</v>
      </c>
      <c r="N287" t="s">
        <v>336</v>
      </c>
    </row>
    <row r="288" spans="1:14" x14ac:dyDescent="0.3">
      <c r="A288">
        <v>309</v>
      </c>
      <c r="B288" t="s">
        <v>323</v>
      </c>
      <c r="C288">
        <v>134</v>
      </c>
      <c r="D288" t="s">
        <v>69</v>
      </c>
      <c r="E288">
        <v>794</v>
      </c>
      <c r="F288" t="s">
        <v>1285</v>
      </c>
      <c r="G288">
        <v>0</v>
      </c>
      <c r="H288">
        <v>0</v>
      </c>
      <c r="I288">
        <v>0</v>
      </c>
      <c r="J288">
        <v>0</v>
      </c>
      <c r="K288">
        <v>0</v>
      </c>
      <c r="L288">
        <v>6</v>
      </c>
      <c r="M288" t="s">
        <v>325</v>
      </c>
      <c r="N288" t="s">
        <v>336</v>
      </c>
    </row>
    <row r="289" spans="1:14" x14ac:dyDescent="0.3">
      <c r="A289">
        <v>309</v>
      </c>
      <c r="B289" t="s">
        <v>323</v>
      </c>
      <c r="C289">
        <v>134</v>
      </c>
      <c r="D289" t="s">
        <v>69</v>
      </c>
      <c r="E289">
        <v>795</v>
      </c>
      <c r="F289" t="s">
        <v>1286</v>
      </c>
      <c r="G289">
        <v>0</v>
      </c>
      <c r="H289">
        <v>0</v>
      </c>
      <c r="I289">
        <v>0</v>
      </c>
      <c r="J289">
        <v>0</v>
      </c>
      <c r="K289">
        <v>0</v>
      </c>
      <c r="L289">
        <v>12</v>
      </c>
      <c r="M289" t="s">
        <v>333</v>
      </c>
      <c r="N289" t="s">
        <v>336</v>
      </c>
    </row>
    <row r="290" spans="1:14" x14ac:dyDescent="0.3">
      <c r="A290">
        <v>309</v>
      </c>
      <c r="B290" t="s">
        <v>323</v>
      </c>
      <c r="C290">
        <v>134</v>
      </c>
      <c r="D290" t="s">
        <v>69</v>
      </c>
      <c r="E290">
        <v>797</v>
      </c>
      <c r="F290" t="s">
        <v>1287</v>
      </c>
      <c r="G290">
        <v>0</v>
      </c>
      <c r="H290">
        <v>0</v>
      </c>
      <c r="I290">
        <v>0</v>
      </c>
      <c r="J290">
        <v>0</v>
      </c>
      <c r="K290">
        <v>0</v>
      </c>
      <c r="L290">
        <v>6</v>
      </c>
      <c r="M290" t="s">
        <v>333</v>
      </c>
      <c r="N290" t="s">
        <v>336</v>
      </c>
    </row>
    <row r="291" spans="1:14" x14ac:dyDescent="0.3">
      <c r="A291">
        <v>309</v>
      </c>
      <c r="B291" t="s">
        <v>323</v>
      </c>
      <c r="C291">
        <v>134</v>
      </c>
      <c r="D291" t="s">
        <v>69</v>
      </c>
      <c r="E291">
        <v>798</v>
      </c>
      <c r="F291" t="s">
        <v>1288</v>
      </c>
      <c r="G291">
        <v>0</v>
      </c>
      <c r="H291">
        <v>0</v>
      </c>
      <c r="I291">
        <v>0</v>
      </c>
      <c r="J291">
        <v>0</v>
      </c>
      <c r="K291">
        <v>0</v>
      </c>
      <c r="L291">
        <v>6</v>
      </c>
      <c r="M291" t="s">
        <v>333</v>
      </c>
      <c r="N291" t="s">
        <v>336</v>
      </c>
    </row>
    <row r="292" spans="1:14" x14ac:dyDescent="0.3">
      <c r="A292">
        <v>309</v>
      </c>
      <c r="B292" t="s">
        <v>323</v>
      </c>
      <c r="C292">
        <v>134</v>
      </c>
      <c r="D292" t="s">
        <v>69</v>
      </c>
      <c r="E292">
        <v>799</v>
      </c>
      <c r="F292" t="s">
        <v>1289</v>
      </c>
      <c r="G292">
        <v>0</v>
      </c>
      <c r="H292">
        <v>0</v>
      </c>
      <c r="I292">
        <v>0</v>
      </c>
      <c r="J292">
        <v>0</v>
      </c>
      <c r="K292">
        <v>0</v>
      </c>
      <c r="L292">
        <v>15</v>
      </c>
      <c r="M292" t="s">
        <v>325</v>
      </c>
      <c r="N292" t="s">
        <v>336</v>
      </c>
    </row>
    <row r="293" spans="1:14" x14ac:dyDescent="0.3">
      <c r="A293">
        <v>309</v>
      </c>
      <c r="B293" t="s">
        <v>323</v>
      </c>
      <c r="C293">
        <v>134</v>
      </c>
      <c r="D293" t="s">
        <v>69</v>
      </c>
      <c r="E293">
        <v>1876</v>
      </c>
      <c r="F293" t="s">
        <v>1290</v>
      </c>
      <c r="G293">
        <v>0</v>
      </c>
      <c r="H293">
        <v>0</v>
      </c>
      <c r="I293">
        <v>0</v>
      </c>
      <c r="J293">
        <v>0</v>
      </c>
      <c r="K293">
        <v>0</v>
      </c>
      <c r="L293">
        <v>5</v>
      </c>
      <c r="M293" t="s">
        <v>333</v>
      </c>
      <c r="N293" t="s">
        <v>343</v>
      </c>
    </row>
    <row r="294" spans="1:14" x14ac:dyDescent="0.3">
      <c r="A294">
        <v>309</v>
      </c>
      <c r="B294" t="s">
        <v>323</v>
      </c>
      <c r="C294">
        <v>134</v>
      </c>
      <c r="D294" t="s">
        <v>69</v>
      </c>
      <c r="E294">
        <v>1877</v>
      </c>
      <c r="F294" t="s">
        <v>1291</v>
      </c>
      <c r="G294">
        <v>0</v>
      </c>
      <c r="H294">
        <v>0</v>
      </c>
      <c r="I294">
        <v>0</v>
      </c>
      <c r="J294">
        <v>0</v>
      </c>
      <c r="K294">
        <v>0</v>
      </c>
      <c r="L294">
        <v>8</v>
      </c>
      <c r="M294" t="s">
        <v>333</v>
      </c>
      <c r="N294" t="s">
        <v>336</v>
      </c>
    </row>
    <row r="295" spans="1:14" x14ac:dyDescent="0.3">
      <c r="A295">
        <v>309</v>
      </c>
      <c r="B295" t="s">
        <v>323</v>
      </c>
      <c r="C295">
        <v>134</v>
      </c>
      <c r="D295" t="s">
        <v>69</v>
      </c>
      <c r="E295">
        <v>1878</v>
      </c>
      <c r="F295" t="s">
        <v>1292</v>
      </c>
      <c r="G295">
        <v>0</v>
      </c>
      <c r="H295">
        <v>0</v>
      </c>
      <c r="I295">
        <v>0</v>
      </c>
      <c r="J295">
        <v>0</v>
      </c>
      <c r="K295">
        <v>0</v>
      </c>
      <c r="L295">
        <v>6</v>
      </c>
      <c r="M295" t="s">
        <v>333</v>
      </c>
      <c r="N295" t="s">
        <v>336</v>
      </c>
    </row>
    <row r="296" spans="1:14" x14ac:dyDescent="0.3">
      <c r="A296">
        <v>309</v>
      </c>
      <c r="B296" t="s">
        <v>323</v>
      </c>
      <c r="C296">
        <v>134</v>
      </c>
      <c r="D296" t="s">
        <v>69</v>
      </c>
      <c r="E296">
        <v>1879</v>
      </c>
      <c r="F296" t="s">
        <v>1293</v>
      </c>
      <c r="G296">
        <v>0</v>
      </c>
      <c r="H296">
        <v>0</v>
      </c>
      <c r="I296">
        <v>0</v>
      </c>
      <c r="J296">
        <v>0</v>
      </c>
      <c r="K296">
        <v>0</v>
      </c>
      <c r="L296">
        <v>5</v>
      </c>
      <c r="M296" t="s">
        <v>333</v>
      </c>
      <c r="N296" t="s">
        <v>336</v>
      </c>
    </row>
    <row r="297" spans="1:14" x14ac:dyDescent="0.3">
      <c r="A297">
        <v>309</v>
      </c>
      <c r="B297" t="s">
        <v>323</v>
      </c>
      <c r="C297">
        <v>134</v>
      </c>
      <c r="D297" t="s">
        <v>69</v>
      </c>
      <c r="E297">
        <v>1880</v>
      </c>
      <c r="F297" t="s">
        <v>1294</v>
      </c>
      <c r="G297">
        <v>0</v>
      </c>
      <c r="H297">
        <v>0</v>
      </c>
      <c r="I297">
        <v>0</v>
      </c>
      <c r="J297">
        <v>0</v>
      </c>
      <c r="K297">
        <v>0</v>
      </c>
      <c r="L297">
        <v>6</v>
      </c>
      <c r="M297" t="s">
        <v>333</v>
      </c>
      <c r="N297" t="s">
        <v>336</v>
      </c>
    </row>
    <row r="298" spans="1:14" x14ac:dyDescent="0.3">
      <c r="A298">
        <v>309</v>
      </c>
      <c r="B298" t="s">
        <v>323</v>
      </c>
      <c r="C298">
        <v>134</v>
      </c>
      <c r="D298" t="s">
        <v>69</v>
      </c>
      <c r="E298">
        <v>1881</v>
      </c>
      <c r="F298" t="s">
        <v>1295</v>
      </c>
      <c r="G298">
        <v>0</v>
      </c>
      <c r="H298">
        <v>0</v>
      </c>
      <c r="I298">
        <v>0</v>
      </c>
      <c r="J298">
        <v>0</v>
      </c>
      <c r="K298">
        <v>0</v>
      </c>
      <c r="L298">
        <v>8</v>
      </c>
      <c r="M298" t="s">
        <v>333</v>
      </c>
      <c r="N298" t="s">
        <v>336</v>
      </c>
    </row>
    <row r="299" spans="1:14" x14ac:dyDescent="0.3">
      <c r="A299">
        <v>309</v>
      </c>
      <c r="B299" t="s">
        <v>323</v>
      </c>
      <c r="C299">
        <v>134</v>
      </c>
      <c r="D299" t="s">
        <v>69</v>
      </c>
      <c r="E299">
        <v>1882</v>
      </c>
      <c r="F299" t="s">
        <v>1296</v>
      </c>
      <c r="G299">
        <v>0</v>
      </c>
      <c r="H299">
        <v>0</v>
      </c>
      <c r="I299">
        <v>0</v>
      </c>
      <c r="J299">
        <v>0</v>
      </c>
      <c r="K299">
        <v>0</v>
      </c>
      <c r="L299">
        <v>6</v>
      </c>
      <c r="M299" t="s">
        <v>333</v>
      </c>
      <c r="N299" t="s">
        <v>336</v>
      </c>
    </row>
    <row r="300" spans="1:14" x14ac:dyDescent="0.3">
      <c r="A300">
        <v>309</v>
      </c>
      <c r="B300" t="s">
        <v>323</v>
      </c>
      <c r="C300">
        <v>134</v>
      </c>
      <c r="D300" t="s">
        <v>69</v>
      </c>
      <c r="E300">
        <v>1883</v>
      </c>
      <c r="F300" t="s">
        <v>1297</v>
      </c>
      <c r="G300">
        <v>0</v>
      </c>
      <c r="H300">
        <v>0</v>
      </c>
      <c r="I300">
        <v>0</v>
      </c>
      <c r="J300">
        <v>0</v>
      </c>
      <c r="K300">
        <v>0</v>
      </c>
      <c r="L300">
        <v>5</v>
      </c>
      <c r="M300" t="s">
        <v>333</v>
      </c>
      <c r="N300" t="s">
        <v>336</v>
      </c>
    </row>
    <row r="301" spans="1:14" x14ac:dyDescent="0.3">
      <c r="A301">
        <v>309</v>
      </c>
      <c r="B301" t="s">
        <v>323</v>
      </c>
      <c r="C301">
        <v>134</v>
      </c>
      <c r="D301" t="s">
        <v>69</v>
      </c>
      <c r="E301">
        <v>1884</v>
      </c>
      <c r="F301" t="s">
        <v>885</v>
      </c>
      <c r="G301">
        <v>0</v>
      </c>
      <c r="H301">
        <v>0</v>
      </c>
      <c r="I301">
        <v>0</v>
      </c>
      <c r="J301">
        <v>0</v>
      </c>
      <c r="K301">
        <v>0</v>
      </c>
      <c r="L301">
        <v>6</v>
      </c>
      <c r="M301" t="s">
        <v>333</v>
      </c>
      <c r="N301" t="s">
        <v>336</v>
      </c>
    </row>
    <row r="302" spans="1:14" x14ac:dyDescent="0.3">
      <c r="A302">
        <v>309</v>
      </c>
      <c r="B302" t="s">
        <v>323</v>
      </c>
      <c r="C302">
        <v>134</v>
      </c>
      <c r="D302" t="s">
        <v>69</v>
      </c>
      <c r="E302">
        <v>1885</v>
      </c>
      <c r="F302" t="s">
        <v>1298</v>
      </c>
      <c r="G302">
        <v>0</v>
      </c>
      <c r="H302">
        <v>0</v>
      </c>
      <c r="I302">
        <v>0</v>
      </c>
      <c r="J302">
        <v>0</v>
      </c>
      <c r="K302">
        <v>0</v>
      </c>
      <c r="L302">
        <v>6</v>
      </c>
      <c r="M302" t="s">
        <v>333</v>
      </c>
      <c r="N302" t="s">
        <v>336</v>
      </c>
    </row>
    <row r="303" spans="1:14" x14ac:dyDescent="0.3">
      <c r="A303">
        <v>310</v>
      </c>
      <c r="B303" t="s">
        <v>323</v>
      </c>
      <c r="C303">
        <v>135</v>
      </c>
      <c r="D303" t="s">
        <v>71</v>
      </c>
      <c r="E303">
        <v>950</v>
      </c>
      <c r="F303" t="s">
        <v>519</v>
      </c>
      <c r="G303">
        <v>0</v>
      </c>
      <c r="H303">
        <v>1</v>
      </c>
      <c r="I303">
        <v>7</v>
      </c>
      <c r="J303">
        <v>1</v>
      </c>
      <c r="K303">
        <v>0</v>
      </c>
      <c r="L303">
        <v>0</v>
      </c>
      <c r="M303" t="s">
        <v>325</v>
      </c>
      <c r="N303" t="s">
        <v>484</v>
      </c>
    </row>
    <row r="304" spans="1:14" x14ac:dyDescent="0.3">
      <c r="A304">
        <v>310</v>
      </c>
      <c r="B304" t="s">
        <v>323</v>
      </c>
      <c r="C304">
        <v>135</v>
      </c>
      <c r="D304" t="s">
        <v>71</v>
      </c>
      <c r="E304">
        <v>951</v>
      </c>
      <c r="F304" t="s">
        <v>520</v>
      </c>
      <c r="G304">
        <v>2</v>
      </c>
      <c r="H304">
        <v>0</v>
      </c>
      <c r="I304">
        <v>1</v>
      </c>
      <c r="J304">
        <v>2</v>
      </c>
      <c r="K304">
        <v>0</v>
      </c>
      <c r="L304">
        <v>0</v>
      </c>
      <c r="M304" t="s">
        <v>333</v>
      </c>
      <c r="N304" t="s">
        <v>484</v>
      </c>
    </row>
    <row r="305" spans="1:14" x14ac:dyDescent="0.3">
      <c r="A305">
        <v>310</v>
      </c>
      <c r="B305" t="s">
        <v>323</v>
      </c>
      <c r="C305">
        <v>135</v>
      </c>
      <c r="D305" t="s">
        <v>71</v>
      </c>
      <c r="E305">
        <v>952</v>
      </c>
      <c r="F305" t="s">
        <v>521</v>
      </c>
      <c r="G305">
        <v>0</v>
      </c>
      <c r="H305">
        <v>2</v>
      </c>
      <c r="I305">
        <v>2</v>
      </c>
      <c r="J305">
        <v>2</v>
      </c>
      <c r="K305">
        <v>0</v>
      </c>
      <c r="L305">
        <v>0</v>
      </c>
      <c r="M305" t="s">
        <v>325</v>
      </c>
      <c r="N305" t="s">
        <v>484</v>
      </c>
    </row>
    <row r="306" spans="1:14" x14ac:dyDescent="0.3">
      <c r="A306">
        <v>310</v>
      </c>
      <c r="B306" t="s">
        <v>323</v>
      </c>
      <c r="C306">
        <v>135</v>
      </c>
      <c r="D306" t="s">
        <v>71</v>
      </c>
      <c r="E306">
        <v>953</v>
      </c>
      <c r="F306" t="s">
        <v>522</v>
      </c>
      <c r="G306">
        <v>0</v>
      </c>
      <c r="H306">
        <v>0</v>
      </c>
      <c r="I306">
        <v>1</v>
      </c>
      <c r="J306">
        <v>0</v>
      </c>
      <c r="K306">
        <v>4</v>
      </c>
      <c r="L306">
        <v>2</v>
      </c>
      <c r="M306" t="s">
        <v>325</v>
      </c>
      <c r="N306" t="s">
        <v>336</v>
      </c>
    </row>
    <row r="307" spans="1:14" x14ac:dyDescent="0.3">
      <c r="A307">
        <v>310</v>
      </c>
      <c r="B307" t="s">
        <v>323</v>
      </c>
      <c r="C307">
        <v>135</v>
      </c>
      <c r="D307" t="s">
        <v>71</v>
      </c>
      <c r="E307">
        <v>954</v>
      </c>
      <c r="F307" t="s">
        <v>523</v>
      </c>
      <c r="G307">
        <v>0</v>
      </c>
      <c r="H307">
        <v>0</v>
      </c>
      <c r="I307">
        <v>1</v>
      </c>
      <c r="J307">
        <v>0</v>
      </c>
      <c r="K307">
        <v>3</v>
      </c>
      <c r="L307">
        <v>0</v>
      </c>
      <c r="M307" t="s">
        <v>333</v>
      </c>
      <c r="N307" t="s">
        <v>329</v>
      </c>
    </row>
    <row r="308" spans="1:14" x14ac:dyDescent="0.3">
      <c r="A308">
        <v>310</v>
      </c>
      <c r="B308" t="s">
        <v>323</v>
      </c>
      <c r="C308">
        <v>135</v>
      </c>
      <c r="D308" t="s">
        <v>71</v>
      </c>
      <c r="E308">
        <v>955</v>
      </c>
      <c r="F308" t="s">
        <v>524</v>
      </c>
      <c r="G308">
        <v>0</v>
      </c>
      <c r="H308">
        <v>1</v>
      </c>
      <c r="I308">
        <v>2</v>
      </c>
      <c r="J308">
        <v>0</v>
      </c>
      <c r="K308">
        <v>3</v>
      </c>
      <c r="L308">
        <v>0</v>
      </c>
      <c r="M308" t="s">
        <v>333</v>
      </c>
      <c r="N308" t="s">
        <v>336</v>
      </c>
    </row>
    <row r="309" spans="1:14" x14ac:dyDescent="0.3">
      <c r="A309">
        <v>310</v>
      </c>
      <c r="B309" t="s">
        <v>323</v>
      </c>
      <c r="C309">
        <v>135</v>
      </c>
      <c r="D309" t="s">
        <v>71</v>
      </c>
      <c r="E309">
        <v>956</v>
      </c>
      <c r="F309" t="s">
        <v>525</v>
      </c>
      <c r="G309">
        <v>4</v>
      </c>
      <c r="H309">
        <v>2</v>
      </c>
      <c r="I309">
        <v>2</v>
      </c>
      <c r="J309">
        <v>0</v>
      </c>
      <c r="K309">
        <v>0</v>
      </c>
      <c r="L309">
        <v>0</v>
      </c>
      <c r="M309" t="s">
        <v>333</v>
      </c>
      <c r="N309" t="s">
        <v>484</v>
      </c>
    </row>
    <row r="310" spans="1:14" x14ac:dyDescent="0.3">
      <c r="A310">
        <v>310</v>
      </c>
      <c r="B310" t="s">
        <v>323</v>
      </c>
      <c r="C310">
        <v>135</v>
      </c>
      <c r="D310" t="s">
        <v>71</v>
      </c>
      <c r="E310">
        <v>957</v>
      </c>
      <c r="F310" t="s">
        <v>505</v>
      </c>
      <c r="G310">
        <v>0</v>
      </c>
      <c r="H310">
        <v>0</v>
      </c>
      <c r="I310">
        <v>0</v>
      </c>
      <c r="J310">
        <v>0</v>
      </c>
      <c r="K310">
        <v>6</v>
      </c>
      <c r="L310">
        <v>0</v>
      </c>
      <c r="M310" t="s">
        <v>333</v>
      </c>
      <c r="N310" t="s">
        <v>336</v>
      </c>
    </row>
    <row r="311" spans="1:14" x14ac:dyDescent="0.3">
      <c r="A311">
        <v>310</v>
      </c>
      <c r="B311" t="s">
        <v>323</v>
      </c>
      <c r="C311">
        <v>135</v>
      </c>
      <c r="D311" t="s">
        <v>71</v>
      </c>
      <c r="E311">
        <v>958</v>
      </c>
      <c r="F311" t="s">
        <v>526</v>
      </c>
      <c r="G311">
        <v>1</v>
      </c>
      <c r="H311">
        <v>0</v>
      </c>
      <c r="I311">
        <v>0</v>
      </c>
      <c r="J311">
        <v>2</v>
      </c>
      <c r="K311">
        <v>2</v>
      </c>
      <c r="L311">
        <v>0</v>
      </c>
      <c r="M311" t="s">
        <v>333</v>
      </c>
      <c r="N311" t="s">
        <v>484</v>
      </c>
    </row>
    <row r="312" spans="1:14" x14ac:dyDescent="0.3">
      <c r="A312">
        <v>310</v>
      </c>
      <c r="B312" t="s">
        <v>323</v>
      </c>
      <c r="C312">
        <v>135</v>
      </c>
      <c r="D312" t="s">
        <v>71</v>
      </c>
      <c r="E312">
        <v>959</v>
      </c>
      <c r="F312" t="s">
        <v>527</v>
      </c>
      <c r="G312">
        <v>0</v>
      </c>
      <c r="H312">
        <v>1</v>
      </c>
      <c r="I312">
        <v>3</v>
      </c>
      <c r="J312">
        <v>0</v>
      </c>
      <c r="K312">
        <v>6</v>
      </c>
      <c r="L312">
        <v>0</v>
      </c>
      <c r="M312" t="s">
        <v>325</v>
      </c>
      <c r="N312" t="s">
        <v>484</v>
      </c>
    </row>
    <row r="313" spans="1:14" x14ac:dyDescent="0.3">
      <c r="A313">
        <v>310</v>
      </c>
      <c r="B313" t="s">
        <v>323</v>
      </c>
      <c r="C313">
        <v>135</v>
      </c>
      <c r="D313" t="s">
        <v>71</v>
      </c>
      <c r="E313">
        <v>960</v>
      </c>
      <c r="F313" t="s">
        <v>528</v>
      </c>
      <c r="G313">
        <v>0</v>
      </c>
      <c r="H313">
        <v>0</v>
      </c>
      <c r="I313">
        <v>0</v>
      </c>
      <c r="J313">
        <v>0</v>
      </c>
      <c r="K313">
        <v>0</v>
      </c>
      <c r="L313">
        <v>1</v>
      </c>
      <c r="M313" t="s">
        <v>325</v>
      </c>
      <c r="N313" t="s">
        <v>336</v>
      </c>
    </row>
    <row r="314" spans="1:14" x14ac:dyDescent="0.3">
      <c r="A314">
        <v>311</v>
      </c>
      <c r="B314" t="s">
        <v>323</v>
      </c>
      <c r="C314">
        <v>136</v>
      </c>
      <c r="D314" t="s">
        <v>73</v>
      </c>
      <c r="E314">
        <v>1648</v>
      </c>
      <c r="F314" t="s">
        <v>519</v>
      </c>
      <c r="G314">
        <v>1</v>
      </c>
      <c r="H314">
        <v>1</v>
      </c>
      <c r="I314">
        <v>2</v>
      </c>
      <c r="J314">
        <v>0</v>
      </c>
      <c r="K314">
        <v>0</v>
      </c>
      <c r="L314">
        <v>0</v>
      </c>
      <c r="M314" t="s">
        <v>333</v>
      </c>
      <c r="N314" t="s">
        <v>336</v>
      </c>
    </row>
    <row r="315" spans="1:14" x14ac:dyDescent="0.3">
      <c r="A315">
        <v>311</v>
      </c>
      <c r="B315" t="s">
        <v>323</v>
      </c>
      <c r="C315">
        <v>136</v>
      </c>
      <c r="D315" t="s">
        <v>73</v>
      </c>
      <c r="E315">
        <v>1650</v>
      </c>
      <c r="F315" t="s">
        <v>530</v>
      </c>
      <c r="G315">
        <v>0</v>
      </c>
      <c r="H315">
        <v>0</v>
      </c>
      <c r="I315">
        <v>0</v>
      </c>
      <c r="J315">
        <v>0</v>
      </c>
      <c r="K315">
        <v>1</v>
      </c>
      <c r="L315">
        <v>0</v>
      </c>
      <c r="M315" t="s">
        <v>325</v>
      </c>
      <c r="N315" t="s">
        <v>336</v>
      </c>
    </row>
    <row r="316" spans="1:14" x14ac:dyDescent="0.3">
      <c r="A316">
        <v>311</v>
      </c>
      <c r="B316" t="s">
        <v>323</v>
      </c>
      <c r="C316">
        <v>136</v>
      </c>
      <c r="D316" t="s">
        <v>73</v>
      </c>
      <c r="E316">
        <v>1651</v>
      </c>
      <c r="F316" t="s">
        <v>531</v>
      </c>
      <c r="G316">
        <v>0</v>
      </c>
      <c r="H316">
        <v>0</v>
      </c>
      <c r="I316">
        <v>1</v>
      </c>
      <c r="J316">
        <v>0</v>
      </c>
      <c r="K316">
        <v>3</v>
      </c>
      <c r="L316">
        <v>1</v>
      </c>
      <c r="M316" t="s">
        <v>333</v>
      </c>
      <c r="N316" t="s">
        <v>326</v>
      </c>
    </row>
    <row r="317" spans="1:14" x14ac:dyDescent="0.3">
      <c r="A317">
        <v>311</v>
      </c>
      <c r="B317" t="s">
        <v>323</v>
      </c>
      <c r="C317">
        <v>136</v>
      </c>
      <c r="D317" t="s">
        <v>73</v>
      </c>
      <c r="E317">
        <v>1652</v>
      </c>
      <c r="F317" t="s">
        <v>353</v>
      </c>
      <c r="G317">
        <v>0</v>
      </c>
      <c r="H317">
        <v>0</v>
      </c>
      <c r="I317">
        <v>1</v>
      </c>
      <c r="J317">
        <v>0</v>
      </c>
      <c r="K317">
        <v>0</v>
      </c>
      <c r="L317">
        <v>4</v>
      </c>
      <c r="M317" t="s">
        <v>333</v>
      </c>
      <c r="N317" t="s">
        <v>326</v>
      </c>
    </row>
    <row r="318" spans="1:14" x14ac:dyDescent="0.3">
      <c r="A318">
        <v>311</v>
      </c>
      <c r="B318" t="s">
        <v>323</v>
      </c>
      <c r="C318">
        <v>136</v>
      </c>
      <c r="D318" t="s">
        <v>73</v>
      </c>
      <c r="E318">
        <v>1653</v>
      </c>
      <c r="F318" t="s">
        <v>532</v>
      </c>
      <c r="G318">
        <v>0</v>
      </c>
      <c r="H318">
        <v>0</v>
      </c>
      <c r="I318">
        <v>1</v>
      </c>
      <c r="J318">
        <v>0</v>
      </c>
      <c r="K318">
        <v>0</v>
      </c>
      <c r="L318">
        <v>2</v>
      </c>
      <c r="M318" t="s">
        <v>325</v>
      </c>
      <c r="N318" t="s">
        <v>484</v>
      </c>
    </row>
    <row r="319" spans="1:14" x14ac:dyDescent="0.3">
      <c r="A319">
        <v>311</v>
      </c>
      <c r="B319" t="s">
        <v>323</v>
      </c>
      <c r="C319">
        <v>136</v>
      </c>
      <c r="D319" t="s">
        <v>73</v>
      </c>
      <c r="E319">
        <v>1655</v>
      </c>
      <c r="F319" t="s">
        <v>393</v>
      </c>
      <c r="G319">
        <v>0</v>
      </c>
      <c r="H319">
        <v>1</v>
      </c>
      <c r="I319">
        <v>1</v>
      </c>
      <c r="J319">
        <v>1</v>
      </c>
      <c r="K319">
        <v>1</v>
      </c>
      <c r="L319">
        <v>0</v>
      </c>
      <c r="M319" t="s">
        <v>410</v>
      </c>
      <c r="N319" t="s">
        <v>326</v>
      </c>
    </row>
    <row r="320" spans="1:14" x14ac:dyDescent="0.3">
      <c r="A320">
        <v>311</v>
      </c>
      <c r="B320" t="s">
        <v>323</v>
      </c>
      <c r="C320">
        <v>136</v>
      </c>
      <c r="D320" t="s">
        <v>73</v>
      </c>
      <c r="E320">
        <v>1656</v>
      </c>
      <c r="F320" t="s">
        <v>533</v>
      </c>
      <c r="G320">
        <v>0</v>
      </c>
      <c r="H320">
        <v>0</v>
      </c>
      <c r="I320">
        <v>0</v>
      </c>
      <c r="J320">
        <v>0</v>
      </c>
      <c r="K320">
        <v>0</v>
      </c>
      <c r="L320">
        <v>0</v>
      </c>
      <c r="M320" t="s">
        <v>410</v>
      </c>
      <c r="N320" t="s">
        <v>348</v>
      </c>
    </row>
    <row r="321" spans="1:14" x14ac:dyDescent="0.3">
      <c r="A321">
        <v>311</v>
      </c>
      <c r="B321" t="s">
        <v>323</v>
      </c>
      <c r="C321">
        <v>136</v>
      </c>
      <c r="D321" t="s">
        <v>73</v>
      </c>
      <c r="E321">
        <v>1874</v>
      </c>
      <c r="F321" t="s">
        <v>1299</v>
      </c>
      <c r="G321">
        <v>0</v>
      </c>
      <c r="H321">
        <v>0</v>
      </c>
      <c r="I321">
        <v>0</v>
      </c>
      <c r="J321">
        <v>2</v>
      </c>
      <c r="K321">
        <v>0</v>
      </c>
      <c r="L321">
        <v>2</v>
      </c>
      <c r="M321" t="s">
        <v>325</v>
      </c>
      <c r="N321" t="s">
        <v>484</v>
      </c>
    </row>
    <row r="322" spans="1:14" x14ac:dyDescent="0.3">
      <c r="A322">
        <v>311</v>
      </c>
      <c r="B322" t="s">
        <v>323</v>
      </c>
      <c r="C322">
        <v>136</v>
      </c>
      <c r="D322" t="s">
        <v>73</v>
      </c>
      <c r="E322">
        <v>2010</v>
      </c>
      <c r="F322" t="s">
        <v>1300</v>
      </c>
      <c r="G322">
        <v>0</v>
      </c>
      <c r="H322">
        <v>1</v>
      </c>
      <c r="I322">
        <v>2</v>
      </c>
      <c r="J322">
        <v>0</v>
      </c>
      <c r="K322">
        <v>0</v>
      </c>
      <c r="L322">
        <v>1</v>
      </c>
      <c r="M322" t="s">
        <v>333</v>
      </c>
      <c r="N322" t="s">
        <v>326</v>
      </c>
    </row>
    <row r="323" spans="1:14" x14ac:dyDescent="0.3">
      <c r="A323">
        <v>311</v>
      </c>
      <c r="B323" t="s">
        <v>323</v>
      </c>
      <c r="C323">
        <v>136</v>
      </c>
      <c r="D323" t="s">
        <v>73</v>
      </c>
      <c r="E323">
        <v>2011</v>
      </c>
      <c r="F323" t="s">
        <v>1301</v>
      </c>
      <c r="G323">
        <v>0</v>
      </c>
      <c r="H323">
        <v>1</v>
      </c>
      <c r="I323">
        <v>0</v>
      </c>
      <c r="J323">
        <v>0</v>
      </c>
      <c r="K323">
        <v>0</v>
      </c>
      <c r="L323">
        <v>0</v>
      </c>
      <c r="M323" t="s">
        <v>333</v>
      </c>
      <c r="N323" t="s">
        <v>326</v>
      </c>
    </row>
    <row r="324" spans="1:14" x14ac:dyDescent="0.3">
      <c r="A324">
        <v>312</v>
      </c>
      <c r="B324" t="s">
        <v>323</v>
      </c>
      <c r="C324">
        <v>137</v>
      </c>
      <c r="D324" t="s">
        <v>75</v>
      </c>
      <c r="E324">
        <v>879</v>
      </c>
      <c r="F324" t="s">
        <v>534</v>
      </c>
      <c r="G324">
        <v>0</v>
      </c>
      <c r="H324">
        <v>0</v>
      </c>
      <c r="I324">
        <v>0</v>
      </c>
      <c r="J324">
        <v>0</v>
      </c>
      <c r="K324">
        <v>0</v>
      </c>
      <c r="L324">
        <v>0</v>
      </c>
      <c r="M324" t="s">
        <v>333</v>
      </c>
      <c r="N324" t="s">
        <v>336</v>
      </c>
    </row>
    <row r="325" spans="1:14" x14ac:dyDescent="0.3">
      <c r="A325">
        <v>312</v>
      </c>
      <c r="B325" t="s">
        <v>323</v>
      </c>
      <c r="C325">
        <v>137</v>
      </c>
      <c r="D325" t="s">
        <v>75</v>
      </c>
      <c r="E325">
        <v>880</v>
      </c>
      <c r="F325" t="s">
        <v>535</v>
      </c>
      <c r="G325">
        <v>2</v>
      </c>
      <c r="H325">
        <v>0</v>
      </c>
      <c r="I325">
        <v>0</v>
      </c>
      <c r="J325">
        <v>1</v>
      </c>
      <c r="K325">
        <v>1</v>
      </c>
      <c r="L325">
        <v>0</v>
      </c>
      <c r="M325" t="s">
        <v>325</v>
      </c>
      <c r="N325" t="s">
        <v>348</v>
      </c>
    </row>
    <row r="326" spans="1:14" x14ac:dyDescent="0.3">
      <c r="A326">
        <v>312</v>
      </c>
      <c r="B326" t="s">
        <v>323</v>
      </c>
      <c r="C326">
        <v>137</v>
      </c>
      <c r="D326" t="s">
        <v>75</v>
      </c>
      <c r="E326">
        <v>881</v>
      </c>
      <c r="F326" t="s">
        <v>536</v>
      </c>
      <c r="G326">
        <v>0</v>
      </c>
      <c r="H326">
        <v>0</v>
      </c>
      <c r="I326">
        <v>0</v>
      </c>
      <c r="J326">
        <v>1</v>
      </c>
      <c r="K326">
        <v>0</v>
      </c>
      <c r="L326">
        <v>0</v>
      </c>
      <c r="M326" t="s">
        <v>325</v>
      </c>
      <c r="N326" t="s">
        <v>336</v>
      </c>
    </row>
    <row r="327" spans="1:14" x14ac:dyDescent="0.3">
      <c r="A327">
        <v>312</v>
      </c>
      <c r="B327" t="s">
        <v>323</v>
      </c>
      <c r="C327">
        <v>137</v>
      </c>
      <c r="D327" t="s">
        <v>75</v>
      </c>
      <c r="E327">
        <v>882</v>
      </c>
      <c r="F327" t="s">
        <v>537</v>
      </c>
      <c r="G327">
        <v>0</v>
      </c>
      <c r="H327">
        <v>0</v>
      </c>
      <c r="I327">
        <v>0</v>
      </c>
      <c r="J327">
        <v>0</v>
      </c>
      <c r="K327">
        <v>1</v>
      </c>
      <c r="L327">
        <v>0</v>
      </c>
      <c r="M327" t="s">
        <v>325</v>
      </c>
      <c r="N327" t="s">
        <v>336</v>
      </c>
    </row>
    <row r="328" spans="1:14" x14ac:dyDescent="0.3">
      <c r="A328">
        <v>312</v>
      </c>
      <c r="B328" t="s">
        <v>323</v>
      </c>
      <c r="C328">
        <v>137</v>
      </c>
      <c r="D328" t="s">
        <v>75</v>
      </c>
      <c r="E328">
        <v>884</v>
      </c>
      <c r="F328" t="s">
        <v>538</v>
      </c>
      <c r="G328">
        <v>0</v>
      </c>
      <c r="H328">
        <v>0</v>
      </c>
      <c r="I328">
        <v>0</v>
      </c>
      <c r="J328">
        <v>1</v>
      </c>
      <c r="K328">
        <v>2</v>
      </c>
      <c r="L328">
        <v>1</v>
      </c>
      <c r="M328" t="s">
        <v>333</v>
      </c>
      <c r="N328" t="s">
        <v>336</v>
      </c>
    </row>
    <row r="329" spans="1:14" x14ac:dyDescent="0.3">
      <c r="A329">
        <v>312</v>
      </c>
      <c r="B329" t="s">
        <v>323</v>
      </c>
      <c r="C329">
        <v>137</v>
      </c>
      <c r="D329" t="s">
        <v>75</v>
      </c>
      <c r="E329">
        <v>885</v>
      </c>
      <c r="F329" t="s">
        <v>539</v>
      </c>
      <c r="G329">
        <v>2</v>
      </c>
      <c r="H329">
        <v>0</v>
      </c>
      <c r="I329">
        <v>1</v>
      </c>
      <c r="J329">
        <v>2</v>
      </c>
      <c r="K329">
        <v>1</v>
      </c>
      <c r="L329">
        <v>0</v>
      </c>
      <c r="M329" t="s">
        <v>410</v>
      </c>
      <c r="N329" t="s">
        <v>343</v>
      </c>
    </row>
    <row r="330" spans="1:14" x14ac:dyDescent="0.3">
      <c r="A330">
        <v>312</v>
      </c>
      <c r="B330" t="s">
        <v>323</v>
      </c>
      <c r="C330">
        <v>137</v>
      </c>
      <c r="D330" t="s">
        <v>75</v>
      </c>
      <c r="E330">
        <v>886</v>
      </c>
      <c r="F330" t="s">
        <v>540</v>
      </c>
      <c r="G330">
        <v>0</v>
      </c>
      <c r="H330">
        <v>1</v>
      </c>
      <c r="I330">
        <v>0</v>
      </c>
      <c r="J330">
        <v>0</v>
      </c>
      <c r="K330">
        <v>3</v>
      </c>
      <c r="L330">
        <v>1</v>
      </c>
      <c r="M330" t="s">
        <v>414</v>
      </c>
      <c r="N330" t="s">
        <v>343</v>
      </c>
    </row>
    <row r="331" spans="1:14" x14ac:dyDescent="0.3">
      <c r="A331">
        <v>312</v>
      </c>
      <c r="B331" t="s">
        <v>323</v>
      </c>
      <c r="C331">
        <v>137</v>
      </c>
      <c r="D331" t="s">
        <v>75</v>
      </c>
      <c r="E331">
        <v>887</v>
      </c>
      <c r="F331" t="s">
        <v>541</v>
      </c>
      <c r="G331">
        <v>1</v>
      </c>
      <c r="H331">
        <v>0</v>
      </c>
      <c r="I331">
        <v>1</v>
      </c>
      <c r="J331">
        <v>2</v>
      </c>
      <c r="K331">
        <v>0</v>
      </c>
      <c r="L331">
        <v>0</v>
      </c>
      <c r="M331" t="s">
        <v>325</v>
      </c>
      <c r="N331" t="s">
        <v>329</v>
      </c>
    </row>
    <row r="332" spans="1:14" x14ac:dyDescent="0.3">
      <c r="A332">
        <v>312</v>
      </c>
      <c r="B332" t="s">
        <v>323</v>
      </c>
      <c r="C332">
        <v>137</v>
      </c>
      <c r="D332" t="s">
        <v>75</v>
      </c>
      <c r="E332">
        <v>888</v>
      </c>
      <c r="F332" t="s">
        <v>542</v>
      </c>
      <c r="G332">
        <v>0</v>
      </c>
      <c r="H332">
        <v>0</v>
      </c>
      <c r="I332">
        <v>1</v>
      </c>
      <c r="J332">
        <v>2</v>
      </c>
      <c r="K332">
        <v>0</v>
      </c>
      <c r="L332">
        <v>1</v>
      </c>
      <c r="M332" t="s">
        <v>333</v>
      </c>
      <c r="N332" t="s">
        <v>336</v>
      </c>
    </row>
    <row r="333" spans="1:14" x14ac:dyDescent="0.3">
      <c r="A333">
        <v>312</v>
      </c>
      <c r="B333" t="s">
        <v>323</v>
      </c>
      <c r="C333">
        <v>137</v>
      </c>
      <c r="D333" t="s">
        <v>75</v>
      </c>
      <c r="E333">
        <v>889</v>
      </c>
      <c r="F333" t="s">
        <v>543</v>
      </c>
      <c r="G333">
        <v>0</v>
      </c>
      <c r="H333">
        <v>0</v>
      </c>
      <c r="I333">
        <v>0</v>
      </c>
      <c r="J333">
        <v>1</v>
      </c>
      <c r="K333">
        <v>1</v>
      </c>
      <c r="L333">
        <v>0</v>
      </c>
      <c r="M333" t="s">
        <v>325</v>
      </c>
      <c r="N333" t="s">
        <v>329</v>
      </c>
    </row>
    <row r="334" spans="1:14" x14ac:dyDescent="0.3">
      <c r="A334">
        <v>312</v>
      </c>
      <c r="B334" t="s">
        <v>323</v>
      </c>
      <c r="C334">
        <v>137</v>
      </c>
      <c r="D334" t="s">
        <v>75</v>
      </c>
      <c r="E334">
        <v>892</v>
      </c>
      <c r="F334" t="s">
        <v>544</v>
      </c>
      <c r="G334">
        <v>2</v>
      </c>
      <c r="H334">
        <v>0</v>
      </c>
      <c r="I334">
        <v>1</v>
      </c>
      <c r="J334">
        <v>3</v>
      </c>
      <c r="K334">
        <v>0</v>
      </c>
      <c r="L334">
        <v>0</v>
      </c>
      <c r="M334" t="s">
        <v>410</v>
      </c>
      <c r="N334" t="s">
        <v>348</v>
      </c>
    </row>
    <row r="335" spans="1:14" x14ac:dyDescent="0.3">
      <c r="A335">
        <v>312</v>
      </c>
      <c r="B335" t="s">
        <v>323</v>
      </c>
      <c r="C335">
        <v>137</v>
      </c>
      <c r="D335" t="s">
        <v>75</v>
      </c>
      <c r="E335">
        <v>893</v>
      </c>
      <c r="F335" t="s">
        <v>545</v>
      </c>
      <c r="G335">
        <v>0</v>
      </c>
      <c r="H335">
        <v>1</v>
      </c>
      <c r="I335">
        <v>0</v>
      </c>
      <c r="J335">
        <v>0</v>
      </c>
      <c r="K335">
        <v>1</v>
      </c>
      <c r="L335">
        <v>0</v>
      </c>
      <c r="M335" t="s">
        <v>325</v>
      </c>
      <c r="N335" t="s">
        <v>336</v>
      </c>
    </row>
    <row r="336" spans="1:14" x14ac:dyDescent="0.3">
      <c r="A336">
        <v>312</v>
      </c>
      <c r="B336" t="s">
        <v>323</v>
      </c>
      <c r="C336">
        <v>137</v>
      </c>
      <c r="D336" t="s">
        <v>75</v>
      </c>
      <c r="E336">
        <v>894</v>
      </c>
      <c r="F336" t="s">
        <v>546</v>
      </c>
      <c r="G336">
        <v>1</v>
      </c>
      <c r="H336">
        <v>0</v>
      </c>
      <c r="I336">
        <v>2</v>
      </c>
      <c r="J336">
        <v>3</v>
      </c>
      <c r="K336">
        <v>1</v>
      </c>
      <c r="L336">
        <v>0</v>
      </c>
      <c r="M336" t="s">
        <v>410</v>
      </c>
      <c r="N336" t="s">
        <v>336</v>
      </c>
    </row>
    <row r="337" spans="1:14" x14ac:dyDescent="0.3">
      <c r="A337">
        <v>312</v>
      </c>
      <c r="B337" t="s">
        <v>323</v>
      </c>
      <c r="C337">
        <v>137</v>
      </c>
      <c r="D337" t="s">
        <v>75</v>
      </c>
      <c r="E337">
        <v>1740</v>
      </c>
      <c r="F337" t="s">
        <v>1302</v>
      </c>
      <c r="G337">
        <v>0</v>
      </c>
      <c r="H337">
        <v>0</v>
      </c>
      <c r="I337">
        <v>0</v>
      </c>
      <c r="J337">
        <v>2</v>
      </c>
      <c r="K337">
        <v>0</v>
      </c>
      <c r="L337">
        <v>0</v>
      </c>
      <c r="M337" t="s">
        <v>333</v>
      </c>
      <c r="N337" t="s">
        <v>336</v>
      </c>
    </row>
    <row r="338" spans="1:14" x14ac:dyDescent="0.3">
      <c r="A338">
        <v>314</v>
      </c>
      <c r="B338" t="s">
        <v>323</v>
      </c>
      <c r="C338">
        <v>139</v>
      </c>
      <c r="D338" t="s">
        <v>79</v>
      </c>
      <c r="E338">
        <v>465</v>
      </c>
      <c r="F338" t="s">
        <v>349</v>
      </c>
      <c r="G338">
        <v>1</v>
      </c>
      <c r="H338">
        <v>2</v>
      </c>
      <c r="I338">
        <v>1</v>
      </c>
      <c r="J338">
        <v>1</v>
      </c>
      <c r="K338">
        <v>0</v>
      </c>
      <c r="L338">
        <v>1</v>
      </c>
      <c r="M338" t="s">
        <v>566</v>
      </c>
      <c r="N338" t="s">
        <v>326</v>
      </c>
    </row>
    <row r="339" spans="1:14" x14ac:dyDescent="0.3">
      <c r="A339">
        <v>314</v>
      </c>
      <c r="B339" t="s">
        <v>323</v>
      </c>
      <c r="C339">
        <v>139</v>
      </c>
      <c r="D339" t="s">
        <v>79</v>
      </c>
      <c r="E339">
        <v>466</v>
      </c>
      <c r="F339" t="s">
        <v>567</v>
      </c>
      <c r="G339">
        <v>0</v>
      </c>
      <c r="H339">
        <v>0</v>
      </c>
      <c r="I339">
        <v>0</v>
      </c>
      <c r="J339">
        <v>0</v>
      </c>
      <c r="K339">
        <v>0</v>
      </c>
      <c r="L339">
        <v>12</v>
      </c>
      <c r="M339" t="s">
        <v>325</v>
      </c>
      <c r="N339" t="s">
        <v>329</v>
      </c>
    </row>
    <row r="340" spans="1:14" x14ac:dyDescent="0.3">
      <c r="A340">
        <v>314</v>
      </c>
      <c r="B340" t="s">
        <v>323</v>
      </c>
      <c r="C340">
        <v>139</v>
      </c>
      <c r="D340" t="s">
        <v>79</v>
      </c>
      <c r="E340">
        <v>467</v>
      </c>
      <c r="F340" t="s">
        <v>568</v>
      </c>
      <c r="G340">
        <v>0</v>
      </c>
      <c r="H340">
        <v>0</v>
      </c>
      <c r="I340">
        <v>0</v>
      </c>
      <c r="J340">
        <v>0</v>
      </c>
      <c r="K340">
        <v>0</v>
      </c>
      <c r="L340">
        <v>5</v>
      </c>
      <c r="M340" t="s">
        <v>325</v>
      </c>
      <c r="N340" t="s">
        <v>326</v>
      </c>
    </row>
    <row r="341" spans="1:14" x14ac:dyDescent="0.3">
      <c r="A341">
        <v>314</v>
      </c>
      <c r="B341" t="s">
        <v>323</v>
      </c>
      <c r="C341">
        <v>139</v>
      </c>
      <c r="D341" t="s">
        <v>79</v>
      </c>
      <c r="E341">
        <v>468</v>
      </c>
      <c r="F341" t="s">
        <v>569</v>
      </c>
      <c r="G341">
        <v>0</v>
      </c>
      <c r="H341">
        <v>0</v>
      </c>
      <c r="I341">
        <v>0</v>
      </c>
      <c r="J341">
        <v>0</v>
      </c>
      <c r="K341">
        <v>0</v>
      </c>
      <c r="L341">
        <v>6</v>
      </c>
      <c r="M341" t="s">
        <v>325</v>
      </c>
      <c r="N341" t="s">
        <v>343</v>
      </c>
    </row>
    <row r="342" spans="1:14" x14ac:dyDescent="0.3">
      <c r="A342">
        <v>314</v>
      </c>
      <c r="B342" t="s">
        <v>323</v>
      </c>
      <c r="C342">
        <v>139</v>
      </c>
      <c r="D342" t="s">
        <v>79</v>
      </c>
      <c r="E342">
        <v>469</v>
      </c>
      <c r="F342" t="s">
        <v>570</v>
      </c>
      <c r="G342">
        <v>0</v>
      </c>
      <c r="H342">
        <v>0</v>
      </c>
      <c r="I342">
        <v>0</v>
      </c>
      <c r="J342">
        <v>0</v>
      </c>
      <c r="K342">
        <v>0</v>
      </c>
      <c r="L342">
        <v>7</v>
      </c>
      <c r="M342" t="s">
        <v>325</v>
      </c>
      <c r="N342" t="s">
        <v>348</v>
      </c>
    </row>
    <row r="343" spans="1:14" x14ac:dyDescent="0.3">
      <c r="A343">
        <v>314</v>
      </c>
      <c r="B343" t="s">
        <v>323</v>
      </c>
      <c r="C343">
        <v>139</v>
      </c>
      <c r="D343" t="s">
        <v>79</v>
      </c>
      <c r="E343">
        <v>470</v>
      </c>
      <c r="F343" t="s">
        <v>351</v>
      </c>
      <c r="G343">
        <v>0</v>
      </c>
      <c r="H343">
        <v>0</v>
      </c>
      <c r="I343">
        <v>0</v>
      </c>
      <c r="J343">
        <v>0</v>
      </c>
      <c r="K343">
        <v>0</v>
      </c>
      <c r="L343">
        <v>9</v>
      </c>
      <c r="M343" t="s">
        <v>325</v>
      </c>
      <c r="N343" t="s">
        <v>326</v>
      </c>
    </row>
    <row r="344" spans="1:14" x14ac:dyDescent="0.3">
      <c r="A344">
        <v>314</v>
      </c>
      <c r="B344" t="s">
        <v>323</v>
      </c>
      <c r="C344">
        <v>139</v>
      </c>
      <c r="D344" t="s">
        <v>79</v>
      </c>
      <c r="E344">
        <v>471</v>
      </c>
      <c r="F344" t="s">
        <v>571</v>
      </c>
      <c r="G344">
        <v>0</v>
      </c>
      <c r="H344">
        <v>0</v>
      </c>
      <c r="I344">
        <v>0</v>
      </c>
      <c r="J344">
        <v>0</v>
      </c>
      <c r="K344">
        <v>0</v>
      </c>
      <c r="L344">
        <v>8</v>
      </c>
      <c r="M344" t="s">
        <v>325</v>
      </c>
      <c r="N344" t="s">
        <v>336</v>
      </c>
    </row>
    <row r="345" spans="1:14" x14ac:dyDescent="0.3">
      <c r="A345">
        <v>314</v>
      </c>
      <c r="B345" t="s">
        <v>323</v>
      </c>
      <c r="C345">
        <v>139</v>
      </c>
      <c r="D345" t="s">
        <v>79</v>
      </c>
      <c r="E345">
        <v>472</v>
      </c>
      <c r="F345" t="s">
        <v>572</v>
      </c>
      <c r="G345">
        <v>0</v>
      </c>
      <c r="H345">
        <v>0</v>
      </c>
      <c r="I345">
        <v>0</v>
      </c>
      <c r="J345">
        <v>0</v>
      </c>
      <c r="K345">
        <v>0</v>
      </c>
      <c r="L345">
        <v>4</v>
      </c>
      <c r="M345" t="s">
        <v>333</v>
      </c>
      <c r="N345" t="s">
        <v>326</v>
      </c>
    </row>
    <row r="346" spans="1:14" x14ac:dyDescent="0.3">
      <c r="A346">
        <v>314</v>
      </c>
      <c r="B346" t="s">
        <v>323</v>
      </c>
      <c r="C346">
        <v>139</v>
      </c>
      <c r="D346" t="s">
        <v>79</v>
      </c>
      <c r="E346">
        <v>473</v>
      </c>
      <c r="F346" t="s">
        <v>573</v>
      </c>
      <c r="G346">
        <v>0</v>
      </c>
      <c r="H346">
        <v>0</v>
      </c>
      <c r="I346">
        <v>0</v>
      </c>
      <c r="J346">
        <v>0</v>
      </c>
      <c r="K346">
        <v>0</v>
      </c>
      <c r="L346">
        <v>7</v>
      </c>
      <c r="M346" t="s">
        <v>325</v>
      </c>
      <c r="N346" t="s">
        <v>326</v>
      </c>
    </row>
    <row r="347" spans="1:14" x14ac:dyDescent="0.3">
      <c r="A347">
        <v>314</v>
      </c>
      <c r="B347" t="s">
        <v>323</v>
      </c>
      <c r="C347">
        <v>139</v>
      </c>
      <c r="D347" t="s">
        <v>79</v>
      </c>
      <c r="E347">
        <v>474</v>
      </c>
      <c r="F347" t="s">
        <v>574</v>
      </c>
      <c r="G347">
        <v>0</v>
      </c>
      <c r="H347">
        <v>0</v>
      </c>
      <c r="I347">
        <v>0</v>
      </c>
      <c r="J347">
        <v>0</v>
      </c>
      <c r="K347">
        <v>0</v>
      </c>
      <c r="L347">
        <v>1</v>
      </c>
      <c r="M347" t="s">
        <v>325</v>
      </c>
      <c r="N347" t="s">
        <v>326</v>
      </c>
    </row>
    <row r="348" spans="1:14" x14ac:dyDescent="0.3">
      <c r="A348">
        <v>314</v>
      </c>
      <c r="B348" t="s">
        <v>323</v>
      </c>
      <c r="C348">
        <v>139</v>
      </c>
      <c r="D348" t="s">
        <v>79</v>
      </c>
      <c r="E348">
        <v>475</v>
      </c>
      <c r="F348" t="s">
        <v>376</v>
      </c>
      <c r="G348">
        <v>0</v>
      </c>
      <c r="H348">
        <v>0</v>
      </c>
      <c r="I348">
        <v>0</v>
      </c>
      <c r="J348">
        <v>0</v>
      </c>
      <c r="K348">
        <v>0</v>
      </c>
      <c r="L348">
        <v>6</v>
      </c>
      <c r="M348" t="s">
        <v>333</v>
      </c>
      <c r="N348" t="s">
        <v>326</v>
      </c>
    </row>
    <row r="349" spans="1:14" x14ac:dyDescent="0.3">
      <c r="A349">
        <v>314</v>
      </c>
      <c r="B349" t="s">
        <v>323</v>
      </c>
      <c r="C349">
        <v>139</v>
      </c>
      <c r="D349" t="s">
        <v>79</v>
      </c>
      <c r="E349">
        <v>476</v>
      </c>
      <c r="F349" t="s">
        <v>575</v>
      </c>
      <c r="G349">
        <v>0</v>
      </c>
      <c r="H349">
        <v>0</v>
      </c>
      <c r="I349">
        <v>0</v>
      </c>
      <c r="J349">
        <v>0</v>
      </c>
      <c r="K349">
        <v>0</v>
      </c>
      <c r="L349">
        <v>23</v>
      </c>
      <c r="M349" t="s">
        <v>325</v>
      </c>
      <c r="N349" t="s">
        <v>329</v>
      </c>
    </row>
    <row r="350" spans="1:14" x14ac:dyDescent="0.3">
      <c r="A350">
        <v>314</v>
      </c>
      <c r="B350" t="s">
        <v>323</v>
      </c>
      <c r="C350">
        <v>139</v>
      </c>
      <c r="D350" t="s">
        <v>79</v>
      </c>
      <c r="E350">
        <v>477</v>
      </c>
      <c r="F350" t="s">
        <v>576</v>
      </c>
      <c r="G350">
        <v>0</v>
      </c>
      <c r="H350">
        <v>0</v>
      </c>
      <c r="I350">
        <v>0</v>
      </c>
      <c r="J350">
        <v>0</v>
      </c>
      <c r="K350">
        <v>0</v>
      </c>
      <c r="L350">
        <v>40</v>
      </c>
      <c r="M350" t="s">
        <v>325</v>
      </c>
      <c r="N350" t="s">
        <v>326</v>
      </c>
    </row>
    <row r="351" spans="1:14" x14ac:dyDescent="0.3">
      <c r="A351">
        <v>314</v>
      </c>
      <c r="B351" t="s">
        <v>323</v>
      </c>
      <c r="C351">
        <v>139</v>
      </c>
      <c r="D351" t="s">
        <v>79</v>
      </c>
      <c r="E351">
        <v>478</v>
      </c>
      <c r="F351" t="s">
        <v>577</v>
      </c>
      <c r="G351">
        <v>0</v>
      </c>
      <c r="H351">
        <v>0</v>
      </c>
      <c r="I351">
        <v>0</v>
      </c>
      <c r="J351">
        <v>0</v>
      </c>
      <c r="K351">
        <v>0</v>
      </c>
      <c r="L351">
        <v>6</v>
      </c>
      <c r="M351" t="s">
        <v>410</v>
      </c>
      <c r="N351" t="s">
        <v>326</v>
      </c>
    </row>
    <row r="352" spans="1:14" x14ac:dyDescent="0.3">
      <c r="A352">
        <v>314</v>
      </c>
      <c r="B352" t="s">
        <v>323</v>
      </c>
      <c r="C352">
        <v>139</v>
      </c>
      <c r="D352" t="s">
        <v>79</v>
      </c>
      <c r="E352">
        <v>479</v>
      </c>
      <c r="F352" t="s">
        <v>578</v>
      </c>
      <c r="G352">
        <v>0</v>
      </c>
      <c r="H352">
        <v>0</v>
      </c>
      <c r="I352">
        <v>0</v>
      </c>
      <c r="J352">
        <v>0</v>
      </c>
      <c r="K352">
        <v>0</v>
      </c>
      <c r="L352">
        <v>7</v>
      </c>
      <c r="M352" t="s">
        <v>325</v>
      </c>
      <c r="N352" t="s">
        <v>326</v>
      </c>
    </row>
    <row r="353" spans="1:14" x14ac:dyDescent="0.3">
      <c r="A353">
        <v>314</v>
      </c>
      <c r="B353" t="s">
        <v>323</v>
      </c>
      <c r="C353">
        <v>139</v>
      </c>
      <c r="D353" t="s">
        <v>79</v>
      </c>
      <c r="E353">
        <v>480</v>
      </c>
      <c r="F353" t="s">
        <v>579</v>
      </c>
      <c r="G353">
        <v>0</v>
      </c>
      <c r="H353">
        <v>0</v>
      </c>
      <c r="I353">
        <v>0</v>
      </c>
      <c r="J353">
        <v>0</v>
      </c>
      <c r="K353">
        <v>0</v>
      </c>
      <c r="L353">
        <v>6</v>
      </c>
      <c r="M353" t="s">
        <v>325</v>
      </c>
      <c r="N353" t="s">
        <v>348</v>
      </c>
    </row>
    <row r="354" spans="1:14" x14ac:dyDescent="0.3">
      <c r="A354">
        <v>314</v>
      </c>
      <c r="B354" t="s">
        <v>323</v>
      </c>
      <c r="C354">
        <v>139</v>
      </c>
      <c r="D354" t="s">
        <v>79</v>
      </c>
      <c r="E354">
        <v>481</v>
      </c>
      <c r="F354" t="s">
        <v>580</v>
      </c>
      <c r="G354">
        <v>0</v>
      </c>
      <c r="H354">
        <v>0</v>
      </c>
      <c r="I354">
        <v>0</v>
      </c>
      <c r="J354">
        <v>0</v>
      </c>
      <c r="K354">
        <v>0</v>
      </c>
      <c r="L354">
        <v>8</v>
      </c>
      <c r="M354" t="s">
        <v>325</v>
      </c>
      <c r="N354" t="s">
        <v>326</v>
      </c>
    </row>
    <row r="355" spans="1:14" x14ac:dyDescent="0.3">
      <c r="A355">
        <v>314</v>
      </c>
      <c r="B355" t="s">
        <v>323</v>
      </c>
      <c r="C355">
        <v>139</v>
      </c>
      <c r="D355" t="s">
        <v>79</v>
      </c>
      <c r="E355">
        <v>482</v>
      </c>
      <c r="F355" t="s">
        <v>581</v>
      </c>
      <c r="G355">
        <v>0</v>
      </c>
      <c r="H355">
        <v>0</v>
      </c>
      <c r="I355">
        <v>0</v>
      </c>
      <c r="J355">
        <v>0</v>
      </c>
      <c r="K355">
        <v>0</v>
      </c>
      <c r="L355">
        <v>9</v>
      </c>
      <c r="M355" t="s">
        <v>325</v>
      </c>
      <c r="N355" t="s">
        <v>336</v>
      </c>
    </row>
    <row r="356" spans="1:14" x14ac:dyDescent="0.3">
      <c r="A356">
        <v>314</v>
      </c>
      <c r="B356" t="s">
        <v>323</v>
      </c>
      <c r="C356">
        <v>139</v>
      </c>
      <c r="D356" t="s">
        <v>79</v>
      </c>
      <c r="E356">
        <v>483</v>
      </c>
      <c r="F356" t="s">
        <v>582</v>
      </c>
      <c r="G356">
        <v>0</v>
      </c>
      <c r="H356">
        <v>0</v>
      </c>
      <c r="I356">
        <v>0</v>
      </c>
      <c r="J356">
        <v>0</v>
      </c>
      <c r="K356">
        <v>0</v>
      </c>
      <c r="L356">
        <v>5</v>
      </c>
      <c r="M356" t="s">
        <v>325</v>
      </c>
      <c r="N356" t="s">
        <v>326</v>
      </c>
    </row>
    <row r="357" spans="1:14" x14ac:dyDescent="0.3">
      <c r="A357">
        <v>314</v>
      </c>
      <c r="B357" t="s">
        <v>323</v>
      </c>
      <c r="C357">
        <v>139</v>
      </c>
      <c r="D357" t="s">
        <v>79</v>
      </c>
      <c r="E357">
        <v>484</v>
      </c>
      <c r="F357" t="s">
        <v>583</v>
      </c>
      <c r="G357">
        <v>0</v>
      </c>
      <c r="H357">
        <v>0</v>
      </c>
      <c r="I357">
        <v>0</v>
      </c>
      <c r="J357">
        <v>0</v>
      </c>
      <c r="K357">
        <v>0</v>
      </c>
      <c r="L357">
        <v>4</v>
      </c>
      <c r="M357" t="s">
        <v>325</v>
      </c>
      <c r="N357" t="s">
        <v>348</v>
      </c>
    </row>
    <row r="358" spans="1:14" x14ac:dyDescent="0.3">
      <c r="A358">
        <v>314</v>
      </c>
      <c r="B358" t="s">
        <v>323</v>
      </c>
      <c r="C358">
        <v>139</v>
      </c>
      <c r="D358" t="s">
        <v>79</v>
      </c>
      <c r="E358">
        <v>1420</v>
      </c>
      <c r="F358" t="s">
        <v>584</v>
      </c>
      <c r="G358">
        <v>0</v>
      </c>
      <c r="H358">
        <v>0</v>
      </c>
      <c r="I358">
        <v>0</v>
      </c>
      <c r="J358">
        <v>0</v>
      </c>
      <c r="K358">
        <v>0</v>
      </c>
      <c r="L358">
        <v>6</v>
      </c>
      <c r="M358" t="s">
        <v>333</v>
      </c>
      <c r="N358" t="s">
        <v>326</v>
      </c>
    </row>
    <row r="359" spans="1:14" x14ac:dyDescent="0.3">
      <c r="A359">
        <v>314</v>
      </c>
      <c r="B359" t="s">
        <v>323</v>
      </c>
      <c r="C359">
        <v>139</v>
      </c>
      <c r="D359" t="s">
        <v>79</v>
      </c>
      <c r="E359">
        <v>1422</v>
      </c>
      <c r="F359" t="s">
        <v>585</v>
      </c>
      <c r="G359">
        <v>0</v>
      </c>
      <c r="H359">
        <v>0</v>
      </c>
      <c r="I359">
        <v>0</v>
      </c>
      <c r="J359">
        <v>0</v>
      </c>
      <c r="K359">
        <v>0</v>
      </c>
      <c r="L359">
        <v>7</v>
      </c>
      <c r="M359" t="s">
        <v>325</v>
      </c>
      <c r="N359" t="s">
        <v>326</v>
      </c>
    </row>
    <row r="360" spans="1:14" x14ac:dyDescent="0.3">
      <c r="A360">
        <v>316</v>
      </c>
      <c r="B360" t="s">
        <v>323</v>
      </c>
      <c r="C360">
        <v>141</v>
      </c>
      <c r="D360" t="s">
        <v>83</v>
      </c>
      <c r="E360">
        <v>1391</v>
      </c>
      <c r="F360" t="s">
        <v>586</v>
      </c>
      <c r="G360">
        <v>0</v>
      </c>
      <c r="H360">
        <v>0</v>
      </c>
      <c r="I360">
        <v>1</v>
      </c>
      <c r="J360">
        <v>1</v>
      </c>
      <c r="K360">
        <v>3</v>
      </c>
      <c r="L360">
        <v>0</v>
      </c>
      <c r="M360" t="s">
        <v>333</v>
      </c>
      <c r="N360" t="s">
        <v>326</v>
      </c>
    </row>
    <row r="361" spans="1:14" x14ac:dyDescent="0.3">
      <c r="A361">
        <v>316</v>
      </c>
      <c r="B361" t="s">
        <v>323</v>
      </c>
      <c r="C361">
        <v>141</v>
      </c>
      <c r="D361" t="s">
        <v>83</v>
      </c>
      <c r="E361">
        <v>1392</v>
      </c>
      <c r="F361" t="s">
        <v>381</v>
      </c>
      <c r="G361">
        <v>0</v>
      </c>
      <c r="H361">
        <v>0</v>
      </c>
      <c r="I361">
        <v>0</v>
      </c>
      <c r="J361">
        <v>0</v>
      </c>
      <c r="K361">
        <v>4</v>
      </c>
      <c r="L361">
        <v>0</v>
      </c>
      <c r="M361" t="s">
        <v>333</v>
      </c>
      <c r="N361" t="s">
        <v>326</v>
      </c>
    </row>
    <row r="362" spans="1:14" x14ac:dyDescent="0.3">
      <c r="A362">
        <v>316</v>
      </c>
      <c r="B362" t="s">
        <v>323</v>
      </c>
      <c r="C362">
        <v>141</v>
      </c>
      <c r="D362" t="s">
        <v>83</v>
      </c>
      <c r="E362">
        <v>1393</v>
      </c>
      <c r="F362" t="s">
        <v>587</v>
      </c>
      <c r="G362">
        <v>0</v>
      </c>
      <c r="H362">
        <v>0</v>
      </c>
      <c r="I362">
        <v>1</v>
      </c>
      <c r="J362">
        <v>0</v>
      </c>
      <c r="K362">
        <v>5</v>
      </c>
      <c r="L362">
        <v>0</v>
      </c>
      <c r="M362" t="s">
        <v>333</v>
      </c>
      <c r="N362" t="s">
        <v>326</v>
      </c>
    </row>
    <row r="363" spans="1:14" x14ac:dyDescent="0.3">
      <c r="A363">
        <v>316</v>
      </c>
      <c r="B363" t="s">
        <v>323</v>
      </c>
      <c r="C363">
        <v>141</v>
      </c>
      <c r="D363" t="s">
        <v>83</v>
      </c>
      <c r="E363">
        <v>1394</v>
      </c>
      <c r="F363" t="s">
        <v>588</v>
      </c>
      <c r="G363">
        <v>0</v>
      </c>
      <c r="H363">
        <v>0</v>
      </c>
      <c r="I363">
        <v>1</v>
      </c>
      <c r="J363">
        <v>3</v>
      </c>
      <c r="K363">
        <v>2</v>
      </c>
      <c r="L363">
        <v>0</v>
      </c>
      <c r="M363" t="s">
        <v>333</v>
      </c>
      <c r="N363" t="s">
        <v>326</v>
      </c>
    </row>
    <row r="364" spans="1:14" x14ac:dyDescent="0.3">
      <c r="A364">
        <v>316</v>
      </c>
      <c r="B364" t="s">
        <v>323</v>
      </c>
      <c r="C364">
        <v>141</v>
      </c>
      <c r="D364" t="s">
        <v>83</v>
      </c>
      <c r="E364">
        <v>1395</v>
      </c>
      <c r="F364" t="s">
        <v>589</v>
      </c>
      <c r="G364">
        <v>0</v>
      </c>
      <c r="H364">
        <v>0</v>
      </c>
      <c r="I364">
        <v>0</v>
      </c>
      <c r="J364">
        <v>3</v>
      </c>
      <c r="K364">
        <v>2</v>
      </c>
      <c r="L364">
        <v>0</v>
      </c>
      <c r="M364" t="s">
        <v>333</v>
      </c>
      <c r="N364" t="s">
        <v>326</v>
      </c>
    </row>
    <row r="365" spans="1:14" x14ac:dyDescent="0.3">
      <c r="A365">
        <v>316</v>
      </c>
      <c r="B365" t="s">
        <v>323</v>
      </c>
      <c r="C365">
        <v>141</v>
      </c>
      <c r="D365" t="s">
        <v>83</v>
      </c>
      <c r="E365">
        <v>1396</v>
      </c>
      <c r="F365" t="s">
        <v>590</v>
      </c>
      <c r="G365">
        <v>0</v>
      </c>
      <c r="H365">
        <v>1</v>
      </c>
      <c r="I365">
        <v>2</v>
      </c>
      <c r="J365">
        <v>2</v>
      </c>
      <c r="K365">
        <v>1</v>
      </c>
      <c r="L365">
        <v>0</v>
      </c>
      <c r="M365" t="s">
        <v>325</v>
      </c>
      <c r="N365" t="s">
        <v>484</v>
      </c>
    </row>
    <row r="366" spans="1:14" x14ac:dyDescent="0.3">
      <c r="A366">
        <v>316</v>
      </c>
      <c r="B366" t="s">
        <v>323</v>
      </c>
      <c r="C366">
        <v>141</v>
      </c>
      <c r="D366" t="s">
        <v>83</v>
      </c>
      <c r="E366">
        <v>1397</v>
      </c>
      <c r="F366" t="s">
        <v>353</v>
      </c>
      <c r="G366">
        <v>0</v>
      </c>
      <c r="H366">
        <v>0</v>
      </c>
      <c r="I366">
        <v>0</v>
      </c>
      <c r="J366">
        <v>1</v>
      </c>
      <c r="K366">
        <v>3</v>
      </c>
      <c r="L366">
        <v>0</v>
      </c>
      <c r="M366" t="s">
        <v>333</v>
      </c>
      <c r="N366" t="s">
        <v>336</v>
      </c>
    </row>
    <row r="367" spans="1:14" x14ac:dyDescent="0.3">
      <c r="A367">
        <v>316</v>
      </c>
      <c r="B367" t="s">
        <v>323</v>
      </c>
      <c r="C367">
        <v>141</v>
      </c>
      <c r="D367" t="s">
        <v>83</v>
      </c>
      <c r="E367">
        <v>1775</v>
      </c>
      <c r="F367" t="s">
        <v>1303</v>
      </c>
      <c r="G367">
        <v>0</v>
      </c>
      <c r="H367">
        <v>2</v>
      </c>
      <c r="I367">
        <v>0</v>
      </c>
      <c r="J367">
        <v>0</v>
      </c>
      <c r="K367">
        <v>2</v>
      </c>
      <c r="L367">
        <v>0</v>
      </c>
      <c r="M367" t="s">
        <v>325</v>
      </c>
      <c r="N367" t="s">
        <v>343</v>
      </c>
    </row>
    <row r="368" spans="1:14" x14ac:dyDescent="0.3">
      <c r="A368">
        <v>318</v>
      </c>
      <c r="B368" t="s">
        <v>1231</v>
      </c>
      <c r="C368">
        <v>143</v>
      </c>
      <c r="D368" t="s">
        <v>87</v>
      </c>
      <c r="E368">
        <v>1786</v>
      </c>
      <c r="F368" t="s">
        <v>1304</v>
      </c>
    </row>
    <row r="369" spans="1:14" x14ac:dyDescent="0.3">
      <c r="A369">
        <v>318</v>
      </c>
      <c r="B369" t="s">
        <v>1231</v>
      </c>
      <c r="C369">
        <v>143</v>
      </c>
      <c r="D369" t="s">
        <v>87</v>
      </c>
      <c r="E369">
        <v>1787</v>
      </c>
      <c r="F369" t="s">
        <v>1305</v>
      </c>
    </row>
    <row r="370" spans="1:14" x14ac:dyDescent="0.3">
      <c r="A370">
        <v>318</v>
      </c>
      <c r="B370" t="s">
        <v>1231</v>
      </c>
      <c r="C370">
        <v>143</v>
      </c>
      <c r="D370" t="s">
        <v>87</v>
      </c>
      <c r="E370">
        <v>1788</v>
      </c>
      <c r="F370" t="s">
        <v>1306</v>
      </c>
    </row>
    <row r="371" spans="1:14" x14ac:dyDescent="0.3">
      <c r="A371">
        <v>323</v>
      </c>
      <c r="B371" t="s">
        <v>323</v>
      </c>
      <c r="C371">
        <v>148</v>
      </c>
      <c r="D371" t="s">
        <v>97</v>
      </c>
      <c r="E371">
        <v>293</v>
      </c>
      <c r="F371" t="s">
        <v>393</v>
      </c>
      <c r="G371">
        <v>0</v>
      </c>
      <c r="H371">
        <v>2</v>
      </c>
      <c r="I371">
        <v>1</v>
      </c>
      <c r="J371">
        <v>1</v>
      </c>
      <c r="K371">
        <v>0</v>
      </c>
      <c r="L371">
        <v>2</v>
      </c>
      <c r="M371" t="s">
        <v>410</v>
      </c>
      <c r="N371" t="s">
        <v>336</v>
      </c>
    </row>
    <row r="372" spans="1:14" x14ac:dyDescent="0.3">
      <c r="A372">
        <v>323</v>
      </c>
      <c r="B372" t="s">
        <v>323</v>
      </c>
      <c r="C372">
        <v>148</v>
      </c>
      <c r="D372" t="s">
        <v>97</v>
      </c>
      <c r="E372">
        <v>294</v>
      </c>
      <c r="F372" t="s">
        <v>572</v>
      </c>
      <c r="G372">
        <v>0</v>
      </c>
      <c r="H372">
        <v>0</v>
      </c>
      <c r="I372">
        <v>0</v>
      </c>
      <c r="J372">
        <v>0</v>
      </c>
      <c r="K372">
        <v>0</v>
      </c>
      <c r="L372">
        <v>4</v>
      </c>
      <c r="M372" t="s">
        <v>333</v>
      </c>
      <c r="N372" t="s">
        <v>336</v>
      </c>
    </row>
    <row r="373" spans="1:14" x14ac:dyDescent="0.3">
      <c r="A373">
        <v>323</v>
      </c>
      <c r="B373" t="s">
        <v>323</v>
      </c>
      <c r="C373">
        <v>148</v>
      </c>
      <c r="D373" t="s">
        <v>97</v>
      </c>
      <c r="E373">
        <v>295</v>
      </c>
      <c r="F373" t="s">
        <v>1307</v>
      </c>
      <c r="G373">
        <v>0</v>
      </c>
      <c r="H373">
        <v>0</v>
      </c>
      <c r="I373">
        <v>0</v>
      </c>
      <c r="J373">
        <v>0</v>
      </c>
      <c r="K373">
        <v>0</v>
      </c>
      <c r="L373">
        <v>6</v>
      </c>
      <c r="M373" t="s">
        <v>333</v>
      </c>
      <c r="N373" t="s">
        <v>336</v>
      </c>
    </row>
    <row r="374" spans="1:14" x14ac:dyDescent="0.3">
      <c r="A374">
        <v>323</v>
      </c>
      <c r="B374" t="s">
        <v>323</v>
      </c>
      <c r="C374">
        <v>148</v>
      </c>
      <c r="D374" t="s">
        <v>97</v>
      </c>
      <c r="E374">
        <v>298</v>
      </c>
      <c r="F374" t="s">
        <v>1308</v>
      </c>
      <c r="G374">
        <v>0</v>
      </c>
      <c r="H374">
        <v>1</v>
      </c>
      <c r="I374">
        <v>0</v>
      </c>
      <c r="J374">
        <v>2</v>
      </c>
      <c r="K374">
        <v>0</v>
      </c>
      <c r="L374">
        <v>4</v>
      </c>
      <c r="M374" t="s">
        <v>325</v>
      </c>
      <c r="N374" t="s">
        <v>329</v>
      </c>
    </row>
    <row r="375" spans="1:14" x14ac:dyDescent="0.3">
      <c r="A375">
        <v>323</v>
      </c>
      <c r="B375" t="s">
        <v>323</v>
      </c>
      <c r="C375">
        <v>148</v>
      </c>
      <c r="D375" t="s">
        <v>97</v>
      </c>
      <c r="E375">
        <v>299</v>
      </c>
      <c r="F375" t="s">
        <v>353</v>
      </c>
      <c r="G375">
        <v>0</v>
      </c>
      <c r="H375">
        <v>0</v>
      </c>
      <c r="I375">
        <v>0</v>
      </c>
      <c r="J375">
        <v>0</v>
      </c>
      <c r="K375">
        <v>0</v>
      </c>
      <c r="L375">
        <v>6</v>
      </c>
      <c r="M375" t="s">
        <v>333</v>
      </c>
      <c r="N375" t="s">
        <v>336</v>
      </c>
    </row>
    <row r="376" spans="1:14" x14ac:dyDescent="0.3">
      <c r="A376">
        <v>323</v>
      </c>
      <c r="B376" t="s">
        <v>323</v>
      </c>
      <c r="C376">
        <v>148</v>
      </c>
      <c r="D376" t="s">
        <v>97</v>
      </c>
      <c r="E376">
        <v>300</v>
      </c>
      <c r="F376" t="s">
        <v>1309</v>
      </c>
      <c r="G376">
        <v>0</v>
      </c>
      <c r="H376">
        <v>2</v>
      </c>
      <c r="I376">
        <v>0</v>
      </c>
      <c r="J376">
        <v>1</v>
      </c>
      <c r="K376">
        <v>0</v>
      </c>
      <c r="L376">
        <v>3</v>
      </c>
      <c r="M376" t="s">
        <v>333</v>
      </c>
      <c r="N376" t="s">
        <v>336</v>
      </c>
    </row>
    <row r="377" spans="1:14" x14ac:dyDescent="0.3">
      <c r="A377">
        <v>323</v>
      </c>
      <c r="B377" t="s">
        <v>323</v>
      </c>
      <c r="C377">
        <v>148</v>
      </c>
      <c r="D377" t="s">
        <v>97</v>
      </c>
      <c r="E377">
        <v>305</v>
      </c>
      <c r="F377" t="s">
        <v>1310</v>
      </c>
      <c r="G377">
        <v>0</v>
      </c>
      <c r="H377">
        <v>1</v>
      </c>
      <c r="I377">
        <v>0</v>
      </c>
      <c r="J377">
        <v>2</v>
      </c>
      <c r="K377">
        <v>0</v>
      </c>
      <c r="L377">
        <v>7</v>
      </c>
      <c r="M377" t="s">
        <v>333</v>
      </c>
      <c r="N377" t="s">
        <v>336</v>
      </c>
    </row>
    <row r="378" spans="1:14" x14ac:dyDescent="0.3">
      <c r="A378">
        <v>323</v>
      </c>
      <c r="B378" t="s">
        <v>323</v>
      </c>
      <c r="C378">
        <v>148</v>
      </c>
      <c r="D378" t="s">
        <v>97</v>
      </c>
      <c r="E378">
        <v>306</v>
      </c>
      <c r="F378" t="s">
        <v>1311</v>
      </c>
      <c r="G378">
        <v>0</v>
      </c>
      <c r="H378">
        <v>1</v>
      </c>
      <c r="I378">
        <v>1</v>
      </c>
      <c r="J378">
        <v>1</v>
      </c>
      <c r="K378">
        <v>0</v>
      </c>
      <c r="L378">
        <v>1</v>
      </c>
      <c r="M378" t="s">
        <v>333</v>
      </c>
      <c r="N378" t="s">
        <v>336</v>
      </c>
    </row>
    <row r="379" spans="1:14" x14ac:dyDescent="0.3">
      <c r="A379">
        <v>323</v>
      </c>
      <c r="B379" t="s">
        <v>323</v>
      </c>
      <c r="C379">
        <v>148</v>
      </c>
      <c r="D379" t="s">
        <v>97</v>
      </c>
      <c r="E379">
        <v>307</v>
      </c>
      <c r="F379" t="s">
        <v>1312</v>
      </c>
      <c r="G379">
        <v>0</v>
      </c>
      <c r="H379">
        <v>2</v>
      </c>
      <c r="I379">
        <v>1</v>
      </c>
      <c r="J379">
        <v>1</v>
      </c>
      <c r="K379">
        <v>0</v>
      </c>
      <c r="L379">
        <v>2</v>
      </c>
      <c r="M379" t="s">
        <v>333</v>
      </c>
      <c r="N379" t="s">
        <v>336</v>
      </c>
    </row>
    <row r="380" spans="1:14" x14ac:dyDescent="0.3">
      <c r="A380">
        <v>323</v>
      </c>
      <c r="B380" t="s">
        <v>323</v>
      </c>
      <c r="C380">
        <v>148</v>
      </c>
      <c r="D380" t="s">
        <v>97</v>
      </c>
      <c r="E380">
        <v>310</v>
      </c>
      <c r="F380" t="s">
        <v>1313</v>
      </c>
      <c r="G380">
        <v>0</v>
      </c>
      <c r="H380">
        <v>1</v>
      </c>
      <c r="I380">
        <v>3</v>
      </c>
      <c r="J380">
        <v>1</v>
      </c>
      <c r="K380">
        <v>0</v>
      </c>
      <c r="L380">
        <v>0</v>
      </c>
      <c r="M380" t="s">
        <v>333</v>
      </c>
      <c r="N380" t="s">
        <v>336</v>
      </c>
    </row>
    <row r="381" spans="1:14" x14ac:dyDescent="0.3">
      <c r="A381">
        <v>323</v>
      </c>
      <c r="B381" t="s">
        <v>323</v>
      </c>
      <c r="C381">
        <v>148</v>
      </c>
      <c r="D381" t="s">
        <v>97</v>
      </c>
      <c r="E381">
        <v>312</v>
      </c>
      <c r="F381" t="s">
        <v>1314</v>
      </c>
      <c r="G381">
        <v>0</v>
      </c>
      <c r="H381">
        <v>1</v>
      </c>
      <c r="I381">
        <v>0</v>
      </c>
      <c r="J381">
        <v>0</v>
      </c>
      <c r="K381">
        <v>0</v>
      </c>
      <c r="L381">
        <v>7</v>
      </c>
      <c r="M381" t="s">
        <v>333</v>
      </c>
      <c r="N381" t="s">
        <v>336</v>
      </c>
    </row>
    <row r="382" spans="1:14" x14ac:dyDescent="0.3">
      <c r="A382">
        <v>323</v>
      </c>
      <c r="B382" t="s">
        <v>323</v>
      </c>
      <c r="C382">
        <v>148</v>
      </c>
      <c r="D382" t="s">
        <v>97</v>
      </c>
      <c r="E382">
        <v>1857</v>
      </c>
      <c r="F382" t="s">
        <v>462</v>
      </c>
      <c r="G382">
        <v>0</v>
      </c>
      <c r="H382">
        <v>0</v>
      </c>
      <c r="I382">
        <v>0</v>
      </c>
      <c r="J382">
        <v>0</v>
      </c>
      <c r="K382">
        <v>0</v>
      </c>
      <c r="L382">
        <v>11</v>
      </c>
      <c r="M382" t="s">
        <v>333</v>
      </c>
      <c r="N382" t="s">
        <v>336</v>
      </c>
    </row>
    <row r="383" spans="1:14" x14ac:dyDescent="0.3">
      <c r="A383">
        <v>323</v>
      </c>
      <c r="B383" t="s">
        <v>323</v>
      </c>
      <c r="C383">
        <v>148</v>
      </c>
      <c r="D383" t="s">
        <v>97</v>
      </c>
      <c r="E383">
        <v>1858</v>
      </c>
      <c r="F383" t="s">
        <v>1315</v>
      </c>
      <c r="G383">
        <v>0</v>
      </c>
      <c r="H383">
        <v>0</v>
      </c>
      <c r="I383">
        <v>2</v>
      </c>
      <c r="J383">
        <v>1</v>
      </c>
      <c r="K383">
        <v>0</v>
      </c>
      <c r="L383">
        <v>0</v>
      </c>
      <c r="M383" t="s">
        <v>333</v>
      </c>
      <c r="N383" t="s">
        <v>336</v>
      </c>
    </row>
    <row r="384" spans="1:14" x14ac:dyDescent="0.3">
      <c r="A384">
        <v>323</v>
      </c>
      <c r="B384" t="s">
        <v>323</v>
      </c>
      <c r="C384">
        <v>148</v>
      </c>
      <c r="D384" t="s">
        <v>97</v>
      </c>
      <c r="E384">
        <v>1859</v>
      </c>
      <c r="F384" t="s">
        <v>1316</v>
      </c>
      <c r="G384">
        <v>0</v>
      </c>
      <c r="H384">
        <v>1</v>
      </c>
      <c r="I384">
        <v>0</v>
      </c>
      <c r="J384">
        <v>0</v>
      </c>
      <c r="K384">
        <v>0</v>
      </c>
      <c r="L384">
        <v>3</v>
      </c>
      <c r="M384" t="s">
        <v>333</v>
      </c>
      <c r="N384" t="s">
        <v>326</v>
      </c>
    </row>
    <row r="385" spans="1:14" x14ac:dyDescent="0.3">
      <c r="A385">
        <v>323</v>
      </c>
      <c r="B385" t="s">
        <v>323</v>
      </c>
      <c r="C385">
        <v>148</v>
      </c>
      <c r="D385" t="s">
        <v>97</v>
      </c>
      <c r="E385">
        <v>1860</v>
      </c>
      <c r="F385" t="s">
        <v>1317</v>
      </c>
      <c r="G385">
        <v>0</v>
      </c>
      <c r="H385">
        <v>1</v>
      </c>
      <c r="I385">
        <v>0</v>
      </c>
      <c r="J385">
        <v>0</v>
      </c>
      <c r="K385">
        <v>0</v>
      </c>
      <c r="L385">
        <v>4</v>
      </c>
      <c r="M385" t="s">
        <v>333</v>
      </c>
      <c r="N385" t="s">
        <v>336</v>
      </c>
    </row>
    <row r="386" spans="1:14" x14ac:dyDescent="0.3">
      <c r="A386">
        <v>323</v>
      </c>
      <c r="B386" t="s">
        <v>323</v>
      </c>
      <c r="C386">
        <v>148</v>
      </c>
      <c r="D386" t="s">
        <v>97</v>
      </c>
      <c r="E386">
        <v>1861</v>
      </c>
      <c r="F386" t="s">
        <v>459</v>
      </c>
      <c r="G386">
        <v>0</v>
      </c>
      <c r="H386">
        <v>1</v>
      </c>
      <c r="I386">
        <v>0</v>
      </c>
      <c r="J386">
        <v>0</v>
      </c>
      <c r="K386">
        <v>0</v>
      </c>
      <c r="L386">
        <v>6</v>
      </c>
      <c r="M386" t="s">
        <v>325</v>
      </c>
      <c r="N386" t="s">
        <v>348</v>
      </c>
    </row>
    <row r="387" spans="1:14" x14ac:dyDescent="0.3">
      <c r="A387">
        <v>324</v>
      </c>
      <c r="B387" t="s">
        <v>323</v>
      </c>
      <c r="C387">
        <v>149</v>
      </c>
      <c r="D387" t="s">
        <v>99</v>
      </c>
      <c r="E387">
        <v>981</v>
      </c>
      <c r="F387" t="s">
        <v>1318</v>
      </c>
      <c r="G387">
        <v>0</v>
      </c>
      <c r="H387">
        <v>0</v>
      </c>
      <c r="I387">
        <v>0</v>
      </c>
      <c r="J387">
        <v>0</v>
      </c>
      <c r="K387">
        <v>0</v>
      </c>
      <c r="L387">
        <v>3</v>
      </c>
      <c r="M387" t="s">
        <v>333</v>
      </c>
      <c r="N387" t="s">
        <v>336</v>
      </c>
    </row>
    <row r="388" spans="1:14" x14ac:dyDescent="0.3">
      <c r="A388">
        <v>324</v>
      </c>
      <c r="B388" t="s">
        <v>323</v>
      </c>
      <c r="C388">
        <v>149</v>
      </c>
      <c r="D388" t="s">
        <v>99</v>
      </c>
      <c r="E388">
        <v>984</v>
      </c>
      <c r="F388" t="s">
        <v>1319</v>
      </c>
      <c r="G388">
        <v>0</v>
      </c>
      <c r="H388">
        <v>0</v>
      </c>
      <c r="I388">
        <v>0</v>
      </c>
      <c r="J388">
        <v>0</v>
      </c>
      <c r="K388">
        <v>0</v>
      </c>
      <c r="L388">
        <v>0</v>
      </c>
      <c r="M388" t="s">
        <v>333</v>
      </c>
      <c r="N388" t="s">
        <v>329</v>
      </c>
    </row>
    <row r="389" spans="1:14" x14ac:dyDescent="0.3">
      <c r="A389">
        <v>324</v>
      </c>
      <c r="B389" t="s">
        <v>323</v>
      </c>
      <c r="C389">
        <v>149</v>
      </c>
      <c r="D389" t="s">
        <v>99</v>
      </c>
      <c r="E389">
        <v>985</v>
      </c>
      <c r="F389" t="s">
        <v>1320</v>
      </c>
      <c r="G389">
        <v>0</v>
      </c>
      <c r="H389">
        <v>0</v>
      </c>
      <c r="I389">
        <v>0</v>
      </c>
      <c r="J389">
        <v>0</v>
      </c>
      <c r="K389">
        <v>0</v>
      </c>
      <c r="L389">
        <v>3</v>
      </c>
      <c r="M389" t="s">
        <v>333</v>
      </c>
      <c r="N389" t="s">
        <v>326</v>
      </c>
    </row>
    <row r="390" spans="1:14" x14ac:dyDescent="0.3">
      <c r="A390">
        <v>324</v>
      </c>
      <c r="B390" t="s">
        <v>323</v>
      </c>
      <c r="C390">
        <v>149</v>
      </c>
      <c r="D390" t="s">
        <v>99</v>
      </c>
      <c r="E390">
        <v>986</v>
      </c>
      <c r="F390" t="s">
        <v>1321</v>
      </c>
      <c r="G390">
        <v>0</v>
      </c>
      <c r="H390">
        <v>0</v>
      </c>
      <c r="I390">
        <v>0</v>
      </c>
      <c r="J390">
        <v>0</v>
      </c>
      <c r="K390">
        <v>0</v>
      </c>
      <c r="L390">
        <v>2</v>
      </c>
      <c r="M390" t="s">
        <v>333</v>
      </c>
      <c r="N390" t="s">
        <v>326</v>
      </c>
    </row>
    <row r="391" spans="1:14" x14ac:dyDescent="0.3">
      <c r="A391">
        <v>324</v>
      </c>
      <c r="B391" t="s">
        <v>323</v>
      </c>
      <c r="C391">
        <v>149</v>
      </c>
      <c r="D391" t="s">
        <v>99</v>
      </c>
      <c r="E391">
        <v>987</v>
      </c>
      <c r="F391" t="s">
        <v>1322</v>
      </c>
      <c r="G391">
        <v>0</v>
      </c>
      <c r="H391">
        <v>0</v>
      </c>
      <c r="I391">
        <v>0</v>
      </c>
      <c r="J391">
        <v>0</v>
      </c>
      <c r="K391">
        <v>0</v>
      </c>
      <c r="L391">
        <v>0</v>
      </c>
      <c r="M391" t="s">
        <v>333</v>
      </c>
      <c r="N391" t="s">
        <v>336</v>
      </c>
    </row>
    <row r="392" spans="1:14" x14ac:dyDescent="0.3">
      <c r="A392">
        <v>324</v>
      </c>
      <c r="B392" t="s">
        <v>323</v>
      </c>
      <c r="C392">
        <v>149</v>
      </c>
      <c r="D392" t="s">
        <v>99</v>
      </c>
      <c r="E392">
        <v>988</v>
      </c>
      <c r="F392" t="s">
        <v>1323</v>
      </c>
      <c r="G392">
        <v>0</v>
      </c>
      <c r="H392">
        <v>0</v>
      </c>
      <c r="I392">
        <v>0</v>
      </c>
      <c r="J392">
        <v>0</v>
      </c>
      <c r="K392">
        <v>0</v>
      </c>
      <c r="L392">
        <v>2</v>
      </c>
      <c r="M392" t="s">
        <v>333</v>
      </c>
      <c r="N392" t="s">
        <v>336</v>
      </c>
    </row>
    <row r="393" spans="1:14" x14ac:dyDescent="0.3">
      <c r="A393">
        <v>324</v>
      </c>
      <c r="B393" t="s">
        <v>323</v>
      </c>
      <c r="C393">
        <v>149</v>
      </c>
      <c r="D393" t="s">
        <v>99</v>
      </c>
      <c r="E393">
        <v>989</v>
      </c>
      <c r="F393" t="s">
        <v>1324</v>
      </c>
      <c r="G393">
        <v>0</v>
      </c>
      <c r="H393">
        <v>0</v>
      </c>
      <c r="I393">
        <v>0</v>
      </c>
      <c r="J393">
        <v>0</v>
      </c>
      <c r="K393">
        <v>0</v>
      </c>
      <c r="L393">
        <v>2</v>
      </c>
      <c r="M393" t="s">
        <v>333</v>
      </c>
      <c r="N393" t="s">
        <v>326</v>
      </c>
    </row>
    <row r="394" spans="1:14" x14ac:dyDescent="0.3">
      <c r="A394">
        <v>324</v>
      </c>
      <c r="B394" t="s">
        <v>323</v>
      </c>
      <c r="C394">
        <v>149</v>
      </c>
      <c r="D394" t="s">
        <v>99</v>
      </c>
      <c r="E394">
        <v>990</v>
      </c>
      <c r="F394" t="s">
        <v>1325</v>
      </c>
      <c r="G394">
        <v>0</v>
      </c>
      <c r="H394">
        <v>0</v>
      </c>
      <c r="I394">
        <v>0</v>
      </c>
      <c r="J394">
        <v>0</v>
      </c>
      <c r="K394">
        <v>0</v>
      </c>
      <c r="L394">
        <v>4</v>
      </c>
      <c r="M394" t="s">
        <v>325</v>
      </c>
      <c r="N394" t="s">
        <v>329</v>
      </c>
    </row>
    <row r="395" spans="1:14" x14ac:dyDescent="0.3">
      <c r="A395">
        <v>324</v>
      </c>
      <c r="B395" t="s">
        <v>323</v>
      </c>
      <c r="C395">
        <v>149</v>
      </c>
      <c r="D395" t="s">
        <v>99</v>
      </c>
      <c r="E395">
        <v>991</v>
      </c>
      <c r="F395" t="s">
        <v>1326</v>
      </c>
      <c r="G395">
        <v>0</v>
      </c>
      <c r="H395">
        <v>0</v>
      </c>
      <c r="I395">
        <v>0</v>
      </c>
      <c r="J395">
        <v>0</v>
      </c>
      <c r="K395">
        <v>0</v>
      </c>
      <c r="L395">
        <v>0</v>
      </c>
      <c r="M395" t="s">
        <v>333</v>
      </c>
      <c r="N395" t="s">
        <v>348</v>
      </c>
    </row>
    <row r="396" spans="1:14" x14ac:dyDescent="0.3">
      <c r="A396">
        <v>324</v>
      </c>
      <c r="B396" t="s">
        <v>323</v>
      </c>
      <c r="C396">
        <v>149</v>
      </c>
      <c r="D396" t="s">
        <v>99</v>
      </c>
      <c r="E396">
        <v>992</v>
      </c>
      <c r="F396" t="s">
        <v>1327</v>
      </c>
      <c r="G396">
        <v>0</v>
      </c>
      <c r="H396">
        <v>0</v>
      </c>
      <c r="I396">
        <v>0</v>
      </c>
      <c r="J396">
        <v>0</v>
      </c>
      <c r="K396">
        <v>0</v>
      </c>
      <c r="L396">
        <v>4</v>
      </c>
      <c r="M396" t="s">
        <v>333</v>
      </c>
      <c r="N396" t="s">
        <v>336</v>
      </c>
    </row>
    <row r="397" spans="1:14" x14ac:dyDescent="0.3">
      <c r="A397">
        <v>324</v>
      </c>
      <c r="B397" t="s">
        <v>323</v>
      </c>
      <c r="C397">
        <v>149</v>
      </c>
      <c r="D397" t="s">
        <v>99</v>
      </c>
      <c r="E397">
        <v>993</v>
      </c>
      <c r="F397" t="s">
        <v>1328</v>
      </c>
      <c r="G397">
        <v>0</v>
      </c>
      <c r="H397">
        <v>0</v>
      </c>
      <c r="I397">
        <v>0</v>
      </c>
      <c r="J397">
        <v>0</v>
      </c>
      <c r="K397">
        <v>0</v>
      </c>
      <c r="L397">
        <v>0</v>
      </c>
      <c r="M397" t="s">
        <v>333</v>
      </c>
      <c r="N397" t="s">
        <v>326</v>
      </c>
    </row>
    <row r="398" spans="1:14" x14ac:dyDescent="0.3">
      <c r="A398">
        <v>324</v>
      </c>
      <c r="B398" t="s">
        <v>323</v>
      </c>
      <c r="C398">
        <v>149</v>
      </c>
      <c r="D398" t="s">
        <v>99</v>
      </c>
      <c r="E398">
        <v>994</v>
      </c>
      <c r="F398" t="s">
        <v>1329</v>
      </c>
      <c r="G398">
        <v>0</v>
      </c>
      <c r="H398">
        <v>0</v>
      </c>
      <c r="I398">
        <v>0</v>
      </c>
      <c r="J398">
        <v>0</v>
      </c>
      <c r="K398">
        <v>0</v>
      </c>
      <c r="L398">
        <v>6</v>
      </c>
      <c r="M398" t="s">
        <v>325</v>
      </c>
      <c r="N398" t="s">
        <v>326</v>
      </c>
    </row>
    <row r="399" spans="1:14" x14ac:dyDescent="0.3">
      <c r="A399">
        <v>324</v>
      </c>
      <c r="B399" t="s">
        <v>323</v>
      </c>
      <c r="C399">
        <v>149</v>
      </c>
      <c r="D399" t="s">
        <v>99</v>
      </c>
      <c r="E399">
        <v>995</v>
      </c>
      <c r="F399" t="s">
        <v>1330</v>
      </c>
      <c r="G399">
        <v>0</v>
      </c>
      <c r="H399">
        <v>0</v>
      </c>
      <c r="I399">
        <v>0</v>
      </c>
      <c r="J399">
        <v>0</v>
      </c>
      <c r="K399">
        <v>0</v>
      </c>
      <c r="L399">
        <v>2</v>
      </c>
      <c r="M399" t="s">
        <v>333</v>
      </c>
      <c r="N399" t="s">
        <v>326</v>
      </c>
    </row>
    <row r="400" spans="1:14" x14ac:dyDescent="0.3">
      <c r="A400">
        <v>324</v>
      </c>
      <c r="B400" t="s">
        <v>323</v>
      </c>
      <c r="C400">
        <v>149</v>
      </c>
      <c r="D400" t="s">
        <v>99</v>
      </c>
      <c r="E400">
        <v>996</v>
      </c>
      <c r="F400" t="s">
        <v>1331</v>
      </c>
      <c r="G400">
        <v>0</v>
      </c>
      <c r="H400">
        <v>0</v>
      </c>
      <c r="I400">
        <v>0</v>
      </c>
      <c r="J400">
        <v>0</v>
      </c>
      <c r="K400">
        <v>0</v>
      </c>
      <c r="L400">
        <v>19</v>
      </c>
      <c r="M400" t="s">
        <v>325</v>
      </c>
      <c r="N400" t="s">
        <v>326</v>
      </c>
    </row>
    <row r="401" spans="1:14" x14ac:dyDescent="0.3">
      <c r="A401">
        <v>324</v>
      </c>
      <c r="B401" t="s">
        <v>323</v>
      </c>
      <c r="C401">
        <v>149</v>
      </c>
      <c r="D401" t="s">
        <v>99</v>
      </c>
      <c r="E401">
        <v>997</v>
      </c>
      <c r="F401" t="s">
        <v>1332</v>
      </c>
      <c r="G401">
        <v>0</v>
      </c>
      <c r="H401">
        <v>0</v>
      </c>
      <c r="I401">
        <v>0</v>
      </c>
      <c r="J401">
        <v>0</v>
      </c>
      <c r="K401">
        <v>0</v>
      </c>
      <c r="L401">
        <v>2</v>
      </c>
      <c r="M401" t="s">
        <v>325</v>
      </c>
      <c r="N401" t="s">
        <v>326</v>
      </c>
    </row>
    <row r="402" spans="1:14" x14ac:dyDescent="0.3">
      <c r="A402">
        <v>324</v>
      </c>
      <c r="B402" t="s">
        <v>323</v>
      </c>
      <c r="C402">
        <v>149</v>
      </c>
      <c r="D402" t="s">
        <v>99</v>
      </c>
      <c r="E402">
        <v>998</v>
      </c>
      <c r="F402" t="s">
        <v>1333</v>
      </c>
      <c r="G402">
        <v>0</v>
      </c>
      <c r="H402">
        <v>0</v>
      </c>
      <c r="I402">
        <v>0</v>
      </c>
      <c r="J402">
        <v>0</v>
      </c>
      <c r="K402">
        <v>0</v>
      </c>
      <c r="L402">
        <v>1</v>
      </c>
      <c r="M402" t="s">
        <v>333</v>
      </c>
      <c r="N402" t="s">
        <v>336</v>
      </c>
    </row>
    <row r="403" spans="1:14" x14ac:dyDescent="0.3">
      <c r="A403">
        <v>324</v>
      </c>
      <c r="B403" t="s">
        <v>323</v>
      </c>
      <c r="C403">
        <v>149</v>
      </c>
      <c r="D403" t="s">
        <v>99</v>
      </c>
      <c r="E403">
        <v>999</v>
      </c>
      <c r="F403" t="s">
        <v>1334</v>
      </c>
      <c r="G403">
        <v>0</v>
      </c>
      <c r="H403">
        <v>0</v>
      </c>
      <c r="I403">
        <v>0</v>
      </c>
      <c r="J403">
        <v>0</v>
      </c>
      <c r="K403">
        <v>0</v>
      </c>
      <c r="L403">
        <v>3</v>
      </c>
      <c r="M403" t="s">
        <v>333</v>
      </c>
      <c r="N403" t="s">
        <v>336</v>
      </c>
    </row>
    <row r="404" spans="1:14" x14ac:dyDescent="0.3">
      <c r="A404">
        <v>327</v>
      </c>
      <c r="B404" t="s">
        <v>323</v>
      </c>
      <c r="C404">
        <v>153</v>
      </c>
      <c r="D404" t="s">
        <v>105</v>
      </c>
      <c r="E404">
        <v>1757</v>
      </c>
      <c r="F404" t="s">
        <v>328</v>
      </c>
      <c r="G404">
        <v>0</v>
      </c>
      <c r="H404">
        <v>0</v>
      </c>
      <c r="I404">
        <v>0</v>
      </c>
      <c r="J404">
        <v>0</v>
      </c>
      <c r="K404">
        <v>1</v>
      </c>
      <c r="L404">
        <v>0</v>
      </c>
      <c r="M404" t="s">
        <v>333</v>
      </c>
      <c r="N404" t="s">
        <v>326</v>
      </c>
    </row>
    <row r="405" spans="1:14" x14ac:dyDescent="0.3">
      <c r="A405">
        <v>327</v>
      </c>
      <c r="B405" t="s">
        <v>323</v>
      </c>
      <c r="C405">
        <v>153</v>
      </c>
      <c r="D405" t="s">
        <v>105</v>
      </c>
      <c r="E405">
        <v>1758</v>
      </c>
      <c r="F405" t="s">
        <v>393</v>
      </c>
      <c r="G405">
        <v>0</v>
      </c>
      <c r="H405">
        <v>0</v>
      </c>
      <c r="I405">
        <v>0</v>
      </c>
      <c r="J405">
        <v>0</v>
      </c>
      <c r="K405">
        <v>3</v>
      </c>
      <c r="L405">
        <v>0</v>
      </c>
      <c r="M405" t="s">
        <v>325</v>
      </c>
      <c r="N405" t="s">
        <v>326</v>
      </c>
    </row>
    <row r="406" spans="1:14" x14ac:dyDescent="0.3">
      <c r="A406">
        <v>327</v>
      </c>
      <c r="B406" t="s">
        <v>323</v>
      </c>
      <c r="C406">
        <v>153</v>
      </c>
      <c r="D406" t="s">
        <v>105</v>
      </c>
      <c r="E406">
        <v>1759</v>
      </c>
      <c r="F406" t="s">
        <v>648</v>
      </c>
      <c r="G406">
        <v>0</v>
      </c>
      <c r="H406">
        <v>0</v>
      </c>
      <c r="I406">
        <v>0</v>
      </c>
      <c r="J406">
        <v>0</v>
      </c>
      <c r="K406">
        <v>0</v>
      </c>
      <c r="L406">
        <v>0</v>
      </c>
      <c r="M406" t="s">
        <v>333</v>
      </c>
      <c r="N406" t="s">
        <v>326</v>
      </c>
    </row>
    <row r="407" spans="1:14" x14ac:dyDescent="0.3">
      <c r="A407">
        <v>327</v>
      </c>
      <c r="B407" t="s">
        <v>323</v>
      </c>
      <c r="C407">
        <v>153</v>
      </c>
      <c r="D407" t="s">
        <v>105</v>
      </c>
      <c r="E407">
        <v>1760</v>
      </c>
      <c r="F407" t="s">
        <v>376</v>
      </c>
      <c r="G407">
        <v>0</v>
      </c>
      <c r="H407">
        <v>0</v>
      </c>
      <c r="I407">
        <v>0</v>
      </c>
      <c r="J407">
        <v>0</v>
      </c>
      <c r="K407">
        <v>0</v>
      </c>
      <c r="L407">
        <v>0</v>
      </c>
      <c r="M407" t="s">
        <v>333</v>
      </c>
      <c r="N407" t="s">
        <v>326</v>
      </c>
    </row>
    <row r="408" spans="1:14" x14ac:dyDescent="0.3">
      <c r="A408">
        <v>327</v>
      </c>
      <c r="B408" t="s">
        <v>323</v>
      </c>
      <c r="C408">
        <v>153</v>
      </c>
      <c r="D408" t="s">
        <v>105</v>
      </c>
      <c r="E408">
        <v>1761</v>
      </c>
      <c r="F408" t="s">
        <v>1335</v>
      </c>
      <c r="G408">
        <v>0</v>
      </c>
      <c r="H408">
        <v>1</v>
      </c>
      <c r="I408">
        <v>0</v>
      </c>
      <c r="J408">
        <v>1</v>
      </c>
      <c r="K408">
        <v>1</v>
      </c>
      <c r="L408">
        <v>1</v>
      </c>
      <c r="M408" t="s">
        <v>325</v>
      </c>
      <c r="N408" t="s">
        <v>326</v>
      </c>
    </row>
    <row r="409" spans="1:14" x14ac:dyDescent="0.3">
      <c r="A409">
        <v>327</v>
      </c>
      <c r="B409" t="s">
        <v>323</v>
      </c>
      <c r="C409">
        <v>153</v>
      </c>
      <c r="D409" t="s">
        <v>105</v>
      </c>
      <c r="E409">
        <v>1762</v>
      </c>
      <c r="F409" t="s">
        <v>1336</v>
      </c>
      <c r="G409">
        <v>0</v>
      </c>
      <c r="H409">
        <v>0</v>
      </c>
      <c r="I409">
        <v>0</v>
      </c>
      <c r="J409">
        <v>0</v>
      </c>
      <c r="K409">
        <v>1</v>
      </c>
      <c r="L409">
        <v>0</v>
      </c>
      <c r="M409" t="s">
        <v>325</v>
      </c>
      <c r="N409" t="s">
        <v>326</v>
      </c>
    </row>
    <row r="410" spans="1:14" x14ac:dyDescent="0.3">
      <c r="A410">
        <v>327</v>
      </c>
      <c r="B410" t="s">
        <v>323</v>
      </c>
      <c r="C410">
        <v>153</v>
      </c>
      <c r="D410" t="s">
        <v>105</v>
      </c>
      <c r="E410">
        <v>1763</v>
      </c>
      <c r="F410" t="s">
        <v>317</v>
      </c>
      <c r="G410">
        <v>0</v>
      </c>
      <c r="H410">
        <v>1</v>
      </c>
      <c r="I410">
        <v>0</v>
      </c>
      <c r="J410">
        <v>0</v>
      </c>
      <c r="K410">
        <v>0</v>
      </c>
      <c r="L410">
        <v>1</v>
      </c>
      <c r="M410" t="s">
        <v>325</v>
      </c>
      <c r="N410" t="s">
        <v>326</v>
      </c>
    </row>
    <row r="411" spans="1:14" x14ac:dyDescent="0.3">
      <c r="A411">
        <v>327</v>
      </c>
      <c r="B411" t="s">
        <v>323</v>
      </c>
      <c r="C411">
        <v>153</v>
      </c>
      <c r="D411" t="s">
        <v>105</v>
      </c>
      <c r="E411">
        <v>1764</v>
      </c>
      <c r="F411" t="s">
        <v>1337</v>
      </c>
      <c r="G411">
        <v>0</v>
      </c>
      <c r="H411">
        <v>0</v>
      </c>
      <c r="I411">
        <v>2</v>
      </c>
      <c r="J411">
        <v>0</v>
      </c>
      <c r="K411">
        <v>0</v>
      </c>
      <c r="L411">
        <v>0</v>
      </c>
      <c r="M411" t="s">
        <v>333</v>
      </c>
      <c r="N411" t="s">
        <v>326</v>
      </c>
    </row>
    <row r="412" spans="1:14" x14ac:dyDescent="0.3">
      <c r="A412">
        <v>327</v>
      </c>
      <c r="B412" t="s">
        <v>323</v>
      </c>
      <c r="C412">
        <v>153</v>
      </c>
      <c r="D412" t="s">
        <v>105</v>
      </c>
      <c r="E412">
        <v>1765</v>
      </c>
      <c r="F412" t="s">
        <v>1338</v>
      </c>
      <c r="G412">
        <v>0</v>
      </c>
      <c r="H412">
        <v>0</v>
      </c>
      <c r="I412">
        <v>0</v>
      </c>
      <c r="J412">
        <v>0</v>
      </c>
      <c r="K412">
        <v>1</v>
      </c>
      <c r="L412">
        <v>0</v>
      </c>
      <c r="M412" t="s">
        <v>410</v>
      </c>
      <c r="N412" t="s">
        <v>326</v>
      </c>
    </row>
    <row r="413" spans="1:14" x14ac:dyDescent="0.3">
      <c r="A413">
        <v>327</v>
      </c>
      <c r="B413" t="s">
        <v>323</v>
      </c>
      <c r="C413">
        <v>153</v>
      </c>
      <c r="D413" t="s">
        <v>105</v>
      </c>
      <c r="E413">
        <v>1766</v>
      </c>
      <c r="F413" t="s">
        <v>1339</v>
      </c>
      <c r="G413">
        <v>0</v>
      </c>
      <c r="H413">
        <v>0</v>
      </c>
      <c r="I413">
        <v>0</v>
      </c>
      <c r="J413">
        <v>1</v>
      </c>
      <c r="K413">
        <v>4</v>
      </c>
      <c r="L413">
        <v>0</v>
      </c>
      <c r="M413" t="s">
        <v>333</v>
      </c>
      <c r="N413" t="s">
        <v>326</v>
      </c>
    </row>
    <row r="414" spans="1:14" x14ac:dyDescent="0.3">
      <c r="A414">
        <v>327</v>
      </c>
      <c r="B414" t="s">
        <v>323</v>
      </c>
      <c r="C414">
        <v>153</v>
      </c>
      <c r="D414" t="s">
        <v>105</v>
      </c>
      <c r="E414">
        <v>1767</v>
      </c>
      <c r="F414" t="s">
        <v>1340</v>
      </c>
      <c r="G414">
        <v>0</v>
      </c>
      <c r="H414">
        <v>0</v>
      </c>
      <c r="I414">
        <v>0</v>
      </c>
      <c r="J414">
        <v>0</v>
      </c>
      <c r="K414">
        <v>2</v>
      </c>
      <c r="L414">
        <v>0</v>
      </c>
      <c r="M414" t="s">
        <v>333</v>
      </c>
      <c r="N414" t="s">
        <v>326</v>
      </c>
    </row>
    <row r="415" spans="1:14" x14ac:dyDescent="0.3">
      <c r="A415">
        <v>327</v>
      </c>
      <c r="B415" t="s">
        <v>323</v>
      </c>
      <c r="C415">
        <v>153</v>
      </c>
      <c r="D415" t="s">
        <v>105</v>
      </c>
      <c r="E415">
        <v>1768</v>
      </c>
      <c r="F415" t="s">
        <v>1341</v>
      </c>
      <c r="G415">
        <v>0</v>
      </c>
      <c r="H415">
        <v>1</v>
      </c>
      <c r="I415">
        <v>0</v>
      </c>
      <c r="J415">
        <v>1</v>
      </c>
      <c r="K415">
        <v>10</v>
      </c>
      <c r="L415">
        <v>4</v>
      </c>
      <c r="M415" t="s">
        <v>414</v>
      </c>
      <c r="N415" t="s">
        <v>326</v>
      </c>
    </row>
    <row r="416" spans="1:14" x14ac:dyDescent="0.3">
      <c r="A416">
        <v>329</v>
      </c>
      <c r="B416" t="s">
        <v>323</v>
      </c>
      <c r="C416">
        <v>155</v>
      </c>
      <c r="D416" t="s">
        <v>109</v>
      </c>
      <c r="E416">
        <v>912</v>
      </c>
      <c r="F416" t="s">
        <v>593</v>
      </c>
      <c r="G416">
        <v>0</v>
      </c>
      <c r="H416">
        <v>0</v>
      </c>
      <c r="I416">
        <v>1</v>
      </c>
      <c r="J416">
        <v>0</v>
      </c>
      <c r="K416">
        <v>0</v>
      </c>
      <c r="L416">
        <v>1</v>
      </c>
      <c r="M416" t="s">
        <v>333</v>
      </c>
      <c r="N416" t="s">
        <v>336</v>
      </c>
    </row>
    <row r="417" spans="1:14" x14ac:dyDescent="0.3">
      <c r="A417">
        <v>329</v>
      </c>
      <c r="B417" t="s">
        <v>323</v>
      </c>
      <c r="C417">
        <v>155</v>
      </c>
      <c r="D417" t="s">
        <v>109</v>
      </c>
      <c r="E417">
        <v>913</v>
      </c>
      <c r="F417" t="s">
        <v>594</v>
      </c>
      <c r="G417">
        <v>0</v>
      </c>
      <c r="H417">
        <v>0</v>
      </c>
      <c r="I417">
        <v>0</v>
      </c>
      <c r="J417">
        <v>0</v>
      </c>
      <c r="K417">
        <v>1</v>
      </c>
      <c r="L417">
        <v>1</v>
      </c>
      <c r="M417" t="s">
        <v>333</v>
      </c>
      <c r="N417" t="s">
        <v>336</v>
      </c>
    </row>
    <row r="418" spans="1:14" x14ac:dyDescent="0.3">
      <c r="A418">
        <v>329</v>
      </c>
      <c r="B418" t="s">
        <v>323</v>
      </c>
      <c r="C418">
        <v>155</v>
      </c>
      <c r="D418" t="s">
        <v>109</v>
      </c>
      <c r="E418">
        <v>914</v>
      </c>
      <c r="F418" t="s">
        <v>595</v>
      </c>
      <c r="G418">
        <v>0</v>
      </c>
      <c r="H418">
        <v>0</v>
      </c>
      <c r="I418">
        <v>1</v>
      </c>
      <c r="J418">
        <v>0</v>
      </c>
      <c r="K418">
        <v>1</v>
      </c>
      <c r="L418">
        <v>0</v>
      </c>
      <c r="M418" t="s">
        <v>325</v>
      </c>
      <c r="N418" t="s">
        <v>348</v>
      </c>
    </row>
    <row r="419" spans="1:14" x14ac:dyDescent="0.3">
      <c r="A419">
        <v>329</v>
      </c>
      <c r="B419" t="s">
        <v>323</v>
      </c>
      <c r="C419">
        <v>155</v>
      </c>
      <c r="D419" t="s">
        <v>109</v>
      </c>
      <c r="E419">
        <v>915</v>
      </c>
      <c r="F419" t="s">
        <v>498</v>
      </c>
      <c r="G419">
        <v>0</v>
      </c>
      <c r="H419">
        <v>0</v>
      </c>
      <c r="I419">
        <v>1</v>
      </c>
      <c r="J419">
        <v>0</v>
      </c>
      <c r="K419">
        <v>1</v>
      </c>
      <c r="L419">
        <v>0</v>
      </c>
      <c r="M419" t="s">
        <v>333</v>
      </c>
      <c r="N419" t="s">
        <v>326</v>
      </c>
    </row>
    <row r="420" spans="1:14" x14ac:dyDescent="0.3">
      <c r="A420">
        <v>329</v>
      </c>
      <c r="B420" t="s">
        <v>323</v>
      </c>
      <c r="C420">
        <v>155</v>
      </c>
      <c r="D420" t="s">
        <v>109</v>
      </c>
      <c r="E420">
        <v>916</v>
      </c>
      <c r="F420" t="s">
        <v>596</v>
      </c>
      <c r="G420">
        <v>0</v>
      </c>
      <c r="H420">
        <v>0</v>
      </c>
      <c r="I420">
        <v>0</v>
      </c>
      <c r="J420">
        <v>0</v>
      </c>
      <c r="K420">
        <v>0</v>
      </c>
      <c r="L420">
        <v>0</v>
      </c>
      <c r="M420" t="s">
        <v>333</v>
      </c>
      <c r="N420" t="s">
        <v>329</v>
      </c>
    </row>
    <row r="421" spans="1:14" x14ac:dyDescent="0.3">
      <c r="A421">
        <v>329</v>
      </c>
      <c r="B421" t="s">
        <v>323</v>
      </c>
      <c r="C421">
        <v>155</v>
      </c>
      <c r="D421" t="s">
        <v>109</v>
      </c>
      <c r="E421">
        <v>917</v>
      </c>
      <c r="F421" t="s">
        <v>597</v>
      </c>
      <c r="G421">
        <v>0</v>
      </c>
      <c r="H421">
        <v>0</v>
      </c>
      <c r="I421">
        <v>0</v>
      </c>
      <c r="J421">
        <v>0</v>
      </c>
      <c r="K421">
        <v>2</v>
      </c>
      <c r="L421">
        <v>0</v>
      </c>
      <c r="M421" t="s">
        <v>333</v>
      </c>
      <c r="N421" t="s">
        <v>336</v>
      </c>
    </row>
    <row r="422" spans="1:14" x14ac:dyDescent="0.3">
      <c r="A422">
        <v>329</v>
      </c>
      <c r="B422" t="s">
        <v>323</v>
      </c>
      <c r="C422">
        <v>155</v>
      </c>
      <c r="D422" t="s">
        <v>109</v>
      </c>
      <c r="E422">
        <v>918</v>
      </c>
      <c r="F422" t="s">
        <v>598</v>
      </c>
      <c r="G422">
        <v>0</v>
      </c>
      <c r="H422">
        <v>1</v>
      </c>
      <c r="I422">
        <v>2</v>
      </c>
      <c r="J422">
        <v>0</v>
      </c>
      <c r="K422">
        <v>0</v>
      </c>
      <c r="L422">
        <v>0</v>
      </c>
      <c r="M422" t="s">
        <v>333</v>
      </c>
      <c r="N422" t="s">
        <v>336</v>
      </c>
    </row>
    <row r="423" spans="1:14" x14ac:dyDescent="0.3">
      <c r="A423">
        <v>329</v>
      </c>
      <c r="B423" t="s">
        <v>323</v>
      </c>
      <c r="C423">
        <v>155</v>
      </c>
      <c r="D423" t="s">
        <v>109</v>
      </c>
      <c r="E423">
        <v>919</v>
      </c>
      <c r="F423" t="s">
        <v>467</v>
      </c>
      <c r="G423">
        <v>0</v>
      </c>
      <c r="H423">
        <v>0</v>
      </c>
      <c r="I423">
        <v>1</v>
      </c>
      <c r="J423">
        <v>0</v>
      </c>
      <c r="K423">
        <v>3</v>
      </c>
      <c r="L423">
        <v>0</v>
      </c>
      <c r="M423" t="s">
        <v>333</v>
      </c>
      <c r="N423" t="s">
        <v>336</v>
      </c>
    </row>
    <row r="424" spans="1:14" x14ac:dyDescent="0.3">
      <c r="A424">
        <v>329</v>
      </c>
      <c r="B424" t="s">
        <v>323</v>
      </c>
      <c r="C424">
        <v>155</v>
      </c>
      <c r="D424" t="s">
        <v>109</v>
      </c>
      <c r="E424">
        <v>920</v>
      </c>
      <c r="F424" t="s">
        <v>599</v>
      </c>
      <c r="G424">
        <v>0</v>
      </c>
      <c r="H424">
        <v>0</v>
      </c>
      <c r="I424">
        <v>1</v>
      </c>
      <c r="J424">
        <v>0</v>
      </c>
      <c r="K424">
        <v>0</v>
      </c>
      <c r="L424">
        <v>0</v>
      </c>
      <c r="M424" t="s">
        <v>333</v>
      </c>
      <c r="N424" t="s">
        <v>336</v>
      </c>
    </row>
    <row r="425" spans="1:14" x14ac:dyDescent="0.3">
      <c r="A425">
        <v>329</v>
      </c>
      <c r="B425" t="s">
        <v>323</v>
      </c>
      <c r="C425">
        <v>155</v>
      </c>
      <c r="D425" t="s">
        <v>109</v>
      </c>
      <c r="E425">
        <v>921</v>
      </c>
      <c r="F425" t="s">
        <v>600</v>
      </c>
      <c r="G425">
        <v>0</v>
      </c>
      <c r="H425">
        <v>0</v>
      </c>
      <c r="I425">
        <v>0</v>
      </c>
      <c r="J425">
        <v>0</v>
      </c>
      <c r="K425">
        <v>1</v>
      </c>
      <c r="L425">
        <v>0</v>
      </c>
      <c r="M425" t="s">
        <v>325</v>
      </c>
      <c r="N425" t="s">
        <v>326</v>
      </c>
    </row>
    <row r="426" spans="1:14" x14ac:dyDescent="0.3">
      <c r="A426">
        <v>329</v>
      </c>
      <c r="B426" t="s">
        <v>323</v>
      </c>
      <c r="C426">
        <v>155</v>
      </c>
      <c r="D426" t="s">
        <v>109</v>
      </c>
      <c r="E426">
        <v>922</v>
      </c>
      <c r="F426" t="s">
        <v>601</v>
      </c>
      <c r="G426">
        <v>0</v>
      </c>
      <c r="H426">
        <v>1</v>
      </c>
      <c r="I426">
        <v>3</v>
      </c>
      <c r="J426">
        <v>4</v>
      </c>
      <c r="K426">
        <v>4</v>
      </c>
      <c r="L426">
        <v>5</v>
      </c>
      <c r="M426" t="s">
        <v>333</v>
      </c>
      <c r="N426" t="s">
        <v>326</v>
      </c>
    </row>
    <row r="427" spans="1:14" x14ac:dyDescent="0.3">
      <c r="A427">
        <v>329</v>
      </c>
      <c r="B427" t="s">
        <v>323</v>
      </c>
      <c r="C427">
        <v>155</v>
      </c>
      <c r="D427" t="s">
        <v>109</v>
      </c>
      <c r="E427">
        <v>923</v>
      </c>
      <c r="F427" t="s">
        <v>602</v>
      </c>
      <c r="G427">
        <v>0</v>
      </c>
      <c r="H427">
        <v>0</v>
      </c>
      <c r="I427">
        <v>1</v>
      </c>
      <c r="J427">
        <v>0</v>
      </c>
      <c r="K427">
        <v>1</v>
      </c>
      <c r="L427">
        <v>0</v>
      </c>
      <c r="M427" t="s">
        <v>333</v>
      </c>
      <c r="N427" t="s">
        <v>326</v>
      </c>
    </row>
    <row r="428" spans="1:14" x14ac:dyDescent="0.3">
      <c r="A428">
        <v>329</v>
      </c>
      <c r="B428" t="s">
        <v>323</v>
      </c>
      <c r="C428">
        <v>155</v>
      </c>
      <c r="D428" t="s">
        <v>109</v>
      </c>
      <c r="E428">
        <v>1785</v>
      </c>
      <c r="F428" t="s">
        <v>1342</v>
      </c>
      <c r="G428">
        <v>0</v>
      </c>
      <c r="H428">
        <v>0</v>
      </c>
      <c r="I428">
        <v>1</v>
      </c>
      <c r="J428">
        <v>1</v>
      </c>
      <c r="K428">
        <v>0</v>
      </c>
      <c r="L428">
        <v>0</v>
      </c>
      <c r="M428" t="s">
        <v>333</v>
      </c>
      <c r="N428" t="s">
        <v>336</v>
      </c>
    </row>
    <row r="429" spans="1:14" x14ac:dyDescent="0.3">
      <c r="A429">
        <v>330</v>
      </c>
      <c r="B429" t="s">
        <v>323</v>
      </c>
      <c r="C429">
        <v>156</v>
      </c>
      <c r="D429" t="s">
        <v>111</v>
      </c>
      <c r="E429">
        <v>774</v>
      </c>
      <c r="F429" t="s">
        <v>393</v>
      </c>
      <c r="G429">
        <v>0</v>
      </c>
      <c r="H429">
        <v>1</v>
      </c>
      <c r="I429">
        <v>1</v>
      </c>
      <c r="J429">
        <v>1</v>
      </c>
      <c r="K429">
        <v>0</v>
      </c>
      <c r="L429">
        <v>0</v>
      </c>
      <c r="M429" t="s">
        <v>325</v>
      </c>
      <c r="N429" t="s">
        <v>336</v>
      </c>
    </row>
    <row r="430" spans="1:14" x14ac:dyDescent="0.3">
      <c r="A430">
        <v>330</v>
      </c>
      <c r="B430" t="s">
        <v>323</v>
      </c>
      <c r="C430">
        <v>156</v>
      </c>
      <c r="D430" t="s">
        <v>111</v>
      </c>
      <c r="E430">
        <v>775</v>
      </c>
      <c r="F430" t="s">
        <v>353</v>
      </c>
      <c r="G430">
        <v>0</v>
      </c>
      <c r="H430">
        <v>0</v>
      </c>
      <c r="I430">
        <v>0</v>
      </c>
      <c r="J430">
        <v>1</v>
      </c>
      <c r="K430">
        <v>2</v>
      </c>
      <c r="L430">
        <v>0</v>
      </c>
      <c r="M430" t="s">
        <v>333</v>
      </c>
      <c r="N430" t="s">
        <v>326</v>
      </c>
    </row>
    <row r="431" spans="1:14" x14ac:dyDescent="0.3">
      <c r="A431">
        <v>330</v>
      </c>
      <c r="B431" t="s">
        <v>323</v>
      </c>
      <c r="C431">
        <v>156</v>
      </c>
      <c r="D431" t="s">
        <v>111</v>
      </c>
      <c r="E431">
        <v>776</v>
      </c>
      <c r="F431" t="s">
        <v>603</v>
      </c>
      <c r="G431">
        <v>0</v>
      </c>
      <c r="H431">
        <v>1</v>
      </c>
      <c r="I431">
        <v>1</v>
      </c>
      <c r="J431">
        <v>0</v>
      </c>
      <c r="K431">
        <v>0</v>
      </c>
      <c r="L431">
        <v>0</v>
      </c>
      <c r="M431" t="s">
        <v>333</v>
      </c>
      <c r="N431" t="s">
        <v>326</v>
      </c>
    </row>
    <row r="432" spans="1:14" x14ac:dyDescent="0.3">
      <c r="A432">
        <v>330</v>
      </c>
      <c r="B432" t="s">
        <v>323</v>
      </c>
      <c r="C432">
        <v>156</v>
      </c>
      <c r="D432" t="s">
        <v>111</v>
      </c>
      <c r="E432">
        <v>777</v>
      </c>
      <c r="F432" t="s">
        <v>604</v>
      </c>
      <c r="G432">
        <v>0</v>
      </c>
      <c r="H432">
        <v>0</v>
      </c>
      <c r="I432">
        <v>0</v>
      </c>
      <c r="J432">
        <v>0</v>
      </c>
      <c r="K432">
        <v>2</v>
      </c>
      <c r="L432">
        <v>1</v>
      </c>
      <c r="M432" t="s">
        <v>333</v>
      </c>
      <c r="N432" t="s">
        <v>326</v>
      </c>
    </row>
    <row r="433" spans="1:14" x14ac:dyDescent="0.3">
      <c r="A433">
        <v>330</v>
      </c>
      <c r="B433" t="s">
        <v>323</v>
      </c>
      <c r="C433">
        <v>156</v>
      </c>
      <c r="D433" t="s">
        <v>111</v>
      </c>
      <c r="E433">
        <v>778</v>
      </c>
      <c r="F433" t="s">
        <v>605</v>
      </c>
      <c r="G433">
        <v>0</v>
      </c>
      <c r="H433">
        <v>0</v>
      </c>
      <c r="I433">
        <v>1</v>
      </c>
      <c r="J433">
        <v>1</v>
      </c>
      <c r="K433">
        <v>0</v>
      </c>
      <c r="L433">
        <v>1</v>
      </c>
      <c r="M433" t="s">
        <v>333</v>
      </c>
      <c r="N433" t="s">
        <v>326</v>
      </c>
    </row>
    <row r="434" spans="1:14" x14ac:dyDescent="0.3">
      <c r="A434">
        <v>330</v>
      </c>
      <c r="B434" t="s">
        <v>323</v>
      </c>
      <c r="C434">
        <v>156</v>
      </c>
      <c r="D434" t="s">
        <v>111</v>
      </c>
      <c r="E434">
        <v>779</v>
      </c>
      <c r="F434" t="s">
        <v>356</v>
      </c>
      <c r="G434">
        <v>0</v>
      </c>
      <c r="H434">
        <v>1</v>
      </c>
      <c r="I434">
        <v>1</v>
      </c>
      <c r="J434">
        <v>0</v>
      </c>
      <c r="K434">
        <v>2</v>
      </c>
      <c r="L434">
        <v>0</v>
      </c>
      <c r="M434" t="s">
        <v>333</v>
      </c>
      <c r="N434" t="s">
        <v>326</v>
      </c>
    </row>
    <row r="435" spans="1:14" x14ac:dyDescent="0.3">
      <c r="A435">
        <v>330</v>
      </c>
      <c r="B435" t="s">
        <v>323</v>
      </c>
      <c r="C435">
        <v>156</v>
      </c>
      <c r="D435" t="s">
        <v>111</v>
      </c>
      <c r="E435">
        <v>780</v>
      </c>
      <c r="F435" t="s">
        <v>606</v>
      </c>
      <c r="G435">
        <v>0</v>
      </c>
      <c r="H435">
        <v>1</v>
      </c>
      <c r="I435">
        <v>1</v>
      </c>
      <c r="J435">
        <v>0</v>
      </c>
      <c r="K435">
        <v>0</v>
      </c>
      <c r="L435">
        <v>1</v>
      </c>
      <c r="M435" t="s">
        <v>325</v>
      </c>
      <c r="N435" t="s">
        <v>336</v>
      </c>
    </row>
    <row r="436" spans="1:14" x14ac:dyDescent="0.3">
      <c r="A436">
        <v>330</v>
      </c>
      <c r="B436" t="s">
        <v>323</v>
      </c>
      <c r="C436">
        <v>156</v>
      </c>
      <c r="D436" t="s">
        <v>111</v>
      </c>
      <c r="E436">
        <v>782</v>
      </c>
      <c r="F436" t="s">
        <v>608</v>
      </c>
      <c r="G436">
        <v>0</v>
      </c>
      <c r="H436">
        <v>0</v>
      </c>
      <c r="I436">
        <v>0</v>
      </c>
      <c r="J436">
        <v>1</v>
      </c>
      <c r="K436">
        <v>2</v>
      </c>
      <c r="L436">
        <v>0</v>
      </c>
      <c r="M436" t="s">
        <v>333</v>
      </c>
      <c r="N436" t="s">
        <v>326</v>
      </c>
    </row>
    <row r="437" spans="1:14" x14ac:dyDescent="0.3">
      <c r="A437">
        <v>330</v>
      </c>
      <c r="B437" t="s">
        <v>323</v>
      </c>
      <c r="C437">
        <v>156</v>
      </c>
      <c r="D437" t="s">
        <v>111</v>
      </c>
      <c r="E437">
        <v>783</v>
      </c>
      <c r="F437" t="s">
        <v>609</v>
      </c>
      <c r="G437">
        <v>0</v>
      </c>
      <c r="H437">
        <v>1</v>
      </c>
      <c r="I437">
        <v>0</v>
      </c>
      <c r="J437">
        <v>0</v>
      </c>
      <c r="K437">
        <v>0</v>
      </c>
      <c r="L437">
        <v>2</v>
      </c>
      <c r="M437" t="s">
        <v>333</v>
      </c>
      <c r="N437" t="s">
        <v>326</v>
      </c>
    </row>
    <row r="438" spans="1:14" x14ac:dyDescent="0.3">
      <c r="A438">
        <v>330</v>
      </c>
      <c r="B438" t="s">
        <v>323</v>
      </c>
      <c r="C438">
        <v>156</v>
      </c>
      <c r="D438" t="s">
        <v>111</v>
      </c>
      <c r="E438">
        <v>1415</v>
      </c>
      <c r="F438" t="s">
        <v>610</v>
      </c>
      <c r="G438">
        <v>0</v>
      </c>
      <c r="H438">
        <v>1</v>
      </c>
      <c r="I438">
        <v>1</v>
      </c>
      <c r="J438">
        <v>1</v>
      </c>
      <c r="K438">
        <v>1</v>
      </c>
      <c r="L438">
        <v>0</v>
      </c>
      <c r="M438" t="s">
        <v>333</v>
      </c>
      <c r="N438" t="s">
        <v>348</v>
      </c>
    </row>
    <row r="439" spans="1:14" x14ac:dyDescent="0.3">
      <c r="A439">
        <v>331</v>
      </c>
      <c r="B439" t="s">
        <v>323</v>
      </c>
      <c r="C439">
        <v>157</v>
      </c>
      <c r="D439" t="s">
        <v>113</v>
      </c>
      <c r="E439">
        <v>1080</v>
      </c>
      <c r="F439" t="s">
        <v>1343</v>
      </c>
      <c r="G439">
        <v>1</v>
      </c>
      <c r="H439">
        <v>2</v>
      </c>
      <c r="I439">
        <v>0</v>
      </c>
      <c r="J439">
        <v>0</v>
      </c>
      <c r="K439">
        <v>1</v>
      </c>
      <c r="L439">
        <v>0</v>
      </c>
      <c r="M439" t="s">
        <v>325</v>
      </c>
      <c r="N439" t="s">
        <v>326</v>
      </c>
    </row>
    <row r="440" spans="1:14" x14ac:dyDescent="0.3">
      <c r="A440">
        <v>331</v>
      </c>
      <c r="B440" t="s">
        <v>323</v>
      </c>
      <c r="C440">
        <v>157</v>
      </c>
      <c r="D440" t="s">
        <v>113</v>
      </c>
      <c r="E440">
        <v>1081</v>
      </c>
      <c r="F440" t="s">
        <v>1344</v>
      </c>
      <c r="G440">
        <v>0</v>
      </c>
      <c r="H440">
        <v>2</v>
      </c>
      <c r="I440">
        <v>0</v>
      </c>
      <c r="J440">
        <v>0</v>
      </c>
      <c r="K440">
        <v>0</v>
      </c>
      <c r="L440">
        <v>2</v>
      </c>
      <c r="M440" t="s">
        <v>333</v>
      </c>
      <c r="N440" t="s">
        <v>326</v>
      </c>
    </row>
    <row r="441" spans="1:14" x14ac:dyDescent="0.3">
      <c r="A441">
        <v>331</v>
      </c>
      <c r="B441" t="s">
        <v>323</v>
      </c>
      <c r="C441">
        <v>157</v>
      </c>
      <c r="D441" t="s">
        <v>113</v>
      </c>
      <c r="E441">
        <v>1083</v>
      </c>
      <c r="F441" t="s">
        <v>1345</v>
      </c>
      <c r="G441">
        <v>0</v>
      </c>
      <c r="H441">
        <v>2</v>
      </c>
      <c r="I441">
        <v>0</v>
      </c>
      <c r="J441">
        <v>0</v>
      </c>
      <c r="K441">
        <v>0</v>
      </c>
      <c r="L441">
        <v>2</v>
      </c>
      <c r="M441" t="s">
        <v>333</v>
      </c>
      <c r="N441" t="s">
        <v>326</v>
      </c>
    </row>
    <row r="442" spans="1:14" x14ac:dyDescent="0.3">
      <c r="A442">
        <v>331</v>
      </c>
      <c r="B442" t="s">
        <v>323</v>
      </c>
      <c r="C442">
        <v>157</v>
      </c>
      <c r="D442" t="s">
        <v>113</v>
      </c>
      <c r="E442">
        <v>1084</v>
      </c>
      <c r="F442" t="s">
        <v>393</v>
      </c>
      <c r="G442">
        <v>0</v>
      </c>
      <c r="H442">
        <v>2</v>
      </c>
      <c r="I442">
        <v>0</v>
      </c>
      <c r="J442">
        <v>0</v>
      </c>
      <c r="K442">
        <v>0</v>
      </c>
      <c r="L442">
        <v>2</v>
      </c>
      <c r="M442" t="s">
        <v>414</v>
      </c>
      <c r="N442" t="s">
        <v>336</v>
      </c>
    </row>
    <row r="443" spans="1:14" x14ac:dyDescent="0.3">
      <c r="A443">
        <v>331</v>
      </c>
      <c r="B443" t="s">
        <v>323</v>
      </c>
      <c r="C443">
        <v>157</v>
      </c>
      <c r="D443" t="s">
        <v>113</v>
      </c>
      <c r="E443">
        <v>1085</v>
      </c>
      <c r="F443" t="s">
        <v>353</v>
      </c>
      <c r="G443">
        <v>0</v>
      </c>
      <c r="H443">
        <v>0</v>
      </c>
      <c r="I443">
        <v>0</v>
      </c>
      <c r="J443">
        <v>0</v>
      </c>
      <c r="K443">
        <v>0</v>
      </c>
      <c r="L443">
        <v>4</v>
      </c>
      <c r="M443" t="s">
        <v>333</v>
      </c>
      <c r="N443" t="s">
        <v>326</v>
      </c>
    </row>
    <row r="444" spans="1:14" x14ac:dyDescent="0.3">
      <c r="A444">
        <v>331</v>
      </c>
      <c r="B444" t="s">
        <v>323</v>
      </c>
      <c r="C444">
        <v>157</v>
      </c>
      <c r="D444" t="s">
        <v>113</v>
      </c>
      <c r="E444">
        <v>1086</v>
      </c>
      <c r="F444" t="s">
        <v>639</v>
      </c>
      <c r="G444">
        <v>0</v>
      </c>
      <c r="H444">
        <v>1</v>
      </c>
      <c r="I444">
        <v>0</v>
      </c>
      <c r="J444">
        <v>0</v>
      </c>
      <c r="K444">
        <v>2</v>
      </c>
      <c r="L444">
        <v>0</v>
      </c>
      <c r="M444" t="s">
        <v>325</v>
      </c>
      <c r="N444" t="s">
        <v>326</v>
      </c>
    </row>
    <row r="445" spans="1:14" x14ac:dyDescent="0.3">
      <c r="A445">
        <v>331</v>
      </c>
      <c r="B445" t="s">
        <v>323</v>
      </c>
      <c r="C445">
        <v>157</v>
      </c>
      <c r="D445" t="s">
        <v>113</v>
      </c>
      <c r="E445">
        <v>1088</v>
      </c>
      <c r="F445" t="s">
        <v>1346</v>
      </c>
      <c r="G445">
        <v>0</v>
      </c>
      <c r="H445">
        <v>3</v>
      </c>
      <c r="I445">
        <v>0</v>
      </c>
      <c r="J445">
        <v>0</v>
      </c>
      <c r="K445">
        <v>4</v>
      </c>
      <c r="L445">
        <v>0</v>
      </c>
      <c r="M445" t="s">
        <v>325</v>
      </c>
      <c r="N445" t="s">
        <v>326</v>
      </c>
    </row>
    <row r="446" spans="1:14" x14ac:dyDescent="0.3">
      <c r="A446">
        <v>331</v>
      </c>
      <c r="B446" t="s">
        <v>323</v>
      </c>
      <c r="C446">
        <v>157</v>
      </c>
      <c r="D446" t="s">
        <v>113</v>
      </c>
      <c r="E446">
        <v>1089</v>
      </c>
      <c r="F446" t="s">
        <v>640</v>
      </c>
      <c r="G446">
        <v>0</v>
      </c>
      <c r="H446">
        <v>0</v>
      </c>
      <c r="I446">
        <v>0</v>
      </c>
      <c r="J446">
        <v>0</v>
      </c>
      <c r="K446">
        <v>3</v>
      </c>
      <c r="L446">
        <v>2</v>
      </c>
      <c r="M446" t="s">
        <v>333</v>
      </c>
      <c r="N446" t="s">
        <v>326</v>
      </c>
    </row>
    <row r="447" spans="1:14" x14ac:dyDescent="0.3">
      <c r="A447">
        <v>331</v>
      </c>
      <c r="B447" t="s">
        <v>323</v>
      </c>
      <c r="C447">
        <v>157</v>
      </c>
      <c r="D447" t="s">
        <v>113</v>
      </c>
      <c r="E447">
        <v>1862</v>
      </c>
      <c r="F447" t="s">
        <v>1347</v>
      </c>
      <c r="G447">
        <v>0</v>
      </c>
      <c r="H447">
        <v>1</v>
      </c>
      <c r="I447">
        <v>0</v>
      </c>
      <c r="J447">
        <v>0</v>
      </c>
      <c r="K447">
        <v>2</v>
      </c>
      <c r="L447">
        <v>0</v>
      </c>
      <c r="M447" t="s">
        <v>333</v>
      </c>
      <c r="N447" t="s">
        <v>326</v>
      </c>
    </row>
    <row r="448" spans="1:14" x14ac:dyDescent="0.3">
      <c r="A448">
        <v>331</v>
      </c>
      <c r="B448" t="s">
        <v>323</v>
      </c>
      <c r="C448">
        <v>157</v>
      </c>
      <c r="D448" t="s">
        <v>113</v>
      </c>
      <c r="E448">
        <v>1863</v>
      </c>
      <c r="F448" t="s">
        <v>529</v>
      </c>
      <c r="G448">
        <v>0</v>
      </c>
      <c r="H448">
        <v>1</v>
      </c>
      <c r="I448">
        <v>0</v>
      </c>
      <c r="J448">
        <v>0</v>
      </c>
      <c r="K448">
        <v>1</v>
      </c>
      <c r="L448">
        <v>0</v>
      </c>
      <c r="M448" t="s">
        <v>333</v>
      </c>
      <c r="N448" t="s">
        <v>326</v>
      </c>
    </row>
    <row r="449" spans="1:14" x14ac:dyDescent="0.3">
      <c r="A449">
        <v>331</v>
      </c>
      <c r="B449" t="s">
        <v>323</v>
      </c>
      <c r="C449">
        <v>157</v>
      </c>
      <c r="D449" t="s">
        <v>113</v>
      </c>
      <c r="E449">
        <v>1864</v>
      </c>
      <c r="F449" t="s">
        <v>1348</v>
      </c>
      <c r="G449">
        <v>0</v>
      </c>
      <c r="H449">
        <v>2</v>
      </c>
      <c r="I449">
        <v>0</v>
      </c>
      <c r="J449">
        <v>2</v>
      </c>
      <c r="K449">
        <v>3</v>
      </c>
      <c r="L449">
        <v>2</v>
      </c>
      <c r="M449" t="s">
        <v>410</v>
      </c>
      <c r="N449" t="s">
        <v>326</v>
      </c>
    </row>
    <row r="450" spans="1:14" x14ac:dyDescent="0.3">
      <c r="A450">
        <v>333</v>
      </c>
      <c r="B450" t="s">
        <v>323</v>
      </c>
      <c r="C450">
        <v>159</v>
      </c>
      <c r="D450" t="s">
        <v>117</v>
      </c>
      <c r="E450">
        <v>1005</v>
      </c>
      <c r="F450" t="s">
        <v>627</v>
      </c>
      <c r="G450">
        <v>0</v>
      </c>
      <c r="H450">
        <v>0</v>
      </c>
      <c r="I450">
        <v>0</v>
      </c>
      <c r="J450">
        <v>0</v>
      </c>
      <c r="K450">
        <v>3</v>
      </c>
      <c r="L450">
        <v>0</v>
      </c>
      <c r="M450" t="s">
        <v>333</v>
      </c>
      <c r="N450" t="s">
        <v>336</v>
      </c>
    </row>
    <row r="451" spans="1:14" x14ac:dyDescent="0.3">
      <c r="A451">
        <v>333</v>
      </c>
      <c r="B451" t="s">
        <v>323</v>
      </c>
      <c r="C451">
        <v>159</v>
      </c>
      <c r="D451" t="s">
        <v>117</v>
      </c>
      <c r="E451">
        <v>1006</v>
      </c>
      <c r="F451" t="s">
        <v>628</v>
      </c>
      <c r="G451">
        <v>0</v>
      </c>
      <c r="H451">
        <v>0</v>
      </c>
      <c r="I451">
        <v>0</v>
      </c>
      <c r="J451">
        <v>0</v>
      </c>
      <c r="K451">
        <v>0</v>
      </c>
      <c r="L451">
        <v>1</v>
      </c>
      <c r="M451" t="s">
        <v>333</v>
      </c>
      <c r="N451" t="s">
        <v>336</v>
      </c>
    </row>
    <row r="452" spans="1:14" x14ac:dyDescent="0.3">
      <c r="A452">
        <v>333</v>
      </c>
      <c r="B452" t="s">
        <v>323</v>
      </c>
      <c r="C452">
        <v>159</v>
      </c>
      <c r="D452" t="s">
        <v>117</v>
      </c>
      <c r="E452">
        <v>1007</v>
      </c>
      <c r="F452" t="s">
        <v>629</v>
      </c>
      <c r="G452">
        <v>0</v>
      </c>
      <c r="H452">
        <v>0</v>
      </c>
      <c r="I452">
        <v>0</v>
      </c>
      <c r="J452">
        <v>0</v>
      </c>
      <c r="K452">
        <v>2</v>
      </c>
      <c r="L452">
        <v>1</v>
      </c>
      <c r="M452" t="s">
        <v>333</v>
      </c>
      <c r="N452" t="s">
        <v>336</v>
      </c>
    </row>
    <row r="453" spans="1:14" x14ac:dyDescent="0.3">
      <c r="A453">
        <v>333</v>
      </c>
      <c r="B453" t="s">
        <v>323</v>
      </c>
      <c r="C453">
        <v>159</v>
      </c>
      <c r="D453" t="s">
        <v>117</v>
      </c>
      <c r="E453">
        <v>1009</v>
      </c>
      <c r="F453" t="s">
        <v>630</v>
      </c>
      <c r="G453">
        <v>0</v>
      </c>
      <c r="H453">
        <v>0</v>
      </c>
      <c r="I453">
        <v>0</v>
      </c>
      <c r="J453">
        <v>0</v>
      </c>
      <c r="K453">
        <v>0</v>
      </c>
      <c r="L453">
        <v>1</v>
      </c>
      <c r="M453" t="s">
        <v>333</v>
      </c>
      <c r="N453" t="s">
        <v>329</v>
      </c>
    </row>
    <row r="454" spans="1:14" x14ac:dyDescent="0.3">
      <c r="A454">
        <v>333</v>
      </c>
      <c r="B454" t="s">
        <v>323</v>
      </c>
      <c r="C454">
        <v>159</v>
      </c>
      <c r="D454" t="s">
        <v>117</v>
      </c>
      <c r="E454">
        <v>1010</v>
      </c>
      <c r="F454" t="s">
        <v>631</v>
      </c>
      <c r="G454">
        <v>0</v>
      </c>
      <c r="H454">
        <v>0</v>
      </c>
      <c r="I454">
        <v>0</v>
      </c>
      <c r="J454">
        <v>0</v>
      </c>
      <c r="K454">
        <v>2</v>
      </c>
      <c r="L454">
        <v>2</v>
      </c>
      <c r="M454" t="s">
        <v>333</v>
      </c>
      <c r="N454" t="s">
        <v>336</v>
      </c>
    </row>
    <row r="455" spans="1:14" x14ac:dyDescent="0.3">
      <c r="A455">
        <v>333</v>
      </c>
      <c r="B455" t="s">
        <v>323</v>
      </c>
      <c r="C455">
        <v>159</v>
      </c>
      <c r="D455" t="s">
        <v>117</v>
      </c>
      <c r="E455">
        <v>1013</v>
      </c>
      <c r="F455" t="s">
        <v>633</v>
      </c>
      <c r="G455">
        <v>0</v>
      </c>
      <c r="H455">
        <v>0</v>
      </c>
      <c r="I455">
        <v>0</v>
      </c>
      <c r="J455">
        <v>0</v>
      </c>
      <c r="K455">
        <v>3</v>
      </c>
      <c r="L455">
        <v>1</v>
      </c>
      <c r="M455" t="s">
        <v>325</v>
      </c>
      <c r="N455" t="s">
        <v>348</v>
      </c>
    </row>
    <row r="456" spans="1:14" x14ac:dyDescent="0.3">
      <c r="A456">
        <v>333</v>
      </c>
      <c r="B456" t="s">
        <v>323</v>
      </c>
      <c r="C456">
        <v>159</v>
      </c>
      <c r="D456" t="s">
        <v>117</v>
      </c>
      <c r="E456">
        <v>1407</v>
      </c>
      <c r="F456" t="s">
        <v>634</v>
      </c>
      <c r="G456">
        <v>0</v>
      </c>
      <c r="H456">
        <v>1</v>
      </c>
      <c r="I456">
        <v>0</v>
      </c>
      <c r="J456">
        <v>0</v>
      </c>
      <c r="K456">
        <v>3</v>
      </c>
      <c r="L456">
        <v>2</v>
      </c>
      <c r="M456" t="s">
        <v>333</v>
      </c>
      <c r="N456" t="s">
        <v>336</v>
      </c>
    </row>
    <row r="457" spans="1:14" x14ac:dyDescent="0.3">
      <c r="A457">
        <v>333</v>
      </c>
      <c r="B457" t="s">
        <v>323</v>
      </c>
      <c r="C457">
        <v>159</v>
      </c>
      <c r="D457" t="s">
        <v>117</v>
      </c>
      <c r="E457">
        <v>1953</v>
      </c>
      <c r="F457" t="s">
        <v>1349</v>
      </c>
      <c r="G457">
        <v>0</v>
      </c>
      <c r="H457">
        <v>0</v>
      </c>
      <c r="I457">
        <v>2</v>
      </c>
      <c r="J457">
        <v>1</v>
      </c>
      <c r="K457">
        <v>0</v>
      </c>
      <c r="L457">
        <v>0</v>
      </c>
      <c r="M457" t="s">
        <v>333</v>
      </c>
      <c r="N457" t="s">
        <v>326</v>
      </c>
    </row>
    <row r="458" spans="1:14" x14ac:dyDescent="0.3">
      <c r="A458">
        <v>333</v>
      </c>
      <c r="B458" t="s">
        <v>323</v>
      </c>
      <c r="C458">
        <v>159</v>
      </c>
      <c r="D458" t="s">
        <v>117</v>
      </c>
      <c r="E458">
        <v>1954</v>
      </c>
      <c r="F458" t="s">
        <v>1350</v>
      </c>
      <c r="G458">
        <v>0</v>
      </c>
      <c r="H458">
        <v>0</v>
      </c>
      <c r="I458">
        <v>1</v>
      </c>
      <c r="J458">
        <v>1</v>
      </c>
      <c r="K458">
        <v>1</v>
      </c>
      <c r="L458">
        <v>0</v>
      </c>
      <c r="M458" t="s">
        <v>325</v>
      </c>
      <c r="N458" t="s">
        <v>336</v>
      </c>
    </row>
    <row r="459" spans="1:14" x14ac:dyDescent="0.3">
      <c r="A459">
        <v>333</v>
      </c>
      <c r="B459" t="s">
        <v>323</v>
      </c>
      <c r="C459">
        <v>159</v>
      </c>
      <c r="D459" t="s">
        <v>117</v>
      </c>
      <c r="E459">
        <v>1956</v>
      </c>
      <c r="F459" t="s">
        <v>363</v>
      </c>
      <c r="G459">
        <v>0</v>
      </c>
      <c r="H459">
        <v>0</v>
      </c>
      <c r="I459">
        <v>0</v>
      </c>
      <c r="J459">
        <v>0</v>
      </c>
      <c r="K459">
        <v>1</v>
      </c>
      <c r="L459">
        <v>0</v>
      </c>
      <c r="M459" t="s">
        <v>325</v>
      </c>
      <c r="N459" t="s">
        <v>343</v>
      </c>
    </row>
    <row r="460" spans="1:14" x14ac:dyDescent="0.3">
      <c r="A460">
        <v>334</v>
      </c>
      <c r="B460" t="s">
        <v>323</v>
      </c>
      <c r="C460">
        <v>160</v>
      </c>
      <c r="D460" t="s">
        <v>119</v>
      </c>
      <c r="E460">
        <v>1529</v>
      </c>
      <c r="F460" t="s">
        <v>420</v>
      </c>
      <c r="G460">
        <v>1</v>
      </c>
      <c r="H460">
        <v>1</v>
      </c>
      <c r="I460">
        <v>1</v>
      </c>
      <c r="J460">
        <v>1</v>
      </c>
      <c r="K460">
        <v>1</v>
      </c>
      <c r="L460">
        <v>0</v>
      </c>
      <c r="M460" t="s">
        <v>333</v>
      </c>
      <c r="N460" t="s">
        <v>326</v>
      </c>
    </row>
    <row r="461" spans="1:14" x14ac:dyDescent="0.3">
      <c r="A461">
        <v>334</v>
      </c>
      <c r="B461" t="s">
        <v>323</v>
      </c>
      <c r="C461">
        <v>160</v>
      </c>
      <c r="D461" t="s">
        <v>119</v>
      </c>
      <c r="E461">
        <v>1532</v>
      </c>
      <c r="F461" t="s">
        <v>636</v>
      </c>
      <c r="G461">
        <v>0</v>
      </c>
      <c r="H461">
        <v>0</v>
      </c>
      <c r="I461">
        <v>3</v>
      </c>
      <c r="J461">
        <v>1</v>
      </c>
      <c r="K461">
        <v>0</v>
      </c>
      <c r="L461">
        <v>0</v>
      </c>
      <c r="M461" t="s">
        <v>333</v>
      </c>
      <c r="N461" t="s">
        <v>326</v>
      </c>
    </row>
    <row r="462" spans="1:14" x14ac:dyDescent="0.3">
      <c r="A462">
        <v>334</v>
      </c>
      <c r="B462" t="s">
        <v>323</v>
      </c>
      <c r="C462">
        <v>160</v>
      </c>
      <c r="D462" t="s">
        <v>119</v>
      </c>
      <c r="E462">
        <v>1533</v>
      </c>
      <c r="F462" t="s">
        <v>637</v>
      </c>
      <c r="G462">
        <v>0</v>
      </c>
      <c r="H462">
        <v>2</v>
      </c>
      <c r="I462">
        <v>2</v>
      </c>
      <c r="J462">
        <v>0</v>
      </c>
      <c r="K462">
        <v>0</v>
      </c>
      <c r="L462">
        <v>1</v>
      </c>
      <c r="M462" t="s">
        <v>333</v>
      </c>
      <c r="N462" t="s">
        <v>326</v>
      </c>
    </row>
    <row r="463" spans="1:14" x14ac:dyDescent="0.3">
      <c r="A463">
        <v>334</v>
      </c>
      <c r="B463" t="s">
        <v>323</v>
      </c>
      <c r="C463">
        <v>160</v>
      </c>
      <c r="D463" t="s">
        <v>119</v>
      </c>
      <c r="E463">
        <v>1534</v>
      </c>
      <c r="F463" t="s">
        <v>638</v>
      </c>
      <c r="G463">
        <v>1</v>
      </c>
      <c r="H463">
        <v>3</v>
      </c>
      <c r="I463">
        <v>2</v>
      </c>
      <c r="J463">
        <v>0</v>
      </c>
      <c r="K463">
        <v>0</v>
      </c>
      <c r="L463">
        <v>2</v>
      </c>
      <c r="M463" t="s">
        <v>333</v>
      </c>
      <c r="N463" t="s">
        <v>326</v>
      </c>
    </row>
    <row r="464" spans="1:14" x14ac:dyDescent="0.3">
      <c r="A464">
        <v>334</v>
      </c>
      <c r="B464" t="s">
        <v>323</v>
      </c>
      <c r="C464">
        <v>160</v>
      </c>
      <c r="D464" t="s">
        <v>119</v>
      </c>
      <c r="E464">
        <v>1536</v>
      </c>
      <c r="F464" t="s">
        <v>639</v>
      </c>
      <c r="G464">
        <v>0</v>
      </c>
      <c r="H464">
        <v>3</v>
      </c>
      <c r="I464">
        <v>0</v>
      </c>
      <c r="J464">
        <v>1</v>
      </c>
      <c r="K464">
        <v>0</v>
      </c>
      <c r="L464">
        <v>0</v>
      </c>
      <c r="M464" t="s">
        <v>333</v>
      </c>
      <c r="N464" t="s">
        <v>326</v>
      </c>
    </row>
    <row r="465" spans="1:14" x14ac:dyDescent="0.3">
      <c r="A465">
        <v>334</v>
      </c>
      <c r="B465" t="s">
        <v>323</v>
      </c>
      <c r="C465">
        <v>160</v>
      </c>
      <c r="D465" t="s">
        <v>119</v>
      </c>
      <c r="E465">
        <v>1537</v>
      </c>
      <c r="F465" t="s">
        <v>623</v>
      </c>
      <c r="G465">
        <v>2</v>
      </c>
      <c r="H465">
        <v>1</v>
      </c>
      <c r="I465">
        <v>1</v>
      </c>
      <c r="J465">
        <v>1</v>
      </c>
      <c r="K465">
        <v>0</v>
      </c>
      <c r="L465">
        <v>0</v>
      </c>
      <c r="M465" t="s">
        <v>325</v>
      </c>
      <c r="N465" t="s">
        <v>326</v>
      </c>
    </row>
    <row r="466" spans="1:14" x14ac:dyDescent="0.3">
      <c r="A466">
        <v>334</v>
      </c>
      <c r="B466" t="s">
        <v>323</v>
      </c>
      <c r="C466">
        <v>160</v>
      </c>
      <c r="D466" t="s">
        <v>119</v>
      </c>
      <c r="E466">
        <v>1737</v>
      </c>
      <c r="F466" t="s">
        <v>1351</v>
      </c>
      <c r="G466">
        <v>0</v>
      </c>
      <c r="H466">
        <v>2</v>
      </c>
      <c r="I466">
        <v>1</v>
      </c>
      <c r="J466">
        <v>1</v>
      </c>
      <c r="K466">
        <v>0</v>
      </c>
      <c r="L466">
        <v>1</v>
      </c>
      <c r="M466" t="s">
        <v>333</v>
      </c>
      <c r="N466" t="s">
        <v>484</v>
      </c>
    </row>
    <row r="467" spans="1:14" x14ac:dyDescent="0.3">
      <c r="A467">
        <v>334</v>
      </c>
      <c r="B467" t="s">
        <v>323</v>
      </c>
      <c r="C467">
        <v>160</v>
      </c>
      <c r="D467" t="s">
        <v>119</v>
      </c>
      <c r="E467">
        <v>1739</v>
      </c>
      <c r="F467" t="s">
        <v>531</v>
      </c>
      <c r="G467">
        <v>0</v>
      </c>
      <c r="H467">
        <v>0</v>
      </c>
      <c r="I467">
        <v>1</v>
      </c>
      <c r="J467">
        <v>5</v>
      </c>
      <c r="K467">
        <v>0</v>
      </c>
      <c r="L467">
        <v>0</v>
      </c>
      <c r="M467" t="s">
        <v>333</v>
      </c>
      <c r="N467" t="s">
        <v>326</v>
      </c>
    </row>
    <row r="468" spans="1:14" x14ac:dyDescent="0.3">
      <c r="A468">
        <v>335</v>
      </c>
      <c r="B468" t="s">
        <v>323</v>
      </c>
      <c r="C468">
        <v>161</v>
      </c>
      <c r="D468" t="s">
        <v>121</v>
      </c>
      <c r="E468">
        <v>550</v>
      </c>
      <c r="F468" t="s">
        <v>349</v>
      </c>
      <c r="G468">
        <v>0</v>
      </c>
      <c r="H468">
        <v>0</v>
      </c>
      <c r="I468">
        <v>2</v>
      </c>
      <c r="J468">
        <v>2</v>
      </c>
      <c r="K468">
        <v>1</v>
      </c>
      <c r="L468">
        <v>0</v>
      </c>
      <c r="M468" t="s">
        <v>410</v>
      </c>
      <c r="N468" t="s">
        <v>336</v>
      </c>
    </row>
    <row r="469" spans="1:14" x14ac:dyDescent="0.3">
      <c r="A469">
        <v>335</v>
      </c>
      <c r="B469" t="s">
        <v>323</v>
      </c>
      <c r="C469">
        <v>161</v>
      </c>
      <c r="D469" t="s">
        <v>121</v>
      </c>
      <c r="E469">
        <v>551</v>
      </c>
      <c r="F469" t="s">
        <v>1352</v>
      </c>
      <c r="G469">
        <v>2</v>
      </c>
      <c r="H469">
        <v>0</v>
      </c>
      <c r="I469">
        <v>3</v>
      </c>
      <c r="J469">
        <v>1</v>
      </c>
      <c r="K469">
        <v>0</v>
      </c>
      <c r="L469">
        <v>0</v>
      </c>
      <c r="M469" t="s">
        <v>333</v>
      </c>
      <c r="N469" t="s">
        <v>326</v>
      </c>
    </row>
    <row r="470" spans="1:14" x14ac:dyDescent="0.3">
      <c r="A470">
        <v>335</v>
      </c>
      <c r="B470" t="s">
        <v>323</v>
      </c>
      <c r="C470">
        <v>161</v>
      </c>
      <c r="D470" t="s">
        <v>121</v>
      </c>
      <c r="E470">
        <v>552</v>
      </c>
      <c r="F470" t="s">
        <v>1353</v>
      </c>
      <c r="G470">
        <v>0</v>
      </c>
      <c r="H470">
        <v>0</v>
      </c>
      <c r="I470">
        <v>0</v>
      </c>
      <c r="J470">
        <v>0</v>
      </c>
      <c r="K470">
        <v>0</v>
      </c>
      <c r="L470">
        <v>3</v>
      </c>
      <c r="M470" t="s">
        <v>333</v>
      </c>
      <c r="N470" t="s">
        <v>326</v>
      </c>
    </row>
    <row r="471" spans="1:14" x14ac:dyDescent="0.3">
      <c r="A471">
        <v>335</v>
      </c>
      <c r="B471" t="s">
        <v>323</v>
      </c>
      <c r="C471">
        <v>161</v>
      </c>
      <c r="D471" t="s">
        <v>121</v>
      </c>
      <c r="E471">
        <v>553</v>
      </c>
      <c r="F471" t="s">
        <v>1354</v>
      </c>
      <c r="G471">
        <v>0</v>
      </c>
      <c r="H471">
        <v>1</v>
      </c>
      <c r="I471">
        <v>2</v>
      </c>
      <c r="J471">
        <v>2</v>
      </c>
      <c r="K471">
        <v>0</v>
      </c>
      <c r="L471">
        <v>1</v>
      </c>
      <c r="M471" t="s">
        <v>410</v>
      </c>
      <c r="N471" t="s">
        <v>326</v>
      </c>
    </row>
    <row r="472" spans="1:14" x14ac:dyDescent="0.3">
      <c r="A472">
        <v>335</v>
      </c>
      <c r="B472" t="s">
        <v>323</v>
      </c>
      <c r="C472">
        <v>161</v>
      </c>
      <c r="D472" t="s">
        <v>121</v>
      </c>
      <c r="E472">
        <v>554</v>
      </c>
      <c r="F472" t="s">
        <v>376</v>
      </c>
      <c r="G472">
        <v>0</v>
      </c>
      <c r="H472">
        <v>0</v>
      </c>
      <c r="I472">
        <v>0</v>
      </c>
      <c r="J472">
        <v>1</v>
      </c>
      <c r="K472">
        <v>2</v>
      </c>
      <c r="L472">
        <v>0</v>
      </c>
      <c r="M472" t="s">
        <v>333</v>
      </c>
      <c r="N472" t="s">
        <v>326</v>
      </c>
    </row>
    <row r="473" spans="1:14" x14ac:dyDescent="0.3">
      <c r="A473">
        <v>335</v>
      </c>
      <c r="B473" t="s">
        <v>323</v>
      </c>
      <c r="C473">
        <v>161</v>
      </c>
      <c r="D473" t="s">
        <v>121</v>
      </c>
      <c r="E473">
        <v>555</v>
      </c>
      <c r="F473" t="s">
        <v>1355</v>
      </c>
      <c r="G473">
        <v>0</v>
      </c>
      <c r="H473">
        <v>0</v>
      </c>
      <c r="I473">
        <v>1</v>
      </c>
      <c r="J473">
        <v>2</v>
      </c>
      <c r="K473">
        <v>2</v>
      </c>
      <c r="L473">
        <v>1</v>
      </c>
      <c r="M473" t="s">
        <v>325</v>
      </c>
      <c r="N473" t="s">
        <v>336</v>
      </c>
    </row>
    <row r="474" spans="1:14" x14ac:dyDescent="0.3">
      <c r="A474">
        <v>335</v>
      </c>
      <c r="B474" t="s">
        <v>323</v>
      </c>
      <c r="C474">
        <v>161</v>
      </c>
      <c r="D474" t="s">
        <v>121</v>
      </c>
      <c r="E474">
        <v>556</v>
      </c>
      <c r="F474" t="s">
        <v>1356</v>
      </c>
      <c r="G474">
        <v>0</v>
      </c>
      <c r="H474">
        <v>0</v>
      </c>
      <c r="I474">
        <v>1</v>
      </c>
      <c r="J474">
        <v>1</v>
      </c>
      <c r="K474">
        <v>2</v>
      </c>
      <c r="L474">
        <v>3</v>
      </c>
      <c r="M474" t="s">
        <v>333</v>
      </c>
      <c r="N474" t="s">
        <v>326</v>
      </c>
    </row>
    <row r="475" spans="1:14" x14ac:dyDescent="0.3">
      <c r="A475">
        <v>335</v>
      </c>
      <c r="B475" t="s">
        <v>323</v>
      </c>
      <c r="C475">
        <v>161</v>
      </c>
      <c r="D475" t="s">
        <v>121</v>
      </c>
      <c r="E475">
        <v>557</v>
      </c>
      <c r="F475" t="s">
        <v>1357</v>
      </c>
      <c r="G475">
        <v>0</v>
      </c>
      <c r="H475">
        <v>0</v>
      </c>
      <c r="I475">
        <v>2</v>
      </c>
      <c r="J475">
        <v>2</v>
      </c>
      <c r="K475">
        <v>2</v>
      </c>
      <c r="L475">
        <v>0</v>
      </c>
      <c r="M475" t="s">
        <v>333</v>
      </c>
      <c r="N475" t="s">
        <v>326</v>
      </c>
    </row>
    <row r="476" spans="1:14" x14ac:dyDescent="0.3">
      <c r="A476">
        <v>335</v>
      </c>
      <c r="B476" t="s">
        <v>323</v>
      </c>
      <c r="C476">
        <v>161</v>
      </c>
      <c r="D476" t="s">
        <v>121</v>
      </c>
      <c r="E476">
        <v>558</v>
      </c>
      <c r="F476" t="s">
        <v>1358</v>
      </c>
      <c r="G476">
        <v>1</v>
      </c>
      <c r="H476">
        <v>0</v>
      </c>
      <c r="I476">
        <v>1</v>
      </c>
      <c r="J476">
        <v>0</v>
      </c>
      <c r="K476">
        <v>3</v>
      </c>
      <c r="L476">
        <v>1</v>
      </c>
      <c r="M476" t="s">
        <v>333</v>
      </c>
      <c r="N476" t="s">
        <v>326</v>
      </c>
    </row>
    <row r="477" spans="1:14" x14ac:dyDescent="0.3">
      <c r="A477">
        <v>335</v>
      </c>
      <c r="B477" t="s">
        <v>323</v>
      </c>
      <c r="C477">
        <v>161</v>
      </c>
      <c r="D477" t="s">
        <v>121</v>
      </c>
      <c r="E477">
        <v>559</v>
      </c>
      <c r="F477" t="s">
        <v>1359</v>
      </c>
      <c r="G477">
        <v>0</v>
      </c>
      <c r="H477">
        <v>0</v>
      </c>
      <c r="I477">
        <v>3</v>
      </c>
      <c r="J477">
        <v>0</v>
      </c>
      <c r="K477">
        <v>1</v>
      </c>
      <c r="L477">
        <v>2</v>
      </c>
      <c r="M477" t="s">
        <v>333</v>
      </c>
      <c r="N477" t="s">
        <v>326</v>
      </c>
    </row>
    <row r="478" spans="1:14" x14ac:dyDescent="0.3">
      <c r="A478">
        <v>335</v>
      </c>
      <c r="B478" t="s">
        <v>323</v>
      </c>
      <c r="C478">
        <v>161</v>
      </c>
      <c r="D478" t="s">
        <v>121</v>
      </c>
      <c r="E478">
        <v>560</v>
      </c>
      <c r="F478" t="s">
        <v>1360</v>
      </c>
      <c r="G478">
        <v>2</v>
      </c>
      <c r="H478">
        <v>2</v>
      </c>
      <c r="I478">
        <v>2</v>
      </c>
      <c r="J478">
        <v>3</v>
      </c>
      <c r="K478">
        <v>3</v>
      </c>
      <c r="L478">
        <v>3</v>
      </c>
      <c r="M478" t="s">
        <v>333</v>
      </c>
      <c r="N478" t="s">
        <v>326</v>
      </c>
    </row>
    <row r="479" spans="1:14" x14ac:dyDescent="0.3">
      <c r="A479">
        <v>335</v>
      </c>
      <c r="B479" t="s">
        <v>323</v>
      </c>
      <c r="C479">
        <v>161</v>
      </c>
      <c r="D479" t="s">
        <v>121</v>
      </c>
      <c r="E479">
        <v>561</v>
      </c>
      <c r="F479" t="s">
        <v>1361</v>
      </c>
      <c r="G479">
        <v>0</v>
      </c>
      <c r="H479">
        <v>0</v>
      </c>
      <c r="I479">
        <v>4</v>
      </c>
      <c r="J479">
        <v>2</v>
      </c>
      <c r="K479">
        <v>0</v>
      </c>
      <c r="L479">
        <v>0</v>
      </c>
      <c r="M479" t="s">
        <v>333</v>
      </c>
      <c r="N479" t="s">
        <v>326</v>
      </c>
    </row>
    <row r="480" spans="1:14" x14ac:dyDescent="0.3">
      <c r="A480">
        <v>335</v>
      </c>
      <c r="B480" t="s">
        <v>323</v>
      </c>
      <c r="C480">
        <v>161</v>
      </c>
      <c r="D480" t="s">
        <v>121</v>
      </c>
      <c r="E480">
        <v>562</v>
      </c>
      <c r="F480" t="s">
        <v>1362</v>
      </c>
      <c r="G480">
        <v>0</v>
      </c>
      <c r="H480">
        <v>0</v>
      </c>
      <c r="I480">
        <v>1</v>
      </c>
      <c r="J480">
        <v>1</v>
      </c>
      <c r="K480">
        <v>1</v>
      </c>
      <c r="L480">
        <v>5</v>
      </c>
      <c r="M480" t="s">
        <v>333</v>
      </c>
      <c r="N480" t="s">
        <v>326</v>
      </c>
    </row>
    <row r="481" spans="1:14" x14ac:dyDescent="0.3">
      <c r="A481">
        <v>335</v>
      </c>
      <c r="B481" t="s">
        <v>323</v>
      </c>
      <c r="C481">
        <v>161</v>
      </c>
      <c r="D481" t="s">
        <v>121</v>
      </c>
      <c r="E481">
        <v>563</v>
      </c>
      <c r="F481" t="s">
        <v>411</v>
      </c>
      <c r="G481">
        <v>0</v>
      </c>
      <c r="H481">
        <v>0</v>
      </c>
      <c r="I481">
        <v>0</v>
      </c>
      <c r="J481">
        <v>1</v>
      </c>
      <c r="K481">
        <v>2</v>
      </c>
      <c r="L481">
        <v>1</v>
      </c>
      <c r="M481" t="s">
        <v>333</v>
      </c>
      <c r="N481" t="s">
        <v>326</v>
      </c>
    </row>
    <row r="482" spans="1:14" x14ac:dyDescent="0.3">
      <c r="A482">
        <v>337</v>
      </c>
      <c r="B482" t="s">
        <v>313</v>
      </c>
      <c r="C482">
        <v>163</v>
      </c>
      <c r="D482" t="s">
        <v>125</v>
      </c>
      <c r="E482">
        <v>1400</v>
      </c>
      <c r="F482" t="s">
        <v>641</v>
      </c>
      <c r="G482">
        <v>0</v>
      </c>
      <c r="H482">
        <v>0</v>
      </c>
      <c r="I482">
        <v>3</v>
      </c>
      <c r="J482">
        <v>2</v>
      </c>
      <c r="K482">
        <v>0</v>
      </c>
      <c r="L482">
        <v>0</v>
      </c>
      <c r="M482" t="s">
        <v>333</v>
      </c>
      <c r="N482" t="s">
        <v>343</v>
      </c>
    </row>
    <row r="483" spans="1:14" x14ac:dyDescent="0.3">
      <c r="A483">
        <v>337</v>
      </c>
      <c r="B483" t="s">
        <v>313</v>
      </c>
      <c r="C483">
        <v>163</v>
      </c>
      <c r="D483" t="s">
        <v>125</v>
      </c>
      <c r="E483">
        <v>1401</v>
      </c>
      <c r="F483" t="s">
        <v>642</v>
      </c>
      <c r="G483">
        <v>0</v>
      </c>
      <c r="H483">
        <v>0</v>
      </c>
      <c r="I483">
        <v>2</v>
      </c>
      <c r="J483">
        <v>1</v>
      </c>
      <c r="K483">
        <v>2</v>
      </c>
      <c r="L483">
        <v>0</v>
      </c>
      <c r="M483" t="s">
        <v>325</v>
      </c>
      <c r="N483" t="s">
        <v>348</v>
      </c>
    </row>
    <row r="484" spans="1:14" x14ac:dyDescent="0.3">
      <c r="A484">
        <v>337</v>
      </c>
      <c r="B484" t="s">
        <v>313</v>
      </c>
      <c r="C484">
        <v>163</v>
      </c>
      <c r="D484" t="s">
        <v>125</v>
      </c>
      <c r="E484">
        <v>1402</v>
      </c>
      <c r="F484" t="s">
        <v>643</v>
      </c>
      <c r="G484">
        <v>1</v>
      </c>
      <c r="H484">
        <v>0</v>
      </c>
      <c r="I484">
        <v>1</v>
      </c>
      <c r="J484">
        <v>2</v>
      </c>
      <c r="K484">
        <v>2</v>
      </c>
      <c r="L484">
        <v>3</v>
      </c>
      <c r="M484" t="s">
        <v>325</v>
      </c>
      <c r="N484" t="s">
        <v>343</v>
      </c>
    </row>
    <row r="485" spans="1:14" x14ac:dyDescent="0.3">
      <c r="A485">
        <v>337</v>
      </c>
      <c r="B485" t="s">
        <v>313</v>
      </c>
      <c r="C485">
        <v>163</v>
      </c>
      <c r="D485" t="s">
        <v>125</v>
      </c>
      <c r="E485">
        <v>1403</v>
      </c>
      <c r="F485" t="s">
        <v>644</v>
      </c>
      <c r="G485">
        <v>0</v>
      </c>
      <c r="H485">
        <v>0</v>
      </c>
      <c r="I485">
        <v>0</v>
      </c>
      <c r="J485">
        <v>1</v>
      </c>
      <c r="K485">
        <v>1</v>
      </c>
      <c r="L485">
        <v>1</v>
      </c>
      <c r="M485" t="s">
        <v>333</v>
      </c>
      <c r="N485" t="s">
        <v>484</v>
      </c>
    </row>
    <row r="486" spans="1:14" x14ac:dyDescent="0.3">
      <c r="A486">
        <v>337</v>
      </c>
      <c r="B486" t="s">
        <v>313</v>
      </c>
      <c r="C486">
        <v>163</v>
      </c>
      <c r="D486" t="s">
        <v>125</v>
      </c>
      <c r="E486">
        <v>1404</v>
      </c>
      <c r="F486" t="s">
        <v>629</v>
      </c>
      <c r="G486">
        <v>1</v>
      </c>
      <c r="H486">
        <v>0</v>
      </c>
      <c r="I486">
        <v>0</v>
      </c>
      <c r="J486">
        <v>1</v>
      </c>
      <c r="K486">
        <v>3</v>
      </c>
      <c r="L486">
        <v>0</v>
      </c>
      <c r="M486" t="s">
        <v>325</v>
      </c>
      <c r="N486" t="s">
        <v>336</v>
      </c>
    </row>
    <row r="487" spans="1:14" x14ac:dyDescent="0.3">
      <c r="A487">
        <v>337</v>
      </c>
      <c r="B487" t="s">
        <v>313</v>
      </c>
      <c r="C487">
        <v>163</v>
      </c>
      <c r="D487" t="s">
        <v>125</v>
      </c>
      <c r="E487">
        <v>1831</v>
      </c>
      <c r="F487" t="s">
        <v>1363</v>
      </c>
    </row>
    <row r="488" spans="1:14" x14ac:dyDescent="0.3">
      <c r="A488">
        <v>337</v>
      </c>
      <c r="B488" t="s">
        <v>313</v>
      </c>
      <c r="C488">
        <v>163</v>
      </c>
      <c r="D488" t="s">
        <v>125</v>
      </c>
      <c r="E488">
        <v>1832</v>
      </c>
      <c r="F488" t="s">
        <v>1364</v>
      </c>
    </row>
    <row r="489" spans="1:14" x14ac:dyDescent="0.3">
      <c r="A489">
        <v>337</v>
      </c>
      <c r="B489" t="s">
        <v>313</v>
      </c>
      <c r="C489">
        <v>163</v>
      </c>
      <c r="D489" t="s">
        <v>125</v>
      </c>
      <c r="E489">
        <v>1833</v>
      </c>
      <c r="F489" t="s">
        <v>1365</v>
      </c>
    </row>
    <row r="490" spans="1:14" x14ac:dyDescent="0.3">
      <c r="A490">
        <v>337</v>
      </c>
      <c r="B490" t="s">
        <v>313</v>
      </c>
      <c r="C490">
        <v>163</v>
      </c>
      <c r="D490" t="s">
        <v>125</v>
      </c>
      <c r="E490">
        <v>1834</v>
      </c>
      <c r="F490" t="s">
        <v>1366</v>
      </c>
    </row>
    <row r="491" spans="1:14" x14ac:dyDescent="0.3">
      <c r="A491">
        <v>337</v>
      </c>
      <c r="B491" t="s">
        <v>313</v>
      </c>
      <c r="C491">
        <v>163</v>
      </c>
      <c r="D491" t="s">
        <v>125</v>
      </c>
      <c r="E491">
        <v>1835</v>
      </c>
      <c r="F491" t="s">
        <v>1367</v>
      </c>
    </row>
    <row r="492" spans="1:14" x14ac:dyDescent="0.3">
      <c r="A492">
        <v>337</v>
      </c>
      <c r="B492" t="s">
        <v>313</v>
      </c>
      <c r="C492">
        <v>163</v>
      </c>
      <c r="D492" t="s">
        <v>125</v>
      </c>
      <c r="E492">
        <v>1836</v>
      </c>
      <c r="F492" t="s">
        <v>1368</v>
      </c>
    </row>
    <row r="493" spans="1:14" x14ac:dyDescent="0.3">
      <c r="A493">
        <v>339</v>
      </c>
      <c r="B493" t="s">
        <v>323</v>
      </c>
      <c r="C493">
        <v>165</v>
      </c>
      <c r="D493" t="s">
        <v>130</v>
      </c>
      <c r="E493">
        <v>925</v>
      </c>
      <c r="F493" t="s">
        <v>393</v>
      </c>
      <c r="G493">
        <v>0</v>
      </c>
      <c r="H493">
        <v>0</v>
      </c>
      <c r="I493">
        <v>4</v>
      </c>
      <c r="J493">
        <v>0</v>
      </c>
      <c r="K493">
        <v>0</v>
      </c>
      <c r="L493">
        <v>0</v>
      </c>
      <c r="M493" t="s">
        <v>566</v>
      </c>
      <c r="N493" t="s">
        <v>336</v>
      </c>
    </row>
    <row r="494" spans="1:14" x14ac:dyDescent="0.3">
      <c r="A494">
        <v>339</v>
      </c>
      <c r="B494" t="s">
        <v>323</v>
      </c>
      <c r="C494">
        <v>165</v>
      </c>
      <c r="D494" t="s">
        <v>130</v>
      </c>
      <c r="E494">
        <v>926</v>
      </c>
      <c r="F494" t="s">
        <v>645</v>
      </c>
      <c r="G494">
        <v>1</v>
      </c>
      <c r="H494">
        <v>2</v>
      </c>
      <c r="I494">
        <v>10</v>
      </c>
      <c r="J494">
        <v>2</v>
      </c>
      <c r="K494">
        <v>4</v>
      </c>
      <c r="L494">
        <v>0</v>
      </c>
      <c r="M494" t="s">
        <v>333</v>
      </c>
      <c r="N494" t="s">
        <v>326</v>
      </c>
    </row>
    <row r="495" spans="1:14" x14ac:dyDescent="0.3">
      <c r="A495">
        <v>339</v>
      </c>
      <c r="B495" t="s">
        <v>323</v>
      </c>
      <c r="C495">
        <v>165</v>
      </c>
      <c r="D495" t="s">
        <v>130</v>
      </c>
      <c r="E495">
        <v>927</v>
      </c>
      <c r="F495" t="s">
        <v>646</v>
      </c>
      <c r="G495">
        <v>0</v>
      </c>
      <c r="H495">
        <v>0</v>
      </c>
      <c r="I495">
        <v>2</v>
      </c>
      <c r="J495">
        <v>9</v>
      </c>
      <c r="K495">
        <v>3</v>
      </c>
      <c r="L495">
        <v>0</v>
      </c>
      <c r="M495" t="s">
        <v>333</v>
      </c>
      <c r="N495" t="s">
        <v>326</v>
      </c>
    </row>
    <row r="496" spans="1:14" x14ac:dyDescent="0.3">
      <c r="A496">
        <v>339</v>
      </c>
      <c r="B496" t="s">
        <v>323</v>
      </c>
      <c r="C496">
        <v>165</v>
      </c>
      <c r="D496" t="s">
        <v>130</v>
      </c>
      <c r="E496">
        <v>928</v>
      </c>
      <c r="F496" t="s">
        <v>647</v>
      </c>
      <c r="G496">
        <v>1</v>
      </c>
      <c r="H496">
        <v>4</v>
      </c>
      <c r="I496">
        <v>3</v>
      </c>
      <c r="J496">
        <v>1</v>
      </c>
      <c r="K496">
        <v>1</v>
      </c>
      <c r="L496">
        <v>0</v>
      </c>
      <c r="M496" t="s">
        <v>333</v>
      </c>
      <c r="N496" t="s">
        <v>326</v>
      </c>
    </row>
    <row r="497" spans="1:14" x14ac:dyDescent="0.3">
      <c r="A497">
        <v>339</v>
      </c>
      <c r="B497" t="s">
        <v>323</v>
      </c>
      <c r="C497">
        <v>165</v>
      </c>
      <c r="D497" t="s">
        <v>130</v>
      </c>
      <c r="E497">
        <v>929</v>
      </c>
      <c r="F497" t="s">
        <v>648</v>
      </c>
      <c r="G497">
        <v>0</v>
      </c>
      <c r="H497">
        <v>0</v>
      </c>
      <c r="I497">
        <v>0</v>
      </c>
      <c r="J497">
        <v>4</v>
      </c>
      <c r="K497">
        <v>2</v>
      </c>
      <c r="L497">
        <v>0</v>
      </c>
      <c r="M497" t="s">
        <v>333</v>
      </c>
      <c r="N497" t="s">
        <v>336</v>
      </c>
    </row>
    <row r="498" spans="1:14" x14ac:dyDescent="0.3">
      <c r="A498">
        <v>339</v>
      </c>
      <c r="B498" t="s">
        <v>323</v>
      </c>
      <c r="C498">
        <v>165</v>
      </c>
      <c r="D498" t="s">
        <v>130</v>
      </c>
      <c r="E498">
        <v>930</v>
      </c>
      <c r="F498" t="s">
        <v>649</v>
      </c>
      <c r="G498">
        <v>0</v>
      </c>
      <c r="H498">
        <v>0</v>
      </c>
      <c r="I498">
        <v>0</v>
      </c>
      <c r="J498">
        <v>3</v>
      </c>
      <c r="K498">
        <v>3</v>
      </c>
      <c r="L498">
        <v>0</v>
      </c>
      <c r="M498" t="s">
        <v>333</v>
      </c>
      <c r="N498" t="s">
        <v>336</v>
      </c>
    </row>
    <row r="499" spans="1:14" x14ac:dyDescent="0.3">
      <c r="A499">
        <v>339</v>
      </c>
      <c r="B499" t="s">
        <v>323</v>
      </c>
      <c r="C499">
        <v>165</v>
      </c>
      <c r="D499" t="s">
        <v>130</v>
      </c>
      <c r="E499">
        <v>931</v>
      </c>
      <c r="F499" t="s">
        <v>650</v>
      </c>
      <c r="G499">
        <v>1</v>
      </c>
      <c r="H499">
        <v>0</v>
      </c>
      <c r="I499">
        <v>0</v>
      </c>
      <c r="J499">
        <v>3</v>
      </c>
      <c r="K499">
        <v>1</v>
      </c>
      <c r="L499">
        <v>0</v>
      </c>
      <c r="M499" t="s">
        <v>333</v>
      </c>
      <c r="N499" t="s">
        <v>326</v>
      </c>
    </row>
    <row r="500" spans="1:14" x14ac:dyDescent="0.3">
      <c r="A500">
        <v>339</v>
      </c>
      <c r="B500" t="s">
        <v>323</v>
      </c>
      <c r="C500">
        <v>165</v>
      </c>
      <c r="D500" t="s">
        <v>130</v>
      </c>
      <c r="E500">
        <v>932</v>
      </c>
      <c r="F500" t="s">
        <v>651</v>
      </c>
      <c r="G500">
        <v>0</v>
      </c>
      <c r="H500">
        <v>2</v>
      </c>
      <c r="I500">
        <v>1</v>
      </c>
      <c r="J500">
        <v>1</v>
      </c>
      <c r="K500">
        <v>0</v>
      </c>
      <c r="L500">
        <v>0</v>
      </c>
      <c r="M500" t="s">
        <v>333</v>
      </c>
      <c r="N500" t="s">
        <v>326</v>
      </c>
    </row>
    <row r="501" spans="1:14" x14ac:dyDescent="0.3">
      <c r="A501">
        <v>339</v>
      </c>
      <c r="B501" t="s">
        <v>323</v>
      </c>
      <c r="C501">
        <v>165</v>
      </c>
      <c r="D501" t="s">
        <v>130</v>
      </c>
      <c r="E501">
        <v>933</v>
      </c>
      <c r="F501" t="s">
        <v>652</v>
      </c>
      <c r="G501">
        <v>0</v>
      </c>
      <c r="H501">
        <v>0</v>
      </c>
      <c r="I501">
        <v>1</v>
      </c>
      <c r="J501">
        <v>0</v>
      </c>
      <c r="K501">
        <v>0</v>
      </c>
      <c r="L501">
        <v>0</v>
      </c>
      <c r="M501" t="s">
        <v>333</v>
      </c>
      <c r="N501" t="s">
        <v>348</v>
      </c>
    </row>
    <row r="502" spans="1:14" x14ac:dyDescent="0.3">
      <c r="A502">
        <v>339</v>
      </c>
      <c r="B502" t="s">
        <v>323</v>
      </c>
      <c r="C502">
        <v>165</v>
      </c>
      <c r="D502" t="s">
        <v>130</v>
      </c>
      <c r="E502">
        <v>934</v>
      </c>
      <c r="F502" t="s">
        <v>653</v>
      </c>
      <c r="G502">
        <v>5</v>
      </c>
      <c r="H502">
        <v>0</v>
      </c>
      <c r="I502">
        <v>0</v>
      </c>
      <c r="J502">
        <v>0</v>
      </c>
      <c r="K502">
        <v>0</v>
      </c>
      <c r="L502">
        <v>0</v>
      </c>
      <c r="M502" t="s">
        <v>325</v>
      </c>
      <c r="N502" t="s">
        <v>484</v>
      </c>
    </row>
    <row r="503" spans="1:14" x14ac:dyDescent="0.3">
      <c r="A503">
        <v>339</v>
      </c>
      <c r="B503" t="s">
        <v>323</v>
      </c>
      <c r="C503">
        <v>165</v>
      </c>
      <c r="D503" t="s">
        <v>130</v>
      </c>
      <c r="E503">
        <v>935</v>
      </c>
      <c r="F503" t="s">
        <v>654</v>
      </c>
      <c r="G503">
        <v>0</v>
      </c>
      <c r="H503">
        <v>2</v>
      </c>
      <c r="I503">
        <v>3</v>
      </c>
      <c r="J503">
        <v>0</v>
      </c>
      <c r="K503">
        <v>0</v>
      </c>
      <c r="L503">
        <v>0</v>
      </c>
      <c r="M503" t="s">
        <v>325</v>
      </c>
      <c r="N503" t="s">
        <v>326</v>
      </c>
    </row>
    <row r="504" spans="1:14" x14ac:dyDescent="0.3">
      <c r="A504">
        <v>339</v>
      </c>
      <c r="B504" t="s">
        <v>323</v>
      </c>
      <c r="C504">
        <v>165</v>
      </c>
      <c r="D504" t="s">
        <v>130</v>
      </c>
      <c r="E504">
        <v>936</v>
      </c>
      <c r="F504" t="s">
        <v>655</v>
      </c>
      <c r="G504">
        <v>1</v>
      </c>
      <c r="H504">
        <v>2</v>
      </c>
      <c r="I504">
        <v>3</v>
      </c>
      <c r="J504">
        <v>0</v>
      </c>
      <c r="K504">
        <v>1</v>
      </c>
      <c r="L504">
        <v>0</v>
      </c>
      <c r="M504" t="s">
        <v>333</v>
      </c>
      <c r="N504" t="s">
        <v>326</v>
      </c>
    </row>
    <row r="505" spans="1:14" x14ac:dyDescent="0.3">
      <c r="A505">
        <v>339</v>
      </c>
      <c r="B505" t="s">
        <v>323</v>
      </c>
      <c r="C505">
        <v>165</v>
      </c>
      <c r="D505" t="s">
        <v>130</v>
      </c>
      <c r="E505">
        <v>937</v>
      </c>
      <c r="F505" t="s">
        <v>656</v>
      </c>
      <c r="G505">
        <v>1</v>
      </c>
      <c r="H505">
        <v>0</v>
      </c>
      <c r="I505">
        <v>1</v>
      </c>
      <c r="J505">
        <v>0</v>
      </c>
      <c r="K505">
        <v>0</v>
      </c>
      <c r="L505">
        <v>0</v>
      </c>
      <c r="M505" t="s">
        <v>333</v>
      </c>
      <c r="N505" t="s">
        <v>348</v>
      </c>
    </row>
    <row r="506" spans="1:14" x14ac:dyDescent="0.3">
      <c r="A506">
        <v>339</v>
      </c>
      <c r="B506" t="s">
        <v>323</v>
      </c>
      <c r="C506">
        <v>165</v>
      </c>
      <c r="D506" t="s">
        <v>130</v>
      </c>
      <c r="E506">
        <v>938</v>
      </c>
      <c r="F506" t="s">
        <v>657</v>
      </c>
      <c r="G506">
        <v>3</v>
      </c>
      <c r="H506">
        <v>1</v>
      </c>
      <c r="I506">
        <v>2</v>
      </c>
      <c r="J506">
        <v>0</v>
      </c>
      <c r="K506">
        <v>0</v>
      </c>
      <c r="L506">
        <v>0</v>
      </c>
      <c r="M506" t="s">
        <v>325</v>
      </c>
      <c r="N506" t="s">
        <v>348</v>
      </c>
    </row>
    <row r="507" spans="1:14" x14ac:dyDescent="0.3">
      <c r="A507">
        <v>339</v>
      </c>
      <c r="B507" t="s">
        <v>323</v>
      </c>
      <c r="C507">
        <v>165</v>
      </c>
      <c r="D507" t="s">
        <v>130</v>
      </c>
      <c r="E507">
        <v>939</v>
      </c>
      <c r="F507" t="s">
        <v>658</v>
      </c>
      <c r="G507">
        <v>0</v>
      </c>
      <c r="H507">
        <v>0</v>
      </c>
      <c r="I507">
        <v>2</v>
      </c>
      <c r="J507">
        <v>3</v>
      </c>
      <c r="K507">
        <v>1</v>
      </c>
      <c r="L507">
        <v>0</v>
      </c>
      <c r="M507" t="s">
        <v>325</v>
      </c>
      <c r="N507" t="s">
        <v>326</v>
      </c>
    </row>
    <row r="508" spans="1:14" x14ac:dyDescent="0.3">
      <c r="A508">
        <v>339</v>
      </c>
      <c r="B508" t="s">
        <v>323</v>
      </c>
      <c r="C508">
        <v>165</v>
      </c>
      <c r="D508" t="s">
        <v>130</v>
      </c>
      <c r="E508">
        <v>940</v>
      </c>
      <c r="F508" t="s">
        <v>659</v>
      </c>
      <c r="G508">
        <v>0</v>
      </c>
      <c r="H508">
        <v>3</v>
      </c>
      <c r="I508">
        <v>2</v>
      </c>
      <c r="J508">
        <v>0</v>
      </c>
      <c r="K508">
        <v>0</v>
      </c>
      <c r="L508">
        <v>0</v>
      </c>
      <c r="M508" t="s">
        <v>325</v>
      </c>
      <c r="N508" t="s">
        <v>343</v>
      </c>
    </row>
    <row r="509" spans="1:14" x14ac:dyDescent="0.3">
      <c r="A509">
        <v>339</v>
      </c>
      <c r="B509" t="s">
        <v>323</v>
      </c>
      <c r="C509">
        <v>165</v>
      </c>
      <c r="D509" t="s">
        <v>130</v>
      </c>
      <c r="E509">
        <v>941</v>
      </c>
      <c r="F509" t="s">
        <v>660</v>
      </c>
      <c r="G509">
        <v>0</v>
      </c>
      <c r="H509">
        <v>2</v>
      </c>
      <c r="I509">
        <v>3</v>
      </c>
      <c r="J509">
        <v>2</v>
      </c>
      <c r="K509">
        <v>2</v>
      </c>
      <c r="L509">
        <v>0</v>
      </c>
      <c r="M509" t="s">
        <v>325</v>
      </c>
      <c r="N509" t="s">
        <v>326</v>
      </c>
    </row>
    <row r="510" spans="1:14" x14ac:dyDescent="0.3">
      <c r="A510">
        <v>339</v>
      </c>
      <c r="B510" t="s">
        <v>323</v>
      </c>
      <c r="C510">
        <v>165</v>
      </c>
      <c r="D510" t="s">
        <v>130</v>
      </c>
      <c r="E510">
        <v>1472</v>
      </c>
      <c r="F510" t="s">
        <v>661</v>
      </c>
      <c r="G510">
        <v>0</v>
      </c>
      <c r="H510">
        <v>1</v>
      </c>
      <c r="I510">
        <v>3</v>
      </c>
      <c r="J510">
        <v>3</v>
      </c>
      <c r="K510">
        <v>0</v>
      </c>
      <c r="L510">
        <v>0</v>
      </c>
      <c r="M510" t="s">
        <v>325</v>
      </c>
      <c r="N510" t="s">
        <v>484</v>
      </c>
    </row>
    <row r="511" spans="1:14" x14ac:dyDescent="0.3">
      <c r="A511">
        <v>339</v>
      </c>
      <c r="B511" t="s">
        <v>323</v>
      </c>
      <c r="C511">
        <v>165</v>
      </c>
      <c r="D511" t="s">
        <v>130</v>
      </c>
      <c r="E511">
        <v>1473</v>
      </c>
      <c r="F511" t="s">
        <v>662</v>
      </c>
      <c r="G511">
        <v>0</v>
      </c>
      <c r="H511">
        <v>3</v>
      </c>
      <c r="I511">
        <v>1</v>
      </c>
      <c r="J511">
        <v>1</v>
      </c>
      <c r="K511">
        <v>0</v>
      </c>
      <c r="L511">
        <v>0</v>
      </c>
      <c r="M511" t="s">
        <v>325</v>
      </c>
      <c r="N511" t="s">
        <v>348</v>
      </c>
    </row>
    <row r="512" spans="1:14" x14ac:dyDescent="0.3">
      <c r="A512">
        <v>339</v>
      </c>
      <c r="B512" t="s">
        <v>323</v>
      </c>
      <c r="C512">
        <v>165</v>
      </c>
      <c r="D512" t="s">
        <v>130</v>
      </c>
      <c r="E512">
        <v>1474</v>
      </c>
      <c r="F512" t="s">
        <v>663</v>
      </c>
      <c r="G512">
        <v>0</v>
      </c>
      <c r="H512">
        <v>0</v>
      </c>
      <c r="I512">
        <v>2</v>
      </c>
      <c r="J512">
        <v>2</v>
      </c>
      <c r="K512">
        <v>1</v>
      </c>
      <c r="L512">
        <v>0</v>
      </c>
      <c r="M512" t="s">
        <v>325</v>
      </c>
      <c r="N512" t="s">
        <v>329</v>
      </c>
    </row>
    <row r="513" spans="1:14" x14ac:dyDescent="0.3">
      <c r="A513">
        <v>339</v>
      </c>
      <c r="B513" t="s">
        <v>323</v>
      </c>
      <c r="C513">
        <v>165</v>
      </c>
      <c r="D513" t="s">
        <v>130</v>
      </c>
      <c r="E513">
        <v>1669</v>
      </c>
      <c r="F513" t="s">
        <v>1369</v>
      </c>
      <c r="G513">
        <v>0</v>
      </c>
      <c r="H513">
        <v>1</v>
      </c>
      <c r="I513">
        <v>2</v>
      </c>
      <c r="J513">
        <v>1</v>
      </c>
      <c r="K513">
        <v>0</v>
      </c>
      <c r="L513">
        <v>0</v>
      </c>
      <c r="M513" t="s">
        <v>325</v>
      </c>
      <c r="N513" t="s">
        <v>326</v>
      </c>
    </row>
    <row r="514" spans="1:14" x14ac:dyDescent="0.3">
      <c r="A514">
        <v>339</v>
      </c>
      <c r="B514" t="s">
        <v>323</v>
      </c>
      <c r="C514">
        <v>165</v>
      </c>
      <c r="D514" t="s">
        <v>130</v>
      </c>
      <c r="E514">
        <v>1670</v>
      </c>
      <c r="F514" t="s">
        <v>1370</v>
      </c>
      <c r="G514">
        <v>0</v>
      </c>
      <c r="H514">
        <v>0</v>
      </c>
      <c r="I514">
        <v>2</v>
      </c>
      <c r="J514">
        <v>1</v>
      </c>
      <c r="K514">
        <v>0</v>
      </c>
      <c r="L514">
        <v>0</v>
      </c>
      <c r="M514" t="s">
        <v>410</v>
      </c>
      <c r="N514" t="s">
        <v>329</v>
      </c>
    </row>
    <row r="515" spans="1:14" x14ac:dyDescent="0.3">
      <c r="A515">
        <v>339</v>
      </c>
      <c r="B515" t="s">
        <v>323</v>
      </c>
      <c r="C515">
        <v>165</v>
      </c>
      <c r="D515" t="s">
        <v>130</v>
      </c>
      <c r="E515">
        <v>1671</v>
      </c>
      <c r="F515" t="s">
        <v>1371</v>
      </c>
      <c r="G515">
        <v>0</v>
      </c>
      <c r="H515">
        <v>0</v>
      </c>
      <c r="I515">
        <v>1</v>
      </c>
      <c r="J515">
        <v>1</v>
      </c>
      <c r="K515">
        <v>0</v>
      </c>
      <c r="L515">
        <v>0</v>
      </c>
      <c r="M515" t="s">
        <v>325</v>
      </c>
      <c r="N515" t="s">
        <v>348</v>
      </c>
    </row>
    <row r="516" spans="1:14" x14ac:dyDescent="0.3">
      <c r="A516">
        <v>339</v>
      </c>
      <c r="B516" t="s">
        <v>323</v>
      </c>
      <c r="C516">
        <v>165</v>
      </c>
      <c r="D516" t="s">
        <v>130</v>
      </c>
      <c r="E516">
        <v>1673</v>
      </c>
      <c r="F516" t="s">
        <v>869</v>
      </c>
      <c r="G516">
        <v>1</v>
      </c>
      <c r="H516">
        <v>1</v>
      </c>
      <c r="I516">
        <v>3</v>
      </c>
      <c r="J516">
        <v>0</v>
      </c>
      <c r="K516">
        <v>0</v>
      </c>
      <c r="L516">
        <v>0</v>
      </c>
      <c r="M516" t="s">
        <v>325</v>
      </c>
      <c r="N516" t="s">
        <v>343</v>
      </c>
    </row>
    <row r="517" spans="1:14" x14ac:dyDescent="0.3">
      <c r="A517">
        <v>339</v>
      </c>
      <c r="B517" t="s">
        <v>323</v>
      </c>
      <c r="C517">
        <v>165</v>
      </c>
      <c r="D517" t="s">
        <v>130</v>
      </c>
      <c r="E517">
        <v>1676</v>
      </c>
      <c r="F517" t="s">
        <v>1372</v>
      </c>
      <c r="G517">
        <v>0</v>
      </c>
      <c r="H517">
        <v>0</v>
      </c>
      <c r="I517">
        <v>0</v>
      </c>
      <c r="J517">
        <v>1</v>
      </c>
      <c r="K517">
        <v>3</v>
      </c>
      <c r="L517">
        <v>0</v>
      </c>
      <c r="M517" t="s">
        <v>325</v>
      </c>
      <c r="N517" t="s">
        <v>326</v>
      </c>
    </row>
    <row r="518" spans="1:14" x14ac:dyDescent="0.3">
      <c r="A518">
        <v>339</v>
      </c>
      <c r="B518" t="s">
        <v>323</v>
      </c>
      <c r="C518">
        <v>165</v>
      </c>
      <c r="D518" t="s">
        <v>130</v>
      </c>
      <c r="E518">
        <v>1679</v>
      </c>
      <c r="F518" t="s">
        <v>1004</v>
      </c>
      <c r="G518">
        <v>0</v>
      </c>
      <c r="H518">
        <v>2</v>
      </c>
      <c r="I518">
        <v>3</v>
      </c>
      <c r="J518">
        <v>0</v>
      </c>
      <c r="K518">
        <v>0</v>
      </c>
      <c r="L518">
        <v>0</v>
      </c>
      <c r="M518" t="s">
        <v>410</v>
      </c>
      <c r="N518" t="s">
        <v>348</v>
      </c>
    </row>
    <row r="519" spans="1:14" x14ac:dyDescent="0.3">
      <c r="A519">
        <v>339</v>
      </c>
      <c r="B519" t="s">
        <v>323</v>
      </c>
      <c r="C519">
        <v>165</v>
      </c>
      <c r="D519" t="s">
        <v>130</v>
      </c>
      <c r="E519">
        <v>1680</v>
      </c>
      <c r="F519" t="s">
        <v>1373</v>
      </c>
      <c r="G519">
        <v>0</v>
      </c>
      <c r="H519">
        <v>0</v>
      </c>
      <c r="I519">
        <v>1</v>
      </c>
      <c r="J519">
        <v>5</v>
      </c>
      <c r="K519">
        <v>0</v>
      </c>
      <c r="L519">
        <v>0</v>
      </c>
      <c r="M519" t="s">
        <v>333</v>
      </c>
      <c r="N519" t="s">
        <v>348</v>
      </c>
    </row>
    <row r="520" spans="1:14" x14ac:dyDescent="0.3">
      <c r="A520">
        <v>340</v>
      </c>
      <c r="B520" t="s">
        <v>323</v>
      </c>
      <c r="C520">
        <v>166</v>
      </c>
      <c r="D520" t="s">
        <v>133</v>
      </c>
      <c r="E520">
        <v>1096</v>
      </c>
      <c r="F520" t="s">
        <v>664</v>
      </c>
      <c r="G520">
        <v>0</v>
      </c>
      <c r="H520">
        <v>0</v>
      </c>
      <c r="I520">
        <v>5</v>
      </c>
      <c r="J520">
        <v>2</v>
      </c>
      <c r="K520">
        <v>1</v>
      </c>
      <c r="L520">
        <v>0</v>
      </c>
      <c r="M520" t="s">
        <v>333</v>
      </c>
      <c r="N520" t="s">
        <v>326</v>
      </c>
    </row>
    <row r="521" spans="1:14" x14ac:dyDescent="0.3">
      <c r="A521">
        <v>340</v>
      </c>
      <c r="B521" t="s">
        <v>323</v>
      </c>
      <c r="C521">
        <v>166</v>
      </c>
      <c r="D521" t="s">
        <v>133</v>
      </c>
      <c r="E521">
        <v>1097</v>
      </c>
      <c r="F521" t="s">
        <v>393</v>
      </c>
      <c r="G521">
        <v>0</v>
      </c>
      <c r="H521">
        <v>0</v>
      </c>
      <c r="I521">
        <v>6</v>
      </c>
      <c r="J521">
        <v>0</v>
      </c>
      <c r="K521">
        <v>0</v>
      </c>
      <c r="L521">
        <v>0</v>
      </c>
      <c r="M521" t="s">
        <v>566</v>
      </c>
      <c r="N521" t="s">
        <v>336</v>
      </c>
    </row>
    <row r="522" spans="1:14" x14ac:dyDescent="0.3">
      <c r="A522">
        <v>340</v>
      </c>
      <c r="B522" t="s">
        <v>323</v>
      </c>
      <c r="C522">
        <v>166</v>
      </c>
      <c r="D522" t="s">
        <v>133</v>
      </c>
      <c r="E522">
        <v>1098</v>
      </c>
      <c r="F522" t="s">
        <v>665</v>
      </c>
      <c r="G522">
        <v>0</v>
      </c>
      <c r="H522">
        <v>0</v>
      </c>
      <c r="I522">
        <v>1</v>
      </c>
      <c r="J522">
        <v>5</v>
      </c>
      <c r="K522">
        <v>5</v>
      </c>
      <c r="L522">
        <v>0</v>
      </c>
      <c r="M522" t="s">
        <v>333</v>
      </c>
      <c r="N522" t="s">
        <v>326</v>
      </c>
    </row>
    <row r="523" spans="1:14" x14ac:dyDescent="0.3">
      <c r="A523">
        <v>340</v>
      </c>
      <c r="B523" t="s">
        <v>323</v>
      </c>
      <c r="C523">
        <v>166</v>
      </c>
      <c r="D523" t="s">
        <v>133</v>
      </c>
      <c r="E523">
        <v>1099</v>
      </c>
      <c r="F523" t="s">
        <v>666</v>
      </c>
      <c r="G523">
        <v>0</v>
      </c>
      <c r="H523">
        <v>0</v>
      </c>
      <c r="I523">
        <v>1</v>
      </c>
      <c r="J523">
        <v>0</v>
      </c>
      <c r="K523">
        <v>3</v>
      </c>
      <c r="L523">
        <v>0</v>
      </c>
      <c r="M523" t="s">
        <v>333</v>
      </c>
      <c r="N523" t="s">
        <v>326</v>
      </c>
    </row>
    <row r="524" spans="1:14" x14ac:dyDescent="0.3">
      <c r="A524">
        <v>340</v>
      </c>
      <c r="B524" t="s">
        <v>323</v>
      </c>
      <c r="C524">
        <v>166</v>
      </c>
      <c r="D524" t="s">
        <v>133</v>
      </c>
      <c r="E524">
        <v>1100</v>
      </c>
      <c r="F524" t="s">
        <v>667</v>
      </c>
      <c r="G524">
        <v>0</v>
      </c>
      <c r="H524">
        <v>6</v>
      </c>
      <c r="I524">
        <v>0</v>
      </c>
      <c r="J524">
        <v>0</v>
      </c>
      <c r="K524">
        <v>0</v>
      </c>
      <c r="L524">
        <v>0</v>
      </c>
      <c r="M524" t="s">
        <v>325</v>
      </c>
      <c r="N524" t="s">
        <v>484</v>
      </c>
    </row>
    <row r="525" spans="1:14" x14ac:dyDescent="0.3">
      <c r="A525">
        <v>340</v>
      </c>
      <c r="B525" t="s">
        <v>323</v>
      </c>
      <c r="C525">
        <v>166</v>
      </c>
      <c r="D525" t="s">
        <v>133</v>
      </c>
      <c r="E525">
        <v>1102</v>
      </c>
      <c r="F525" t="s">
        <v>668</v>
      </c>
      <c r="G525">
        <v>4</v>
      </c>
      <c r="H525">
        <v>3</v>
      </c>
      <c r="I525">
        <v>0</v>
      </c>
      <c r="J525">
        <v>0</v>
      </c>
      <c r="K525">
        <v>0</v>
      </c>
      <c r="L525">
        <v>0</v>
      </c>
      <c r="M525" t="s">
        <v>333</v>
      </c>
      <c r="N525" t="s">
        <v>336</v>
      </c>
    </row>
    <row r="526" spans="1:14" x14ac:dyDescent="0.3">
      <c r="A526">
        <v>340</v>
      </c>
      <c r="B526" t="s">
        <v>323</v>
      </c>
      <c r="C526">
        <v>166</v>
      </c>
      <c r="D526" t="s">
        <v>133</v>
      </c>
      <c r="E526">
        <v>1103</v>
      </c>
      <c r="F526" t="s">
        <v>669</v>
      </c>
      <c r="G526">
        <v>6</v>
      </c>
      <c r="H526">
        <v>1</v>
      </c>
      <c r="I526">
        <v>0</v>
      </c>
      <c r="J526">
        <v>0</v>
      </c>
      <c r="K526">
        <v>0</v>
      </c>
      <c r="L526">
        <v>0</v>
      </c>
      <c r="M526" t="s">
        <v>333</v>
      </c>
      <c r="N526" t="s">
        <v>336</v>
      </c>
    </row>
    <row r="527" spans="1:14" x14ac:dyDescent="0.3">
      <c r="A527">
        <v>340</v>
      </c>
      <c r="B527" t="s">
        <v>323</v>
      </c>
      <c r="C527">
        <v>166</v>
      </c>
      <c r="D527" t="s">
        <v>133</v>
      </c>
      <c r="E527">
        <v>1104</v>
      </c>
      <c r="F527" t="s">
        <v>670</v>
      </c>
      <c r="G527">
        <v>3</v>
      </c>
      <c r="H527">
        <v>1</v>
      </c>
      <c r="I527">
        <v>3</v>
      </c>
      <c r="J527">
        <v>0</v>
      </c>
      <c r="K527">
        <v>0</v>
      </c>
      <c r="L527">
        <v>0</v>
      </c>
      <c r="M527" t="s">
        <v>333</v>
      </c>
      <c r="N527" t="s">
        <v>326</v>
      </c>
    </row>
    <row r="528" spans="1:14" x14ac:dyDescent="0.3">
      <c r="A528">
        <v>340</v>
      </c>
      <c r="B528" t="s">
        <v>323</v>
      </c>
      <c r="C528">
        <v>166</v>
      </c>
      <c r="D528" t="s">
        <v>133</v>
      </c>
      <c r="E528">
        <v>1105</v>
      </c>
      <c r="F528" t="s">
        <v>671</v>
      </c>
      <c r="G528">
        <v>3</v>
      </c>
      <c r="H528">
        <v>2</v>
      </c>
      <c r="I528">
        <v>0</v>
      </c>
      <c r="J528">
        <v>0</v>
      </c>
      <c r="K528">
        <v>0</v>
      </c>
      <c r="L528">
        <v>0</v>
      </c>
      <c r="M528" t="s">
        <v>333</v>
      </c>
      <c r="N528" t="s">
        <v>343</v>
      </c>
    </row>
    <row r="529" spans="1:14" x14ac:dyDescent="0.3">
      <c r="A529">
        <v>340</v>
      </c>
      <c r="B529" t="s">
        <v>323</v>
      </c>
      <c r="C529">
        <v>166</v>
      </c>
      <c r="D529" t="s">
        <v>133</v>
      </c>
      <c r="E529">
        <v>1107</v>
      </c>
      <c r="F529" t="s">
        <v>672</v>
      </c>
      <c r="G529">
        <v>1</v>
      </c>
      <c r="H529">
        <v>0</v>
      </c>
      <c r="I529">
        <v>3</v>
      </c>
      <c r="J529">
        <v>1</v>
      </c>
      <c r="K529">
        <v>3</v>
      </c>
      <c r="L529">
        <v>3</v>
      </c>
      <c r="M529" t="s">
        <v>333</v>
      </c>
      <c r="N529" t="s">
        <v>326</v>
      </c>
    </row>
    <row r="530" spans="1:14" x14ac:dyDescent="0.3">
      <c r="A530">
        <v>340</v>
      </c>
      <c r="B530" t="s">
        <v>323</v>
      </c>
      <c r="C530">
        <v>166</v>
      </c>
      <c r="D530" t="s">
        <v>133</v>
      </c>
      <c r="E530">
        <v>1110</v>
      </c>
      <c r="F530" t="s">
        <v>674</v>
      </c>
      <c r="G530">
        <v>0</v>
      </c>
      <c r="H530">
        <v>0</v>
      </c>
      <c r="I530">
        <v>1</v>
      </c>
      <c r="J530">
        <v>4</v>
      </c>
      <c r="K530">
        <v>3</v>
      </c>
      <c r="L530">
        <v>4</v>
      </c>
      <c r="M530" t="s">
        <v>325</v>
      </c>
      <c r="N530" t="s">
        <v>336</v>
      </c>
    </row>
    <row r="531" spans="1:14" x14ac:dyDescent="0.3">
      <c r="A531">
        <v>340</v>
      </c>
      <c r="B531" t="s">
        <v>323</v>
      </c>
      <c r="C531">
        <v>166</v>
      </c>
      <c r="D531" t="s">
        <v>133</v>
      </c>
      <c r="E531">
        <v>1111</v>
      </c>
      <c r="F531" t="s">
        <v>675</v>
      </c>
      <c r="G531">
        <v>0</v>
      </c>
      <c r="H531">
        <v>1</v>
      </c>
      <c r="I531">
        <v>1</v>
      </c>
      <c r="J531">
        <v>2</v>
      </c>
      <c r="K531">
        <v>3</v>
      </c>
      <c r="L531">
        <v>4</v>
      </c>
      <c r="M531" t="s">
        <v>333</v>
      </c>
      <c r="N531" t="s">
        <v>326</v>
      </c>
    </row>
    <row r="532" spans="1:14" x14ac:dyDescent="0.3">
      <c r="A532">
        <v>340</v>
      </c>
      <c r="B532" t="s">
        <v>323</v>
      </c>
      <c r="C532">
        <v>166</v>
      </c>
      <c r="D532" t="s">
        <v>133</v>
      </c>
      <c r="E532">
        <v>1112</v>
      </c>
      <c r="F532" t="s">
        <v>676</v>
      </c>
      <c r="G532">
        <v>2</v>
      </c>
      <c r="H532">
        <v>2</v>
      </c>
      <c r="I532">
        <v>0</v>
      </c>
      <c r="J532">
        <v>1</v>
      </c>
      <c r="K532">
        <v>0</v>
      </c>
      <c r="L532">
        <v>0</v>
      </c>
      <c r="M532" t="s">
        <v>333</v>
      </c>
      <c r="N532" t="s">
        <v>484</v>
      </c>
    </row>
    <row r="533" spans="1:14" x14ac:dyDescent="0.3">
      <c r="A533">
        <v>340</v>
      </c>
      <c r="B533" t="s">
        <v>323</v>
      </c>
      <c r="C533">
        <v>166</v>
      </c>
      <c r="D533" t="s">
        <v>133</v>
      </c>
      <c r="E533">
        <v>1113</v>
      </c>
      <c r="F533" t="s">
        <v>677</v>
      </c>
      <c r="G533">
        <v>0</v>
      </c>
      <c r="H533">
        <v>0</v>
      </c>
      <c r="I533">
        <v>3</v>
      </c>
      <c r="J533">
        <v>2</v>
      </c>
      <c r="K533">
        <v>0</v>
      </c>
      <c r="L533">
        <v>3</v>
      </c>
      <c r="M533" t="s">
        <v>333</v>
      </c>
      <c r="N533" t="s">
        <v>326</v>
      </c>
    </row>
    <row r="534" spans="1:14" x14ac:dyDescent="0.3">
      <c r="A534">
        <v>340</v>
      </c>
      <c r="B534" t="s">
        <v>323</v>
      </c>
      <c r="C534">
        <v>166</v>
      </c>
      <c r="D534" t="s">
        <v>133</v>
      </c>
      <c r="E534">
        <v>1114</v>
      </c>
      <c r="F534" t="s">
        <v>678</v>
      </c>
      <c r="G534">
        <v>0</v>
      </c>
      <c r="H534">
        <v>3</v>
      </c>
      <c r="I534">
        <v>7</v>
      </c>
      <c r="J534">
        <v>5</v>
      </c>
      <c r="K534">
        <v>3</v>
      </c>
      <c r="L534">
        <v>4</v>
      </c>
      <c r="M534" t="s">
        <v>333</v>
      </c>
      <c r="N534" t="s">
        <v>326</v>
      </c>
    </row>
    <row r="535" spans="1:14" x14ac:dyDescent="0.3">
      <c r="A535">
        <v>340</v>
      </c>
      <c r="B535" t="s">
        <v>323</v>
      </c>
      <c r="C535">
        <v>166</v>
      </c>
      <c r="D535" t="s">
        <v>133</v>
      </c>
      <c r="E535">
        <v>1115</v>
      </c>
      <c r="F535" t="s">
        <v>679</v>
      </c>
      <c r="G535">
        <v>0</v>
      </c>
      <c r="H535">
        <v>5</v>
      </c>
      <c r="I535">
        <v>1</v>
      </c>
      <c r="J535">
        <v>0</v>
      </c>
      <c r="K535">
        <v>0</v>
      </c>
      <c r="L535">
        <v>0</v>
      </c>
      <c r="M535" t="s">
        <v>333</v>
      </c>
      <c r="N535" t="s">
        <v>484</v>
      </c>
    </row>
    <row r="536" spans="1:14" x14ac:dyDescent="0.3">
      <c r="A536">
        <v>340</v>
      </c>
      <c r="B536" t="s">
        <v>323</v>
      </c>
      <c r="C536">
        <v>166</v>
      </c>
      <c r="D536" t="s">
        <v>133</v>
      </c>
      <c r="E536">
        <v>1116</v>
      </c>
      <c r="F536" t="s">
        <v>680</v>
      </c>
      <c r="G536">
        <v>0</v>
      </c>
      <c r="H536">
        <v>0</v>
      </c>
      <c r="I536">
        <v>0</v>
      </c>
      <c r="J536">
        <v>4</v>
      </c>
      <c r="K536">
        <v>5</v>
      </c>
      <c r="L536">
        <v>0</v>
      </c>
      <c r="M536" t="s">
        <v>333</v>
      </c>
      <c r="N536" t="s">
        <v>326</v>
      </c>
    </row>
    <row r="537" spans="1:14" x14ac:dyDescent="0.3">
      <c r="A537">
        <v>340</v>
      </c>
      <c r="B537" t="s">
        <v>323</v>
      </c>
      <c r="C537">
        <v>166</v>
      </c>
      <c r="D537" t="s">
        <v>133</v>
      </c>
      <c r="E537">
        <v>1117</v>
      </c>
      <c r="F537" t="s">
        <v>681</v>
      </c>
      <c r="G537">
        <v>0</v>
      </c>
      <c r="H537">
        <v>1</v>
      </c>
      <c r="I537">
        <v>3</v>
      </c>
      <c r="J537">
        <v>2</v>
      </c>
      <c r="K537">
        <v>1</v>
      </c>
      <c r="L537">
        <v>6</v>
      </c>
      <c r="M537" t="s">
        <v>333</v>
      </c>
      <c r="N537" t="s">
        <v>326</v>
      </c>
    </row>
    <row r="538" spans="1:14" x14ac:dyDescent="0.3">
      <c r="A538">
        <v>340</v>
      </c>
      <c r="B538" t="s">
        <v>323</v>
      </c>
      <c r="C538">
        <v>166</v>
      </c>
      <c r="D538" t="s">
        <v>133</v>
      </c>
      <c r="E538">
        <v>1118</v>
      </c>
      <c r="F538" t="s">
        <v>682</v>
      </c>
      <c r="G538">
        <v>0</v>
      </c>
      <c r="H538">
        <v>8</v>
      </c>
      <c r="I538">
        <v>2</v>
      </c>
      <c r="J538">
        <v>0</v>
      </c>
      <c r="K538">
        <v>0</v>
      </c>
      <c r="L538">
        <v>0</v>
      </c>
      <c r="M538" t="s">
        <v>333</v>
      </c>
      <c r="N538" t="s">
        <v>484</v>
      </c>
    </row>
    <row r="539" spans="1:14" x14ac:dyDescent="0.3">
      <c r="A539">
        <v>340</v>
      </c>
      <c r="B539" t="s">
        <v>323</v>
      </c>
      <c r="C539">
        <v>166</v>
      </c>
      <c r="D539" t="s">
        <v>133</v>
      </c>
      <c r="E539">
        <v>1119</v>
      </c>
      <c r="F539" t="s">
        <v>683</v>
      </c>
      <c r="G539">
        <v>0</v>
      </c>
      <c r="H539">
        <v>0</v>
      </c>
      <c r="I539">
        <v>6</v>
      </c>
      <c r="J539">
        <v>3</v>
      </c>
      <c r="K539">
        <v>0</v>
      </c>
      <c r="L539">
        <v>1</v>
      </c>
      <c r="M539" t="s">
        <v>333</v>
      </c>
      <c r="N539" t="s">
        <v>326</v>
      </c>
    </row>
    <row r="540" spans="1:14" x14ac:dyDescent="0.3">
      <c r="A540">
        <v>340</v>
      </c>
      <c r="B540" t="s">
        <v>323</v>
      </c>
      <c r="C540">
        <v>166</v>
      </c>
      <c r="D540" t="s">
        <v>133</v>
      </c>
      <c r="E540">
        <v>1120</v>
      </c>
      <c r="F540" t="s">
        <v>684</v>
      </c>
      <c r="G540">
        <v>0</v>
      </c>
      <c r="H540">
        <v>0</v>
      </c>
      <c r="I540">
        <v>0</v>
      </c>
      <c r="J540">
        <v>0</v>
      </c>
      <c r="K540">
        <v>3</v>
      </c>
      <c r="L540">
        <v>0</v>
      </c>
      <c r="M540" t="s">
        <v>333</v>
      </c>
      <c r="N540" t="s">
        <v>326</v>
      </c>
    </row>
    <row r="541" spans="1:14" x14ac:dyDescent="0.3">
      <c r="A541">
        <v>340</v>
      </c>
      <c r="B541" t="s">
        <v>323</v>
      </c>
      <c r="C541">
        <v>166</v>
      </c>
      <c r="D541" t="s">
        <v>133</v>
      </c>
      <c r="E541">
        <v>1122</v>
      </c>
      <c r="F541" t="s">
        <v>685</v>
      </c>
      <c r="G541">
        <v>0</v>
      </c>
      <c r="H541">
        <v>3</v>
      </c>
      <c r="I541">
        <v>0</v>
      </c>
      <c r="J541">
        <v>0</v>
      </c>
      <c r="K541">
        <v>0</v>
      </c>
      <c r="L541">
        <v>0</v>
      </c>
      <c r="M541" t="s">
        <v>333</v>
      </c>
      <c r="N541" t="s">
        <v>348</v>
      </c>
    </row>
    <row r="542" spans="1:14" x14ac:dyDescent="0.3">
      <c r="A542">
        <v>340</v>
      </c>
      <c r="B542" t="s">
        <v>323</v>
      </c>
      <c r="C542">
        <v>166</v>
      </c>
      <c r="D542" t="s">
        <v>133</v>
      </c>
      <c r="E542">
        <v>1123</v>
      </c>
      <c r="F542" t="s">
        <v>686</v>
      </c>
      <c r="G542">
        <v>0</v>
      </c>
      <c r="H542">
        <v>0</v>
      </c>
      <c r="I542">
        <v>3</v>
      </c>
      <c r="J542">
        <v>0</v>
      </c>
      <c r="K542">
        <v>0</v>
      </c>
      <c r="L542">
        <v>0</v>
      </c>
      <c r="M542" t="s">
        <v>333</v>
      </c>
      <c r="N542" t="s">
        <v>336</v>
      </c>
    </row>
    <row r="543" spans="1:14" x14ac:dyDescent="0.3">
      <c r="A543">
        <v>340</v>
      </c>
      <c r="B543" t="s">
        <v>323</v>
      </c>
      <c r="C543">
        <v>166</v>
      </c>
      <c r="D543" t="s">
        <v>133</v>
      </c>
      <c r="E543">
        <v>1124</v>
      </c>
      <c r="F543" t="s">
        <v>687</v>
      </c>
      <c r="G543">
        <v>0</v>
      </c>
      <c r="H543">
        <v>0</v>
      </c>
      <c r="I543">
        <v>5</v>
      </c>
      <c r="J543">
        <v>0</v>
      </c>
      <c r="K543">
        <v>0</v>
      </c>
      <c r="L543">
        <v>0</v>
      </c>
      <c r="M543" t="s">
        <v>325</v>
      </c>
      <c r="N543" t="s">
        <v>343</v>
      </c>
    </row>
    <row r="544" spans="1:14" x14ac:dyDescent="0.3">
      <c r="A544">
        <v>340</v>
      </c>
      <c r="B544" t="s">
        <v>323</v>
      </c>
      <c r="C544">
        <v>166</v>
      </c>
      <c r="D544" t="s">
        <v>133</v>
      </c>
      <c r="E544">
        <v>1127</v>
      </c>
      <c r="F544" t="s">
        <v>688</v>
      </c>
      <c r="G544">
        <v>0</v>
      </c>
      <c r="H544">
        <v>6</v>
      </c>
      <c r="I544">
        <v>0</v>
      </c>
      <c r="J544">
        <v>0</v>
      </c>
      <c r="K544">
        <v>0</v>
      </c>
      <c r="L544">
        <v>0</v>
      </c>
      <c r="M544" t="s">
        <v>325</v>
      </c>
      <c r="N544" t="s">
        <v>348</v>
      </c>
    </row>
    <row r="545" spans="1:14" x14ac:dyDescent="0.3">
      <c r="A545">
        <v>340</v>
      </c>
      <c r="B545" t="s">
        <v>323</v>
      </c>
      <c r="C545">
        <v>166</v>
      </c>
      <c r="D545" t="s">
        <v>133</v>
      </c>
      <c r="E545">
        <v>1406</v>
      </c>
      <c r="F545" t="s">
        <v>690</v>
      </c>
      <c r="G545">
        <v>1</v>
      </c>
      <c r="H545">
        <v>0</v>
      </c>
      <c r="I545">
        <v>5</v>
      </c>
      <c r="J545">
        <v>0</v>
      </c>
      <c r="K545">
        <v>0</v>
      </c>
      <c r="L545">
        <v>0</v>
      </c>
      <c r="M545" t="s">
        <v>325</v>
      </c>
      <c r="N545" t="s">
        <v>336</v>
      </c>
    </row>
    <row r="546" spans="1:14" x14ac:dyDescent="0.3">
      <c r="A546">
        <v>340</v>
      </c>
      <c r="B546" t="s">
        <v>323</v>
      </c>
      <c r="C546">
        <v>166</v>
      </c>
      <c r="D546" t="s">
        <v>133</v>
      </c>
      <c r="E546">
        <v>1989</v>
      </c>
      <c r="F546" t="s">
        <v>1374</v>
      </c>
      <c r="G546">
        <v>3</v>
      </c>
      <c r="H546">
        <v>2</v>
      </c>
      <c r="I546">
        <v>0</v>
      </c>
      <c r="J546">
        <v>0</v>
      </c>
      <c r="K546">
        <v>0</v>
      </c>
      <c r="L546">
        <v>0</v>
      </c>
      <c r="M546" t="s">
        <v>333</v>
      </c>
      <c r="N546" t="s">
        <v>484</v>
      </c>
    </row>
    <row r="547" spans="1:14" x14ac:dyDescent="0.3">
      <c r="A547">
        <v>340</v>
      </c>
      <c r="B547" t="s">
        <v>323</v>
      </c>
      <c r="C547">
        <v>166</v>
      </c>
      <c r="D547" t="s">
        <v>133</v>
      </c>
      <c r="E547">
        <v>1990</v>
      </c>
      <c r="F547" t="s">
        <v>1375</v>
      </c>
      <c r="G547">
        <v>3</v>
      </c>
      <c r="H547">
        <v>2</v>
      </c>
      <c r="I547">
        <v>1</v>
      </c>
      <c r="J547">
        <v>0</v>
      </c>
      <c r="K547">
        <v>0</v>
      </c>
      <c r="L547">
        <v>0</v>
      </c>
      <c r="M547" t="s">
        <v>333</v>
      </c>
      <c r="N547" t="s">
        <v>484</v>
      </c>
    </row>
    <row r="548" spans="1:14" x14ac:dyDescent="0.3">
      <c r="A548">
        <v>340</v>
      </c>
      <c r="B548" t="s">
        <v>323</v>
      </c>
      <c r="C548">
        <v>166</v>
      </c>
      <c r="D548" t="s">
        <v>133</v>
      </c>
      <c r="E548">
        <v>1991</v>
      </c>
      <c r="F548" t="s">
        <v>783</v>
      </c>
      <c r="G548">
        <v>2</v>
      </c>
      <c r="H548">
        <v>1</v>
      </c>
      <c r="I548">
        <v>3</v>
      </c>
      <c r="J548">
        <v>0</v>
      </c>
      <c r="K548">
        <v>0</v>
      </c>
      <c r="L548">
        <v>0</v>
      </c>
      <c r="M548" t="s">
        <v>333</v>
      </c>
      <c r="N548" t="s">
        <v>484</v>
      </c>
    </row>
    <row r="549" spans="1:14" x14ac:dyDescent="0.3">
      <c r="A549">
        <v>341</v>
      </c>
      <c r="B549" t="s">
        <v>323</v>
      </c>
      <c r="C549">
        <v>167</v>
      </c>
      <c r="D549" t="s">
        <v>135</v>
      </c>
      <c r="E549">
        <v>1175</v>
      </c>
      <c r="F549" t="s">
        <v>691</v>
      </c>
      <c r="G549">
        <v>0</v>
      </c>
      <c r="H549">
        <v>4</v>
      </c>
      <c r="I549">
        <v>6</v>
      </c>
      <c r="J549">
        <v>4</v>
      </c>
      <c r="K549">
        <v>2</v>
      </c>
      <c r="L549">
        <v>9</v>
      </c>
      <c r="M549" t="s">
        <v>325</v>
      </c>
      <c r="N549" t="s">
        <v>326</v>
      </c>
    </row>
    <row r="550" spans="1:14" x14ac:dyDescent="0.3">
      <c r="A550">
        <v>341</v>
      </c>
      <c r="B550" t="s">
        <v>323</v>
      </c>
      <c r="C550">
        <v>167</v>
      </c>
      <c r="D550" t="s">
        <v>135</v>
      </c>
      <c r="E550">
        <v>1176</v>
      </c>
      <c r="F550" t="s">
        <v>692</v>
      </c>
      <c r="G550">
        <v>0</v>
      </c>
      <c r="H550">
        <v>2</v>
      </c>
      <c r="I550">
        <v>2</v>
      </c>
      <c r="J550">
        <v>1</v>
      </c>
      <c r="K550">
        <v>2</v>
      </c>
      <c r="L550">
        <v>8</v>
      </c>
      <c r="M550" t="s">
        <v>325</v>
      </c>
      <c r="N550" t="s">
        <v>326</v>
      </c>
    </row>
    <row r="551" spans="1:14" x14ac:dyDescent="0.3">
      <c r="A551">
        <v>341</v>
      </c>
      <c r="B551" t="s">
        <v>323</v>
      </c>
      <c r="C551">
        <v>167</v>
      </c>
      <c r="D551" t="s">
        <v>135</v>
      </c>
      <c r="E551">
        <v>1177</v>
      </c>
      <c r="F551" t="s">
        <v>693</v>
      </c>
      <c r="G551">
        <v>0</v>
      </c>
      <c r="H551">
        <v>0</v>
      </c>
      <c r="I551">
        <v>0</v>
      </c>
      <c r="J551">
        <v>1</v>
      </c>
      <c r="K551">
        <v>1</v>
      </c>
      <c r="L551">
        <v>4</v>
      </c>
      <c r="M551" t="s">
        <v>325</v>
      </c>
      <c r="N551" t="s">
        <v>484</v>
      </c>
    </row>
    <row r="552" spans="1:14" x14ac:dyDescent="0.3">
      <c r="A552">
        <v>341</v>
      </c>
      <c r="B552" t="s">
        <v>323</v>
      </c>
      <c r="C552">
        <v>167</v>
      </c>
      <c r="D552" t="s">
        <v>135</v>
      </c>
      <c r="E552">
        <v>1178</v>
      </c>
      <c r="F552" t="s">
        <v>694</v>
      </c>
      <c r="G552">
        <v>0</v>
      </c>
      <c r="H552">
        <v>0</v>
      </c>
      <c r="I552">
        <v>5</v>
      </c>
      <c r="J552">
        <v>2</v>
      </c>
      <c r="K552">
        <v>0</v>
      </c>
      <c r="L552">
        <v>0</v>
      </c>
      <c r="M552" t="s">
        <v>333</v>
      </c>
      <c r="N552" t="s">
        <v>336</v>
      </c>
    </row>
    <row r="553" spans="1:14" x14ac:dyDescent="0.3">
      <c r="A553">
        <v>341</v>
      </c>
      <c r="B553" t="s">
        <v>323</v>
      </c>
      <c r="C553">
        <v>167</v>
      </c>
      <c r="D553" t="s">
        <v>135</v>
      </c>
      <c r="E553">
        <v>1180</v>
      </c>
      <c r="F553" t="s">
        <v>696</v>
      </c>
      <c r="G553">
        <v>0</v>
      </c>
      <c r="H553">
        <v>0</v>
      </c>
      <c r="I553">
        <v>1</v>
      </c>
      <c r="J553">
        <v>1</v>
      </c>
      <c r="K553">
        <v>3</v>
      </c>
      <c r="L553">
        <v>5</v>
      </c>
      <c r="M553" t="s">
        <v>333</v>
      </c>
      <c r="N553" t="s">
        <v>326</v>
      </c>
    </row>
    <row r="554" spans="1:14" x14ac:dyDescent="0.3">
      <c r="A554">
        <v>341</v>
      </c>
      <c r="B554" t="s">
        <v>323</v>
      </c>
      <c r="C554">
        <v>167</v>
      </c>
      <c r="D554" t="s">
        <v>135</v>
      </c>
      <c r="E554">
        <v>1181</v>
      </c>
      <c r="F554" t="s">
        <v>697</v>
      </c>
      <c r="G554">
        <v>0</v>
      </c>
      <c r="H554">
        <v>1</v>
      </c>
      <c r="I554">
        <v>0</v>
      </c>
      <c r="J554">
        <v>1</v>
      </c>
      <c r="K554">
        <v>0</v>
      </c>
      <c r="L554">
        <v>1</v>
      </c>
      <c r="M554" t="s">
        <v>333</v>
      </c>
      <c r="N554" t="s">
        <v>326</v>
      </c>
    </row>
    <row r="555" spans="1:14" x14ac:dyDescent="0.3">
      <c r="A555">
        <v>341</v>
      </c>
      <c r="B555" t="s">
        <v>323</v>
      </c>
      <c r="C555">
        <v>167</v>
      </c>
      <c r="D555" t="s">
        <v>135</v>
      </c>
      <c r="E555">
        <v>1182</v>
      </c>
      <c r="F555" t="s">
        <v>698</v>
      </c>
      <c r="G555">
        <v>4</v>
      </c>
      <c r="H555">
        <v>1</v>
      </c>
      <c r="I555">
        <v>3</v>
      </c>
      <c r="J555">
        <v>2</v>
      </c>
      <c r="K555">
        <v>0</v>
      </c>
      <c r="L555">
        <v>1</v>
      </c>
      <c r="M555" t="s">
        <v>325</v>
      </c>
      <c r="N555" t="s">
        <v>326</v>
      </c>
    </row>
    <row r="556" spans="1:14" x14ac:dyDescent="0.3">
      <c r="A556">
        <v>341</v>
      </c>
      <c r="B556" t="s">
        <v>323</v>
      </c>
      <c r="C556">
        <v>167</v>
      </c>
      <c r="D556" t="s">
        <v>135</v>
      </c>
      <c r="E556">
        <v>1185</v>
      </c>
      <c r="F556" t="s">
        <v>701</v>
      </c>
      <c r="G556">
        <v>0</v>
      </c>
      <c r="H556">
        <v>2</v>
      </c>
      <c r="I556">
        <v>4</v>
      </c>
      <c r="J556">
        <v>1</v>
      </c>
      <c r="K556">
        <v>0</v>
      </c>
      <c r="L556">
        <v>2</v>
      </c>
      <c r="M556" t="s">
        <v>333</v>
      </c>
      <c r="N556" t="s">
        <v>326</v>
      </c>
    </row>
    <row r="557" spans="1:14" x14ac:dyDescent="0.3">
      <c r="A557">
        <v>341</v>
      </c>
      <c r="B557" t="s">
        <v>323</v>
      </c>
      <c r="C557">
        <v>167</v>
      </c>
      <c r="D557" t="s">
        <v>135</v>
      </c>
      <c r="E557">
        <v>1187</v>
      </c>
      <c r="F557" t="s">
        <v>703</v>
      </c>
      <c r="G557">
        <v>0</v>
      </c>
      <c r="H557">
        <v>0</v>
      </c>
      <c r="I557">
        <v>0</v>
      </c>
      <c r="J557">
        <v>0</v>
      </c>
      <c r="K557">
        <v>1</v>
      </c>
      <c r="L557">
        <v>8</v>
      </c>
      <c r="M557" t="s">
        <v>325</v>
      </c>
      <c r="N557" t="s">
        <v>336</v>
      </c>
    </row>
    <row r="558" spans="1:14" x14ac:dyDescent="0.3">
      <c r="A558">
        <v>341</v>
      </c>
      <c r="B558" t="s">
        <v>323</v>
      </c>
      <c r="C558">
        <v>167</v>
      </c>
      <c r="D558" t="s">
        <v>135</v>
      </c>
      <c r="E558">
        <v>1189</v>
      </c>
      <c r="F558" t="s">
        <v>705</v>
      </c>
      <c r="G558">
        <v>0</v>
      </c>
      <c r="H558">
        <v>0</v>
      </c>
      <c r="I558">
        <v>0</v>
      </c>
      <c r="J558">
        <v>5</v>
      </c>
      <c r="K558">
        <v>1</v>
      </c>
      <c r="L558">
        <v>0</v>
      </c>
      <c r="M558" t="s">
        <v>333</v>
      </c>
      <c r="N558" t="s">
        <v>326</v>
      </c>
    </row>
    <row r="559" spans="1:14" x14ac:dyDescent="0.3">
      <c r="A559">
        <v>341</v>
      </c>
      <c r="B559" t="s">
        <v>323</v>
      </c>
      <c r="C559">
        <v>167</v>
      </c>
      <c r="D559" t="s">
        <v>135</v>
      </c>
      <c r="E559">
        <v>1190</v>
      </c>
      <c r="F559" t="s">
        <v>706</v>
      </c>
      <c r="G559">
        <v>0</v>
      </c>
      <c r="H559">
        <v>2</v>
      </c>
      <c r="I559">
        <v>1</v>
      </c>
      <c r="J559">
        <v>1</v>
      </c>
      <c r="K559">
        <v>3</v>
      </c>
      <c r="L559">
        <v>5</v>
      </c>
      <c r="M559" t="s">
        <v>333</v>
      </c>
      <c r="N559" t="s">
        <v>326</v>
      </c>
    </row>
    <row r="560" spans="1:14" x14ac:dyDescent="0.3">
      <c r="A560">
        <v>341</v>
      </c>
      <c r="B560" t="s">
        <v>323</v>
      </c>
      <c r="C560">
        <v>167</v>
      </c>
      <c r="D560" t="s">
        <v>135</v>
      </c>
      <c r="E560">
        <v>1195</v>
      </c>
      <c r="F560" t="s">
        <v>709</v>
      </c>
      <c r="G560">
        <v>0</v>
      </c>
      <c r="H560">
        <v>0</v>
      </c>
      <c r="I560">
        <v>0</v>
      </c>
      <c r="J560">
        <v>1</v>
      </c>
      <c r="K560">
        <v>1</v>
      </c>
      <c r="L560">
        <v>2</v>
      </c>
      <c r="M560" t="s">
        <v>333</v>
      </c>
      <c r="N560" t="s">
        <v>326</v>
      </c>
    </row>
    <row r="561" spans="1:14" x14ac:dyDescent="0.3">
      <c r="A561">
        <v>341</v>
      </c>
      <c r="B561" t="s">
        <v>323</v>
      </c>
      <c r="C561">
        <v>167</v>
      </c>
      <c r="D561" t="s">
        <v>135</v>
      </c>
      <c r="E561">
        <v>1196</v>
      </c>
      <c r="F561" t="s">
        <v>710</v>
      </c>
      <c r="G561">
        <v>0</v>
      </c>
      <c r="H561">
        <v>0</v>
      </c>
      <c r="I561">
        <v>0</v>
      </c>
      <c r="J561">
        <v>0</v>
      </c>
      <c r="K561">
        <v>0</v>
      </c>
      <c r="L561">
        <v>19</v>
      </c>
      <c r="M561" t="s">
        <v>333</v>
      </c>
      <c r="N561" t="s">
        <v>326</v>
      </c>
    </row>
    <row r="562" spans="1:14" x14ac:dyDescent="0.3">
      <c r="A562">
        <v>341</v>
      </c>
      <c r="B562" t="s">
        <v>323</v>
      </c>
      <c r="C562">
        <v>167</v>
      </c>
      <c r="D562" t="s">
        <v>135</v>
      </c>
      <c r="E562">
        <v>1197</v>
      </c>
      <c r="F562" t="s">
        <v>711</v>
      </c>
      <c r="G562">
        <v>0</v>
      </c>
      <c r="H562">
        <v>0</v>
      </c>
      <c r="I562">
        <v>0</v>
      </c>
      <c r="J562">
        <v>0</v>
      </c>
      <c r="K562">
        <v>0</v>
      </c>
      <c r="L562">
        <v>35</v>
      </c>
      <c r="M562" t="s">
        <v>333</v>
      </c>
      <c r="N562" t="s">
        <v>326</v>
      </c>
    </row>
    <row r="563" spans="1:14" x14ac:dyDescent="0.3">
      <c r="A563">
        <v>341</v>
      </c>
      <c r="B563" t="s">
        <v>323</v>
      </c>
      <c r="C563">
        <v>167</v>
      </c>
      <c r="D563" t="s">
        <v>135</v>
      </c>
      <c r="E563">
        <v>1199</v>
      </c>
      <c r="F563" t="s">
        <v>712</v>
      </c>
      <c r="G563">
        <v>0</v>
      </c>
      <c r="H563">
        <v>0</v>
      </c>
      <c r="I563">
        <v>0</v>
      </c>
      <c r="J563">
        <v>0</v>
      </c>
      <c r="K563">
        <v>0</v>
      </c>
      <c r="L563">
        <v>4</v>
      </c>
      <c r="M563" t="s">
        <v>333</v>
      </c>
      <c r="N563" t="s">
        <v>326</v>
      </c>
    </row>
    <row r="564" spans="1:14" x14ac:dyDescent="0.3">
      <c r="A564">
        <v>341</v>
      </c>
      <c r="B564" t="s">
        <v>323</v>
      </c>
      <c r="C564">
        <v>167</v>
      </c>
      <c r="D564" t="s">
        <v>135</v>
      </c>
      <c r="E564">
        <v>1201</v>
      </c>
      <c r="F564" t="s">
        <v>353</v>
      </c>
      <c r="G564">
        <v>0</v>
      </c>
      <c r="H564">
        <v>0</v>
      </c>
      <c r="I564">
        <v>0</v>
      </c>
      <c r="J564">
        <v>1</v>
      </c>
      <c r="K564">
        <v>1</v>
      </c>
      <c r="L564">
        <v>2</v>
      </c>
      <c r="M564" t="s">
        <v>325</v>
      </c>
      <c r="N564" t="s">
        <v>326</v>
      </c>
    </row>
    <row r="565" spans="1:14" x14ac:dyDescent="0.3">
      <c r="A565">
        <v>341</v>
      </c>
      <c r="B565" t="s">
        <v>323</v>
      </c>
      <c r="C565">
        <v>167</v>
      </c>
      <c r="D565" t="s">
        <v>135</v>
      </c>
      <c r="E565">
        <v>1202</v>
      </c>
      <c r="F565" t="s">
        <v>714</v>
      </c>
      <c r="G565">
        <v>0</v>
      </c>
      <c r="H565">
        <v>0</v>
      </c>
      <c r="I565">
        <v>0</v>
      </c>
      <c r="J565">
        <v>0</v>
      </c>
      <c r="K565">
        <v>1</v>
      </c>
      <c r="L565">
        <v>1</v>
      </c>
      <c r="M565" t="s">
        <v>333</v>
      </c>
      <c r="N565" t="s">
        <v>326</v>
      </c>
    </row>
    <row r="566" spans="1:14" x14ac:dyDescent="0.3">
      <c r="A566">
        <v>341</v>
      </c>
      <c r="B566" t="s">
        <v>323</v>
      </c>
      <c r="C566">
        <v>167</v>
      </c>
      <c r="D566" t="s">
        <v>135</v>
      </c>
      <c r="E566">
        <v>1203</v>
      </c>
      <c r="F566" t="s">
        <v>715</v>
      </c>
      <c r="G566">
        <v>0</v>
      </c>
      <c r="H566">
        <v>0</v>
      </c>
      <c r="I566">
        <v>0</v>
      </c>
      <c r="J566">
        <v>0</v>
      </c>
      <c r="K566">
        <v>0</v>
      </c>
      <c r="L566">
        <v>13</v>
      </c>
      <c r="M566" t="s">
        <v>333</v>
      </c>
      <c r="N566" t="s">
        <v>326</v>
      </c>
    </row>
    <row r="567" spans="1:14" x14ac:dyDescent="0.3">
      <c r="A567">
        <v>341</v>
      </c>
      <c r="B567" t="s">
        <v>323</v>
      </c>
      <c r="C567">
        <v>167</v>
      </c>
      <c r="D567" t="s">
        <v>135</v>
      </c>
      <c r="E567">
        <v>1204</v>
      </c>
      <c r="F567" t="s">
        <v>474</v>
      </c>
      <c r="G567">
        <v>0</v>
      </c>
      <c r="H567">
        <v>0</v>
      </c>
      <c r="I567">
        <v>1</v>
      </c>
      <c r="J567">
        <v>1</v>
      </c>
      <c r="K567">
        <v>0</v>
      </c>
      <c r="L567">
        <v>8</v>
      </c>
      <c r="M567" t="s">
        <v>410</v>
      </c>
      <c r="N567" t="s">
        <v>326</v>
      </c>
    </row>
    <row r="568" spans="1:14" x14ac:dyDescent="0.3">
      <c r="A568">
        <v>341</v>
      </c>
      <c r="B568" t="s">
        <v>323</v>
      </c>
      <c r="C568">
        <v>167</v>
      </c>
      <c r="D568" t="s">
        <v>135</v>
      </c>
      <c r="E568">
        <v>1205</v>
      </c>
      <c r="F568" t="s">
        <v>716</v>
      </c>
      <c r="G568">
        <v>0</v>
      </c>
      <c r="H568">
        <v>0</v>
      </c>
      <c r="I568">
        <v>2</v>
      </c>
      <c r="J568">
        <v>0</v>
      </c>
      <c r="K568">
        <v>4</v>
      </c>
      <c r="L568">
        <v>5</v>
      </c>
      <c r="M568" t="s">
        <v>410</v>
      </c>
      <c r="N568" t="s">
        <v>326</v>
      </c>
    </row>
    <row r="569" spans="1:14" x14ac:dyDescent="0.3">
      <c r="A569">
        <v>341</v>
      </c>
      <c r="B569" t="s">
        <v>323</v>
      </c>
      <c r="C569">
        <v>167</v>
      </c>
      <c r="D569" t="s">
        <v>135</v>
      </c>
      <c r="E569">
        <v>1206</v>
      </c>
      <c r="F569" t="s">
        <v>717</v>
      </c>
      <c r="G569">
        <v>0</v>
      </c>
      <c r="H569">
        <v>0</v>
      </c>
      <c r="I569">
        <v>0</v>
      </c>
      <c r="J569">
        <v>1</v>
      </c>
      <c r="K569">
        <v>0</v>
      </c>
      <c r="L569">
        <v>6</v>
      </c>
      <c r="M569" t="s">
        <v>333</v>
      </c>
      <c r="N569" t="s">
        <v>326</v>
      </c>
    </row>
    <row r="570" spans="1:14" x14ac:dyDescent="0.3">
      <c r="A570">
        <v>341</v>
      </c>
      <c r="B570" t="s">
        <v>323</v>
      </c>
      <c r="C570">
        <v>167</v>
      </c>
      <c r="D570" t="s">
        <v>135</v>
      </c>
      <c r="E570">
        <v>1207</v>
      </c>
      <c r="F570" t="s">
        <v>718</v>
      </c>
      <c r="G570">
        <v>0</v>
      </c>
      <c r="H570">
        <v>0</v>
      </c>
      <c r="I570">
        <v>1</v>
      </c>
      <c r="J570">
        <v>0</v>
      </c>
      <c r="K570">
        <v>0</v>
      </c>
      <c r="L570">
        <v>3</v>
      </c>
      <c r="M570" t="s">
        <v>333</v>
      </c>
      <c r="N570" t="s">
        <v>336</v>
      </c>
    </row>
    <row r="571" spans="1:14" x14ac:dyDescent="0.3">
      <c r="A571">
        <v>341</v>
      </c>
      <c r="B571" t="s">
        <v>323</v>
      </c>
      <c r="C571">
        <v>167</v>
      </c>
      <c r="D571" t="s">
        <v>135</v>
      </c>
      <c r="E571">
        <v>1208</v>
      </c>
      <c r="F571" t="s">
        <v>719</v>
      </c>
      <c r="G571">
        <v>0</v>
      </c>
      <c r="H571">
        <v>6</v>
      </c>
      <c r="I571">
        <v>8</v>
      </c>
      <c r="J571">
        <v>5</v>
      </c>
      <c r="K571">
        <v>3</v>
      </c>
      <c r="L571">
        <v>16</v>
      </c>
      <c r="M571" t="s">
        <v>325</v>
      </c>
      <c r="N571" t="s">
        <v>326</v>
      </c>
    </row>
    <row r="572" spans="1:14" x14ac:dyDescent="0.3">
      <c r="A572">
        <v>341</v>
      </c>
      <c r="B572" t="s">
        <v>323</v>
      </c>
      <c r="C572">
        <v>167</v>
      </c>
      <c r="D572" t="s">
        <v>135</v>
      </c>
      <c r="E572">
        <v>1210</v>
      </c>
      <c r="F572" t="s">
        <v>721</v>
      </c>
      <c r="G572">
        <v>0</v>
      </c>
      <c r="H572">
        <v>0</v>
      </c>
      <c r="I572">
        <v>0</v>
      </c>
      <c r="J572">
        <v>0</v>
      </c>
      <c r="K572">
        <v>1</v>
      </c>
      <c r="L572">
        <v>5</v>
      </c>
      <c r="M572" t="s">
        <v>333</v>
      </c>
      <c r="N572" t="s">
        <v>326</v>
      </c>
    </row>
    <row r="573" spans="1:14" x14ac:dyDescent="0.3">
      <c r="A573">
        <v>341</v>
      </c>
      <c r="B573" t="s">
        <v>323</v>
      </c>
      <c r="C573">
        <v>167</v>
      </c>
      <c r="D573" t="s">
        <v>135</v>
      </c>
      <c r="E573">
        <v>1211</v>
      </c>
      <c r="F573" t="s">
        <v>722</v>
      </c>
      <c r="G573">
        <v>2</v>
      </c>
      <c r="H573">
        <v>0</v>
      </c>
      <c r="I573">
        <v>4</v>
      </c>
      <c r="J573">
        <v>3</v>
      </c>
      <c r="K573">
        <v>1</v>
      </c>
      <c r="L573">
        <v>1</v>
      </c>
      <c r="M573" t="s">
        <v>333</v>
      </c>
      <c r="N573" t="s">
        <v>326</v>
      </c>
    </row>
    <row r="574" spans="1:14" x14ac:dyDescent="0.3">
      <c r="A574">
        <v>341</v>
      </c>
      <c r="B574" t="s">
        <v>323</v>
      </c>
      <c r="C574">
        <v>167</v>
      </c>
      <c r="D574" t="s">
        <v>135</v>
      </c>
      <c r="E574">
        <v>1212</v>
      </c>
      <c r="F574" t="s">
        <v>723</v>
      </c>
      <c r="G574">
        <v>0</v>
      </c>
      <c r="H574">
        <v>0</v>
      </c>
      <c r="I574">
        <v>0</v>
      </c>
      <c r="J574">
        <v>2</v>
      </c>
      <c r="K574">
        <v>4</v>
      </c>
      <c r="L574">
        <v>2</v>
      </c>
      <c r="M574" t="s">
        <v>410</v>
      </c>
      <c r="N574" t="s">
        <v>326</v>
      </c>
    </row>
    <row r="575" spans="1:14" x14ac:dyDescent="0.3">
      <c r="A575">
        <v>341</v>
      </c>
      <c r="B575" t="s">
        <v>323</v>
      </c>
      <c r="C575">
        <v>167</v>
      </c>
      <c r="D575" t="s">
        <v>135</v>
      </c>
      <c r="E575">
        <v>1213</v>
      </c>
      <c r="F575" t="s">
        <v>724</v>
      </c>
      <c r="G575">
        <v>2</v>
      </c>
      <c r="H575">
        <v>1</v>
      </c>
      <c r="I575">
        <v>3</v>
      </c>
      <c r="J575">
        <v>1</v>
      </c>
      <c r="K575">
        <v>2</v>
      </c>
      <c r="L575">
        <v>2</v>
      </c>
      <c r="M575" t="s">
        <v>325</v>
      </c>
      <c r="N575" t="s">
        <v>326</v>
      </c>
    </row>
    <row r="576" spans="1:14" x14ac:dyDescent="0.3">
      <c r="A576">
        <v>341</v>
      </c>
      <c r="B576" t="s">
        <v>323</v>
      </c>
      <c r="C576">
        <v>167</v>
      </c>
      <c r="D576" t="s">
        <v>135</v>
      </c>
      <c r="E576">
        <v>1214</v>
      </c>
      <c r="F576" t="s">
        <v>725</v>
      </c>
      <c r="G576">
        <v>1</v>
      </c>
      <c r="H576">
        <v>1</v>
      </c>
      <c r="I576">
        <v>5</v>
      </c>
      <c r="J576">
        <v>2</v>
      </c>
      <c r="K576">
        <v>5</v>
      </c>
      <c r="L576">
        <v>2</v>
      </c>
      <c r="M576" t="s">
        <v>410</v>
      </c>
      <c r="N576" t="s">
        <v>326</v>
      </c>
    </row>
    <row r="577" spans="1:14" x14ac:dyDescent="0.3">
      <c r="A577">
        <v>341</v>
      </c>
      <c r="B577" t="s">
        <v>323</v>
      </c>
      <c r="C577">
        <v>167</v>
      </c>
      <c r="D577" t="s">
        <v>135</v>
      </c>
      <c r="E577">
        <v>1215</v>
      </c>
      <c r="F577" t="s">
        <v>726</v>
      </c>
      <c r="G577">
        <v>0</v>
      </c>
      <c r="H577">
        <v>0</v>
      </c>
      <c r="I577">
        <v>1</v>
      </c>
      <c r="J577">
        <v>1</v>
      </c>
      <c r="K577">
        <v>1</v>
      </c>
      <c r="L577">
        <v>1</v>
      </c>
      <c r="M577" t="s">
        <v>333</v>
      </c>
      <c r="N577" t="s">
        <v>326</v>
      </c>
    </row>
    <row r="578" spans="1:14" x14ac:dyDescent="0.3">
      <c r="A578">
        <v>341</v>
      </c>
      <c r="B578" t="s">
        <v>323</v>
      </c>
      <c r="C578">
        <v>167</v>
      </c>
      <c r="D578" t="s">
        <v>135</v>
      </c>
      <c r="E578">
        <v>1216</v>
      </c>
      <c r="F578" t="s">
        <v>727</v>
      </c>
      <c r="G578">
        <v>0</v>
      </c>
      <c r="H578">
        <v>3</v>
      </c>
      <c r="I578">
        <v>2</v>
      </c>
      <c r="J578">
        <v>2</v>
      </c>
      <c r="K578">
        <v>1</v>
      </c>
      <c r="L578">
        <v>5</v>
      </c>
      <c r="M578" t="s">
        <v>325</v>
      </c>
      <c r="N578" t="s">
        <v>326</v>
      </c>
    </row>
    <row r="579" spans="1:14" x14ac:dyDescent="0.3">
      <c r="A579">
        <v>341</v>
      </c>
      <c r="B579" t="s">
        <v>323</v>
      </c>
      <c r="C579">
        <v>167</v>
      </c>
      <c r="D579" t="s">
        <v>135</v>
      </c>
      <c r="E579">
        <v>1217</v>
      </c>
      <c r="F579" t="s">
        <v>728</v>
      </c>
      <c r="G579">
        <v>2</v>
      </c>
      <c r="H579">
        <v>0</v>
      </c>
      <c r="I579">
        <v>4</v>
      </c>
      <c r="J579">
        <v>0</v>
      </c>
      <c r="K579">
        <v>0</v>
      </c>
      <c r="L579">
        <v>7</v>
      </c>
      <c r="M579" t="s">
        <v>325</v>
      </c>
      <c r="N579" t="s">
        <v>326</v>
      </c>
    </row>
    <row r="580" spans="1:14" x14ac:dyDescent="0.3">
      <c r="A580">
        <v>341</v>
      </c>
      <c r="B580" t="s">
        <v>323</v>
      </c>
      <c r="C580">
        <v>167</v>
      </c>
      <c r="D580" t="s">
        <v>135</v>
      </c>
      <c r="E580">
        <v>1539</v>
      </c>
      <c r="F580" t="s">
        <v>733</v>
      </c>
      <c r="G580">
        <v>1</v>
      </c>
      <c r="H580">
        <v>1</v>
      </c>
      <c r="I580">
        <v>4</v>
      </c>
      <c r="J580">
        <v>1</v>
      </c>
      <c r="K580">
        <v>2</v>
      </c>
      <c r="L580">
        <v>1</v>
      </c>
      <c r="M580" t="s">
        <v>333</v>
      </c>
      <c r="N580" t="s">
        <v>326</v>
      </c>
    </row>
    <row r="581" spans="1:14" x14ac:dyDescent="0.3">
      <c r="A581">
        <v>341</v>
      </c>
      <c r="B581" t="s">
        <v>323</v>
      </c>
      <c r="C581">
        <v>167</v>
      </c>
      <c r="D581" t="s">
        <v>135</v>
      </c>
      <c r="E581">
        <v>1541</v>
      </c>
      <c r="F581" t="s">
        <v>734</v>
      </c>
      <c r="G581">
        <v>0</v>
      </c>
      <c r="H581">
        <v>0</v>
      </c>
      <c r="I581">
        <v>0</v>
      </c>
      <c r="J581">
        <v>0</v>
      </c>
      <c r="K581">
        <v>1</v>
      </c>
      <c r="L581">
        <v>3</v>
      </c>
      <c r="M581" t="s">
        <v>333</v>
      </c>
      <c r="N581" t="s">
        <v>326</v>
      </c>
    </row>
    <row r="582" spans="1:14" x14ac:dyDescent="0.3">
      <c r="A582">
        <v>341</v>
      </c>
      <c r="B582" t="s">
        <v>323</v>
      </c>
      <c r="C582">
        <v>167</v>
      </c>
      <c r="D582" t="s">
        <v>135</v>
      </c>
      <c r="E582">
        <v>1542</v>
      </c>
      <c r="F582" t="s">
        <v>735</v>
      </c>
      <c r="G582">
        <v>0</v>
      </c>
      <c r="H582">
        <v>0</v>
      </c>
      <c r="I582">
        <v>0</v>
      </c>
      <c r="J582">
        <v>0</v>
      </c>
      <c r="K582">
        <v>0</v>
      </c>
      <c r="L582">
        <v>3</v>
      </c>
      <c r="M582" t="s">
        <v>333</v>
      </c>
      <c r="N582" t="s">
        <v>326</v>
      </c>
    </row>
    <row r="583" spans="1:14" x14ac:dyDescent="0.3">
      <c r="A583">
        <v>341</v>
      </c>
      <c r="B583" t="s">
        <v>323</v>
      </c>
      <c r="C583">
        <v>167</v>
      </c>
      <c r="D583" t="s">
        <v>135</v>
      </c>
      <c r="E583">
        <v>1809</v>
      </c>
      <c r="F583" t="s">
        <v>1376</v>
      </c>
      <c r="G583">
        <v>0</v>
      </c>
      <c r="H583">
        <v>4</v>
      </c>
      <c r="I583">
        <v>0</v>
      </c>
      <c r="J583">
        <v>0</v>
      </c>
      <c r="K583">
        <v>0</v>
      </c>
      <c r="L583">
        <v>1</v>
      </c>
      <c r="M583" t="s">
        <v>325</v>
      </c>
      <c r="N583" t="s">
        <v>336</v>
      </c>
    </row>
    <row r="584" spans="1:14" x14ac:dyDescent="0.3">
      <c r="A584">
        <v>341</v>
      </c>
      <c r="B584" t="s">
        <v>323</v>
      </c>
      <c r="C584">
        <v>167</v>
      </c>
      <c r="D584" t="s">
        <v>135</v>
      </c>
      <c r="E584">
        <v>1811</v>
      </c>
      <c r="F584" t="s">
        <v>1377</v>
      </c>
      <c r="G584">
        <v>0</v>
      </c>
      <c r="H584">
        <v>0</v>
      </c>
      <c r="I584">
        <v>6</v>
      </c>
      <c r="J584">
        <v>0</v>
      </c>
      <c r="K584">
        <v>0</v>
      </c>
      <c r="L584">
        <v>0</v>
      </c>
      <c r="M584" t="s">
        <v>410</v>
      </c>
      <c r="N584" t="s">
        <v>336</v>
      </c>
    </row>
    <row r="585" spans="1:14" x14ac:dyDescent="0.3">
      <c r="A585">
        <v>341</v>
      </c>
      <c r="B585" t="s">
        <v>323</v>
      </c>
      <c r="C585">
        <v>167</v>
      </c>
      <c r="D585" t="s">
        <v>135</v>
      </c>
      <c r="E585">
        <v>1812</v>
      </c>
      <c r="F585" t="s">
        <v>1378</v>
      </c>
      <c r="G585">
        <v>0</v>
      </c>
      <c r="H585">
        <v>4</v>
      </c>
      <c r="I585">
        <v>0</v>
      </c>
      <c r="J585">
        <v>0</v>
      </c>
      <c r="K585">
        <v>0</v>
      </c>
      <c r="L585">
        <v>1</v>
      </c>
      <c r="M585" t="s">
        <v>325</v>
      </c>
      <c r="N585" t="s">
        <v>484</v>
      </c>
    </row>
    <row r="586" spans="1:14" x14ac:dyDescent="0.3">
      <c r="A586">
        <v>341</v>
      </c>
      <c r="B586" t="s">
        <v>323</v>
      </c>
      <c r="C586">
        <v>167</v>
      </c>
      <c r="D586" t="s">
        <v>135</v>
      </c>
      <c r="E586">
        <v>1813</v>
      </c>
      <c r="F586" t="s">
        <v>1379</v>
      </c>
      <c r="G586">
        <v>0</v>
      </c>
      <c r="H586">
        <v>4</v>
      </c>
      <c r="I586">
        <v>0</v>
      </c>
      <c r="J586">
        <v>0</v>
      </c>
      <c r="K586">
        <v>0</v>
      </c>
      <c r="L586">
        <v>0</v>
      </c>
      <c r="M586" t="s">
        <v>325</v>
      </c>
      <c r="N586" t="s">
        <v>484</v>
      </c>
    </row>
    <row r="587" spans="1:14" x14ac:dyDescent="0.3">
      <c r="A587">
        <v>341</v>
      </c>
      <c r="B587" t="s">
        <v>323</v>
      </c>
      <c r="C587">
        <v>167</v>
      </c>
      <c r="D587" t="s">
        <v>135</v>
      </c>
      <c r="E587">
        <v>1814</v>
      </c>
      <c r="F587" t="s">
        <v>1380</v>
      </c>
      <c r="G587">
        <v>0</v>
      </c>
      <c r="H587">
        <v>1</v>
      </c>
      <c r="I587">
        <v>1</v>
      </c>
      <c r="J587">
        <v>0</v>
      </c>
      <c r="K587">
        <v>1</v>
      </c>
      <c r="L587">
        <v>1</v>
      </c>
      <c r="M587" t="s">
        <v>410</v>
      </c>
      <c r="N587" t="s">
        <v>336</v>
      </c>
    </row>
    <row r="588" spans="1:14" x14ac:dyDescent="0.3">
      <c r="A588">
        <v>341</v>
      </c>
      <c r="B588" t="s">
        <v>323</v>
      </c>
      <c r="C588">
        <v>167</v>
      </c>
      <c r="D588" t="s">
        <v>135</v>
      </c>
      <c r="E588">
        <v>1815</v>
      </c>
      <c r="F588" t="s">
        <v>1381</v>
      </c>
      <c r="G588">
        <v>0</v>
      </c>
      <c r="H588">
        <v>0</v>
      </c>
      <c r="I588">
        <v>2</v>
      </c>
      <c r="J588">
        <v>2</v>
      </c>
      <c r="K588">
        <v>0</v>
      </c>
      <c r="L588">
        <v>0</v>
      </c>
      <c r="M588" t="s">
        <v>325</v>
      </c>
      <c r="N588" t="s">
        <v>484</v>
      </c>
    </row>
    <row r="589" spans="1:14" x14ac:dyDescent="0.3">
      <c r="A589">
        <v>341</v>
      </c>
      <c r="B589" t="s">
        <v>323</v>
      </c>
      <c r="C589">
        <v>167</v>
      </c>
      <c r="D589" t="s">
        <v>135</v>
      </c>
      <c r="E589">
        <v>1817</v>
      </c>
      <c r="F589" t="s">
        <v>1382</v>
      </c>
      <c r="G589">
        <v>0</v>
      </c>
      <c r="H589">
        <v>2</v>
      </c>
      <c r="I589">
        <v>3</v>
      </c>
      <c r="J589">
        <v>1</v>
      </c>
      <c r="K589">
        <v>2</v>
      </c>
      <c r="L589">
        <v>2</v>
      </c>
      <c r="M589" t="s">
        <v>325</v>
      </c>
      <c r="N589" t="s">
        <v>326</v>
      </c>
    </row>
    <row r="590" spans="1:14" x14ac:dyDescent="0.3">
      <c r="A590">
        <v>341</v>
      </c>
      <c r="B590" t="s">
        <v>323</v>
      </c>
      <c r="C590">
        <v>167</v>
      </c>
      <c r="D590" t="s">
        <v>135</v>
      </c>
      <c r="E590">
        <v>1819</v>
      </c>
      <c r="F590" t="s">
        <v>1383</v>
      </c>
      <c r="G590">
        <v>0</v>
      </c>
      <c r="H590">
        <v>0</v>
      </c>
      <c r="I590">
        <v>0</v>
      </c>
      <c r="J590">
        <v>0</v>
      </c>
      <c r="K590">
        <v>0</v>
      </c>
      <c r="L590">
        <v>2</v>
      </c>
      <c r="M590" t="s">
        <v>325</v>
      </c>
      <c r="N590" t="s">
        <v>348</v>
      </c>
    </row>
    <row r="591" spans="1:14" x14ac:dyDescent="0.3">
      <c r="A591">
        <v>341</v>
      </c>
      <c r="B591" t="s">
        <v>323</v>
      </c>
      <c r="C591">
        <v>167</v>
      </c>
      <c r="D591" t="s">
        <v>135</v>
      </c>
      <c r="E591">
        <v>1820</v>
      </c>
      <c r="F591" t="s">
        <v>1384</v>
      </c>
      <c r="G591">
        <v>0</v>
      </c>
      <c r="H591">
        <v>0</v>
      </c>
      <c r="I591">
        <v>0</v>
      </c>
      <c r="J591">
        <v>0</v>
      </c>
      <c r="K591">
        <v>4</v>
      </c>
      <c r="L591">
        <v>2</v>
      </c>
      <c r="M591" t="s">
        <v>410</v>
      </c>
      <c r="N591" t="s">
        <v>326</v>
      </c>
    </row>
    <row r="592" spans="1:14" x14ac:dyDescent="0.3">
      <c r="A592">
        <v>341</v>
      </c>
      <c r="B592" t="s">
        <v>323</v>
      </c>
      <c r="C592">
        <v>167</v>
      </c>
      <c r="D592" t="s">
        <v>135</v>
      </c>
      <c r="E592">
        <v>1821</v>
      </c>
      <c r="F592" t="s">
        <v>1385</v>
      </c>
      <c r="G592">
        <v>0</v>
      </c>
      <c r="H592">
        <v>0</v>
      </c>
      <c r="I592">
        <v>0</v>
      </c>
      <c r="J592">
        <v>2</v>
      </c>
      <c r="K592">
        <v>1</v>
      </c>
      <c r="L592">
        <v>4</v>
      </c>
      <c r="M592" t="s">
        <v>325</v>
      </c>
      <c r="N592" t="s">
        <v>326</v>
      </c>
    </row>
    <row r="593" spans="1:14" x14ac:dyDescent="0.3">
      <c r="A593">
        <v>341</v>
      </c>
      <c r="B593" t="s">
        <v>323</v>
      </c>
      <c r="C593">
        <v>167</v>
      </c>
      <c r="D593" t="s">
        <v>135</v>
      </c>
      <c r="E593">
        <v>1822</v>
      </c>
      <c r="F593" t="s">
        <v>1386</v>
      </c>
      <c r="G593">
        <v>0</v>
      </c>
      <c r="H593">
        <v>0</v>
      </c>
      <c r="I593">
        <v>6</v>
      </c>
      <c r="J593">
        <v>0</v>
      </c>
      <c r="K593">
        <v>0</v>
      </c>
      <c r="L593">
        <v>0</v>
      </c>
      <c r="M593" t="s">
        <v>325</v>
      </c>
      <c r="N593" t="s">
        <v>336</v>
      </c>
    </row>
    <row r="594" spans="1:14" x14ac:dyDescent="0.3">
      <c r="A594">
        <v>341</v>
      </c>
      <c r="B594" t="s">
        <v>323</v>
      </c>
      <c r="C594">
        <v>167</v>
      </c>
      <c r="D594" t="s">
        <v>135</v>
      </c>
      <c r="E594">
        <v>1823</v>
      </c>
      <c r="F594" t="s">
        <v>1387</v>
      </c>
      <c r="G594">
        <v>0</v>
      </c>
      <c r="H594">
        <v>0</v>
      </c>
      <c r="I594">
        <v>1</v>
      </c>
      <c r="J594">
        <v>0</v>
      </c>
      <c r="K594">
        <v>0</v>
      </c>
      <c r="L594">
        <v>9</v>
      </c>
      <c r="M594" t="s">
        <v>325</v>
      </c>
      <c r="N594" t="s">
        <v>336</v>
      </c>
    </row>
    <row r="595" spans="1:14" x14ac:dyDescent="0.3">
      <c r="A595">
        <v>341</v>
      </c>
      <c r="B595" t="s">
        <v>323</v>
      </c>
      <c r="C595">
        <v>167</v>
      </c>
      <c r="D595" t="s">
        <v>135</v>
      </c>
      <c r="E595">
        <v>1934</v>
      </c>
      <c r="F595" t="s">
        <v>700</v>
      </c>
      <c r="G595">
        <v>0</v>
      </c>
      <c r="H595">
        <v>0</v>
      </c>
      <c r="I595">
        <v>1</v>
      </c>
      <c r="J595">
        <v>0</v>
      </c>
      <c r="K595">
        <v>2</v>
      </c>
      <c r="L595">
        <v>5</v>
      </c>
      <c r="M595" t="s">
        <v>325</v>
      </c>
      <c r="N595" t="s">
        <v>326</v>
      </c>
    </row>
    <row r="596" spans="1:14" x14ac:dyDescent="0.3">
      <c r="A596">
        <v>341</v>
      </c>
      <c r="B596" t="s">
        <v>323</v>
      </c>
      <c r="C596">
        <v>167</v>
      </c>
      <c r="D596" t="s">
        <v>135</v>
      </c>
      <c r="E596">
        <v>1935</v>
      </c>
      <c r="F596" t="s">
        <v>1388</v>
      </c>
      <c r="G596">
        <v>5</v>
      </c>
      <c r="H596">
        <v>0</v>
      </c>
      <c r="I596">
        <v>0</v>
      </c>
      <c r="J596">
        <v>0</v>
      </c>
      <c r="K596">
        <v>0</v>
      </c>
      <c r="L596">
        <v>0</v>
      </c>
      <c r="M596" t="s">
        <v>325</v>
      </c>
      <c r="N596" t="s">
        <v>336</v>
      </c>
    </row>
    <row r="597" spans="1:14" x14ac:dyDescent="0.3">
      <c r="A597">
        <v>341</v>
      </c>
      <c r="B597" t="s">
        <v>323</v>
      </c>
      <c r="C597">
        <v>167</v>
      </c>
      <c r="D597" t="s">
        <v>135</v>
      </c>
      <c r="E597">
        <v>1937</v>
      </c>
      <c r="F597" t="s">
        <v>1389</v>
      </c>
      <c r="G597">
        <v>0</v>
      </c>
      <c r="H597">
        <v>0</v>
      </c>
      <c r="I597">
        <v>5</v>
      </c>
      <c r="J597">
        <v>0</v>
      </c>
      <c r="K597">
        <v>0</v>
      </c>
      <c r="L597">
        <v>1</v>
      </c>
      <c r="M597" t="s">
        <v>566</v>
      </c>
      <c r="N597" t="s">
        <v>336</v>
      </c>
    </row>
    <row r="598" spans="1:14" x14ac:dyDescent="0.3">
      <c r="A598">
        <v>341</v>
      </c>
      <c r="B598" t="s">
        <v>323</v>
      </c>
      <c r="C598">
        <v>167</v>
      </c>
      <c r="D598" t="s">
        <v>135</v>
      </c>
      <c r="E598">
        <v>1940</v>
      </c>
      <c r="F598" t="s">
        <v>1390</v>
      </c>
      <c r="G598">
        <v>0</v>
      </c>
      <c r="H598">
        <v>0</v>
      </c>
      <c r="I598">
        <v>0</v>
      </c>
      <c r="J598">
        <v>0</v>
      </c>
      <c r="K598">
        <v>0</v>
      </c>
      <c r="L598">
        <v>2</v>
      </c>
      <c r="M598" t="s">
        <v>333</v>
      </c>
      <c r="N598" t="s">
        <v>343</v>
      </c>
    </row>
    <row r="599" spans="1:14" x14ac:dyDescent="0.3">
      <c r="A599">
        <v>341</v>
      </c>
      <c r="B599" t="s">
        <v>323</v>
      </c>
      <c r="C599">
        <v>167</v>
      </c>
      <c r="D599" t="s">
        <v>135</v>
      </c>
      <c r="E599">
        <v>1941</v>
      </c>
      <c r="F599" t="s">
        <v>1391</v>
      </c>
      <c r="G599">
        <v>0</v>
      </c>
      <c r="H599">
        <v>0</v>
      </c>
      <c r="I599">
        <v>5</v>
      </c>
      <c r="J599">
        <v>0</v>
      </c>
      <c r="K599">
        <v>0</v>
      </c>
      <c r="L599">
        <v>0</v>
      </c>
      <c r="M599" t="s">
        <v>410</v>
      </c>
      <c r="N599" t="s">
        <v>336</v>
      </c>
    </row>
    <row r="600" spans="1:14" x14ac:dyDescent="0.3">
      <c r="A600">
        <v>341</v>
      </c>
      <c r="B600" t="s">
        <v>323</v>
      </c>
      <c r="C600">
        <v>167</v>
      </c>
      <c r="D600" t="s">
        <v>135</v>
      </c>
      <c r="E600">
        <v>1942</v>
      </c>
      <c r="F600" t="s">
        <v>1392</v>
      </c>
      <c r="G600">
        <v>0</v>
      </c>
      <c r="H600">
        <v>0</v>
      </c>
      <c r="I600">
        <v>6</v>
      </c>
      <c r="J600">
        <v>0</v>
      </c>
      <c r="K600">
        <v>0</v>
      </c>
      <c r="L600">
        <v>0</v>
      </c>
      <c r="M600" t="s">
        <v>325</v>
      </c>
      <c r="N600" t="s">
        <v>336</v>
      </c>
    </row>
    <row r="601" spans="1:14" x14ac:dyDescent="0.3">
      <c r="A601">
        <v>341</v>
      </c>
      <c r="B601" t="s">
        <v>323</v>
      </c>
      <c r="C601">
        <v>167</v>
      </c>
      <c r="D601" t="s">
        <v>135</v>
      </c>
      <c r="E601">
        <v>1943</v>
      </c>
      <c r="F601" t="s">
        <v>1393</v>
      </c>
      <c r="G601">
        <v>5</v>
      </c>
      <c r="H601">
        <v>0</v>
      </c>
      <c r="I601">
        <v>0</v>
      </c>
      <c r="J601">
        <v>0</v>
      </c>
      <c r="K601">
        <v>0</v>
      </c>
      <c r="L601">
        <v>0</v>
      </c>
      <c r="M601" t="s">
        <v>333</v>
      </c>
      <c r="N601" t="s">
        <v>484</v>
      </c>
    </row>
    <row r="602" spans="1:14" x14ac:dyDescent="0.3">
      <c r="A602">
        <v>341</v>
      </c>
      <c r="B602" t="s">
        <v>323</v>
      </c>
      <c r="C602">
        <v>167</v>
      </c>
      <c r="D602" t="s">
        <v>135</v>
      </c>
      <c r="E602">
        <v>1944</v>
      </c>
      <c r="F602" t="s">
        <v>1394</v>
      </c>
      <c r="G602">
        <v>2</v>
      </c>
      <c r="H602">
        <v>0</v>
      </c>
      <c r="I602">
        <v>2</v>
      </c>
      <c r="J602">
        <v>0</v>
      </c>
      <c r="K602">
        <v>0</v>
      </c>
      <c r="L602">
        <v>0</v>
      </c>
      <c r="M602" t="s">
        <v>333</v>
      </c>
      <c r="N602" t="s">
        <v>343</v>
      </c>
    </row>
    <row r="603" spans="1:14" x14ac:dyDescent="0.3">
      <c r="A603">
        <v>341</v>
      </c>
      <c r="B603" t="s">
        <v>323</v>
      </c>
      <c r="C603">
        <v>167</v>
      </c>
      <c r="D603" t="s">
        <v>135</v>
      </c>
      <c r="E603">
        <v>1945</v>
      </c>
      <c r="F603" t="s">
        <v>1395</v>
      </c>
      <c r="G603">
        <v>0</v>
      </c>
      <c r="H603">
        <v>0</v>
      </c>
      <c r="I603">
        <v>0</v>
      </c>
      <c r="J603">
        <v>2</v>
      </c>
      <c r="K603">
        <v>0</v>
      </c>
      <c r="L603">
        <v>0</v>
      </c>
      <c r="M603" t="s">
        <v>333</v>
      </c>
      <c r="N603" t="s">
        <v>326</v>
      </c>
    </row>
    <row r="604" spans="1:14" x14ac:dyDescent="0.3">
      <c r="A604">
        <v>341</v>
      </c>
      <c r="B604" t="s">
        <v>323</v>
      </c>
      <c r="C604">
        <v>167</v>
      </c>
      <c r="D604" t="s">
        <v>135</v>
      </c>
      <c r="E604">
        <v>1946</v>
      </c>
      <c r="F604" t="s">
        <v>1396</v>
      </c>
      <c r="G604">
        <v>0</v>
      </c>
      <c r="H604">
        <v>0</v>
      </c>
      <c r="I604">
        <v>0</v>
      </c>
      <c r="J604">
        <v>0</v>
      </c>
      <c r="K604">
        <v>0</v>
      </c>
      <c r="L604">
        <v>3</v>
      </c>
      <c r="M604" t="s">
        <v>333</v>
      </c>
      <c r="N604" t="s">
        <v>326</v>
      </c>
    </row>
    <row r="605" spans="1:14" x14ac:dyDescent="0.3">
      <c r="A605">
        <v>341</v>
      </c>
      <c r="B605" t="s">
        <v>323</v>
      </c>
      <c r="C605">
        <v>167</v>
      </c>
      <c r="D605" t="s">
        <v>135</v>
      </c>
      <c r="E605">
        <v>1947</v>
      </c>
      <c r="F605" t="s">
        <v>1397</v>
      </c>
      <c r="G605">
        <v>0</v>
      </c>
      <c r="H605">
        <v>0</v>
      </c>
      <c r="I605">
        <v>0</v>
      </c>
      <c r="J605">
        <v>0</v>
      </c>
      <c r="K605">
        <v>0</v>
      </c>
      <c r="L605">
        <v>2</v>
      </c>
      <c r="M605" t="s">
        <v>325</v>
      </c>
      <c r="N605" t="s">
        <v>343</v>
      </c>
    </row>
    <row r="606" spans="1:14" x14ac:dyDescent="0.3">
      <c r="A606">
        <v>341</v>
      </c>
      <c r="B606" t="s">
        <v>323</v>
      </c>
      <c r="C606">
        <v>167</v>
      </c>
      <c r="D606" t="s">
        <v>135</v>
      </c>
      <c r="E606">
        <v>1948</v>
      </c>
      <c r="F606" t="s">
        <v>1398</v>
      </c>
      <c r="G606">
        <v>1</v>
      </c>
      <c r="H606">
        <v>1</v>
      </c>
      <c r="I606">
        <v>0</v>
      </c>
      <c r="J606">
        <v>2</v>
      </c>
      <c r="K606">
        <v>0</v>
      </c>
      <c r="L606">
        <v>2</v>
      </c>
      <c r="M606" t="s">
        <v>410</v>
      </c>
      <c r="N606" t="s">
        <v>336</v>
      </c>
    </row>
    <row r="607" spans="1:14" x14ac:dyDescent="0.3">
      <c r="A607">
        <v>341</v>
      </c>
      <c r="B607" t="s">
        <v>323</v>
      </c>
      <c r="C607">
        <v>167</v>
      </c>
      <c r="D607" t="s">
        <v>135</v>
      </c>
      <c r="E607">
        <v>1949</v>
      </c>
      <c r="F607" t="s">
        <v>1399</v>
      </c>
      <c r="G607">
        <v>0</v>
      </c>
      <c r="H607">
        <v>1</v>
      </c>
      <c r="I607">
        <v>2</v>
      </c>
      <c r="J607">
        <v>0</v>
      </c>
      <c r="K607">
        <v>0</v>
      </c>
      <c r="L607">
        <v>1</v>
      </c>
      <c r="M607" t="s">
        <v>325</v>
      </c>
      <c r="N607" t="s">
        <v>484</v>
      </c>
    </row>
    <row r="608" spans="1:14" x14ac:dyDescent="0.3">
      <c r="A608">
        <v>343</v>
      </c>
      <c r="B608" t="s">
        <v>323</v>
      </c>
      <c r="C608">
        <v>169</v>
      </c>
      <c r="D608" t="s">
        <v>139</v>
      </c>
      <c r="E608">
        <v>565</v>
      </c>
      <c r="F608" t="s">
        <v>759</v>
      </c>
      <c r="G608">
        <v>0</v>
      </c>
      <c r="H608">
        <v>6</v>
      </c>
      <c r="I608">
        <v>0</v>
      </c>
      <c r="J608">
        <v>0</v>
      </c>
      <c r="K608">
        <v>0</v>
      </c>
      <c r="L608">
        <v>0</v>
      </c>
      <c r="M608" t="s">
        <v>416</v>
      </c>
      <c r="N608" t="s">
        <v>336</v>
      </c>
    </row>
    <row r="609" spans="1:14" x14ac:dyDescent="0.3">
      <c r="A609">
        <v>343</v>
      </c>
      <c r="B609" t="s">
        <v>323</v>
      </c>
      <c r="C609">
        <v>169</v>
      </c>
      <c r="D609" t="s">
        <v>139</v>
      </c>
      <c r="E609">
        <v>566</v>
      </c>
      <c r="F609" t="s">
        <v>760</v>
      </c>
      <c r="G609">
        <v>3</v>
      </c>
      <c r="H609">
        <v>1</v>
      </c>
      <c r="I609">
        <v>0</v>
      </c>
      <c r="J609">
        <v>0</v>
      </c>
      <c r="K609">
        <v>0</v>
      </c>
      <c r="L609">
        <v>1</v>
      </c>
      <c r="M609" t="s">
        <v>325</v>
      </c>
      <c r="N609" t="s">
        <v>336</v>
      </c>
    </row>
    <row r="610" spans="1:14" x14ac:dyDescent="0.3">
      <c r="A610">
        <v>343</v>
      </c>
      <c r="B610" t="s">
        <v>323</v>
      </c>
      <c r="C610">
        <v>169</v>
      </c>
      <c r="D610" t="s">
        <v>139</v>
      </c>
      <c r="E610">
        <v>567</v>
      </c>
      <c r="F610" t="s">
        <v>315</v>
      </c>
      <c r="G610">
        <v>4</v>
      </c>
      <c r="H610">
        <v>3</v>
      </c>
      <c r="I610">
        <v>1</v>
      </c>
      <c r="J610">
        <v>0</v>
      </c>
      <c r="K610">
        <v>0</v>
      </c>
      <c r="L610">
        <v>0</v>
      </c>
      <c r="M610" t="s">
        <v>325</v>
      </c>
      <c r="N610" t="s">
        <v>484</v>
      </c>
    </row>
    <row r="611" spans="1:14" x14ac:dyDescent="0.3">
      <c r="A611">
        <v>343</v>
      </c>
      <c r="B611" t="s">
        <v>323</v>
      </c>
      <c r="C611">
        <v>169</v>
      </c>
      <c r="D611" t="s">
        <v>139</v>
      </c>
      <c r="E611">
        <v>568</v>
      </c>
      <c r="F611" t="s">
        <v>761</v>
      </c>
      <c r="G611">
        <v>6</v>
      </c>
      <c r="H611">
        <v>5</v>
      </c>
      <c r="I611">
        <v>4</v>
      </c>
      <c r="J611">
        <v>0</v>
      </c>
      <c r="K611">
        <v>0</v>
      </c>
      <c r="L611">
        <v>0</v>
      </c>
      <c r="M611" t="s">
        <v>325</v>
      </c>
      <c r="N611" t="s">
        <v>484</v>
      </c>
    </row>
    <row r="612" spans="1:14" x14ac:dyDescent="0.3">
      <c r="A612">
        <v>343</v>
      </c>
      <c r="B612" t="s">
        <v>323</v>
      </c>
      <c r="C612">
        <v>169</v>
      </c>
      <c r="D612" t="s">
        <v>139</v>
      </c>
      <c r="E612">
        <v>569</v>
      </c>
      <c r="F612" t="s">
        <v>762</v>
      </c>
      <c r="G612">
        <v>4</v>
      </c>
      <c r="H612">
        <v>1</v>
      </c>
      <c r="I612">
        <v>0</v>
      </c>
      <c r="J612">
        <v>0</v>
      </c>
      <c r="K612">
        <v>0</v>
      </c>
      <c r="L612">
        <v>0</v>
      </c>
      <c r="M612" t="s">
        <v>325</v>
      </c>
      <c r="N612" t="s">
        <v>484</v>
      </c>
    </row>
    <row r="613" spans="1:14" x14ac:dyDescent="0.3">
      <c r="A613">
        <v>343</v>
      </c>
      <c r="B613" t="s">
        <v>323</v>
      </c>
      <c r="C613">
        <v>169</v>
      </c>
      <c r="D613" t="s">
        <v>139</v>
      </c>
      <c r="E613">
        <v>571</v>
      </c>
      <c r="F613" t="s">
        <v>764</v>
      </c>
      <c r="G613">
        <v>4</v>
      </c>
      <c r="H613">
        <v>1</v>
      </c>
      <c r="I613">
        <v>0</v>
      </c>
      <c r="J613">
        <v>0</v>
      </c>
      <c r="K613">
        <v>0</v>
      </c>
      <c r="L613">
        <v>0</v>
      </c>
      <c r="M613" t="s">
        <v>325</v>
      </c>
      <c r="N613" t="s">
        <v>484</v>
      </c>
    </row>
    <row r="614" spans="1:14" x14ac:dyDescent="0.3">
      <c r="A614">
        <v>343</v>
      </c>
      <c r="B614" t="s">
        <v>323</v>
      </c>
      <c r="C614">
        <v>169</v>
      </c>
      <c r="D614" t="s">
        <v>139</v>
      </c>
      <c r="E614">
        <v>572</v>
      </c>
      <c r="F614" t="s">
        <v>765</v>
      </c>
      <c r="G614">
        <v>2</v>
      </c>
      <c r="H614">
        <v>2</v>
      </c>
      <c r="I614">
        <v>0</v>
      </c>
      <c r="J614">
        <v>0</v>
      </c>
      <c r="K614">
        <v>0</v>
      </c>
      <c r="L614">
        <v>0</v>
      </c>
      <c r="M614" t="s">
        <v>325</v>
      </c>
      <c r="N614" t="s">
        <v>484</v>
      </c>
    </row>
    <row r="615" spans="1:14" x14ac:dyDescent="0.3">
      <c r="A615">
        <v>343</v>
      </c>
      <c r="B615" t="s">
        <v>323</v>
      </c>
      <c r="C615">
        <v>169</v>
      </c>
      <c r="D615" t="s">
        <v>139</v>
      </c>
      <c r="E615">
        <v>574</v>
      </c>
      <c r="F615" t="s">
        <v>485</v>
      </c>
      <c r="G615">
        <v>4</v>
      </c>
      <c r="H615">
        <v>1</v>
      </c>
      <c r="I615">
        <v>0</v>
      </c>
      <c r="J615">
        <v>0</v>
      </c>
      <c r="K615">
        <v>0</v>
      </c>
      <c r="L615">
        <v>0</v>
      </c>
      <c r="M615" t="s">
        <v>325</v>
      </c>
      <c r="N615" t="s">
        <v>484</v>
      </c>
    </row>
    <row r="616" spans="1:14" x14ac:dyDescent="0.3">
      <c r="A616">
        <v>343</v>
      </c>
      <c r="B616" t="s">
        <v>323</v>
      </c>
      <c r="C616">
        <v>169</v>
      </c>
      <c r="D616" t="s">
        <v>139</v>
      </c>
      <c r="E616">
        <v>575</v>
      </c>
      <c r="F616" t="s">
        <v>767</v>
      </c>
      <c r="G616">
        <v>0</v>
      </c>
      <c r="H616">
        <v>1</v>
      </c>
      <c r="I616">
        <v>2</v>
      </c>
      <c r="J616">
        <v>2</v>
      </c>
      <c r="K616">
        <v>0</v>
      </c>
      <c r="L616">
        <v>2</v>
      </c>
      <c r="M616" t="s">
        <v>325</v>
      </c>
      <c r="N616" t="s">
        <v>336</v>
      </c>
    </row>
    <row r="617" spans="1:14" x14ac:dyDescent="0.3">
      <c r="A617">
        <v>343</v>
      </c>
      <c r="B617" t="s">
        <v>323</v>
      </c>
      <c r="C617">
        <v>169</v>
      </c>
      <c r="D617" t="s">
        <v>139</v>
      </c>
      <c r="E617">
        <v>577</v>
      </c>
      <c r="F617" t="s">
        <v>769</v>
      </c>
      <c r="G617">
        <v>4</v>
      </c>
      <c r="H617">
        <v>2</v>
      </c>
      <c r="I617">
        <v>0</v>
      </c>
      <c r="J617">
        <v>0</v>
      </c>
      <c r="K617">
        <v>0</v>
      </c>
      <c r="L617">
        <v>0</v>
      </c>
      <c r="M617" t="s">
        <v>325</v>
      </c>
      <c r="N617" t="s">
        <v>484</v>
      </c>
    </row>
    <row r="618" spans="1:14" x14ac:dyDescent="0.3">
      <c r="A618">
        <v>343</v>
      </c>
      <c r="B618" t="s">
        <v>323</v>
      </c>
      <c r="C618">
        <v>169</v>
      </c>
      <c r="D618" t="s">
        <v>139</v>
      </c>
      <c r="E618">
        <v>579</v>
      </c>
      <c r="F618" t="s">
        <v>771</v>
      </c>
      <c r="G618">
        <v>4</v>
      </c>
      <c r="H618">
        <v>0</v>
      </c>
      <c r="I618">
        <v>0</v>
      </c>
      <c r="J618">
        <v>0</v>
      </c>
      <c r="K618">
        <v>0</v>
      </c>
      <c r="L618">
        <v>0</v>
      </c>
      <c r="M618" t="s">
        <v>325</v>
      </c>
      <c r="N618" t="s">
        <v>484</v>
      </c>
    </row>
    <row r="619" spans="1:14" x14ac:dyDescent="0.3">
      <c r="A619">
        <v>343</v>
      </c>
      <c r="B619" t="s">
        <v>323</v>
      </c>
      <c r="C619">
        <v>169</v>
      </c>
      <c r="D619" t="s">
        <v>139</v>
      </c>
      <c r="E619">
        <v>580</v>
      </c>
      <c r="F619" t="s">
        <v>772</v>
      </c>
      <c r="G619">
        <v>1</v>
      </c>
      <c r="H619">
        <v>0</v>
      </c>
      <c r="I619">
        <v>0</v>
      </c>
      <c r="J619">
        <v>0</v>
      </c>
      <c r="K619">
        <v>0</v>
      </c>
      <c r="L619">
        <v>4</v>
      </c>
      <c r="M619" t="s">
        <v>333</v>
      </c>
      <c r="N619" t="s">
        <v>326</v>
      </c>
    </row>
    <row r="620" spans="1:14" x14ac:dyDescent="0.3">
      <c r="A620">
        <v>343</v>
      </c>
      <c r="B620" t="s">
        <v>323</v>
      </c>
      <c r="C620">
        <v>169</v>
      </c>
      <c r="D620" t="s">
        <v>139</v>
      </c>
      <c r="E620">
        <v>581</v>
      </c>
      <c r="F620" t="s">
        <v>773</v>
      </c>
      <c r="G620">
        <v>1</v>
      </c>
      <c r="H620">
        <v>2</v>
      </c>
      <c r="I620">
        <v>0</v>
      </c>
      <c r="J620">
        <v>0</v>
      </c>
      <c r="K620">
        <v>0</v>
      </c>
      <c r="L620">
        <v>0</v>
      </c>
      <c r="M620" t="s">
        <v>325</v>
      </c>
      <c r="N620" t="s">
        <v>484</v>
      </c>
    </row>
    <row r="621" spans="1:14" x14ac:dyDescent="0.3">
      <c r="A621">
        <v>343</v>
      </c>
      <c r="B621" t="s">
        <v>323</v>
      </c>
      <c r="C621">
        <v>169</v>
      </c>
      <c r="D621" t="s">
        <v>139</v>
      </c>
      <c r="E621">
        <v>586</v>
      </c>
      <c r="F621" t="s">
        <v>777</v>
      </c>
      <c r="G621">
        <v>4</v>
      </c>
      <c r="H621">
        <v>0</v>
      </c>
      <c r="I621">
        <v>0</v>
      </c>
      <c r="J621">
        <v>0</v>
      </c>
      <c r="K621">
        <v>0</v>
      </c>
      <c r="L621">
        <v>1</v>
      </c>
      <c r="M621" t="s">
        <v>325</v>
      </c>
      <c r="N621" t="s">
        <v>484</v>
      </c>
    </row>
    <row r="622" spans="1:14" x14ac:dyDescent="0.3">
      <c r="A622">
        <v>343</v>
      </c>
      <c r="B622" t="s">
        <v>323</v>
      </c>
      <c r="C622">
        <v>169</v>
      </c>
      <c r="D622" t="s">
        <v>139</v>
      </c>
      <c r="E622">
        <v>587</v>
      </c>
      <c r="F622" t="s">
        <v>778</v>
      </c>
      <c r="G622">
        <v>0</v>
      </c>
      <c r="H622">
        <v>0</v>
      </c>
      <c r="I622">
        <v>0</v>
      </c>
      <c r="J622">
        <v>0</v>
      </c>
      <c r="K622">
        <v>0</v>
      </c>
      <c r="L622">
        <v>12</v>
      </c>
      <c r="M622" t="s">
        <v>333</v>
      </c>
      <c r="N622" t="s">
        <v>326</v>
      </c>
    </row>
    <row r="623" spans="1:14" x14ac:dyDescent="0.3">
      <c r="A623">
        <v>343</v>
      </c>
      <c r="B623" t="s">
        <v>323</v>
      </c>
      <c r="C623">
        <v>169</v>
      </c>
      <c r="D623" t="s">
        <v>139</v>
      </c>
      <c r="E623">
        <v>1439</v>
      </c>
      <c r="F623" t="s">
        <v>780</v>
      </c>
      <c r="G623">
        <v>0</v>
      </c>
      <c r="H623">
        <v>1</v>
      </c>
      <c r="I623">
        <v>4</v>
      </c>
      <c r="J623">
        <v>0</v>
      </c>
      <c r="K623">
        <v>0</v>
      </c>
      <c r="L623">
        <v>3</v>
      </c>
      <c r="M623" t="s">
        <v>325</v>
      </c>
      <c r="N623" t="s">
        <v>336</v>
      </c>
    </row>
    <row r="624" spans="1:14" x14ac:dyDescent="0.3">
      <c r="A624">
        <v>343</v>
      </c>
      <c r="B624" t="s">
        <v>323</v>
      </c>
      <c r="C624">
        <v>169</v>
      </c>
      <c r="D624" t="s">
        <v>139</v>
      </c>
      <c r="E624">
        <v>1911</v>
      </c>
      <c r="F624" t="s">
        <v>1400</v>
      </c>
      <c r="G624">
        <v>3</v>
      </c>
      <c r="H624">
        <v>1</v>
      </c>
      <c r="I624">
        <v>0</v>
      </c>
      <c r="J624">
        <v>0</v>
      </c>
      <c r="K624">
        <v>0</v>
      </c>
      <c r="L624">
        <v>1</v>
      </c>
      <c r="M624" t="s">
        <v>325</v>
      </c>
      <c r="N624" t="s">
        <v>484</v>
      </c>
    </row>
    <row r="625" spans="1:14" x14ac:dyDescent="0.3">
      <c r="A625">
        <v>343</v>
      </c>
      <c r="B625" t="s">
        <v>323</v>
      </c>
      <c r="C625">
        <v>169</v>
      </c>
      <c r="D625" t="s">
        <v>139</v>
      </c>
      <c r="E625">
        <v>1912</v>
      </c>
      <c r="F625" t="s">
        <v>1401</v>
      </c>
      <c r="G625">
        <v>2</v>
      </c>
      <c r="H625">
        <v>1</v>
      </c>
      <c r="I625">
        <v>0</v>
      </c>
      <c r="J625">
        <v>0</v>
      </c>
      <c r="K625">
        <v>0</v>
      </c>
      <c r="L625">
        <v>0</v>
      </c>
      <c r="M625" t="s">
        <v>325</v>
      </c>
      <c r="N625" t="s">
        <v>484</v>
      </c>
    </row>
    <row r="626" spans="1:14" x14ac:dyDescent="0.3">
      <c r="A626">
        <v>343</v>
      </c>
      <c r="B626" t="s">
        <v>323</v>
      </c>
      <c r="C626">
        <v>169</v>
      </c>
      <c r="D626" t="s">
        <v>139</v>
      </c>
      <c r="E626">
        <v>1913</v>
      </c>
      <c r="F626" t="s">
        <v>1402</v>
      </c>
      <c r="G626">
        <v>4</v>
      </c>
      <c r="H626">
        <v>0</v>
      </c>
      <c r="I626">
        <v>1</v>
      </c>
      <c r="J626">
        <v>0</v>
      </c>
      <c r="K626">
        <v>0</v>
      </c>
      <c r="L626">
        <v>0</v>
      </c>
      <c r="M626" t="s">
        <v>325</v>
      </c>
      <c r="N626" t="s">
        <v>336</v>
      </c>
    </row>
    <row r="627" spans="1:14" x14ac:dyDescent="0.3">
      <c r="A627">
        <v>343</v>
      </c>
      <c r="B627" t="s">
        <v>323</v>
      </c>
      <c r="C627">
        <v>169</v>
      </c>
      <c r="D627" t="s">
        <v>139</v>
      </c>
      <c r="E627">
        <v>1914</v>
      </c>
      <c r="F627" t="s">
        <v>833</v>
      </c>
      <c r="G627">
        <v>2</v>
      </c>
      <c r="H627">
        <v>2</v>
      </c>
      <c r="I627">
        <v>0</v>
      </c>
      <c r="J627">
        <v>1</v>
      </c>
      <c r="K627">
        <v>0</v>
      </c>
      <c r="L627">
        <v>1</v>
      </c>
      <c r="M627" t="s">
        <v>325</v>
      </c>
      <c r="N627" t="s">
        <v>326</v>
      </c>
    </row>
    <row r="628" spans="1:14" x14ac:dyDescent="0.3">
      <c r="A628">
        <v>343</v>
      </c>
      <c r="B628" t="s">
        <v>323</v>
      </c>
      <c r="C628">
        <v>169</v>
      </c>
      <c r="D628" t="s">
        <v>139</v>
      </c>
      <c r="E628">
        <v>1915</v>
      </c>
      <c r="F628" t="s">
        <v>1403</v>
      </c>
      <c r="G628">
        <v>4</v>
      </c>
      <c r="H628">
        <v>1</v>
      </c>
      <c r="I628">
        <v>0</v>
      </c>
      <c r="J628">
        <v>0</v>
      </c>
      <c r="K628">
        <v>0</v>
      </c>
      <c r="L628">
        <v>0</v>
      </c>
      <c r="M628" t="s">
        <v>325</v>
      </c>
      <c r="N628" t="s">
        <v>484</v>
      </c>
    </row>
    <row r="629" spans="1:14" x14ac:dyDescent="0.3">
      <c r="A629">
        <v>344</v>
      </c>
      <c r="B629" t="s">
        <v>323</v>
      </c>
      <c r="C629">
        <v>170</v>
      </c>
      <c r="D629" t="s">
        <v>141</v>
      </c>
      <c r="E629">
        <v>1613</v>
      </c>
      <c r="F629" t="s">
        <v>781</v>
      </c>
      <c r="G629">
        <v>6</v>
      </c>
      <c r="H629">
        <v>0</v>
      </c>
      <c r="I629">
        <v>0</v>
      </c>
      <c r="J629">
        <v>0</v>
      </c>
      <c r="K629">
        <v>0</v>
      </c>
      <c r="L629">
        <v>1</v>
      </c>
      <c r="M629" t="s">
        <v>325</v>
      </c>
      <c r="N629" t="s">
        <v>348</v>
      </c>
    </row>
    <row r="630" spans="1:14" x14ac:dyDescent="0.3">
      <c r="A630">
        <v>344</v>
      </c>
      <c r="B630" t="s">
        <v>323</v>
      </c>
      <c r="C630">
        <v>170</v>
      </c>
      <c r="D630" t="s">
        <v>141</v>
      </c>
      <c r="E630">
        <v>1614</v>
      </c>
      <c r="F630" t="s">
        <v>782</v>
      </c>
      <c r="G630">
        <v>1</v>
      </c>
      <c r="H630">
        <v>3</v>
      </c>
      <c r="I630">
        <v>2</v>
      </c>
      <c r="J630">
        <v>0</v>
      </c>
      <c r="K630">
        <v>0</v>
      </c>
      <c r="L630">
        <v>3</v>
      </c>
      <c r="M630" t="s">
        <v>325</v>
      </c>
      <c r="N630" t="s">
        <v>336</v>
      </c>
    </row>
    <row r="631" spans="1:14" x14ac:dyDescent="0.3">
      <c r="A631">
        <v>344</v>
      </c>
      <c r="B631" t="s">
        <v>323</v>
      </c>
      <c r="C631">
        <v>170</v>
      </c>
      <c r="D631" t="s">
        <v>141</v>
      </c>
      <c r="E631">
        <v>1615</v>
      </c>
      <c r="F631" t="s">
        <v>783</v>
      </c>
      <c r="G631">
        <v>1</v>
      </c>
      <c r="H631">
        <v>2</v>
      </c>
      <c r="I631">
        <v>0</v>
      </c>
      <c r="J631">
        <v>0</v>
      </c>
      <c r="K631">
        <v>0</v>
      </c>
      <c r="L631">
        <v>1</v>
      </c>
      <c r="M631" t="s">
        <v>325</v>
      </c>
      <c r="N631" t="s">
        <v>484</v>
      </c>
    </row>
    <row r="632" spans="1:14" x14ac:dyDescent="0.3">
      <c r="A632">
        <v>344</v>
      </c>
      <c r="B632" t="s">
        <v>323</v>
      </c>
      <c r="C632">
        <v>170</v>
      </c>
      <c r="D632" t="s">
        <v>141</v>
      </c>
      <c r="E632">
        <v>1620</v>
      </c>
      <c r="F632" t="s">
        <v>788</v>
      </c>
      <c r="G632">
        <v>5</v>
      </c>
      <c r="H632">
        <v>4</v>
      </c>
      <c r="I632">
        <v>2</v>
      </c>
      <c r="J632">
        <v>2</v>
      </c>
      <c r="K632">
        <v>0</v>
      </c>
      <c r="L632">
        <v>3</v>
      </c>
      <c r="M632" t="s">
        <v>333</v>
      </c>
      <c r="N632" t="s">
        <v>336</v>
      </c>
    </row>
    <row r="633" spans="1:14" x14ac:dyDescent="0.3">
      <c r="A633">
        <v>344</v>
      </c>
      <c r="B633" t="s">
        <v>323</v>
      </c>
      <c r="C633">
        <v>170</v>
      </c>
      <c r="D633" t="s">
        <v>141</v>
      </c>
      <c r="E633">
        <v>1621</v>
      </c>
      <c r="F633" t="s">
        <v>789</v>
      </c>
      <c r="G633">
        <v>1</v>
      </c>
      <c r="H633">
        <v>1</v>
      </c>
      <c r="I633">
        <v>6</v>
      </c>
      <c r="J633">
        <v>0</v>
      </c>
      <c r="K633">
        <v>0</v>
      </c>
      <c r="L633">
        <v>1</v>
      </c>
      <c r="M633" t="s">
        <v>325</v>
      </c>
      <c r="N633" t="s">
        <v>336</v>
      </c>
    </row>
    <row r="634" spans="1:14" x14ac:dyDescent="0.3">
      <c r="A634">
        <v>344</v>
      </c>
      <c r="B634" t="s">
        <v>323</v>
      </c>
      <c r="C634">
        <v>170</v>
      </c>
      <c r="D634" t="s">
        <v>141</v>
      </c>
      <c r="E634">
        <v>1622</v>
      </c>
      <c r="F634" t="s">
        <v>790</v>
      </c>
      <c r="G634">
        <v>1</v>
      </c>
      <c r="H634">
        <v>2</v>
      </c>
      <c r="I634">
        <v>1</v>
      </c>
      <c r="J634">
        <v>1</v>
      </c>
      <c r="K634">
        <v>0</v>
      </c>
      <c r="L634">
        <v>3</v>
      </c>
      <c r="M634" t="s">
        <v>410</v>
      </c>
      <c r="N634" t="s">
        <v>348</v>
      </c>
    </row>
    <row r="635" spans="1:14" x14ac:dyDescent="0.3">
      <c r="A635">
        <v>344</v>
      </c>
      <c r="B635" t="s">
        <v>323</v>
      </c>
      <c r="C635">
        <v>170</v>
      </c>
      <c r="D635" t="s">
        <v>141</v>
      </c>
      <c r="E635">
        <v>1623</v>
      </c>
      <c r="F635" t="s">
        <v>773</v>
      </c>
      <c r="G635">
        <v>2</v>
      </c>
      <c r="H635">
        <v>0</v>
      </c>
      <c r="I635">
        <v>1</v>
      </c>
      <c r="J635">
        <v>0</v>
      </c>
      <c r="K635">
        <v>0</v>
      </c>
      <c r="L635">
        <v>1</v>
      </c>
      <c r="M635" t="s">
        <v>325</v>
      </c>
      <c r="N635" t="s">
        <v>348</v>
      </c>
    </row>
    <row r="636" spans="1:14" x14ac:dyDescent="0.3">
      <c r="A636">
        <v>344</v>
      </c>
      <c r="B636" t="s">
        <v>323</v>
      </c>
      <c r="C636">
        <v>170</v>
      </c>
      <c r="D636" t="s">
        <v>141</v>
      </c>
      <c r="E636">
        <v>1624</v>
      </c>
      <c r="F636" t="s">
        <v>791</v>
      </c>
      <c r="G636">
        <v>0</v>
      </c>
      <c r="H636">
        <v>1</v>
      </c>
      <c r="I636">
        <v>3</v>
      </c>
      <c r="J636">
        <v>0</v>
      </c>
      <c r="K636">
        <v>0</v>
      </c>
      <c r="L636">
        <v>1</v>
      </c>
      <c r="M636" t="s">
        <v>325</v>
      </c>
      <c r="N636" t="s">
        <v>336</v>
      </c>
    </row>
    <row r="637" spans="1:14" x14ac:dyDescent="0.3">
      <c r="A637">
        <v>344</v>
      </c>
      <c r="B637" t="s">
        <v>323</v>
      </c>
      <c r="C637">
        <v>170</v>
      </c>
      <c r="D637" t="s">
        <v>141</v>
      </c>
      <c r="E637">
        <v>1625</v>
      </c>
      <c r="F637" t="s">
        <v>792</v>
      </c>
      <c r="G637">
        <v>4</v>
      </c>
      <c r="H637">
        <v>0</v>
      </c>
      <c r="I637">
        <v>3</v>
      </c>
      <c r="J637">
        <v>0</v>
      </c>
      <c r="K637">
        <v>0</v>
      </c>
      <c r="L637">
        <v>1</v>
      </c>
      <c r="M637" t="s">
        <v>410</v>
      </c>
      <c r="N637" t="s">
        <v>348</v>
      </c>
    </row>
    <row r="638" spans="1:14" x14ac:dyDescent="0.3">
      <c r="A638">
        <v>344</v>
      </c>
      <c r="B638" t="s">
        <v>323</v>
      </c>
      <c r="C638">
        <v>170</v>
      </c>
      <c r="D638" t="s">
        <v>141</v>
      </c>
      <c r="E638">
        <v>1626</v>
      </c>
      <c r="F638" t="s">
        <v>793</v>
      </c>
      <c r="G638">
        <v>0</v>
      </c>
      <c r="H638">
        <v>0</v>
      </c>
      <c r="I638">
        <v>0</v>
      </c>
      <c r="J638">
        <v>0</v>
      </c>
      <c r="K638">
        <v>0</v>
      </c>
      <c r="L638">
        <v>3</v>
      </c>
      <c r="M638" t="s">
        <v>325</v>
      </c>
      <c r="N638" t="s">
        <v>336</v>
      </c>
    </row>
    <row r="639" spans="1:14" x14ac:dyDescent="0.3">
      <c r="A639">
        <v>344</v>
      </c>
      <c r="B639" t="s">
        <v>323</v>
      </c>
      <c r="C639">
        <v>170</v>
      </c>
      <c r="D639" t="s">
        <v>141</v>
      </c>
      <c r="E639">
        <v>1627</v>
      </c>
      <c r="F639" t="s">
        <v>531</v>
      </c>
      <c r="G639">
        <v>0</v>
      </c>
      <c r="H639">
        <v>0</v>
      </c>
      <c r="I639">
        <v>3</v>
      </c>
      <c r="J639">
        <v>0</v>
      </c>
      <c r="K639">
        <v>3</v>
      </c>
      <c r="L639">
        <v>1</v>
      </c>
      <c r="M639" t="s">
        <v>333</v>
      </c>
      <c r="N639" t="s">
        <v>336</v>
      </c>
    </row>
    <row r="640" spans="1:14" x14ac:dyDescent="0.3">
      <c r="A640">
        <v>344</v>
      </c>
      <c r="B640" t="s">
        <v>323</v>
      </c>
      <c r="C640">
        <v>170</v>
      </c>
      <c r="D640" t="s">
        <v>141</v>
      </c>
      <c r="E640">
        <v>1629</v>
      </c>
      <c r="F640" t="s">
        <v>795</v>
      </c>
      <c r="G640">
        <v>0</v>
      </c>
      <c r="H640">
        <v>0</v>
      </c>
      <c r="I640">
        <v>0</v>
      </c>
      <c r="J640">
        <v>0</v>
      </c>
      <c r="K640">
        <v>0</v>
      </c>
      <c r="L640">
        <v>3</v>
      </c>
      <c r="M640" t="s">
        <v>333</v>
      </c>
      <c r="N640" t="s">
        <v>336</v>
      </c>
    </row>
    <row r="641" spans="1:14" x14ac:dyDescent="0.3">
      <c r="A641">
        <v>344</v>
      </c>
      <c r="B641" t="s">
        <v>323</v>
      </c>
      <c r="C641">
        <v>170</v>
      </c>
      <c r="D641" t="s">
        <v>141</v>
      </c>
      <c r="E641">
        <v>1998</v>
      </c>
      <c r="F641" t="s">
        <v>1404</v>
      </c>
      <c r="G641">
        <v>0</v>
      </c>
      <c r="H641">
        <v>2</v>
      </c>
      <c r="I641">
        <v>0</v>
      </c>
      <c r="J641">
        <v>3</v>
      </c>
      <c r="K641">
        <v>0</v>
      </c>
      <c r="L641">
        <v>2</v>
      </c>
      <c r="M641" t="s">
        <v>325</v>
      </c>
      <c r="N641" t="s">
        <v>336</v>
      </c>
    </row>
    <row r="642" spans="1:14" x14ac:dyDescent="0.3">
      <c r="A642">
        <v>344</v>
      </c>
      <c r="B642" t="s">
        <v>323</v>
      </c>
      <c r="C642">
        <v>170</v>
      </c>
      <c r="D642" t="s">
        <v>141</v>
      </c>
      <c r="E642">
        <v>1999</v>
      </c>
      <c r="F642" t="s">
        <v>322</v>
      </c>
      <c r="G642">
        <v>4</v>
      </c>
      <c r="H642">
        <v>1</v>
      </c>
      <c r="I642">
        <v>1</v>
      </c>
      <c r="J642">
        <v>1</v>
      </c>
      <c r="K642">
        <v>0</v>
      </c>
      <c r="L642">
        <v>4</v>
      </c>
      <c r="M642" t="s">
        <v>325</v>
      </c>
      <c r="N642" t="s">
        <v>336</v>
      </c>
    </row>
    <row r="643" spans="1:14" x14ac:dyDescent="0.3">
      <c r="A643">
        <v>344</v>
      </c>
      <c r="B643" t="s">
        <v>323</v>
      </c>
      <c r="C643">
        <v>170</v>
      </c>
      <c r="D643" t="s">
        <v>141</v>
      </c>
      <c r="E643">
        <v>2000</v>
      </c>
      <c r="F643" t="s">
        <v>1405</v>
      </c>
      <c r="G643">
        <v>1</v>
      </c>
      <c r="H643">
        <v>1</v>
      </c>
      <c r="I643">
        <v>1</v>
      </c>
      <c r="J643">
        <v>1</v>
      </c>
      <c r="K643">
        <v>1</v>
      </c>
      <c r="L643">
        <v>1</v>
      </c>
      <c r="M643" t="s">
        <v>325</v>
      </c>
      <c r="N643" t="s">
        <v>336</v>
      </c>
    </row>
    <row r="644" spans="1:14" x14ac:dyDescent="0.3">
      <c r="A644">
        <v>344</v>
      </c>
      <c r="B644" t="s">
        <v>323</v>
      </c>
      <c r="C644">
        <v>170</v>
      </c>
      <c r="D644" t="s">
        <v>141</v>
      </c>
      <c r="E644">
        <v>2001</v>
      </c>
      <c r="F644" t="s">
        <v>1406</v>
      </c>
      <c r="G644">
        <v>0</v>
      </c>
      <c r="H644">
        <v>0</v>
      </c>
      <c r="I644">
        <v>0</v>
      </c>
      <c r="J644">
        <v>0</v>
      </c>
      <c r="K644">
        <v>0</v>
      </c>
      <c r="L644">
        <v>5</v>
      </c>
      <c r="M644" t="s">
        <v>566</v>
      </c>
      <c r="N644" t="s">
        <v>336</v>
      </c>
    </row>
    <row r="645" spans="1:14" x14ac:dyDescent="0.3">
      <c r="A645">
        <v>344</v>
      </c>
      <c r="B645" t="s">
        <v>323</v>
      </c>
      <c r="C645">
        <v>170</v>
      </c>
      <c r="D645" t="s">
        <v>141</v>
      </c>
      <c r="E645">
        <v>2002</v>
      </c>
      <c r="F645" t="s">
        <v>1407</v>
      </c>
      <c r="G645">
        <v>0</v>
      </c>
      <c r="H645">
        <v>2</v>
      </c>
      <c r="I645">
        <v>2</v>
      </c>
      <c r="J645">
        <v>0</v>
      </c>
      <c r="K645">
        <v>0</v>
      </c>
      <c r="L645">
        <v>2</v>
      </c>
      <c r="M645" t="s">
        <v>325</v>
      </c>
      <c r="N645" t="s">
        <v>336</v>
      </c>
    </row>
    <row r="646" spans="1:14" x14ac:dyDescent="0.3">
      <c r="A646">
        <v>344</v>
      </c>
      <c r="B646" t="s">
        <v>323</v>
      </c>
      <c r="C646">
        <v>170</v>
      </c>
      <c r="D646" t="s">
        <v>141</v>
      </c>
      <c r="E646">
        <v>2003</v>
      </c>
      <c r="F646" t="s">
        <v>1408</v>
      </c>
      <c r="G646">
        <v>0</v>
      </c>
      <c r="H646">
        <v>1</v>
      </c>
      <c r="I646">
        <v>0</v>
      </c>
      <c r="J646">
        <v>0</v>
      </c>
      <c r="K646">
        <v>0</v>
      </c>
      <c r="L646">
        <v>1</v>
      </c>
      <c r="M646" t="s">
        <v>333</v>
      </c>
      <c r="N646" t="s">
        <v>336</v>
      </c>
    </row>
    <row r="647" spans="1:14" x14ac:dyDescent="0.3">
      <c r="A647">
        <v>344</v>
      </c>
      <c r="B647" t="s">
        <v>323</v>
      </c>
      <c r="C647">
        <v>170</v>
      </c>
      <c r="D647" t="s">
        <v>141</v>
      </c>
      <c r="E647">
        <v>2004</v>
      </c>
      <c r="F647" t="s">
        <v>903</v>
      </c>
      <c r="G647">
        <v>1</v>
      </c>
      <c r="H647">
        <v>2</v>
      </c>
      <c r="I647">
        <v>1</v>
      </c>
      <c r="J647">
        <v>0</v>
      </c>
      <c r="K647">
        <v>0</v>
      </c>
      <c r="L647">
        <v>2</v>
      </c>
      <c r="M647" t="s">
        <v>325</v>
      </c>
      <c r="N647" t="s">
        <v>336</v>
      </c>
    </row>
    <row r="648" spans="1:14" x14ac:dyDescent="0.3">
      <c r="A648">
        <v>344</v>
      </c>
      <c r="B648" t="s">
        <v>323</v>
      </c>
      <c r="C648">
        <v>170</v>
      </c>
      <c r="D648" t="s">
        <v>141</v>
      </c>
      <c r="E648">
        <v>2005</v>
      </c>
      <c r="F648" t="s">
        <v>1409</v>
      </c>
      <c r="G648">
        <v>1</v>
      </c>
      <c r="H648">
        <v>1</v>
      </c>
      <c r="I648">
        <v>2</v>
      </c>
      <c r="J648">
        <v>1</v>
      </c>
      <c r="K648">
        <v>0</v>
      </c>
      <c r="L648">
        <v>2</v>
      </c>
      <c r="M648" t="s">
        <v>325</v>
      </c>
      <c r="N648" t="s">
        <v>348</v>
      </c>
    </row>
    <row r="649" spans="1:14" x14ac:dyDescent="0.3">
      <c r="A649">
        <v>344</v>
      </c>
      <c r="B649" t="s">
        <v>323</v>
      </c>
      <c r="C649">
        <v>170</v>
      </c>
      <c r="D649" t="s">
        <v>141</v>
      </c>
      <c r="E649">
        <v>2006</v>
      </c>
      <c r="F649" t="s">
        <v>1410</v>
      </c>
      <c r="G649">
        <v>3</v>
      </c>
      <c r="H649">
        <v>0</v>
      </c>
      <c r="I649">
        <v>1</v>
      </c>
      <c r="J649">
        <v>1</v>
      </c>
      <c r="K649">
        <v>0</v>
      </c>
      <c r="L649">
        <v>1</v>
      </c>
      <c r="M649" t="s">
        <v>333</v>
      </c>
      <c r="N649" t="s">
        <v>336</v>
      </c>
    </row>
    <row r="650" spans="1:14" x14ac:dyDescent="0.3">
      <c r="A650">
        <v>344</v>
      </c>
      <c r="B650" t="s">
        <v>323</v>
      </c>
      <c r="C650">
        <v>170</v>
      </c>
      <c r="D650" t="s">
        <v>141</v>
      </c>
      <c r="E650">
        <v>2007</v>
      </c>
      <c r="F650" t="s">
        <v>831</v>
      </c>
      <c r="G650">
        <v>0</v>
      </c>
      <c r="H650">
        <v>2</v>
      </c>
      <c r="I650">
        <v>1</v>
      </c>
      <c r="J650">
        <v>1</v>
      </c>
      <c r="K650">
        <v>0</v>
      </c>
      <c r="L650">
        <v>1</v>
      </c>
      <c r="M650" t="s">
        <v>325</v>
      </c>
      <c r="N650" t="s">
        <v>348</v>
      </c>
    </row>
    <row r="651" spans="1:14" x14ac:dyDescent="0.3">
      <c r="A651">
        <v>345</v>
      </c>
      <c r="B651" t="s">
        <v>323</v>
      </c>
      <c r="C651">
        <v>171</v>
      </c>
      <c r="D651" t="s">
        <v>143</v>
      </c>
      <c r="E651">
        <v>527</v>
      </c>
      <c r="F651" t="s">
        <v>393</v>
      </c>
      <c r="G651">
        <v>0</v>
      </c>
      <c r="H651">
        <v>0</v>
      </c>
      <c r="I651">
        <v>6</v>
      </c>
      <c r="J651">
        <v>0</v>
      </c>
      <c r="K651">
        <v>0</v>
      </c>
      <c r="L651">
        <v>0</v>
      </c>
      <c r="M651" t="s">
        <v>566</v>
      </c>
      <c r="N651" t="s">
        <v>336</v>
      </c>
    </row>
    <row r="652" spans="1:14" x14ac:dyDescent="0.3">
      <c r="A652">
        <v>345</v>
      </c>
      <c r="B652" t="s">
        <v>323</v>
      </c>
      <c r="C652">
        <v>171</v>
      </c>
      <c r="D652" t="s">
        <v>143</v>
      </c>
      <c r="E652">
        <v>529</v>
      </c>
      <c r="F652" t="s">
        <v>1411</v>
      </c>
      <c r="G652">
        <v>1</v>
      </c>
      <c r="H652">
        <v>3</v>
      </c>
      <c r="I652">
        <v>1</v>
      </c>
      <c r="J652">
        <v>0</v>
      </c>
      <c r="K652">
        <v>0</v>
      </c>
      <c r="L652">
        <v>0</v>
      </c>
      <c r="M652" t="s">
        <v>410</v>
      </c>
      <c r="N652" t="s">
        <v>343</v>
      </c>
    </row>
    <row r="653" spans="1:14" x14ac:dyDescent="0.3">
      <c r="A653">
        <v>345</v>
      </c>
      <c r="B653" t="s">
        <v>323</v>
      </c>
      <c r="C653">
        <v>171</v>
      </c>
      <c r="D653" t="s">
        <v>143</v>
      </c>
      <c r="E653">
        <v>531</v>
      </c>
      <c r="F653" t="s">
        <v>353</v>
      </c>
      <c r="G653">
        <v>0</v>
      </c>
      <c r="H653">
        <v>0</v>
      </c>
      <c r="I653">
        <v>1</v>
      </c>
      <c r="J653">
        <v>2</v>
      </c>
      <c r="K653">
        <v>3</v>
      </c>
      <c r="L653">
        <v>0</v>
      </c>
      <c r="M653" t="s">
        <v>325</v>
      </c>
      <c r="N653" t="s">
        <v>326</v>
      </c>
    </row>
    <row r="654" spans="1:14" x14ac:dyDescent="0.3">
      <c r="A654">
        <v>345</v>
      </c>
      <c r="B654" t="s">
        <v>323</v>
      </c>
      <c r="C654">
        <v>171</v>
      </c>
      <c r="D654" t="s">
        <v>143</v>
      </c>
      <c r="E654">
        <v>532</v>
      </c>
      <c r="F654" t="s">
        <v>1412</v>
      </c>
      <c r="G654">
        <v>0</v>
      </c>
      <c r="H654">
        <v>3</v>
      </c>
      <c r="I654">
        <v>3</v>
      </c>
      <c r="J654">
        <v>0</v>
      </c>
      <c r="K654">
        <v>0</v>
      </c>
      <c r="L654">
        <v>0</v>
      </c>
      <c r="M654" t="s">
        <v>325</v>
      </c>
      <c r="N654" t="s">
        <v>484</v>
      </c>
    </row>
    <row r="655" spans="1:14" x14ac:dyDescent="0.3">
      <c r="A655">
        <v>345</v>
      </c>
      <c r="B655" t="s">
        <v>323</v>
      </c>
      <c r="C655">
        <v>171</v>
      </c>
      <c r="D655" t="s">
        <v>143</v>
      </c>
      <c r="E655">
        <v>533</v>
      </c>
      <c r="F655" t="s">
        <v>1413</v>
      </c>
      <c r="G655">
        <v>4</v>
      </c>
      <c r="H655">
        <v>0</v>
      </c>
      <c r="I655">
        <v>0</v>
      </c>
      <c r="J655">
        <v>0</v>
      </c>
      <c r="K655">
        <v>0</v>
      </c>
      <c r="L655">
        <v>0</v>
      </c>
      <c r="M655" t="s">
        <v>325</v>
      </c>
      <c r="N655" t="s">
        <v>484</v>
      </c>
    </row>
    <row r="656" spans="1:14" x14ac:dyDescent="0.3">
      <c r="A656">
        <v>345</v>
      </c>
      <c r="B656" t="s">
        <v>323</v>
      </c>
      <c r="C656">
        <v>171</v>
      </c>
      <c r="D656" t="s">
        <v>143</v>
      </c>
      <c r="E656">
        <v>534</v>
      </c>
      <c r="F656" t="s">
        <v>1414</v>
      </c>
      <c r="G656">
        <v>0</v>
      </c>
      <c r="H656">
        <v>3</v>
      </c>
      <c r="I656">
        <v>6</v>
      </c>
      <c r="J656">
        <v>2</v>
      </c>
      <c r="K656">
        <v>3</v>
      </c>
      <c r="L656">
        <v>0</v>
      </c>
      <c r="M656" t="s">
        <v>325</v>
      </c>
      <c r="N656" t="s">
        <v>326</v>
      </c>
    </row>
    <row r="657" spans="1:14" x14ac:dyDescent="0.3">
      <c r="A657">
        <v>345</v>
      </c>
      <c r="B657" t="s">
        <v>323</v>
      </c>
      <c r="C657">
        <v>171</v>
      </c>
      <c r="D657" t="s">
        <v>143</v>
      </c>
      <c r="E657">
        <v>535</v>
      </c>
      <c r="F657" t="s">
        <v>1415</v>
      </c>
      <c r="G657">
        <v>0</v>
      </c>
      <c r="H657">
        <v>0</v>
      </c>
      <c r="I657">
        <v>0</v>
      </c>
      <c r="J657">
        <v>3</v>
      </c>
      <c r="K657">
        <v>2</v>
      </c>
      <c r="L657">
        <v>0</v>
      </c>
      <c r="M657" t="s">
        <v>333</v>
      </c>
      <c r="N657" t="s">
        <v>326</v>
      </c>
    </row>
    <row r="658" spans="1:14" x14ac:dyDescent="0.3">
      <c r="A658">
        <v>345</v>
      </c>
      <c r="B658" t="s">
        <v>323</v>
      </c>
      <c r="C658">
        <v>171</v>
      </c>
      <c r="D658" t="s">
        <v>143</v>
      </c>
      <c r="E658">
        <v>536</v>
      </c>
      <c r="F658" t="s">
        <v>1416</v>
      </c>
      <c r="G658">
        <v>1</v>
      </c>
      <c r="H658">
        <v>2</v>
      </c>
      <c r="I658">
        <v>2</v>
      </c>
      <c r="J658">
        <v>3</v>
      </c>
      <c r="K658">
        <v>2</v>
      </c>
      <c r="L658">
        <v>0</v>
      </c>
      <c r="M658" t="s">
        <v>325</v>
      </c>
      <c r="N658" t="s">
        <v>326</v>
      </c>
    </row>
    <row r="659" spans="1:14" x14ac:dyDescent="0.3">
      <c r="A659">
        <v>345</v>
      </c>
      <c r="B659" t="s">
        <v>323</v>
      </c>
      <c r="C659">
        <v>171</v>
      </c>
      <c r="D659" t="s">
        <v>143</v>
      </c>
      <c r="E659">
        <v>537</v>
      </c>
      <c r="F659" t="s">
        <v>1417</v>
      </c>
      <c r="G659">
        <v>2</v>
      </c>
      <c r="H659">
        <v>1</v>
      </c>
      <c r="I659">
        <v>2</v>
      </c>
      <c r="J659">
        <v>1</v>
      </c>
      <c r="K659">
        <v>0</v>
      </c>
      <c r="L659">
        <v>0</v>
      </c>
      <c r="M659" t="s">
        <v>410</v>
      </c>
      <c r="N659" t="s">
        <v>336</v>
      </c>
    </row>
    <row r="660" spans="1:14" x14ac:dyDescent="0.3">
      <c r="A660">
        <v>345</v>
      </c>
      <c r="B660" t="s">
        <v>323</v>
      </c>
      <c r="C660">
        <v>171</v>
      </c>
      <c r="D660" t="s">
        <v>143</v>
      </c>
      <c r="E660">
        <v>538</v>
      </c>
      <c r="F660" t="s">
        <v>678</v>
      </c>
      <c r="G660">
        <v>1</v>
      </c>
      <c r="H660">
        <v>2</v>
      </c>
      <c r="I660">
        <v>5</v>
      </c>
      <c r="J660">
        <v>4</v>
      </c>
      <c r="K660">
        <v>8</v>
      </c>
      <c r="L660">
        <v>0</v>
      </c>
      <c r="M660" t="s">
        <v>325</v>
      </c>
      <c r="N660" t="s">
        <v>326</v>
      </c>
    </row>
    <row r="661" spans="1:14" x14ac:dyDescent="0.3">
      <c r="A661">
        <v>345</v>
      </c>
      <c r="B661" t="s">
        <v>323</v>
      </c>
      <c r="C661">
        <v>171</v>
      </c>
      <c r="D661" t="s">
        <v>143</v>
      </c>
      <c r="E661">
        <v>539</v>
      </c>
      <c r="F661" t="s">
        <v>1418</v>
      </c>
      <c r="G661">
        <v>0</v>
      </c>
      <c r="H661">
        <v>0</v>
      </c>
      <c r="I661">
        <v>8</v>
      </c>
      <c r="J661">
        <v>3</v>
      </c>
      <c r="K661">
        <v>0</v>
      </c>
      <c r="L661">
        <v>0</v>
      </c>
      <c r="M661" t="s">
        <v>414</v>
      </c>
      <c r="N661" t="s">
        <v>343</v>
      </c>
    </row>
    <row r="662" spans="1:14" x14ac:dyDescent="0.3">
      <c r="A662">
        <v>345</v>
      </c>
      <c r="B662" t="s">
        <v>323</v>
      </c>
      <c r="C662">
        <v>171</v>
      </c>
      <c r="D662" t="s">
        <v>143</v>
      </c>
      <c r="E662">
        <v>541</v>
      </c>
      <c r="F662" t="s">
        <v>910</v>
      </c>
      <c r="G662">
        <v>6</v>
      </c>
      <c r="H662">
        <v>0</v>
      </c>
      <c r="I662">
        <v>0</v>
      </c>
      <c r="J662">
        <v>0</v>
      </c>
      <c r="K662">
        <v>0</v>
      </c>
      <c r="L662">
        <v>0</v>
      </c>
      <c r="M662" t="s">
        <v>325</v>
      </c>
      <c r="N662" t="s">
        <v>484</v>
      </c>
    </row>
    <row r="663" spans="1:14" x14ac:dyDescent="0.3">
      <c r="A663">
        <v>345</v>
      </c>
      <c r="B663" t="s">
        <v>323</v>
      </c>
      <c r="C663">
        <v>171</v>
      </c>
      <c r="D663" t="s">
        <v>143</v>
      </c>
      <c r="E663">
        <v>542</v>
      </c>
      <c r="F663" t="s">
        <v>1419</v>
      </c>
      <c r="G663">
        <v>0</v>
      </c>
      <c r="H663">
        <v>5</v>
      </c>
      <c r="I663">
        <v>1</v>
      </c>
      <c r="J663">
        <v>0</v>
      </c>
      <c r="K663">
        <v>0</v>
      </c>
      <c r="L663">
        <v>0</v>
      </c>
      <c r="M663" t="s">
        <v>325</v>
      </c>
      <c r="N663" t="s">
        <v>484</v>
      </c>
    </row>
    <row r="664" spans="1:14" x14ac:dyDescent="0.3">
      <c r="A664">
        <v>345</v>
      </c>
      <c r="B664" t="s">
        <v>323</v>
      </c>
      <c r="C664">
        <v>171</v>
      </c>
      <c r="D664" t="s">
        <v>143</v>
      </c>
      <c r="E664">
        <v>543</v>
      </c>
      <c r="F664" t="s">
        <v>1420</v>
      </c>
      <c r="G664">
        <v>0</v>
      </c>
      <c r="H664">
        <v>2</v>
      </c>
      <c r="I664">
        <v>3</v>
      </c>
      <c r="J664">
        <v>0</v>
      </c>
      <c r="K664">
        <v>0</v>
      </c>
      <c r="L664">
        <v>0</v>
      </c>
      <c r="M664" t="s">
        <v>325</v>
      </c>
      <c r="N664" t="s">
        <v>326</v>
      </c>
    </row>
    <row r="665" spans="1:14" x14ac:dyDescent="0.3">
      <c r="A665">
        <v>345</v>
      </c>
      <c r="B665" t="s">
        <v>323</v>
      </c>
      <c r="C665">
        <v>171</v>
      </c>
      <c r="D665" t="s">
        <v>143</v>
      </c>
      <c r="E665">
        <v>545</v>
      </c>
      <c r="F665" t="s">
        <v>705</v>
      </c>
      <c r="G665">
        <v>0</v>
      </c>
      <c r="H665">
        <v>0</v>
      </c>
      <c r="I665">
        <v>0</v>
      </c>
      <c r="J665">
        <v>2</v>
      </c>
      <c r="K665">
        <v>3</v>
      </c>
      <c r="L665">
        <v>0</v>
      </c>
      <c r="M665" t="s">
        <v>333</v>
      </c>
      <c r="N665" t="s">
        <v>484</v>
      </c>
    </row>
    <row r="666" spans="1:14" x14ac:dyDescent="0.3">
      <c r="A666">
        <v>345</v>
      </c>
      <c r="B666" t="s">
        <v>323</v>
      </c>
      <c r="C666">
        <v>171</v>
      </c>
      <c r="D666" t="s">
        <v>143</v>
      </c>
      <c r="E666">
        <v>546</v>
      </c>
      <c r="F666" t="s">
        <v>1421</v>
      </c>
      <c r="G666">
        <v>0</v>
      </c>
      <c r="H666">
        <v>1</v>
      </c>
      <c r="I666">
        <v>2</v>
      </c>
      <c r="J666">
        <v>1</v>
      </c>
      <c r="K666">
        <v>3</v>
      </c>
      <c r="L666">
        <v>0</v>
      </c>
      <c r="M666" t="s">
        <v>333</v>
      </c>
      <c r="N666" t="s">
        <v>326</v>
      </c>
    </row>
    <row r="667" spans="1:14" x14ac:dyDescent="0.3">
      <c r="A667">
        <v>345</v>
      </c>
      <c r="B667" t="s">
        <v>323</v>
      </c>
      <c r="C667">
        <v>171</v>
      </c>
      <c r="D667" t="s">
        <v>143</v>
      </c>
      <c r="E667">
        <v>547</v>
      </c>
      <c r="F667" t="s">
        <v>1422</v>
      </c>
      <c r="G667">
        <v>0</v>
      </c>
      <c r="H667">
        <v>6</v>
      </c>
      <c r="I667">
        <v>0</v>
      </c>
      <c r="J667">
        <v>0</v>
      </c>
      <c r="K667">
        <v>0</v>
      </c>
      <c r="L667">
        <v>0</v>
      </c>
      <c r="M667" t="s">
        <v>325</v>
      </c>
      <c r="N667" t="s">
        <v>484</v>
      </c>
    </row>
    <row r="668" spans="1:14" x14ac:dyDescent="0.3">
      <c r="A668">
        <v>345</v>
      </c>
      <c r="B668" t="s">
        <v>323</v>
      </c>
      <c r="C668">
        <v>171</v>
      </c>
      <c r="D668" t="s">
        <v>143</v>
      </c>
      <c r="E668">
        <v>548</v>
      </c>
      <c r="F668" t="s">
        <v>1423</v>
      </c>
      <c r="G668">
        <v>0</v>
      </c>
      <c r="H668">
        <v>0</v>
      </c>
      <c r="I668">
        <v>0</v>
      </c>
      <c r="J668">
        <v>4</v>
      </c>
      <c r="K668">
        <v>1</v>
      </c>
      <c r="L668">
        <v>0</v>
      </c>
      <c r="M668" t="s">
        <v>410</v>
      </c>
      <c r="N668" t="s">
        <v>326</v>
      </c>
    </row>
    <row r="669" spans="1:14" x14ac:dyDescent="0.3">
      <c r="A669">
        <v>345</v>
      </c>
      <c r="B669" t="s">
        <v>323</v>
      </c>
      <c r="C669">
        <v>171</v>
      </c>
      <c r="D669" t="s">
        <v>143</v>
      </c>
      <c r="E669">
        <v>549</v>
      </c>
      <c r="F669" t="s">
        <v>831</v>
      </c>
      <c r="G669">
        <v>0</v>
      </c>
      <c r="H669">
        <v>2</v>
      </c>
      <c r="I669">
        <v>4</v>
      </c>
      <c r="J669">
        <v>0</v>
      </c>
      <c r="K669">
        <v>0</v>
      </c>
      <c r="L669">
        <v>0</v>
      </c>
      <c r="M669" t="s">
        <v>410</v>
      </c>
      <c r="N669" t="s">
        <v>336</v>
      </c>
    </row>
    <row r="670" spans="1:14" x14ac:dyDescent="0.3">
      <c r="A670">
        <v>346</v>
      </c>
      <c r="B670" t="s">
        <v>323</v>
      </c>
      <c r="C670">
        <v>172</v>
      </c>
      <c r="D670" t="s">
        <v>145</v>
      </c>
      <c r="E670">
        <v>847</v>
      </c>
      <c r="F670" t="s">
        <v>799</v>
      </c>
      <c r="G670">
        <v>4</v>
      </c>
      <c r="H670">
        <v>2</v>
      </c>
      <c r="I670">
        <v>0</v>
      </c>
      <c r="J670">
        <v>0</v>
      </c>
      <c r="K670">
        <v>0</v>
      </c>
      <c r="L670">
        <v>0</v>
      </c>
      <c r="M670" t="s">
        <v>325</v>
      </c>
      <c r="N670" t="s">
        <v>348</v>
      </c>
    </row>
    <row r="671" spans="1:14" x14ac:dyDescent="0.3">
      <c r="A671">
        <v>346</v>
      </c>
      <c r="B671" t="s">
        <v>323</v>
      </c>
      <c r="C671">
        <v>172</v>
      </c>
      <c r="D671" t="s">
        <v>145</v>
      </c>
      <c r="E671">
        <v>848</v>
      </c>
      <c r="F671" t="s">
        <v>800</v>
      </c>
      <c r="G671">
        <v>1</v>
      </c>
      <c r="H671">
        <v>0</v>
      </c>
      <c r="I671">
        <v>1</v>
      </c>
      <c r="J671">
        <v>3</v>
      </c>
      <c r="K671">
        <v>0</v>
      </c>
      <c r="L671">
        <v>0</v>
      </c>
      <c r="M671" t="s">
        <v>333</v>
      </c>
      <c r="N671" t="s">
        <v>484</v>
      </c>
    </row>
    <row r="672" spans="1:14" x14ac:dyDescent="0.3">
      <c r="A672">
        <v>346</v>
      </c>
      <c r="B672" t="s">
        <v>323</v>
      </c>
      <c r="C672">
        <v>172</v>
      </c>
      <c r="D672" t="s">
        <v>145</v>
      </c>
      <c r="E672">
        <v>849</v>
      </c>
      <c r="F672" t="s">
        <v>801</v>
      </c>
      <c r="G672">
        <v>0</v>
      </c>
      <c r="H672">
        <v>0</v>
      </c>
      <c r="I672">
        <v>2</v>
      </c>
      <c r="J672">
        <v>4</v>
      </c>
      <c r="K672">
        <v>2</v>
      </c>
      <c r="L672">
        <v>0</v>
      </c>
      <c r="M672" t="s">
        <v>333</v>
      </c>
      <c r="N672" t="s">
        <v>484</v>
      </c>
    </row>
    <row r="673" spans="1:14" x14ac:dyDescent="0.3">
      <c r="A673">
        <v>346</v>
      </c>
      <c r="B673" t="s">
        <v>323</v>
      </c>
      <c r="C673">
        <v>172</v>
      </c>
      <c r="D673" t="s">
        <v>145</v>
      </c>
      <c r="E673">
        <v>850</v>
      </c>
      <c r="F673" t="s">
        <v>802</v>
      </c>
      <c r="G673">
        <v>0</v>
      </c>
      <c r="H673">
        <v>3</v>
      </c>
      <c r="I673">
        <v>2</v>
      </c>
      <c r="J673">
        <v>0</v>
      </c>
      <c r="K673">
        <v>0</v>
      </c>
      <c r="L673">
        <v>0</v>
      </c>
      <c r="M673" t="s">
        <v>333</v>
      </c>
      <c r="N673" t="s">
        <v>484</v>
      </c>
    </row>
    <row r="674" spans="1:14" x14ac:dyDescent="0.3">
      <c r="A674">
        <v>346</v>
      </c>
      <c r="B674" t="s">
        <v>323</v>
      </c>
      <c r="C674">
        <v>172</v>
      </c>
      <c r="D674" t="s">
        <v>145</v>
      </c>
      <c r="E674">
        <v>852</v>
      </c>
      <c r="F674" t="s">
        <v>804</v>
      </c>
      <c r="G674">
        <v>0</v>
      </c>
      <c r="H674">
        <v>0</v>
      </c>
      <c r="I674">
        <v>0</v>
      </c>
      <c r="J674">
        <v>2</v>
      </c>
      <c r="K674">
        <v>3</v>
      </c>
      <c r="L674">
        <v>0</v>
      </c>
      <c r="M674" t="s">
        <v>325</v>
      </c>
      <c r="N674" t="s">
        <v>336</v>
      </c>
    </row>
    <row r="675" spans="1:14" x14ac:dyDescent="0.3">
      <c r="A675">
        <v>346</v>
      </c>
      <c r="B675" t="s">
        <v>323</v>
      </c>
      <c r="C675">
        <v>172</v>
      </c>
      <c r="D675" t="s">
        <v>145</v>
      </c>
      <c r="E675">
        <v>853</v>
      </c>
      <c r="F675" t="s">
        <v>805</v>
      </c>
      <c r="G675">
        <v>0</v>
      </c>
      <c r="H675">
        <v>4</v>
      </c>
      <c r="I675">
        <v>5</v>
      </c>
      <c r="J675">
        <v>2</v>
      </c>
      <c r="K675">
        <v>0</v>
      </c>
      <c r="L675">
        <v>0</v>
      </c>
      <c r="M675" t="s">
        <v>333</v>
      </c>
      <c r="N675" t="s">
        <v>484</v>
      </c>
    </row>
    <row r="676" spans="1:14" x14ac:dyDescent="0.3">
      <c r="A676">
        <v>346</v>
      </c>
      <c r="B676" t="s">
        <v>323</v>
      </c>
      <c r="C676">
        <v>172</v>
      </c>
      <c r="D676" t="s">
        <v>145</v>
      </c>
      <c r="E676">
        <v>855</v>
      </c>
      <c r="F676" t="s">
        <v>806</v>
      </c>
      <c r="G676">
        <v>5</v>
      </c>
      <c r="H676">
        <v>1</v>
      </c>
      <c r="I676">
        <v>0</v>
      </c>
      <c r="J676">
        <v>0</v>
      </c>
      <c r="K676">
        <v>0</v>
      </c>
      <c r="L676">
        <v>0</v>
      </c>
      <c r="M676" t="s">
        <v>333</v>
      </c>
      <c r="N676" t="s">
        <v>484</v>
      </c>
    </row>
    <row r="677" spans="1:14" x14ac:dyDescent="0.3">
      <c r="A677">
        <v>346</v>
      </c>
      <c r="B677" t="s">
        <v>323</v>
      </c>
      <c r="C677">
        <v>172</v>
      </c>
      <c r="D677" t="s">
        <v>145</v>
      </c>
      <c r="E677">
        <v>856</v>
      </c>
      <c r="F677" t="s">
        <v>807</v>
      </c>
      <c r="G677">
        <v>0</v>
      </c>
      <c r="H677">
        <v>2</v>
      </c>
      <c r="I677">
        <v>0</v>
      </c>
      <c r="J677">
        <v>2</v>
      </c>
      <c r="K677">
        <v>0</v>
      </c>
      <c r="L677">
        <v>0</v>
      </c>
      <c r="M677" t="s">
        <v>410</v>
      </c>
      <c r="N677" t="s">
        <v>484</v>
      </c>
    </row>
    <row r="678" spans="1:14" x14ac:dyDescent="0.3">
      <c r="A678">
        <v>346</v>
      </c>
      <c r="B678" t="s">
        <v>323</v>
      </c>
      <c r="C678">
        <v>172</v>
      </c>
      <c r="D678" t="s">
        <v>145</v>
      </c>
      <c r="E678">
        <v>857</v>
      </c>
      <c r="F678" t="s">
        <v>808</v>
      </c>
      <c r="G678">
        <v>0</v>
      </c>
      <c r="H678">
        <v>3</v>
      </c>
      <c r="I678">
        <v>0</v>
      </c>
      <c r="J678">
        <v>0</v>
      </c>
      <c r="K678">
        <v>1</v>
      </c>
      <c r="L678">
        <v>0</v>
      </c>
      <c r="M678" t="s">
        <v>333</v>
      </c>
      <c r="N678" t="s">
        <v>484</v>
      </c>
    </row>
    <row r="679" spans="1:14" x14ac:dyDescent="0.3">
      <c r="A679">
        <v>346</v>
      </c>
      <c r="B679" t="s">
        <v>323</v>
      </c>
      <c r="C679">
        <v>172</v>
      </c>
      <c r="D679" t="s">
        <v>145</v>
      </c>
      <c r="E679">
        <v>858</v>
      </c>
      <c r="F679" t="s">
        <v>809</v>
      </c>
      <c r="G679">
        <v>0</v>
      </c>
      <c r="H679">
        <v>2</v>
      </c>
      <c r="I679">
        <v>0</v>
      </c>
      <c r="J679">
        <v>1</v>
      </c>
      <c r="K679">
        <v>2</v>
      </c>
      <c r="L679">
        <v>0</v>
      </c>
      <c r="M679" t="s">
        <v>333</v>
      </c>
      <c r="N679" t="s">
        <v>484</v>
      </c>
    </row>
    <row r="680" spans="1:14" x14ac:dyDescent="0.3">
      <c r="A680">
        <v>346</v>
      </c>
      <c r="B680" t="s">
        <v>323</v>
      </c>
      <c r="C680">
        <v>172</v>
      </c>
      <c r="D680" t="s">
        <v>145</v>
      </c>
      <c r="E680">
        <v>862</v>
      </c>
      <c r="F680" t="s">
        <v>812</v>
      </c>
      <c r="G680">
        <v>0</v>
      </c>
      <c r="H680">
        <v>2</v>
      </c>
      <c r="I680">
        <v>3</v>
      </c>
      <c r="J680">
        <v>0</v>
      </c>
      <c r="K680">
        <v>0</v>
      </c>
      <c r="L680">
        <v>0</v>
      </c>
      <c r="M680" t="s">
        <v>333</v>
      </c>
      <c r="N680" t="s">
        <v>484</v>
      </c>
    </row>
    <row r="681" spans="1:14" x14ac:dyDescent="0.3">
      <c r="A681">
        <v>346</v>
      </c>
      <c r="B681" t="s">
        <v>323</v>
      </c>
      <c r="C681">
        <v>172</v>
      </c>
      <c r="D681" t="s">
        <v>145</v>
      </c>
      <c r="E681">
        <v>864</v>
      </c>
      <c r="F681" t="s">
        <v>813</v>
      </c>
      <c r="G681">
        <v>0</v>
      </c>
      <c r="H681">
        <v>0</v>
      </c>
      <c r="I681">
        <v>5</v>
      </c>
      <c r="J681">
        <v>0</v>
      </c>
      <c r="K681">
        <v>0</v>
      </c>
      <c r="L681">
        <v>0</v>
      </c>
      <c r="M681" t="s">
        <v>333</v>
      </c>
      <c r="N681" t="s">
        <v>484</v>
      </c>
    </row>
    <row r="682" spans="1:14" x14ac:dyDescent="0.3">
      <c r="A682">
        <v>346</v>
      </c>
      <c r="B682" t="s">
        <v>323</v>
      </c>
      <c r="C682">
        <v>172</v>
      </c>
      <c r="D682" t="s">
        <v>145</v>
      </c>
      <c r="E682">
        <v>866</v>
      </c>
      <c r="F682" t="s">
        <v>814</v>
      </c>
      <c r="G682">
        <v>0</v>
      </c>
      <c r="H682">
        <v>0</v>
      </c>
      <c r="I682">
        <v>3</v>
      </c>
      <c r="J682">
        <v>0</v>
      </c>
      <c r="K682">
        <v>0</v>
      </c>
      <c r="L682">
        <v>2</v>
      </c>
      <c r="M682" t="s">
        <v>325</v>
      </c>
      <c r="N682" t="s">
        <v>484</v>
      </c>
    </row>
    <row r="683" spans="1:14" x14ac:dyDescent="0.3">
      <c r="A683">
        <v>346</v>
      </c>
      <c r="B683" t="s">
        <v>323</v>
      </c>
      <c r="C683">
        <v>172</v>
      </c>
      <c r="D683" t="s">
        <v>145</v>
      </c>
      <c r="E683">
        <v>868</v>
      </c>
      <c r="F683" t="s">
        <v>572</v>
      </c>
      <c r="G683">
        <v>0</v>
      </c>
      <c r="H683">
        <v>0</v>
      </c>
      <c r="I683">
        <v>1</v>
      </c>
      <c r="J683">
        <v>3</v>
      </c>
      <c r="K683">
        <v>2</v>
      </c>
      <c r="L683">
        <v>0</v>
      </c>
      <c r="M683" t="s">
        <v>333</v>
      </c>
      <c r="N683" t="s">
        <v>336</v>
      </c>
    </row>
    <row r="684" spans="1:14" x14ac:dyDescent="0.3">
      <c r="A684">
        <v>346</v>
      </c>
      <c r="B684" t="s">
        <v>323</v>
      </c>
      <c r="C684">
        <v>172</v>
      </c>
      <c r="D684" t="s">
        <v>145</v>
      </c>
      <c r="E684">
        <v>869</v>
      </c>
      <c r="F684" t="s">
        <v>815</v>
      </c>
      <c r="G684">
        <v>0</v>
      </c>
      <c r="H684">
        <v>1</v>
      </c>
      <c r="I684">
        <v>0</v>
      </c>
      <c r="J684">
        <v>0</v>
      </c>
      <c r="K684">
        <v>4</v>
      </c>
      <c r="L684">
        <v>0</v>
      </c>
      <c r="M684" t="s">
        <v>333</v>
      </c>
      <c r="N684" t="s">
        <v>326</v>
      </c>
    </row>
    <row r="685" spans="1:14" x14ac:dyDescent="0.3">
      <c r="A685">
        <v>346</v>
      </c>
      <c r="B685" t="s">
        <v>323</v>
      </c>
      <c r="C685">
        <v>172</v>
      </c>
      <c r="D685" t="s">
        <v>145</v>
      </c>
      <c r="E685">
        <v>871</v>
      </c>
      <c r="F685" t="s">
        <v>376</v>
      </c>
      <c r="G685">
        <v>0</v>
      </c>
      <c r="H685">
        <v>2</v>
      </c>
      <c r="I685">
        <v>3</v>
      </c>
      <c r="J685">
        <v>0</v>
      </c>
      <c r="K685">
        <v>0</v>
      </c>
      <c r="L685">
        <v>1</v>
      </c>
      <c r="M685" t="s">
        <v>325</v>
      </c>
      <c r="N685" t="s">
        <v>326</v>
      </c>
    </row>
    <row r="686" spans="1:14" x14ac:dyDescent="0.3">
      <c r="A686">
        <v>346</v>
      </c>
      <c r="B686" t="s">
        <v>323</v>
      </c>
      <c r="C686">
        <v>172</v>
      </c>
      <c r="D686" t="s">
        <v>145</v>
      </c>
      <c r="E686">
        <v>874</v>
      </c>
      <c r="F686" t="s">
        <v>816</v>
      </c>
      <c r="G686">
        <v>0</v>
      </c>
      <c r="H686">
        <v>1</v>
      </c>
      <c r="I686">
        <v>2</v>
      </c>
      <c r="J686">
        <v>1</v>
      </c>
      <c r="K686">
        <v>0</v>
      </c>
      <c r="L686">
        <v>0</v>
      </c>
      <c r="M686" t="s">
        <v>325</v>
      </c>
      <c r="N686" t="s">
        <v>484</v>
      </c>
    </row>
    <row r="687" spans="1:14" x14ac:dyDescent="0.3">
      <c r="A687">
        <v>346</v>
      </c>
      <c r="B687" t="s">
        <v>323</v>
      </c>
      <c r="C687">
        <v>172</v>
      </c>
      <c r="D687" t="s">
        <v>145</v>
      </c>
      <c r="E687">
        <v>1387</v>
      </c>
      <c r="F687" t="s">
        <v>817</v>
      </c>
      <c r="G687">
        <v>2</v>
      </c>
      <c r="H687">
        <v>2</v>
      </c>
      <c r="I687">
        <v>3</v>
      </c>
      <c r="J687">
        <v>0</v>
      </c>
      <c r="K687">
        <v>0</v>
      </c>
      <c r="L687">
        <v>0</v>
      </c>
      <c r="M687" t="s">
        <v>333</v>
      </c>
      <c r="N687" t="s">
        <v>484</v>
      </c>
    </row>
    <row r="688" spans="1:14" x14ac:dyDescent="0.3">
      <c r="A688">
        <v>346</v>
      </c>
      <c r="B688" t="s">
        <v>323</v>
      </c>
      <c r="C688">
        <v>172</v>
      </c>
      <c r="D688" t="s">
        <v>145</v>
      </c>
      <c r="E688">
        <v>1715</v>
      </c>
      <c r="F688" t="s">
        <v>1424</v>
      </c>
      <c r="G688">
        <v>1</v>
      </c>
      <c r="H688">
        <v>3</v>
      </c>
      <c r="I688">
        <v>2</v>
      </c>
      <c r="J688">
        <v>0</v>
      </c>
      <c r="K688">
        <v>0</v>
      </c>
      <c r="L688">
        <v>0</v>
      </c>
      <c r="M688" t="s">
        <v>414</v>
      </c>
      <c r="N688" t="s">
        <v>326</v>
      </c>
    </row>
    <row r="689" spans="1:14" x14ac:dyDescent="0.3">
      <c r="A689">
        <v>346</v>
      </c>
      <c r="B689" t="s">
        <v>323</v>
      </c>
      <c r="C689">
        <v>172</v>
      </c>
      <c r="D689" t="s">
        <v>145</v>
      </c>
      <c r="E689">
        <v>1716</v>
      </c>
      <c r="F689" t="s">
        <v>1425</v>
      </c>
      <c r="G689">
        <v>0</v>
      </c>
      <c r="H689">
        <v>4</v>
      </c>
      <c r="I689">
        <v>0</v>
      </c>
      <c r="J689">
        <v>0</v>
      </c>
      <c r="K689">
        <v>0</v>
      </c>
      <c r="L689">
        <v>0</v>
      </c>
      <c r="M689" t="s">
        <v>333</v>
      </c>
      <c r="N689" t="s">
        <v>484</v>
      </c>
    </row>
    <row r="690" spans="1:14" x14ac:dyDescent="0.3">
      <c r="A690">
        <v>346</v>
      </c>
      <c r="B690" t="s">
        <v>323</v>
      </c>
      <c r="C690">
        <v>172</v>
      </c>
      <c r="D690" t="s">
        <v>145</v>
      </c>
      <c r="E690">
        <v>1717</v>
      </c>
      <c r="F690" t="s">
        <v>1277</v>
      </c>
      <c r="G690">
        <v>0</v>
      </c>
      <c r="H690">
        <v>1</v>
      </c>
      <c r="I690">
        <v>1</v>
      </c>
      <c r="J690">
        <v>4</v>
      </c>
      <c r="K690">
        <v>2</v>
      </c>
      <c r="L690">
        <v>0</v>
      </c>
      <c r="M690" t="s">
        <v>414</v>
      </c>
      <c r="N690" t="s">
        <v>348</v>
      </c>
    </row>
    <row r="691" spans="1:14" x14ac:dyDescent="0.3">
      <c r="A691">
        <v>346</v>
      </c>
      <c r="B691" t="s">
        <v>323</v>
      </c>
      <c r="C691">
        <v>172</v>
      </c>
      <c r="D691" t="s">
        <v>145</v>
      </c>
      <c r="E691">
        <v>1719</v>
      </c>
      <c r="F691" t="s">
        <v>1426</v>
      </c>
      <c r="G691">
        <v>5</v>
      </c>
      <c r="H691">
        <v>2</v>
      </c>
      <c r="I691">
        <v>0</v>
      </c>
      <c r="J691">
        <v>0</v>
      </c>
      <c r="K691">
        <v>0</v>
      </c>
      <c r="L691">
        <v>0</v>
      </c>
      <c r="M691" t="s">
        <v>325</v>
      </c>
      <c r="N691" t="s">
        <v>348</v>
      </c>
    </row>
    <row r="692" spans="1:14" x14ac:dyDescent="0.3">
      <c r="A692">
        <v>346</v>
      </c>
      <c r="B692" t="s">
        <v>323</v>
      </c>
      <c r="C692">
        <v>172</v>
      </c>
      <c r="D692" t="s">
        <v>145</v>
      </c>
      <c r="E692">
        <v>1720</v>
      </c>
      <c r="F692" t="s">
        <v>1427</v>
      </c>
      <c r="G692">
        <v>0</v>
      </c>
      <c r="H692">
        <v>3</v>
      </c>
      <c r="I692">
        <v>6</v>
      </c>
      <c r="J692">
        <v>6</v>
      </c>
      <c r="K692">
        <v>3</v>
      </c>
      <c r="L692">
        <v>7</v>
      </c>
      <c r="M692" t="s">
        <v>325</v>
      </c>
      <c r="N692" t="s">
        <v>336</v>
      </c>
    </row>
    <row r="693" spans="1:14" x14ac:dyDescent="0.3">
      <c r="A693">
        <v>346</v>
      </c>
      <c r="B693" t="s">
        <v>323</v>
      </c>
      <c r="C693">
        <v>172</v>
      </c>
      <c r="D693" t="s">
        <v>145</v>
      </c>
      <c r="E693">
        <v>1721</v>
      </c>
      <c r="F693" t="s">
        <v>1428</v>
      </c>
      <c r="G693">
        <v>0</v>
      </c>
      <c r="H693">
        <v>0</v>
      </c>
      <c r="I693">
        <v>0</v>
      </c>
      <c r="J693">
        <v>0</v>
      </c>
      <c r="K693">
        <v>0</v>
      </c>
      <c r="L693">
        <v>0</v>
      </c>
      <c r="M693" t="s">
        <v>325</v>
      </c>
      <c r="N693" t="s">
        <v>348</v>
      </c>
    </row>
    <row r="694" spans="1:14" x14ac:dyDescent="0.3">
      <c r="A694">
        <v>346</v>
      </c>
      <c r="B694" t="s">
        <v>323</v>
      </c>
      <c r="C694">
        <v>172</v>
      </c>
      <c r="D694" t="s">
        <v>145</v>
      </c>
      <c r="E694">
        <v>1722</v>
      </c>
      <c r="F694" t="s">
        <v>1429</v>
      </c>
      <c r="G694">
        <v>0</v>
      </c>
      <c r="H694">
        <v>0</v>
      </c>
      <c r="I694">
        <v>1</v>
      </c>
      <c r="J694">
        <v>1</v>
      </c>
      <c r="K694">
        <v>0</v>
      </c>
      <c r="L694">
        <v>0</v>
      </c>
      <c r="M694" t="s">
        <v>325</v>
      </c>
      <c r="N694" t="s">
        <v>484</v>
      </c>
    </row>
    <row r="695" spans="1:14" x14ac:dyDescent="0.3">
      <c r="A695">
        <v>346</v>
      </c>
      <c r="B695" t="s">
        <v>323</v>
      </c>
      <c r="C695">
        <v>172</v>
      </c>
      <c r="D695" t="s">
        <v>145</v>
      </c>
      <c r="E695">
        <v>1723</v>
      </c>
      <c r="F695" t="s">
        <v>1430</v>
      </c>
      <c r="G695">
        <v>1</v>
      </c>
      <c r="H695">
        <v>2</v>
      </c>
      <c r="I695">
        <v>0</v>
      </c>
      <c r="J695">
        <v>1</v>
      </c>
      <c r="K695">
        <v>0</v>
      </c>
      <c r="L695">
        <v>0</v>
      </c>
      <c r="M695" t="s">
        <v>325</v>
      </c>
      <c r="N695" t="s">
        <v>343</v>
      </c>
    </row>
    <row r="696" spans="1:14" x14ac:dyDescent="0.3">
      <c r="A696">
        <v>346</v>
      </c>
      <c r="B696" t="s">
        <v>323</v>
      </c>
      <c r="C696">
        <v>172</v>
      </c>
      <c r="D696" t="s">
        <v>145</v>
      </c>
      <c r="E696">
        <v>1724</v>
      </c>
      <c r="F696" t="s">
        <v>1431</v>
      </c>
      <c r="G696">
        <v>6</v>
      </c>
      <c r="H696">
        <v>0</v>
      </c>
      <c r="I696">
        <v>0</v>
      </c>
      <c r="J696">
        <v>0</v>
      </c>
      <c r="K696">
        <v>0</v>
      </c>
      <c r="L696">
        <v>0</v>
      </c>
      <c r="M696" t="s">
        <v>325</v>
      </c>
      <c r="N696" t="s">
        <v>484</v>
      </c>
    </row>
    <row r="697" spans="1:14" x14ac:dyDescent="0.3">
      <c r="A697">
        <v>346</v>
      </c>
      <c r="B697" t="s">
        <v>323</v>
      </c>
      <c r="C697">
        <v>172</v>
      </c>
      <c r="D697" t="s">
        <v>145</v>
      </c>
      <c r="E697">
        <v>1725</v>
      </c>
      <c r="F697" t="s">
        <v>1432</v>
      </c>
      <c r="G697">
        <v>0</v>
      </c>
      <c r="H697">
        <v>0</v>
      </c>
      <c r="I697">
        <v>0</v>
      </c>
      <c r="J697">
        <v>0</v>
      </c>
      <c r="K697">
        <v>0</v>
      </c>
      <c r="L697">
        <v>0</v>
      </c>
      <c r="M697" t="s">
        <v>325</v>
      </c>
      <c r="N697" t="s">
        <v>484</v>
      </c>
    </row>
    <row r="698" spans="1:14" x14ac:dyDescent="0.3">
      <c r="A698">
        <v>346</v>
      </c>
      <c r="B698" t="s">
        <v>323</v>
      </c>
      <c r="C698">
        <v>172</v>
      </c>
      <c r="D698" t="s">
        <v>145</v>
      </c>
      <c r="E698">
        <v>1726</v>
      </c>
      <c r="F698" t="s">
        <v>1433</v>
      </c>
      <c r="G698">
        <v>1</v>
      </c>
      <c r="H698">
        <v>0</v>
      </c>
      <c r="I698">
        <v>0</v>
      </c>
      <c r="J698">
        <v>0</v>
      </c>
      <c r="K698">
        <v>0</v>
      </c>
      <c r="L698">
        <v>1</v>
      </c>
      <c r="M698" t="s">
        <v>333</v>
      </c>
      <c r="N698" t="s">
        <v>484</v>
      </c>
    </row>
    <row r="699" spans="1:14" x14ac:dyDescent="0.3">
      <c r="A699">
        <v>346</v>
      </c>
      <c r="B699" t="s">
        <v>323</v>
      </c>
      <c r="C699">
        <v>172</v>
      </c>
      <c r="D699" t="s">
        <v>145</v>
      </c>
      <c r="E699">
        <v>1727</v>
      </c>
      <c r="F699" t="s">
        <v>1434</v>
      </c>
      <c r="G699">
        <v>0</v>
      </c>
      <c r="H699">
        <v>2</v>
      </c>
      <c r="I699">
        <v>1</v>
      </c>
      <c r="J699">
        <v>0</v>
      </c>
      <c r="K699">
        <v>1</v>
      </c>
      <c r="L699">
        <v>0</v>
      </c>
      <c r="M699" t="s">
        <v>325</v>
      </c>
      <c r="N699" t="s">
        <v>484</v>
      </c>
    </row>
    <row r="700" spans="1:14" x14ac:dyDescent="0.3">
      <c r="A700">
        <v>346</v>
      </c>
      <c r="B700" t="s">
        <v>323</v>
      </c>
      <c r="C700">
        <v>172</v>
      </c>
      <c r="D700" t="s">
        <v>145</v>
      </c>
      <c r="E700">
        <v>1728</v>
      </c>
      <c r="F700" t="s">
        <v>1435</v>
      </c>
      <c r="G700">
        <v>0</v>
      </c>
      <c r="H700">
        <v>1</v>
      </c>
      <c r="I700">
        <v>3</v>
      </c>
      <c r="J700">
        <v>0</v>
      </c>
      <c r="K700">
        <v>0</v>
      </c>
      <c r="L700">
        <v>0</v>
      </c>
      <c r="M700" t="s">
        <v>410</v>
      </c>
      <c r="N700" t="s">
        <v>484</v>
      </c>
    </row>
    <row r="701" spans="1:14" x14ac:dyDescent="0.3">
      <c r="A701">
        <v>346</v>
      </c>
      <c r="B701" t="s">
        <v>323</v>
      </c>
      <c r="C701">
        <v>172</v>
      </c>
      <c r="D701" t="s">
        <v>145</v>
      </c>
      <c r="E701">
        <v>1729</v>
      </c>
      <c r="F701" t="s">
        <v>1436</v>
      </c>
      <c r="G701">
        <v>0</v>
      </c>
      <c r="H701">
        <v>0</v>
      </c>
      <c r="I701">
        <v>0</v>
      </c>
      <c r="J701">
        <v>0</v>
      </c>
      <c r="K701">
        <v>0</v>
      </c>
      <c r="L701">
        <v>0</v>
      </c>
      <c r="M701" t="s">
        <v>325</v>
      </c>
      <c r="N701" t="s">
        <v>348</v>
      </c>
    </row>
    <row r="702" spans="1:14" x14ac:dyDescent="0.3">
      <c r="A702">
        <v>346</v>
      </c>
      <c r="B702" t="s">
        <v>323</v>
      </c>
      <c r="C702">
        <v>172</v>
      </c>
      <c r="D702" t="s">
        <v>145</v>
      </c>
      <c r="E702">
        <v>1730</v>
      </c>
      <c r="F702" t="s">
        <v>1437</v>
      </c>
      <c r="G702">
        <v>0</v>
      </c>
      <c r="H702">
        <v>1</v>
      </c>
      <c r="I702">
        <v>0</v>
      </c>
      <c r="J702">
        <v>0</v>
      </c>
      <c r="K702">
        <v>0</v>
      </c>
      <c r="L702">
        <v>0</v>
      </c>
      <c r="M702" t="s">
        <v>410</v>
      </c>
      <c r="N702" t="s">
        <v>484</v>
      </c>
    </row>
    <row r="703" spans="1:14" x14ac:dyDescent="0.3">
      <c r="A703">
        <v>346</v>
      </c>
      <c r="B703" t="s">
        <v>323</v>
      </c>
      <c r="C703">
        <v>172</v>
      </c>
      <c r="D703" t="s">
        <v>145</v>
      </c>
      <c r="E703">
        <v>1731</v>
      </c>
      <c r="F703" t="s">
        <v>1438</v>
      </c>
      <c r="G703">
        <v>0</v>
      </c>
      <c r="H703">
        <v>3</v>
      </c>
      <c r="I703">
        <v>0</v>
      </c>
      <c r="J703">
        <v>0</v>
      </c>
      <c r="K703">
        <v>0</v>
      </c>
      <c r="L703">
        <v>0</v>
      </c>
      <c r="M703" t="s">
        <v>410</v>
      </c>
      <c r="N703" t="s">
        <v>348</v>
      </c>
    </row>
    <row r="704" spans="1:14" x14ac:dyDescent="0.3">
      <c r="A704">
        <v>347</v>
      </c>
      <c r="B704" t="s">
        <v>323</v>
      </c>
      <c r="C704">
        <v>173</v>
      </c>
      <c r="D704" t="s">
        <v>147</v>
      </c>
      <c r="E704">
        <v>1498</v>
      </c>
      <c r="F704" t="s">
        <v>818</v>
      </c>
      <c r="G704">
        <v>0</v>
      </c>
      <c r="H704">
        <v>5</v>
      </c>
      <c r="I704">
        <v>0</v>
      </c>
      <c r="J704">
        <v>0</v>
      </c>
      <c r="K704">
        <v>0</v>
      </c>
      <c r="L704">
        <v>1</v>
      </c>
      <c r="M704" t="s">
        <v>416</v>
      </c>
      <c r="N704" t="s">
        <v>336</v>
      </c>
    </row>
    <row r="705" spans="1:14" x14ac:dyDescent="0.3">
      <c r="A705">
        <v>347</v>
      </c>
      <c r="B705" t="s">
        <v>323</v>
      </c>
      <c r="C705">
        <v>173</v>
      </c>
      <c r="D705" t="s">
        <v>147</v>
      </c>
      <c r="E705">
        <v>1500</v>
      </c>
      <c r="F705" t="s">
        <v>420</v>
      </c>
      <c r="G705">
        <v>2</v>
      </c>
      <c r="H705">
        <v>1</v>
      </c>
      <c r="I705">
        <v>0</v>
      </c>
      <c r="J705">
        <v>2</v>
      </c>
      <c r="K705">
        <v>0</v>
      </c>
      <c r="L705">
        <v>0</v>
      </c>
      <c r="M705" t="s">
        <v>325</v>
      </c>
      <c r="N705" t="s">
        <v>484</v>
      </c>
    </row>
    <row r="706" spans="1:14" x14ac:dyDescent="0.3">
      <c r="A706">
        <v>347</v>
      </c>
      <c r="B706" t="s">
        <v>323</v>
      </c>
      <c r="C706">
        <v>173</v>
      </c>
      <c r="D706" t="s">
        <v>147</v>
      </c>
      <c r="E706">
        <v>1501</v>
      </c>
      <c r="F706" t="s">
        <v>665</v>
      </c>
      <c r="G706">
        <v>0</v>
      </c>
      <c r="H706">
        <v>0</v>
      </c>
      <c r="I706">
        <v>0</v>
      </c>
      <c r="J706">
        <v>1</v>
      </c>
      <c r="K706">
        <v>2</v>
      </c>
      <c r="L706">
        <v>4</v>
      </c>
      <c r="M706" t="s">
        <v>325</v>
      </c>
      <c r="N706" t="s">
        <v>336</v>
      </c>
    </row>
    <row r="707" spans="1:14" x14ac:dyDescent="0.3">
      <c r="A707">
        <v>347</v>
      </c>
      <c r="B707" t="s">
        <v>323</v>
      </c>
      <c r="C707">
        <v>173</v>
      </c>
      <c r="D707" t="s">
        <v>147</v>
      </c>
      <c r="E707">
        <v>1503</v>
      </c>
      <c r="F707" t="s">
        <v>819</v>
      </c>
      <c r="G707">
        <v>1</v>
      </c>
      <c r="H707">
        <v>2</v>
      </c>
      <c r="I707">
        <v>3</v>
      </c>
      <c r="J707">
        <v>2</v>
      </c>
      <c r="K707">
        <v>1</v>
      </c>
      <c r="L707">
        <v>3</v>
      </c>
      <c r="M707" t="s">
        <v>325</v>
      </c>
      <c r="N707" t="s">
        <v>336</v>
      </c>
    </row>
    <row r="708" spans="1:14" x14ac:dyDescent="0.3">
      <c r="A708">
        <v>347</v>
      </c>
      <c r="B708" t="s">
        <v>323</v>
      </c>
      <c r="C708">
        <v>173</v>
      </c>
      <c r="D708" t="s">
        <v>147</v>
      </c>
      <c r="E708">
        <v>1504</v>
      </c>
      <c r="F708" t="s">
        <v>820</v>
      </c>
      <c r="G708">
        <v>1</v>
      </c>
      <c r="H708">
        <v>0</v>
      </c>
      <c r="I708">
        <v>2</v>
      </c>
      <c r="J708">
        <v>1</v>
      </c>
      <c r="K708">
        <v>0</v>
      </c>
      <c r="L708">
        <v>0</v>
      </c>
      <c r="M708" t="s">
        <v>325</v>
      </c>
      <c r="N708" t="s">
        <v>484</v>
      </c>
    </row>
    <row r="709" spans="1:14" x14ac:dyDescent="0.3">
      <c r="A709">
        <v>347</v>
      </c>
      <c r="B709" t="s">
        <v>323</v>
      </c>
      <c r="C709">
        <v>173</v>
      </c>
      <c r="D709" t="s">
        <v>147</v>
      </c>
      <c r="E709">
        <v>1506</v>
      </c>
      <c r="F709" t="s">
        <v>821</v>
      </c>
      <c r="G709">
        <v>1</v>
      </c>
      <c r="H709">
        <v>1</v>
      </c>
      <c r="I709">
        <v>2</v>
      </c>
      <c r="J709">
        <v>3</v>
      </c>
      <c r="K709">
        <v>0</v>
      </c>
      <c r="L709">
        <v>0</v>
      </c>
      <c r="M709" t="s">
        <v>414</v>
      </c>
      <c r="N709" t="s">
        <v>348</v>
      </c>
    </row>
    <row r="710" spans="1:14" x14ac:dyDescent="0.3">
      <c r="A710">
        <v>347</v>
      </c>
      <c r="B710" t="s">
        <v>323</v>
      </c>
      <c r="C710">
        <v>173</v>
      </c>
      <c r="D710" t="s">
        <v>147</v>
      </c>
      <c r="E710">
        <v>1507</v>
      </c>
      <c r="F710" t="s">
        <v>822</v>
      </c>
      <c r="G710">
        <v>3</v>
      </c>
      <c r="H710">
        <v>2</v>
      </c>
      <c r="I710">
        <v>1</v>
      </c>
      <c r="J710">
        <v>0</v>
      </c>
      <c r="K710">
        <v>0</v>
      </c>
      <c r="L710">
        <v>0</v>
      </c>
      <c r="M710" t="s">
        <v>325</v>
      </c>
      <c r="N710" t="s">
        <v>484</v>
      </c>
    </row>
    <row r="711" spans="1:14" x14ac:dyDescent="0.3">
      <c r="A711">
        <v>347</v>
      </c>
      <c r="B711" t="s">
        <v>323</v>
      </c>
      <c r="C711">
        <v>173</v>
      </c>
      <c r="D711" t="s">
        <v>147</v>
      </c>
      <c r="E711">
        <v>1508</v>
      </c>
      <c r="F711" t="s">
        <v>823</v>
      </c>
      <c r="G711">
        <v>2</v>
      </c>
      <c r="H711">
        <v>4</v>
      </c>
      <c r="I711">
        <v>0</v>
      </c>
      <c r="J711">
        <v>0</v>
      </c>
      <c r="K711">
        <v>0</v>
      </c>
      <c r="L711">
        <v>0</v>
      </c>
      <c r="M711" t="s">
        <v>325</v>
      </c>
      <c r="N711" t="s">
        <v>484</v>
      </c>
    </row>
    <row r="712" spans="1:14" x14ac:dyDescent="0.3">
      <c r="A712">
        <v>347</v>
      </c>
      <c r="B712" t="s">
        <v>323</v>
      </c>
      <c r="C712">
        <v>173</v>
      </c>
      <c r="D712" t="s">
        <v>147</v>
      </c>
      <c r="E712">
        <v>1509</v>
      </c>
      <c r="F712" t="s">
        <v>824</v>
      </c>
      <c r="G712">
        <v>1</v>
      </c>
      <c r="H712">
        <v>2</v>
      </c>
      <c r="I712">
        <v>1</v>
      </c>
      <c r="J712">
        <v>0</v>
      </c>
      <c r="K712">
        <v>0</v>
      </c>
      <c r="L712">
        <v>0</v>
      </c>
      <c r="M712" t="s">
        <v>414</v>
      </c>
      <c r="N712" t="s">
        <v>343</v>
      </c>
    </row>
    <row r="713" spans="1:14" x14ac:dyDescent="0.3">
      <c r="A713">
        <v>347</v>
      </c>
      <c r="B713" t="s">
        <v>323</v>
      </c>
      <c r="C713">
        <v>173</v>
      </c>
      <c r="D713" t="s">
        <v>147</v>
      </c>
      <c r="E713">
        <v>1510</v>
      </c>
      <c r="F713" t="s">
        <v>825</v>
      </c>
      <c r="G713">
        <v>2</v>
      </c>
      <c r="H713">
        <v>1</v>
      </c>
      <c r="I713">
        <v>0</v>
      </c>
      <c r="J713">
        <v>1</v>
      </c>
      <c r="K713">
        <v>0</v>
      </c>
      <c r="L713">
        <v>0</v>
      </c>
      <c r="M713" t="s">
        <v>325</v>
      </c>
      <c r="N713" t="s">
        <v>484</v>
      </c>
    </row>
    <row r="714" spans="1:14" x14ac:dyDescent="0.3">
      <c r="A714">
        <v>347</v>
      </c>
      <c r="B714" t="s">
        <v>323</v>
      </c>
      <c r="C714">
        <v>173</v>
      </c>
      <c r="D714" t="s">
        <v>147</v>
      </c>
      <c r="E714">
        <v>1511</v>
      </c>
      <c r="F714" t="s">
        <v>398</v>
      </c>
      <c r="G714">
        <v>1</v>
      </c>
      <c r="H714">
        <v>2</v>
      </c>
      <c r="I714">
        <v>0</v>
      </c>
      <c r="J714">
        <v>0</v>
      </c>
      <c r="K714">
        <v>0</v>
      </c>
      <c r="L714">
        <v>0</v>
      </c>
      <c r="M714" t="s">
        <v>414</v>
      </c>
      <c r="N714" t="s">
        <v>343</v>
      </c>
    </row>
    <row r="715" spans="1:14" x14ac:dyDescent="0.3">
      <c r="A715">
        <v>347</v>
      </c>
      <c r="B715" t="s">
        <v>323</v>
      </c>
      <c r="C715">
        <v>173</v>
      </c>
      <c r="D715" t="s">
        <v>147</v>
      </c>
      <c r="E715">
        <v>1512</v>
      </c>
      <c r="F715" t="s">
        <v>826</v>
      </c>
      <c r="G715">
        <v>0</v>
      </c>
      <c r="H715">
        <v>2</v>
      </c>
      <c r="I715">
        <v>3</v>
      </c>
      <c r="J715">
        <v>0</v>
      </c>
      <c r="K715">
        <v>1</v>
      </c>
      <c r="L715">
        <v>0</v>
      </c>
      <c r="M715" t="s">
        <v>325</v>
      </c>
      <c r="N715" t="s">
        <v>484</v>
      </c>
    </row>
    <row r="716" spans="1:14" x14ac:dyDescent="0.3">
      <c r="A716">
        <v>347</v>
      </c>
      <c r="B716" t="s">
        <v>323</v>
      </c>
      <c r="C716">
        <v>173</v>
      </c>
      <c r="D716" t="s">
        <v>147</v>
      </c>
      <c r="E716">
        <v>1514</v>
      </c>
      <c r="F716" t="s">
        <v>827</v>
      </c>
      <c r="G716">
        <v>3</v>
      </c>
      <c r="H716">
        <v>2</v>
      </c>
      <c r="I716">
        <v>0</v>
      </c>
      <c r="J716">
        <v>0</v>
      </c>
      <c r="K716">
        <v>0</v>
      </c>
      <c r="L716">
        <v>0</v>
      </c>
      <c r="M716" t="s">
        <v>410</v>
      </c>
      <c r="N716" t="s">
        <v>336</v>
      </c>
    </row>
    <row r="717" spans="1:14" x14ac:dyDescent="0.3">
      <c r="A717">
        <v>347</v>
      </c>
      <c r="B717" t="s">
        <v>323</v>
      </c>
      <c r="C717">
        <v>173</v>
      </c>
      <c r="D717" t="s">
        <v>147</v>
      </c>
      <c r="E717">
        <v>1515</v>
      </c>
      <c r="F717" t="s">
        <v>828</v>
      </c>
      <c r="G717">
        <v>1</v>
      </c>
      <c r="H717">
        <v>1</v>
      </c>
      <c r="I717">
        <v>2</v>
      </c>
      <c r="J717">
        <v>1</v>
      </c>
      <c r="K717">
        <v>0</v>
      </c>
      <c r="L717">
        <v>0</v>
      </c>
      <c r="M717" t="s">
        <v>333</v>
      </c>
      <c r="N717" t="s">
        <v>484</v>
      </c>
    </row>
    <row r="718" spans="1:14" x14ac:dyDescent="0.3">
      <c r="A718">
        <v>347</v>
      </c>
      <c r="B718" t="s">
        <v>323</v>
      </c>
      <c r="C718">
        <v>173</v>
      </c>
      <c r="D718" t="s">
        <v>147</v>
      </c>
      <c r="E718">
        <v>1519</v>
      </c>
      <c r="F718" t="s">
        <v>639</v>
      </c>
      <c r="G718">
        <v>1</v>
      </c>
      <c r="H718">
        <v>1</v>
      </c>
      <c r="I718">
        <v>2</v>
      </c>
      <c r="J718">
        <v>1</v>
      </c>
      <c r="K718">
        <v>1</v>
      </c>
      <c r="L718">
        <v>0</v>
      </c>
      <c r="M718" t="s">
        <v>333</v>
      </c>
      <c r="N718" t="s">
        <v>484</v>
      </c>
    </row>
    <row r="719" spans="1:14" x14ac:dyDescent="0.3">
      <c r="A719">
        <v>347</v>
      </c>
      <c r="B719" t="s">
        <v>323</v>
      </c>
      <c r="C719">
        <v>173</v>
      </c>
      <c r="D719" t="s">
        <v>147</v>
      </c>
      <c r="E719">
        <v>1520</v>
      </c>
      <c r="F719" t="s">
        <v>830</v>
      </c>
      <c r="G719">
        <v>0</v>
      </c>
      <c r="H719">
        <v>1</v>
      </c>
      <c r="I719">
        <v>1</v>
      </c>
      <c r="J719">
        <v>1</v>
      </c>
      <c r="K719">
        <v>1</v>
      </c>
      <c r="L719">
        <v>0</v>
      </c>
      <c r="M719" t="s">
        <v>325</v>
      </c>
      <c r="N719" t="s">
        <v>484</v>
      </c>
    </row>
    <row r="720" spans="1:14" x14ac:dyDescent="0.3">
      <c r="A720">
        <v>347</v>
      </c>
      <c r="B720" t="s">
        <v>323</v>
      </c>
      <c r="C720">
        <v>173</v>
      </c>
      <c r="D720" t="s">
        <v>147</v>
      </c>
      <c r="E720">
        <v>1521</v>
      </c>
      <c r="F720" t="s">
        <v>831</v>
      </c>
      <c r="G720">
        <v>1</v>
      </c>
      <c r="H720">
        <v>3</v>
      </c>
      <c r="I720">
        <v>1</v>
      </c>
      <c r="J720">
        <v>1</v>
      </c>
      <c r="K720">
        <v>0</v>
      </c>
      <c r="L720">
        <v>0</v>
      </c>
      <c r="M720" t="s">
        <v>410</v>
      </c>
      <c r="N720" t="s">
        <v>326</v>
      </c>
    </row>
    <row r="721" spans="1:14" x14ac:dyDescent="0.3">
      <c r="A721">
        <v>347</v>
      </c>
      <c r="B721" t="s">
        <v>323</v>
      </c>
      <c r="C721">
        <v>173</v>
      </c>
      <c r="D721" t="s">
        <v>147</v>
      </c>
      <c r="E721">
        <v>1522</v>
      </c>
      <c r="F721" t="s">
        <v>832</v>
      </c>
      <c r="G721">
        <v>0</v>
      </c>
      <c r="H721">
        <v>0</v>
      </c>
      <c r="I721">
        <v>1</v>
      </c>
      <c r="J721">
        <v>1</v>
      </c>
      <c r="K721">
        <v>2</v>
      </c>
      <c r="L721">
        <v>0</v>
      </c>
      <c r="M721" t="s">
        <v>333</v>
      </c>
      <c r="N721" t="s">
        <v>484</v>
      </c>
    </row>
    <row r="722" spans="1:14" x14ac:dyDescent="0.3">
      <c r="A722">
        <v>347</v>
      </c>
      <c r="B722" t="s">
        <v>323</v>
      </c>
      <c r="C722">
        <v>173</v>
      </c>
      <c r="D722" t="s">
        <v>147</v>
      </c>
      <c r="E722">
        <v>1523</v>
      </c>
      <c r="F722" t="s">
        <v>833</v>
      </c>
      <c r="G722">
        <v>2</v>
      </c>
      <c r="H722">
        <v>2</v>
      </c>
      <c r="I722">
        <v>0</v>
      </c>
      <c r="J722">
        <v>2</v>
      </c>
      <c r="K722">
        <v>0</v>
      </c>
      <c r="L722">
        <v>2</v>
      </c>
      <c r="M722" t="s">
        <v>414</v>
      </c>
      <c r="N722" t="s">
        <v>326</v>
      </c>
    </row>
    <row r="723" spans="1:14" x14ac:dyDescent="0.3">
      <c r="A723">
        <v>347</v>
      </c>
      <c r="B723" t="s">
        <v>323</v>
      </c>
      <c r="C723">
        <v>173</v>
      </c>
      <c r="D723" t="s">
        <v>147</v>
      </c>
      <c r="E723">
        <v>1735</v>
      </c>
      <c r="F723" t="s">
        <v>1439</v>
      </c>
      <c r="G723">
        <v>5</v>
      </c>
      <c r="H723">
        <v>0</v>
      </c>
      <c r="I723">
        <v>0</v>
      </c>
      <c r="J723">
        <v>0</v>
      </c>
      <c r="K723">
        <v>0</v>
      </c>
      <c r="L723">
        <v>0</v>
      </c>
      <c r="M723" t="s">
        <v>325</v>
      </c>
      <c r="N723" t="s">
        <v>484</v>
      </c>
    </row>
    <row r="724" spans="1:14" x14ac:dyDescent="0.3">
      <c r="A724">
        <v>348</v>
      </c>
      <c r="B724" t="s">
        <v>323</v>
      </c>
      <c r="C724">
        <v>174</v>
      </c>
      <c r="D724" t="s">
        <v>149</v>
      </c>
      <c r="E724">
        <v>962</v>
      </c>
      <c r="F724" t="s">
        <v>1440</v>
      </c>
      <c r="G724">
        <v>0</v>
      </c>
      <c r="H724">
        <v>0</v>
      </c>
      <c r="I724">
        <v>0</v>
      </c>
      <c r="J724">
        <v>3</v>
      </c>
      <c r="K724">
        <v>2</v>
      </c>
      <c r="L724">
        <v>0</v>
      </c>
      <c r="M724" t="s">
        <v>410</v>
      </c>
      <c r="N724" t="s">
        <v>343</v>
      </c>
    </row>
    <row r="725" spans="1:14" x14ac:dyDescent="0.3">
      <c r="A725">
        <v>348</v>
      </c>
      <c r="B725" t="s">
        <v>323</v>
      </c>
      <c r="C725">
        <v>174</v>
      </c>
      <c r="D725" t="s">
        <v>149</v>
      </c>
      <c r="E725">
        <v>963</v>
      </c>
      <c r="F725" t="s">
        <v>1441</v>
      </c>
      <c r="G725">
        <v>0</v>
      </c>
      <c r="H725">
        <v>0</v>
      </c>
      <c r="I725">
        <v>0</v>
      </c>
      <c r="J725">
        <v>0</v>
      </c>
      <c r="K725">
        <v>3</v>
      </c>
      <c r="L725">
        <v>0</v>
      </c>
      <c r="M725" t="s">
        <v>333</v>
      </c>
      <c r="N725" t="s">
        <v>336</v>
      </c>
    </row>
    <row r="726" spans="1:14" x14ac:dyDescent="0.3">
      <c r="A726">
        <v>348</v>
      </c>
      <c r="B726" t="s">
        <v>323</v>
      </c>
      <c r="C726">
        <v>174</v>
      </c>
      <c r="D726" t="s">
        <v>149</v>
      </c>
      <c r="E726">
        <v>965</v>
      </c>
      <c r="F726" t="s">
        <v>1442</v>
      </c>
      <c r="G726">
        <v>0</v>
      </c>
      <c r="H726">
        <v>0</v>
      </c>
      <c r="I726">
        <v>0</v>
      </c>
      <c r="J726">
        <v>0</v>
      </c>
      <c r="K726">
        <v>3</v>
      </c>
      <c r="L726">
        <v>0</v>
      </c>
      <c r="M726" t="s">
        <v>333</v>
      </c>
      <c r="N726" t="s">
        <v>336</v>
      </c>
    </row>
    <row r="727" spans="1:14" x14ac:dyDescent="0.3">
      <c r="A727">
        <v>348</v>
      </c>
      <c r="B727" t="s">
        <v>323</v>
      </c>
      <c r="C727">
        <v>174</v>
      </c>
      <c r="D727" t="s">
        <v>149</v>
      </c>
      <c r="E727">
        <v>966</v>
      </c>
      <c r="F727" t="s">
        <v>1443</v>
      </c>
      <c r="G727">
        <v>0</v>
      </c>
      <c r="H727">
        <v>0</v>
      </c>
      <c r="I727">
        <v>0</v>
      </c>
      <c r="J727">
        <v>0</v>
      </c>
      <c r="K727">
        <v>3</v>
      </c>
      <c r="L727">
        <v>0</v>
      </c>
      <c r="M727" t="s">
        <v>333</v>
      </c>
      <c r="N727" t="s">
        <v>336</v>
      </c>
    </row>
    <row r="728" spans="1:14" x14ac:dyDescent="0.3">
      <c r="A728">
        <v>348</v>
      </c>
      <c r="B728" t="s">
        <v>323</v>
      </c>
      <c r="C728">
        <v>174</v>
      </c>
      <c r="D728" t="s">
        <v>149</v>
      </c>
      <c r="E728">
        <v>967</v>
      </c>
      <c r="F728" t="s">
        <v>393</v>
      </c>
      <c r="G728">
        <v>0</v>
      </c>
      <c r="H728">
        <v>0</v>
      </c>
      <c r="I728">
        <v>0</v>
      </c>
      <c r="J728">
        <v>0</v>
      </c>
      <c r="K728">
        <v>4</v>
      </c>
      <c r="L728">
        <v>0</v>
      </c>
      <c r="M728" t="s">
        <v>410</v>
      </c>
      <c r="N728" t="s">
        <v>336</v>
      </c>
    </row>
    <row r="729" spans="1:14" x14ac:dyDescent="0.3">
      <c r="A729">
        <v>348</v>
      </c>
      <c r="B729" t="s">
        <v>323</v>
      </c>
      <c r="C729">
        <v>174</v>
      </c>
      <c r="D729" t="s">
        <v>149</v>
      </c>
      <c r="E729">
        <v>1838</v>
      </c>
      <c r="F729" t="s">
        <v>1444</v>
      </c>
      <c r="G729">
        <v>0</v>
      </c>
      <c r="H729">
        <v>0</v>
      </c>
      <c r="I729">
        <v>0</v>
      </c>
      <c r="J729">
        <v>2</v>
      </c>
      <c r="K729">
        <v>4</v>
      </c>
      <c r="L729">
        <v>0</v>
      </c>
      <c r="M729" t="s">
        <v>333</v>
      </c>
      <c r="N729" t="s">
        <v>336</v>
      </c>
    </row>
    <row r="730" spans="1:14" x14ac:dyDescent="0.3">
      <c r="A730">
        <v>349</v>
      </c>
      <c r="B730" t="s">
        <v>323</v>
      </c>
      <c r="C730">
        <v>175</v>
      </c>
      <c r="D730" t="s">
        <v>151</v>
      </c>
      <c r="E730">
        <v>486</v>
      </c>
      <c r="F730" t="s">
        <v>393</v>
      </c>
      <c r="G730">
        <v>0</v>
      </c>
      <c r="H730">
        <v>2</v>
      </c>
      <c r="I730">
        <v>4</v>
      </c>
      <c r="J730">
        <v>0</v>
      </c>
      <c r="K730">
        <v>0</v>
      </c>
      <c r="L730">
        <v>0</v>
      </c>
      <c r="M730" t="s">
        <v>566</v>
      </c>
      <c r="N730" t="s">
        <v>326</v>
      </c>
    </row>
    <row r="731" spans="1:14" x14ac:dyDescent="0.3">
      <c r="A731">
        <v>349</v>
      </c>
      <c r="B731" t="s">
        <v>323</v>
      </c>
      <c r="C731">
        <v>175</v>
      </c>
      <c r="D731" t="s">
        <v>151</v>
      </c>
      <c r="E731">
        <v>487</v>
      </c>
      <c r="F731" t="s">
        <v>834</v>
      </c>
      <c r="G731">
        <v>1</v>
      </c>
      <c r="H731">
        <v>3</v>
      </c>
      <c r="I731">
        <v>1</v>
      </c>
      <c r="J731">
        <v>1</v>
      </c>
      <c r="K731">
        <v>0</v>
      </c>
      <c r="L731">
        <v>0</v>
      </c>
      <c r="M731" t="s">
        <v>410</v>
      </c>
      <c r="N731" t="s">
        <v>343</v>
      </c>
    </row>
    <row r="732" spans="1:14" x14ac:dyDescent="0.3">
      <c r="A732">
        <v>349</v>
      </c>
      <c r="B732" t="s">
        <v>323</v>
      </c>
      <c r="C732">
        <v>175</v>
      </c>
      <c r="D732" t="s">
        <v>151</v>
      </c>
      <c r="E732">
        <v>488</v>
      </c>
      <c r="F732" t="s">
        <v>835</v>
      </c>
      <c r="G732">
        <v>1</v>
      </c>
      <c r="H732">
        <v>2</v>
      </c>
      <c r="I732">
        <v>3</v>
      </c>
      <c r="J732">
        <v>0</v>
      </c>
      <c r="K732">
        <v>0</v>
      </c>
      <c r="L732">
        <v>0</v>
      </c>
      <c r="M732" t="s">
        <v>325</v>
      </c>
      <c r="N732" t="s">
        <v>326</v>
      </c>
    </row>
    <row r="733" spans="1:14" x14ac:dyDescent="0.3">
      <c r="A733">
        <v>349</v>
      </c>
      <c r="B733" t="s">
        <v>323</v>
      </c>
      <c r="C733">
        <v>175</v>
      </c>
      <c r="D733" t="s">
        <v>151</v>
      </c>
      <c r="E733">
        <v>490</v>
      </c>
      <c r="F733" t="s">
        <v>837</v>
      </c>
      <c r="G733">
        <v>0</v>
      </c>
      <c r="H733">
        <v>0</v>
      </c>
      <c r="I733">
        <v>0</v>
      </c>
      <c r="J733">
        <v>0</v>
      </c>
      <c r="K733">
        <v>0</v>
      </c>
      <c r="L733">
        <v>6</v>
      </c>
      <c r="M733" t="s">
        <v>325</v>
      </c>
      <c r="N733" t="s">
        <v>329</v>
      </c>
    </row>
    <row r="734" spans="1:14" x14ac:dyDescent="0.3">
      <c r="A734">
        <v>349</v>
      </c>
      <c r="B734" t="s">
        <v>323</v>
      </c>
      <c r="C734">
        <v>175</v>
      </c>
      <c r="D734" t="s">
        <v>151</v>
      </c>
      <c r="E734">
        <v>491</v>
      </c>
      <c r="F734" t="s">
        <v>838</v>
      </c>
      <c r="G734">
        <v>0</v>
      </c>
      <c r="H734">
        <v>0</v>
      </c>
      <c r="I734">
        <v>0</v>
      </c>
      <c r="J734">
        <v>0</v>
      </c>
      <c r="K734">
        <v>0</v>
      </c>
      <c r="L734">
        <v>5</v>
      </c>
      <c r="M734" t="s">
        <v>325</v>
      </c>
      <c r="N734" t="s">
        <v>348</v>
      </c>
    </row>
    <row r="735" spans="1:14" x14ac:dyDescent="0.3">
      <c r="A735">
        <v>349</v>
      </c>
      <c r="B735" t="s">
        <v>323</v>
      </c>
      <c r="C735">
        <v>175</v>
      </c>
      <c r="D735" t="s">
        <v>151</v>
      </c>
      <c r="E735">
        <v>492</v>
      </c>
      <c r="F735" t="s">
        <v>839</v>
      </c>
      <c r="G735">
        <v>7</v>
      </c>
      <c r="H735">
        <v>0</v>
      </c>
      <c r="I735">
        <v>0</v>
      </c>
      <c r="J735">
        <v>0</v>
      </c>
      <c r="K735">
        <v>0</v>
      </c>
      <c r="L735">
        <v>0</v>
      </c>
      <c r="M735" t="s">
        <v>325</v>
      </c>
      <c r="N735" t="s">
        <v>484</v>
      </c>
    </row>
    <row r="736" spans="1:14" x14ac:dyDescent="0.3">
      <c r="A736">
        <v>349</v>
      </c>
      <c r="B736" t="s">
        <v>323</v>
      </c>
      <c r="C736">
        <v>175</v>
      </c>
      <c r="D736" t="s">
        <v>151</v>
      </c>
      <c r="E736">
        <v>493</v>
      </c>
      <c r="F736" t="s">
        <v>840</v>
      </c>
      <c r="G736">
        <v>0</v>
      </c>
      <c r="H736">
        <v>3</v>
      </c>
      <c r="I736">
        <v>0</v>
      </c>
      <c r="J736">
        <v>1</v>
      </c>
      <c r="K736">
        <v>0</v>
      </c>
      <c r="L736">
        <v>0</v>
      </c>
      <c r="M736" t="s">
        <v>333</v>
      </c>
      <c r="N736" t="s">
        <v>329</v>
      </c>
    </row>
    <row r="737" spans="1:14" x14ac:dyDescent="0.3">
      <c r="A737">
        <v>349</v>
      </c>
      <c r="B737" t="s">
        <v>323</v>
      </c>
      <c r="C737">
        <v>175</v>
      </c>
      <c r="D737" t="s">
        <v>151</v>
      </c>
      <c r="E737">
        <v>494</v>
      </c>
      <c r="F737" t="s">
        <v>676</v>
      </c>
      <c r="G737">
        <v>1</v>
      </c>
      <c r="H737">
        <v>0</v>
      </c>
      <c r="I737">
        <v>7</v>
      </c>
      <c r="J737">
        <v>1</v>
      </c>
      <c r="K737">
        <v>0</v>
      </c>
      <c r="L737">
        <v>0</v>
      </c>
      <c r="M737" t="s">
        <v>325</v>
      </c>
      <c r="N737" t="s">
        <v>326</v>
      </c>
    </row>
    <row r="738" spans="1:14" x14ac:dyDescent="0.3">
      <c r="A738">
        <v>349</v>
      </c>
      <c r="B738" t="s">
        <v>323</v>
      </c>
      <c r="C738">
        <v>175</v>
      </c>
      <c r="D738" t="s">
        <v>151</v>
      </c>
      <c r="E738">
        <v>495</v>
      </c>
      <c r="F738" t="s">
        <v>841</v>
      </c>
      <c r="G738">
        <v>0</v>
      </c>
      <c r="H738">
        <v>2</v>
      </c>
      <c r="I738">
        <v>2</v>
      </c>
      <c r="J738">
        <v>1</v>
      </c>
      <c r="K738">
        <v>0</v>
      </c>
      <c r="L738">
        <v>0</v>
      </c>
      <c r="M738" t="s">
        <v>325</v>
      </c>
      <c r="N738" t="s">
        <v>326</v>
      </c>
    </row>
    <row r="739" spans="1:14" x14ac:dyDescent="0.3">
      <c r="A739">
        <v>349</v>
      </c>
      <c r="B739" t="s">
        <v>323</v>
      </c>
      <c r="C739">
        <v>175</v>
      </c>
      <c r="D739" t="s">
        <v>151</v>
      </c>
      <c r="E739">
        <v>496</v>
      </c>
      <c r="F739" t="s">
        <v>842</v>
      </c>
      <c r="G739">
        <v>3</v>
      </c>
      <c r="H739">
        <v>2</v>
      </c>
      <c r="I739">
        <v>0</v>
      </c>
      <c r="J739">
        <v>0</v>
      </c>
      <c r="K739">
        <v>0</v>
      </c>
      <c r="L739">
        <v>0</v>
      </c>
      <c r="M739" t="s">
        <v>333</v>
      </c>
      <c r="N739" t="s">
        <v>343</v>
      </c>
    </row>
    <row r="740" spans="1:14" x14ac:dyDescent="0.3">
      <c r="A740">
        <v>349</v>
      </c>
      <c r="B740" t="s">
        <v>323</v>
      </c>
      <c r="C740">
        <v>175</v>
      </c>
      <c r="D740" t="s">
        <v>151</v>
      </c>
      <c r="E740">
        <v>498</v>
      </c>
      <c r="F740" t="s">
        <v>844</v>
      </c>
      <c r="G740">
        <v>1</v>
      </c>
      <c r="H740">
        <v>4</v>
      </c>
      <c r="I740">
        <v>3</v>
      </c>
      <c r="J740">
        <v>2</v>
      </c>
      <c r="K740">
        <v>0</v>
      </c>
      <c r="L740">
        <v>0</v>
      </c>
      <c r="M740" t="s">
        <v>333</v>
      </c>
      <c r="N740" t="s">
        <v>326</v>
      </c>
    </row>
    <row r="741" spans="1:14" x14ac:dyDescent="0.3">
      <c r="A741">
        <v>349</v>
      </c>
      <c r="B741" t="s">
        <v>323</v>
      </c>
      <c r="C741">
        <v>175</v>
      </c>
      <c r="D741" t="s">
        <v>151</v>
      </c>
      <c r="E741">
        <v>499</v>
      </c>
      <c r="F741" t="s">
        <v>845</v>
      </c>
      <c r="G741">
        <v>1</v>
      </c>
      <c r="H741">
        <v>0</v>
      </c>
      <c r="I741">
        <v>0</v>
      </c>
      <c r="J741">
        <v>0</v>
      </c>
      <c r="K741">
        <v>0</v>
      </c>
      <c r="L741">
        <v>5</v>
      </c>
      <c r="M741" t="s">
        <v>325</v>
      </c>
      <c r="N741" t="s">
        <v>348</v>
      </c>
    </row>
    <row r="742" spans="1:14" x14ac:dyDescent="0.3">
      <c r="A742">
        <v>349</v>
      </c>
      <c r="B742" t="s">
        <v>323</v>
      </c>
      <c r="C742">
        <v>175</v>
      </c>
      <c r="D742" t="s">
        <v>151</v>
      </c>
      <c r="E742">
        <v>500</v>
      </c>
      <c r="F742" t="s">
        <v>846</v>
      </c>
      <c r="G742">
        <v>0</v>
      </c>
      <c r="H742">
        <v>5</v>
      </c>
      <c r="I742">
        <v>0</v>
      </c>
      <c r="J742">
        <v>0</v>
      </c>
      <c r="K742">
        <v>0</v>
      </c>
      <c r="L742">
        <v>0</v>
      </c>
      <c r="M742" t="s">
        <v>410</v>
      </c>
      <c r="N742" t="s">
        <v>348</v>
      </c>
    </row>
    <row r="743" spans="1:14" x14ac:dyDescent="0.3">
      <c r="A743">
        <v>349</v>
      </c>
      <c r="B743" t="s">
        <v>323</v>
      </c>
      <c r="C743">
        <v>175</v>
      </c>
      <c r="D743" t="s">
        <v>151</v>
      </c>
      <c r="E743">
        <v>501</v>
      </c>
      <c r="F743" t="s">
        <v>847</v>
      </c>
      <c r="G743">
        <v>0</v>
      </c>
      <c r="H743">
        <v>0</v>
      </c>
      <c r="I743">
        <v>5</v>
      </c>
      <c r="J743">
        <v>2</v>
      </c>
      <c r="K743">
        <v>0</v>
      </c>
      <c r="L743">
        <v>0</v>
      </c>
      <c r="M743" t="s">
        <v>325</v>
      </c>
      <c r="N743" t="s">
        <v>326</v>
      </c>
    </row>
    <row r="744" spans="1:14" x14ac:dyDescent="0.3">
      <c r="A744">
        <v>349</v>
      </c>
      <c r="B744" t="s">
        <v>323</v>
      </c>
      <c r="C744">
        <v>175</v>
      </c>
      <c r="D744" t="s">
        <v>151</v>
      </c>
      <c r="E744">
        <v>502</v>
      </c>
      <c r="F744" t="s">
        <v>848</v>
      </c>
      <c r="G744">
        <v>2</v>
      </c>
      <c r="H744">
        <v>4</v>
      </c>
      <c r="I744">
        <v>1</v>
      </c>
      <c r="J744">
        <v>0</v>
      </c>
      <c r="K744">
        <v>1</v>
      </c>
      <c r="L744">
        <v>0</v>
      </c>
      <c r="M744" t="s">
        <v>325</v>
      </c>
      <c r="N744" t="s">
        <v>326</v>
      </c>
    </row>
    <row r="745" spans="1:14" x14ac:dyDescent="0.3">
      <c r="A745">
        <v>349</v>
      </c>
      <c r="B745" t="s">
        <v>323</v>
      </c>
      <c r="C745">
        <v>175</v>
      </c>
      <c r="D745" t="s">
        <v>151</v>
      </c>
      <c r="E745">
        <v>504</v>
      </c>
      <c r="F745" t="s">
        <v>353</v>
      </c>
      <c r="G745">
        <v>0</v>
      </c>
      <c r="H745">
        <v>0</v>
      </c>
      <c r="I745">
        <v>4</v>
      </c>
      <c r="J745">
        <v>2</v>
      </c>
      <c r="K745">
        <v>1</v>
      </c>
      <c r="L745">
        <v>0</v>
      </c>
      <c r="M745" t="s">
        <v>325</v>
      </c>
      <c r="N745" t="s">
        <v>326</v>
      </c>
    </row>
    <row r="746" spans="1:14" x14ac:dyDescent="0.3">
      <c r="A746">
        <v>349</v>
      </c>
      <c r="B746" t="s">
        <v>323</v>
      </c>
      <c r="C746">
        <v>175</v>
      </c>
      <c r="D746" t="s">
        <v>151</v>
      </c>
      <c r="E746">
        <v>505</v>
      </c>
      <c r="F746" t="s">
        <v>850</v>
      </c>
      <c r="G746">
        <v>2</v>
      </c>
      <c r="H746">
        <v>1</v>
      </c>
      <c r="I746">
        <v>13</v>
      </c>
      <c r="J746">
        <v>3</v>
      </c>
      <c r="K746">
        <v>2</v>
      </c>
      <c r="L746">
        <v>0</v>
      </c>
      <c r="M746" t="s">
        <v>333</v>
      </c>
      <c r="N746" t="s">
        <v>326</v>
      </c>
    </row>
    <row r="747" spans="1:14" x14ac:dyDescent="0.3">
      <c r="A747">
        <v>349</v>
      </c>
      <c r="B747" t="s">
        <v>323</v>
      </c>
      <c r="C747">
        <v>175</v>
      </c>
      <c r="D747" t="s">
        <v>151</v>
      </c>
      <c r="E747">
        <v>506</v>
      </c>
      <c r="F747" t="s">
        <v>851</v>
      </c>
      <c r="G747">
        <v>0</v>
      </c>
      <c r="H747">
        <v>3</v>
      </c>
      <c r="I747">
        <v>12</v>
      </c>
      <c r="J747">
        <v>6</v>
      </c>
      <c r="K747">
        <v>4</v>
      </c>
      <c r="L747">
        <v>0</v>
      </c>
      <c r="M747" t="s">
        <v>333</v>
      </c>
      <c r="N747" t="s">
        <v>326</v>
      </c>
    </row>
    <row r="748" spans="1:14" x14ac:dyDescent="0.3">
      <c r="A748">
        <v>349</v>
      </c>
      <c r="B748" t="s">
        <v>323</v>
      </c>
      <c r="C748">
        <v>175</v>
      </c>
      <c r="D748" t="s">
        <v>151</v>
      </c>
      <c r="E748">
        <v>508</v>
      </c>
      <c r="F748" t="s">
        <v>853</v>
      </c>
      <c r="G748">
        <v>0</v>
      </c>
      <c r="H748">
        <v>2</v>
      </c>
      <c r="I748">
        <v>5</v>
      </c>
      <c r="J748">
        <v>3</v>
      </c>
      <c r="K748">
        <v>1</v>
      </c>
      <c r="L748">
        <v>0</v>
      </c>
      <c r="M748" t="s">
        <v>325</v>
      </c>
      <c r="N748" t="s">
        <v>326</v>
      </c>
    </row>
    <row r="749" spans="1:14" x14ac:dyDescent="0.3">
      <c r="A749">
        <v>349</v>
      </c>
      <c r="B749" t="s">
        <v>323</v>
      </c>
      <c r="C749">
        <v>175</v>
      </c>
      <c r="D749" t="s">
        <v>151</v>
      </c>
      <c r="E749">
        <v>510</v>
      </c>
      <c r="F749" t="s">
        <v>855</v>
      </c>
      <c r="G749">
        <v>0</v>
      </c>
      <c r="H749">
        <v>1</v>
      </c>
      <c r="I749">
        <v>0</v>
      </c>
      <c r="J749">
        <v>0</v>
      </c>
      <c r="K749">
        <v>0</v>
      </c>
      <c r="L749">
        <v>5</v>
      </c>
      <c r="M749" t="s">
        <v>325</v>
      </c>
      <c r="N749" t="s">
        <v>343</v>
      </c>
    </row>
    <row r="750" spans="1:14" x14ac:dyDescent="0.3">
      <c r="A750">
        <v>349</v>
      </c>
      <c r="B750" t="s">
        <v>323</v>
      </c>
      <c r="C750">
        <v>175</v>
      </c>
      <c r="D750" t="s">
        <v>151</v>
      </c>
      <c r="E750">
        <v>511</v>
      </c>
      <c r="F750" t="s">
        <v>856</v>
      </c>
      <c r="G750">
        <v>0</v>
      </c>
      <c r="H750">
        <v>0</v>
      </c>
      <c r="I750">
        <v>6</v>
      </c>
      <c r="J750">
        <v>0</v>
      </c>
      <c r="K750">
        <v>0</v>
      </c>
      <c r="L750">
        <v>0</v>
      </c>
      <c r="M750" t="s">
        <v>410</v>
      </c>
      <c r="N750" t="s">
        <v>343</v>
      </c>
    </row>
    <row r="751" spans="1:14" x14ac:dyDescent="0.3">
      <c r="A751">
        <v>349</v>
      </c>
      <c r="B751" t="s">
        <v>323</v>
      </c>
      <c r="C751">
        <v>175</v>
      </c>
      <c r="D751" t="s">
        <v>151</v>
      </c>
      <c r="E751">
        <v>512</v>
      </c>
      <c r="F751" t="s">
        <v>857</v>
      </c>
      <c r="G751">
        <v>0</v>
      </c>
      <c r="H751">
        <v>5</v>
      </c>
      <c r="I751">
        <v>0</v>
      </c>
      <c r="J751">
        <v>0</v>
      </c>
      <c r="K751">
        <v>0</v>
      </c>
      <c r="L751">
        <v>0</v>
      </c>
      <c r="M751" t="s">
        <v>333</v>
      </c>
      <c r="N751" t="s">
        <v>348</v>
      </c>
    </row>
    <row r="752" spans="1:14" x14ac:dyDescent="0.3">
      <c r="A752">
        <v>349</v>
      </c>
      <c r="B752" t="s">
        <v>323</v>
      </c>
      <c r="C752">
        <v>175</v>
      </c>
      <c r="D752" t="s">
        <v>151</v>
      </c>
      <c r="E752">
        <v>513</v>
      </c>
      <c r="F752" t="s">
        <v>858</v>
      </c>
      <c r="G752">
        <v>1</v>
      </c>
      <c r="H752">
        <v>3</v>
      </c>
      <c r="I752">
        <v>0</v>
      </c>
      <c r="J752">
        <v>0</v>
      </c>
      <c r="K752">
        <v>0</v>
      </c>
      <c r="L752">
        <v>0</v>
      </c>
      <c r="M752" t="s">
        <v>325</v>
      </c>
      <c r="N752" t="s">
        <v>348</v>
      </c>
    </row>
    <row r="753" spans="1:14" x14ac:dyDescent="0.3">
      <c r="A753">
        <v>349</v>
      </c>
      <c r="B753" t="s">
        <v>323</v>
      </c>
      <c r="C753">
        <v>175</v>
      </c>
      <c r="D753" t="s">
        <v>151</v>
      </c>
      <c r="E753">
        <v>514</v>
      </c>
      <c r="F753" t="s">
        <v>859</v>
      </c>
      <c r="G753">
        <v>0</v>
      </c>
      <c r="H753">
        <v>1</v>
      </c>
      <c r="I753">
        <v>4</v>
      </c>
      <c r="J753">
        <v>1</v>
      </c>
      <c r="K753">
        <v>0</v>
      </c>
      <c r="L753">
        <v>0</v>
      </c>
      <c r="M753" t="s">
        <v>414</v>
      </c>
      <c r="N753" t="s">
        <v>326</v>
      </c>
    </row>
    <row r="754" spans="1:14" x14ac:dyDescent="0.3">
      <c r="A754">
        <v>349</v>
      </c>
      <c r="B754" t="s">
        <v>323</v>
      </c>
      <c r="C754">
        <v>175</v>
      </c>
      <c r="D754" t="s">
        <v>151</v>
      </c>
      <c r="E754">
        <v>515</v>
      </c>
      <c r="F754" t="s">
        <v>860</v>
      </c>
      <c r="G754">
        <v>2</v>
      </c>
      <c r="H754">
        <v>3</v>
      </c>
      <c r="I754">
        <v>5</v>
      </c>
      <c r="J754">
        <v>4</v>
      </c>
      <c r="K754">
        <v>0</v>
      </c>
      <c r="L754">
        <v>0</v>
      </c>
      <c r="M754" t="s">
        <v>325</v>
      </c>
      <c r="N754" t="s">
        <v>326</v>
      </c>
    </row>
    <row r="755" spans="1:14" x14ac:dyDescent="0.3">
      <c r="A755">
        <v>349</v>
      </c>
      <c r="B755" t="s">
        <v>323</v>
      </c>
      <c r="C755">
        <v>175</v>
      </c>
      <c r="D755" t="s">
        <v>151</v>
      </c>
      <c r="E755">
        <v>516</v>
      </c>
      <c r="F755" t="s">
        <v>861</v>
      </c>
      <c r="G755">
        <v>3</v>
      </c>
      <c r="H755">
        <v>4</v>
      </c>
      <c r="I755">
        <v>4</v>
      </c>
      <c r="J755">
        <v>6</v>
      </c>
      <c r="K755">
        <v>1</v>
      </c>
      <c r="L755">
        <v>0</v>
      </c>
      <c r="M755" t="s">
        <v>325</v>
      </c>
      <c r="N755" t="s">
        <v>326</v>
      </c>
    </row>
    <row r="756" spans="1:14" x14ac:dyDescent="0.3">
      <c r="A756">
        <v>349</v>
      </c>
      <c r="B756" t="s">
        <v>323</v>
      </c>
      <c r="C756">
        <v>175</v>
      </c>
      <c r="D756" t="s">
        <v>151</v>
      </c>
      <c r="E756">
        <v>517</v>
      </c>
      <c r="F756" t="s">
        <v>862</v>
      </c>
      <c r="G756">
        <v>2</v>
      </c>
      <c r="H756">
        <v>3</v>
      </c>
      <c r="I756">
        <v>0</v>
      </c>
      <c r="J756">
        <v>1</v>
      </c>
      <c r="K756">
        <v>0</v>
      </c>
      <c r="L756">
        <v>0</v>
      </c>
      <c r="M756" t="s">
        <v>325</v>
      </c>
      <c r="N756" t="s">
        <v>326</v>
      </c>
    </row>
    <row r="757" spans="1:14" x14ac:dyDescent="0.3">
      <c r="A757">
        <v>349</v>
      </c>
      <c r="B757" t="s">
        <v>323</v>
      </c>
      <c r="C757">
        <v>175</v>
      </c>
      <c r="D757" t="s">
        <v>151</v>
      </c>
      <c r="E757">
        <v>518</v>
      </c>
      <c r="F757" t="s">
        <v>863</v>
      </c>
      <c r="G757">
        <v>1</v>
      </c>
      <c r="H757">
        <v>0</v>
      </c>
      <c r="I757">
        <v>4</v>
      </c>
      <c r="J757">
        <v>0</v>
      </c>
      <c r="K757">
        <v>0</v>
      </c>
      <c r="L757">
        <v>0</v>
      </c>
      <c r="M757" t="s">
        <v>325</v>
      </c>
      <c r="N757" t="s">
        <v>326</v>
      </c>
    </row>
    <row r="758" spans="1:14" x14ac:dyDescent="0.3">
      <c r="A758">
        <v>349</v>
      </c>
      <c r="B758" t="s">
        <v>323</v>
      </c>
      <c r="C758">
        <v>175</v>
      </c>
      <c r="D758" t="s">
        <v>151</v>
      </c>
      <c r="E758">
        <v>519</v>
      </c>
      <c r="F758" t="s">
        <v>864</v>
      </c>
      <c r="G758">
        <v>2</v>
      </c>
      <c r="H758">
        <v>4</v>
      </c>
      <c r="I758">
        <v>0</v>
      </c>
      <c r="J758">
        <v>0</v>
      </c>
      <c r="K758">
        <v>0</v>
      </c>
      <c r="L758">
        <v>0</v>
      </c>
      <c r="M758" t="s">
        <v>410</v>
      </c>
      <c r="N758" t="s">
        <v>336</v>
      </c>
    </row>
    <row r="759" spans="1:14" x14ac:dyDescent="0.3">
      <c r="A759">
        <v>349</v>
      </c>
      <c r="B759" t="s">
        <v>323</v>
      </c>
      <c r="C759">
        <v>175</v>
      </c>
      <c r="D759" t="s">
        <v>151</v>
      </c>
      <c r="E759">
        <v>520</v>
      </c>
      <c r="F759" t="s">
        <v>865</v>
      </c>
      <c r="G759">
        <v>0</v>
      </c>
      <c r="H759">
        <v>0</v>
      </c>
      <c r="I759">
        <v>6</v>
      </c>
      <c r="J759">
        <v>0</v>
      </c>
      <c r="K759">
        <v>0</v>
      </c>
      <c r="L759">
        <v>0</v>
      </c>
      <c r="M759" t="s">
        <v>410</v>
      </c>
      <c r="N759" t="s">
        <v>484</v>
      </c>
    </row>
    <row r="760" spans="1:14" x14ac:dyDescent="0.3">
      <c r="A760">
        <v>349</v>
      </c>
      <c r="B760" t="s">
        <v>323</v>
      </c>
      <c r="C760">
        <v>175</v>
      </c>
      <c r="D760" t="s">
        <v>151</v>
      </c>
      <c r="E760">
        <v>521</v>
      </c>
      <c r="F760" t="s">
        <v>866</v>
      </c>
      <c r="G760">
        <v>0</v>
      </c>
      <c r="H760">
        <v>2</v>
      </c>
      <c r="I760">
        <v>2</v>
      </c>
      <c r="J760">
        <v>2</v>
      </c>
      <c r="K760">
        <v>0</v>
      </c>
      <c r="L760">
        <v>0</v>
      </c>
      <c r="M760" t="s">
        <v>333</v>
      </c>
      <c r="N760" t="s">
        <v>329</v>
      </c>
    </row>
    <row r="761" spans="1:14" x14ac:dyDescent="0.3">
      <c r="A761">
        <v>349</v>
      </c>
      <c r="B761" t="s">
        <v>323</v>
      </c>
      <c r="C761">
        <v>175</v>
      </c>
      <c r="D761" t="s">
        <v>151</v>
      </c>
      <c r="E761">
        <v>522</v>
      </c>
      <c r="F761" t="s">
        <v>867</v>
      </c>
      <c r="G761">
        <v>3</v>
      </c>
      <c r="H761">
        <v>3</v>
      </c>
      <c r="I761">
        <v>10</v>
      </c>
      <c r="J761">
        <v>12</v>
      </c>
      <c r="K761">
        <v>6</v>
      </c>
      <c r="L761">
        <v>0</v>
      </c>
      <c r="M761" t="s">
        <v>333</v>
      </c>
      <c r="N761" t="s">
        <v>326</v>
      </c>
    </row>
    <row r="762" spans="1:14" x14ac:dyDescent="0.3">
      <c r="A762">
        <v>349</v>
      </c>
      <c r="B762" t="s">
        <v>323</v>
      </c>
      <c r="C762">
        <v>175</v>
      </c>
      <c r="D762" t="s">
        <v>151</v>
      </c>
      <c r="E762">
        <v>1526</v>
      </c>
      <c r="F762" t="s">
        <v>868</v>
      </c>
      <c r="G762">
        <v>1</v>
      </c>
      <c r="H762">
        <v>0</v>
      </c>
      <c r="I762">
        <v>0</v>
      </c>
      <c r="J762">
        <v>0</v>
      </c>
      <c r="K762">
        <v>0</v>
      </c>
      <c r="L762">
        <v>4</v>
      </c>
      <c r="M762" t="s">
        <v>325</v>
      </c>
      <c r="N762" t="s">
        <v>348</v>
      </c>
    </row>
    <row r="763" spans="1:14" x14ac:dyDescent="0.3">
      <c r="A763">
        <v>349</v>
      </c>
      <c r="B763" t="s">
        <v>323</v>
      </c>
      <c r="C763">
        <v>175</v>
      </c>
      <c r="D763" t="s">
        <v>151</v>
      </c>
      <c r="E763">
        <v>1527</v>
      </c>
      <c r="F763" t="s">
        <v>869</v>
      </c>
      <c r="G763">
        <v>0</v>
      </c>
      <c r="H763">
        <v>5</v>
      </c>
      <c r="I763">
        <v>0</v>
      </c>
      <c r="J763">
        <v>0</v>
      </c>
      <c r="K763">
        <v>0</v>
      </c>
      <c r="L763">
        <v>0</v>
      </c>
      <c r="M763" t="s">
        <v>333</v>
      </c>
      <c r="N763" t="s">
        <v>348</v>
      </c>
    </row>
    <row r="764" spans="1:14" x14ac:dyDescent="0.3">
      <c r="A764">
        <v>349</v>
      </c>
      <c r="B764" t="s">
        <v>323</v>
      </c>
      <c r="C764">
        <v>175</v>
      </c>
      <c r="D764" t="s">
        <v>151</v>
      </c>
      <c r="E764">
        <v>1930</v>
      </c>
      <c r="F764" t="s">
        <v>1445</v>
      </c>
      <c r="G764">
        <v>3</v>
      </c>
      <c r="H764">
        <v>8</v>
      </c>
      <c r="I764">
        <v>10</v>
      </c>
      <c r="J764">
        <v>4</v>
      </c>
      <c r="K764">
        <v>4</v>
      </c>
      <c r="L764">
        <v>0</v>
      </c>
      <c r="M764" t="s">
        <v>333</v>
      </c>
      <c r="N764" t="s">
        <v>326</v>
      </c>
    </row>
    <row r="765" spans="1:14" x14ac:dyDescent="0.3">
      <c r="A765">
        <v>349</v>
      </c>
      <c r="B765" t="s">
        <v>323</v>
      </c>
      <c r="C765">
        <v>175</v>
      </c>
      <c r="D765" t="s">
        <v>151</v>
      </c>
      <c r="E765">
        <v>1931</v>
      </c>
      <c r="F765" t="s">
        <v>1446</v>
      </c>
      <c r="G765">
        <v>0</v>
      </c>
      <c r="H765">
        <v>0</v>
      </c>
      <c r="I765">
        <v>0</v>
      </c>
      <c r="J765">
        <v>1</v>
      </c>
      <c r="K765">
        <v>1</v>
      </c>
      <c r="L765">
        <v>1</v>
      </c>
      <c r="M765" t="s">
        <v>410</v>
      </c>
      <c r="N765" t="s">
        <v>329</v>
      </c>
    </row>
    <row r="766" spans="1:14" x14ac:dyDescent="0.3">
      <c r="A766">
        <v>349</v>
      </c>
      <c r="B766" t="s">
        <v>323</v>
      </c>
      <c r="C766">
        <v>175</v>
      </c>
      <c r="D766" t="s">
        <v>151</v>
      </c>
      <c r="E766">
        <v>1932</v>
      </c>
      <c r="F766" t="s">
        <v>1447</v>
      </c>
      <c r="G766">
        <v>0</v>
      </c>
      <c r="H766">
        <v>0</v>
      </c>
      <c r="I766">
        <v>3</v>
      </c>
      <c r="J766">
        <v>3</v>
      </c>
      <c r="K766">
        <v>1</v>
      </c>
      <c r="L766">
        <v>0</v>
      </c>
      <c r="M766" t="s">
        <v>410</v>
      </c>
      <c r="N766" t="s">
        <v>343</v>
      </c>
    </row>
    <row r="767" spans="1:14" x14ac:dyDescent="0.3">
      <c r="A767">
        <v>349</v>
      </c>
      <c r="B767" t="s">
        <v>323</v>
      </c>
      <c r="C767">
        <v>175</v>
      </c>
      <c r="D767" t="s">
        <v>151</v>
      </c>
      <c r="E767">
        <v>1933</v>
      </c>
      <c r="F767" t="s">
        <v>1448</v>
      </c>
      <c r="G767">
        <v>0</v>
      </c>
      <c r="H767">
        <v>0</v>
      </c>
      <c r="I767">
        <v>4</v>
      </c>
      <c r="J767">
        <v>4</v>
      </c>
      <c r="K767">
        <v>1</v>
      </c>
      <c r="L767">
        <v>0</v>
      </c>
      <c r="M767" t="s">
        <v>410</v>
      </c>
      <c r="N767" t="s">
        <v>343</v>
      </c>
    </row>
    <row r="768" spans="1:14" x14ac:dyDescent="0.3">
      <c r="A768">
        <v>350</v>
      </c>
      <c r="B768" t="s">
        <v>323</v>
      </c>
      <c r="C768">
        <v>176</v>
      </c>
      <c r="D768" t="s">
        <v>153</v>
      </c>
      <c r="E768">
        <v>373</v>
      </c>
      <c r="F768" t="s">
        <v>872</v>
      </c>
      <c r="G768">
        <v>0</v>
      </c>
      <c r="H768">
        <v>0</v>
      </c>
      <c r="I768">
        <v>0</v>
      </c>
      <c r="J768">
        <v>1</v>
      </c>
      <c r="K768">
        <v>8</v>
      </c>
      <c r="L768">
        <v>0</v>
      </c>
      <c r="M768" t="s">
        <v>333</v>
      </c>
      <c r="N768" t="s">
        <v>326</v>
      </c>
    </row>
    <row r="769" spans="1:14" x14ac:dyDescent="0.3">
      <c r="A769">
        <v>350</v>
      </c>
      <c r="B769" t="s">
        <v>323</v>
      </c>
      <c r="C769">
        <v>176</v>
      </c>
      <c r="D769" t="s">
        <v>153</v>
      </c>
      <c r="E769">
        <v>374</v>
      </c>
      <c r="F769" t="s">
        <v>873</v>
      </c>
      <c r="G769">
        <v>0</v>
      </c>
      <c r="H769">
        <v>0</v>
      </c>
      <c r="I769">
        <v>2</v>
      </c>
      <c r="J769">
        <v>2</v>
      </c>
      <c r="K769">
        <v>12</v>
      </c>
      <c r="L769">
        <v>0</v>
      </c>
      <c r="M769" t="s">
        <v>325</v>
      </c>
      <c r="N769" t="s">
        <v>326</v>
      </c>
    </row>
    <row r="770" spans="1:14" x14ac:dyDescent="0.3">
      <c r="A770">
        <v>350</v>
      </c>
      <c r="B770" t="s">
        <v>323</v>
      </c>
      <c r="C770">
        <v>176</v>
      </c>
      <c r="D770" t="s">
        <v>153</v>
      </c>
      <c r="E770">
        <v>376</v>
      </c>
      <c r="F770" t="s">
        <v>678</v>
      </c>
      <c r="G770">
        <v>0</v>
      </c>
      <c r="H770">
        <v>3</v>
      </c>
      <c r="I770">
        <v>2</v>
      </c>
      <c r="J770">
        <v>8</v>
      </c>
      <c r="K770">
        <v>14</v>
      </c>
      <c r="L770">
        <v>0</v>
      </c>
      <c r="M770" t="s">
        <v>325</v>
      </c>
      <c r="N770" t="s">
        <v>326</v>
      </c>
    </row>
    <row r="771" spans="1:14" x14ac:dyDescent="0.3">
      <c r="A771">
        <v>350</v>
      </c>
      <c r="B771" t="s">
        <v>323</v>
      </c>
      <c r="C771">
        <v>176</v>
      </c>
      <c r="D771" t="s">
        <v>153</v>
      </c>
      <c r="E771">
        <v>377</v>
      </c>
      <c r="F771" t="s">
        <v>874</v>
      </c>
      <c r="G771">
        <v>0</v>
      </c>
      <c r="H771">
        <v>1</v>
      </c>
      <c r="I771">
        <v>0</v>
      </c>
      <c r="J771">
        <v>0</v>
      </c>
      <c r="K771">
        <v>3</v>
      </c>
      <c r="L771">
        <v>0</v>
      </c>
      <c r="M771" t="s">
        <v>333</v>
      </c>
      <c r="N771" t="s">
        <v>326</v>
      </c>
    </row>
    <row r="772" spans="1:14" x14ac:dyDescent="0.3">
      <c r="A772">
        <v>350</v>
      </c>
      <c r="B772" t="s">
        <v>323</v>
      </c>
      <c r="C772">
        <v>176</v>
      </c>
      <c r="D772" t="s">
        <v>153</v>
      </c>
      <c r="E772">
        <v>378</v>
      </c>
      <c r="F772" t="s">
        <v>875</v>
      </c>
      <c r="G772">
        <v>0</v>
      </c>
      <c r="H772">
        <v>2</v>
      </c>
      <c r="I772">
        <v>0</v>
      </c>
      <c r="J772">
        <v>3</v>
      </c>
      <c r="K772">
        <v>0</v>
      </c>
      <c r="L772">
        <v>0</v>
      </c>
      <c r="M772" t="s">
        <v>333</v>
      </c>
      <c r="N772" t="s">
        <v>336</v>
      </c>
    </row>
    <row r="773" spans="1:14" x14ac:dyDescent="0.3">
      <c r="A773">
        <v>350</v>
      </c>
      <c r="B773" t="s">
        <v>323</v>
      </c>
      <c r="C773">
        <v>176</v>
      </c>
      <c r="D773" t="s">
        <v>153</v>
      </c>
      <c r="E773">
        <v>379</v>
      </c>
      <c r="F773" t="s">
        <v>876</v>
      </c>
      <c r="G773">
        <v>0</v>
      </c>
      <c r="H773">
        <v>2</v>
      </c>
      <c r="I773">
        <v>2</v>
      </c>
      <c r="J773">
        <v>3</v>
      </c>
      <c r="K773">
        <v>4</v>
      </c>
      <c r="L773">
        <v>0</v>
      </c>
      <c r="M773" t="s">
        <v>325</v>
      </c>
      <c r="N773" t="s">
        <v>326</v>
      </c>
    </row>
    <row r="774" spans="1:14" x14ac:dyDescent="0.3">
      <c r="A774">
        <v>350</v>
      </c>
      <c r="B774" t="s">
        <v>323</v>
      </c>
      <c r="C774">
        <v>176</v>
      </c>
      <c r="D774" t="s">
        <v>153</v>
      </c>
      <c r="E774">
        <v>381</v>
      </c>
      <c r="F774" t="s">
        <v>877</v>
      </c>
      <c r="G774">
        <v>0</v>
      </c>
      <c r="H774">
        <v>2</v>
      </c>
      <c r="I774">
        <v>5</v>
      </c>
      <c r="J774">
        <v>1</v>
      </c>
      <c r="K774">
        <v>0</v>
      </c>
      <c r="L774">
        <v>0</v>
      </c>
      <c r="M774" t="s">
        <v>325</v>
      </c>
      <c r="N774" t="s">
        <v>326</v>
      </c>
    </row>
    <row r="775" spans="1:14" x14ac:dyDescent="0.3">
      <c r="A775">
        <v>350</v>
      </c>
      <c r="B775" t="s">
        <v>323</v>
      </c>
      <c r="C775">
        <v>176</v>
      </c>
      <c r="D775" t="s">
        <v>153</v>
      </c>
      <c r="E775">
        <v>382</v>
      </c>
      <c r="F775" t="s">
        <v>878</v>
      </c>
      <c r="G775">
        <v>5</v>
      </c>
      <c r="H775">
        <v>0</v>
      </c>
      <c r="I775">
        <v>0</v>
      </c>
      <c r="J775">
        <v>0</v>
      </c>
      <c r="K775">
        <v>0</v>
      </c>
      <c r="L775">
        <v>0</v>
      </c>
      <c r="M775" t="s">
        <v>333</v>
      </c>
      <c r="N775" t="s">
        <v>336</v>
      </c>
    </row>
    <row r="776" spans="1:14" x14ac:dyDescent="0.3">
      <c r="A776">
        <v>350</v>
      </c>
      <c r="B776" t="s">
        <v>323</v>
      </c>
      <c r="C776">
        <v>176</v>
      </c>
      <c r="D776" t="s">
        <v>153</v>
      </c>
      <c r="E776">
        <v>386</v>
      </c>
      <c r="F776" t="s">
        <v>439</v>
      </c>
      <c r="G776">
        <v>0</v>
      </c>
      <c r="H776">
        <v>4</v>
      </c>
      <c r="I776">
        <v>6</v>
      </c>
      <c r="J776">
        <v>2</v>
      </c>
      <c r="K776">
        <v>0</v>
      </c>
      <c r="L776">
        <v>0</v>
      </c>
      <c r="M776" t="s">
        <v>333</v>
      </c>
      <c r="N776" t="s">
        <v>326</v>
      </c>
    </row>
    <row r="777" spans="1:14" x14ac:dyDescent="0.3">
      <c r="A777">
        <v>350</v>
      </c>
      <c r="B777" t="s">
        <v>323</v>
      </c>
      <c r="C777">
        <v>176</v>
      </c>
      <c r="D777" t="s">
        <v>153</v>
      </c>
      <c r="E777">
        <v>387</v>
      </c>
      <c r="F777" t="s">
        <v>398</v>
      </c>
      <c r="G777">
        <v>0</v>
      </c>
      <c r="H777">
        <v>4</v>
      </c>
      <c r="I777">
        <v>0</v>
      </c>
      <c r="J777">
        <v>0</v>
      </c>
      <c r="K777">
        <v>0</v>
      </c>
      <c r="L777">
        <v>0</v>
      </c>
      <c r="M777" t="s">
        <v>333</v>
      </c>
      <c r="N777" t="s">
        <v>343</v>
      </c>
    </row>
    <row r="778" spans="1:14" x14ac:dyDescent="0.3">
      <c r="A778">
        <v>350</v>
      </c>
      <c r="B778" t="s">
        <v>323</v>
      </c>
      <c r="C778">
        <v>176</v>
      </c>
      <c r="D778" t="s">
        <v>153</v>
      </c>
      <c r="E778">
        <v>388</v>
      </c>
      <c r="F778" t="s">
        <v>879</v>
      </c>
      <c r="G778">
        <v>0</v>
      </c>
      <c r="H778">
        <v>0</v>
      </c>
      <c r="I778">
        <v>4</v>
      </c>
      <c r="J778">
        <v>0</v>
      </c>
      <c r="K778">
        <v>0</v>
      </c>
      <c r="L778">
        <v>0</v>
      </c>
      <c r="M778" t="s">
        <v>325</v>
      </c>
      <c r="N778" t="s">
        <v>343</v>
      </c>
    </row>
    <row r="779" spans="1:14" x14ac:dyDescent="0.3">
      <c r="A779">
        <v>350</v>
      </c>
      <c r="B779" t="s">
        <v>323</v>
      </c>
      <c r="C779">
        <v>176</v>
      </c>
      <c r="D779" t="s">
        <v>153</v>
      </c>
      <c r="E779">
        <v>389</v>
      </c>
      <c r="F779" t="s">
        <v>880</v>
      </c>
      <c r="G779">
        <v>0</v>
      </c>
      <c r="H779">
        <v>0</v>
      </c>
      <c r="I779">
        <v>2</v>
      </c>
      <c r="J779">
        <v>4</v>
      </c>
      <c r="K779">
        <v>3</v>
      </c>
      <c r="L779">
        <v>0</v>
      </c>
      <c r="M779" t="s">
        <v>333</v>
      </c>
      <c r="N779" t="s">
        <v>326</v>
      </c>
    </row>
    <row r="780" spans="1:14" x14ac:dyDescent="0.3">
      <c r="A780">
        <v>350</v>
      </c>
      <c r="B780" t="s">
        <v>323</v>
      </c>
      <c r="C780">
        <v>176</v>
      </c>
      <c r="D780" t="s">
        <v>153</v>
      </c>
      <c r="E780">
        <v>392</v>
      </c>
      <c r="F780" t="s">
        <v>869</v>
      </c>
      <c r="G780">
        <v>1</v>
      </c>
      <c r="H780">
        <v>3</v>
      </c>
      <c r="I780">
        <v>0</v>
      </c>
      <c r="J780">
        <v>0</v>
      </c>
      <c r="K780">
        <v>0</v>
      </c>
      <c r="L780">
        <v>0</v>
      </c>
      <c r="M780" t="s">
        <v>333</v>
      </c>
      <c r="N780" t="s">
        <v>343</v>
      </c>
    </row>
    <row r="781" spans="1:14" x14ac:dyDescent="0.3">
      <c r="A781">
        <v>350</v>
      </c>
      <c r="B781" t="s">
        <v>323</v>
      </c>
      <c r="C781">
        <v>176</v>
      </c>
      <c r="D781" t="s">
        <v>153</v>
      </c>
      <c r="E781">
        <v>393</v>
      </c>
      <c r="F781" t="s">
        <v>881</v>
      </c>
      <c r="G781">
        <v>0</v>
      </c>
      <c r="H781">
        <v>3</v>
      </c>
      <c r="I781">
        <v>8</v>
      </c>
      <c r="J781">
        <v>6</v>
      </c>
      <c r="K781">
        <v>2</v>
      </c>
      <c r="L781">
        <v>0</v>
      </c>
      <c r="M781" t="s">
        <v>333</v>
      </c>
      <c r="N781" t="s">
        <v>326</v>
      </c>
    </row>
    <row r="782" spans="1:14" x14ac:dyDescent="0.3">
      <c r="A782">
        <v>350</v>
      </c>
      <c r="B782" t="s">
        <v>323</v>
      </c>
      <c r="C782">
        <v>176</v>
      </c>
      <c r="D782" t="s">
        <v>153</v>
      </c>
      <c r="E782">
        <v>394</v>
      </c>
      <c r="F782" t="s">
        <v>882</v>
      </c>
      <c r="G782">
        <v>1</v>
      </c>
      <c r="H782">
        <v>1</v>
      </c>
      <c r="I782">
        <v>2</v>
      </c>
      <c r="J782">
        <v>0</v>
      </c>
      <c r="K782">
        <v>0</v>
      </c>
      <c r="L782">
        <v>0</v>
      </c>
      <c r="M782" t="s">
        <v>333</v>
      </c>
      <c r="N782" t="s">
        <v>343</v>
      </c>
    </row>
    <row r="783" spans="1:14" x14ac:dyDescent="0.3">
      <c r="A783">
        <v>350</v>
      </c>
      <c r="B783" t="s">
        <v>323</v>
      </c>
      <c r="C783">
        <v>176</v>
      </c>
      <c r="D783" t="s">
        <v>153</v>
      </c>
      <c r="E783">
        <v>395</v>
      </c>
      <c r="F783" t="s">
        <v>883</v>
      </c>
      <c r="G783">
        <v>0</v>
      </c>
      <c r="H783">
        <v>0</v>
      </c>
      <c r="I783">
        <v>1</v>
      </c>
      <c r="J783">
        <v>1</v>
      </c>
      <c r="K783">
        <v>0</v>
      </c>
      <c r="L783">
        <v>0</v>
      </c>
      <c r="M783" t="s">
        <v>325</v>
      </c>
      <c r="N783" t="s">
        <v>343</v>
      </c>
    </row>
    <row r="784" spans="1:14" x14ac:dyDescent="0.3">
      <c r="A784">
        <v>350</v>
      </c>
      <c r="B784" t="s">
        <v>323</v>
      </c>
      <c r="C784">
        <v>176</v>
      </c>
      <c r="D784" t="s">
        <v>153</v>
      </c>
      <c r="E784">
        <v>396</v>
      </c>
      <c r="F784" t="s">
        <v>831</v>
      </c>
      <c r="G784">
        <v>0</v>
      </c>
      <c r="H784">
        <v>0</v>
      </c>
      <c r="I784">
        <v>0</v>
      </c>
      <c r="J784">
        <v>4</v>
      </c>
      <c r="K784">
        <v>1</v>
      </c>
      <c r="L784">
        <v>0</v>
      </c>
      <c r="M784" t="s">
        <v>325</v>
      </c>
      <c r="N784" t="s">
        <v>326</v>
      </c>
    </row>
    <row r="785" spans="1:14" x14ac:dyDescent="0.3">
      <c r="A785">
        <v>350</v>
      </c>
      <c r="B785" t="s">
        <v>323</v>
      </c>
      <c r="C785">
        <v>176</v>
      </c>
      <c r="D785" t="s">
        <v>153</v>
      </c>
      <c r="E785">
        <v>397</v>
      </c>
      <c r="F785" t="s">
        <v>884</v>
      </c>
      <c r="G785">
        <v>0</v>
      </c>
      <c r="H785">
        <v>0</v>
      </c>
      <c r="I785">
        <v>3</v>
      </c>
      <c r="J785">
        <v>1</v>
      </c>
      <c r="K785">
        <v>0</v>
      </c>
      <c r="L785">
        <v>0</v>
      </c>
      <c r="M785" t="s">
        <v>333</v>
      </c>
      <c r="N785" t="s">
        <v>336</v>
      </c>
    </row>
    <row r="786" spans="1:14" x14ac:dyDescent="0.3">
      <c r="A786">
        <v>350</v>
      </c>
      <c r="B786" t="s">
        <v>323</v>
      </c>
      <c r="C786">
        <v>176</v>
      </c>
      <c r="D786" t="s">
        <v>153</v>
      </c>
      <c r="E786">
        <v>398</v>
      </c>
      <c r="F786" t="s">
        <v>885</v>
      </c>
      <c r="G786">
        <v>0</v>
      </c>
      <c r="H786">
        <v>0</v>
      </c>
      <c r="I786">
        <v>3</v>
      </c>
      <c r="J786">
        <v>2</v>
      </c>
      <c r="K786">
        <v>0</v>
      </c>
      <c r="L786">
        <v>0</v>
      </c>
      <c r="M786" t="s">
        <v>325</v>
      </c>
      <c r="N786" t="s">
        <v>343</v>
      </c>
    </row>
    <row r="787" spans="1:14" x14ac:dyDescent="0.3">
      <c r="A787">
        <v>350</v>
      </c>
      <c r="B787" t="s">
        <v>323</v>
      </c>
      <c r="C787">
        <v>176</v>
      </c>
      <c r="D787" t="s">
        <v>153</v>
      </c>
      <c r="E787">
        <v>400</v>
      </c>
      <c r="F787" t="s">
        <v>886</v>
      </c>
      <c r="G787">
        <v>0</v>
      </c>
      <c r="H787">
        <v>3</v>
      </c>
      <c r="I787">
        <v>2</v>
      </c>
      <c r="J787">
        <v>0</v>
      </c>
      <c r="K787">
        <v>0</v>
      </c>
      <c r="L787">
        <v>0</v>
      </c>
      <c r="M787" t="s">
        <v>325</v>
      </c>
      <c r="N787" t="s">
        <v>336</v>
      </c>
    </row>
    <row r="788" spans="1:14" x14ac:dyDescent="0.3">
      <c r="A788">
        <v>350</v>
      </c>
      <c r="B788" t="s">
        <v>323</v>
      </c>
      <c r="C788">
        <v>176</v>
      </c>
      <c r="D788" t="s">
        <v>153</v>
      </c>
      <c r="E788">
        <v>1483</v>
      </c>
      <c r="F788" t="s">
        <v>890</v>
      </c>
      <c r="G788">
        <v>1</v>
      </c>
      <c r="H788">
        <v>5</v>
      </c>
      <c r="I788">
        <v>0</v>
      </c>
      <c r="J788">
        <v>0</v>
      </c>
      <c r="K788">
        <v>0</v>
      </c>
      <c r="L788">
        <v>0</v>
      </c>
      <c r="M788" t="s">
        <v>325</v>
      </c>
      <c r="N788" t="s">
        <v>343</v>
      </c>
    </row>
    <row r="789" spans="1:14" x14ac:dyDescent="0.3">
      <c r="A789">
        <v>350</v>
      </c>
      <c r="B789" t="s">
        <v>323</v>
      </c>
      <c r="C789">
        <v>176</v>
      </c>
      <c r="D789" t="s">
        <v>153</v>
      </c>
      <c r="E789">
        <v>1485</v>
      </c>
      <c r="F789" t="s">
        <v>892</v>
      </c>
      <c r="G789">
        <v>0</v>
      </c>
      <c r="H789">
        <v>0</v>
      </c>
      <c r="I789">
        <v>0</v>
      </c>
      <c r="J789">
        <v>5</v>
      </c>
      <c r="K789">
        <v>1</v>
      </c>
      <c r="L789">
        <v>0</v>
      </c>
      <c r="M789" t="s">
        <v>414</v>
      </c>
      <c r="N789" t="s">
        <v>326</v>
      </c>
    </row>
    <row r="790" spans="1:14" x14ac:dyDescent="0.3">
      <c r="A790">
        <v>350</v>
      </c>
      <c r="B790" t="s">
        <v>323</v>
      </c>
      <c r="C790">
        <v>176</v>
      </c>
      <c r="D790" t="s">
        <v>153</v>
      </c>
      <c r="E790">
        <v>1847</v>
      </c>
      <c r="F790" t="s">
        <v>1449</v>
      </c>
      <c r="G790">
        <v>0</v>
      </c>
      <c r="H790">
        <v>1</v>
      </c>
      <c r="I790">
        <v>1</v>
      </c>
      <c r="J790">
        <v>2</v>
      </c>
      <c r="K790">
        <v>2</v>
      </c>
      <c r="L790">
        <v>0</v>
      </c>
      <c r="M790" t="s">
        <v>333</v>
      </c>
      <c r="N790" t="s">
        <v>336</v>
      </c>
    </row>
    <row r="791" spans="1:14" x14ac:dyDescent="0.3">
      <c r="A791">
        <v>350</v>
      </c>
      <c r="B791" t="s">
        <v>323</v>
      </c>
      <c r="C791">
        <v>176</v>
      </c>
      <c r="D791" t="s">
        <v>153</v>
      </c>
      <c r="E791">
        <v>1848</v>
      </c>
      <c r="F791" t="s">
        <v>1450</v>
      </c>
      <c r="G791">
        <v>0</v>
      </c>
      <c r="H791">
        <v>0</v>
      </c>
      <c r="I791">
        <v>3</v>
      </c>
      <c r="J791">
        <v>2</v>
      </c>
      <c r="K791">
        <v>1</v>
      </c>
      <c r="L791">
        <v>0</v>
      </c>
      <c r="M791" t="s">
        <v>333</v>
      </c>
      <c r="N791" t="s">
        <v>326</v>
      </c>
    </row>
    <row r="792" spans="1:14" x14ac:dyDescent="0.3">
      <c r="A792">
        <v>350</v>
      </c>
      <c r="B792" t="s">
        <v>323</v>
      </c>
      <c r="C792">
        <v>176</v>
      </c>
      <c r="D792" t="s">
        <v>153</v>
      </c>
      <c r="E792">
        <v>1849</v>
      </c>
      <c r="F792" t="s">
        <v>1451</v>
      </c>
      <c r="G792">
        <v>0</v>
      </c>
      <c r="H792">
        <v>1</v>
      </c>
      <c r="I792">
        <v>1</v>
      </c>
      <c r="J792">
        <v>1</v>
      </c>
      <c r="K792">
        <v>5</v>
      </c>
      <c r="L792">
        <v>0</v>
      </c>
      <c r="M792" t="s">
        <v>333</v>
      </c>
      <c r="N792" t="s">
        <v>326</v>
      </c>
    </row>
    <row r="793" spans="1:14" x14ac:dyDescent="0.3">
      <c r="A793">
        <v>350</v>
      </c>
      <c r="B793" t="s">
        <v>323</v>
      </c>
      <c r="C793">
        <v>176</v>
      </c>
      <c r="D793" t="s">
        <v>153</v>
      </c>
      <c r="E793">
        <v>1851</v>
      </c>
      <c r="F793" t="s">
        <v>1452</v>
      </c>
      <c r="G793">
        <v>0</v>
      </c>
      <c r="H793">
        <v>0</v>
      </c>
      <c r="I793">
        <v>5</v>
      </c>
      <c r="J793">
        <v>0</v>
      </c>
      <c r="K793">
        <v>0</v>
      </c>
      <c r="L793">
        <v>0</v>
      </c>
      <c r="M793" t="s">
        <v>325</v>
      </c>
      <c r="N793" t="s">
        <v>336</v>
      </c>
    </row>
    <row r="794" spans="1:14" x14ac:dyDescent="0.3">
      <c r="A794">
        <v>350</v>
      </c>
      <c r="B794" t="s">
        <v>323</v>
      </c>
      <c r="C794">
        <v>176</v>
      </c>
      <c r="D794" t="s">
        <v>153</v>
      </c>
      <c r="E794">
        <v>1852</v>
      </c>
      <c r="F794" t="s">
        <v>1453</v>
      </c>
      <c r="G794">
        <v>0</v>
      </c>
      <c r="H794">
        <v>0</v>
      </c>
      <c r="I794">
        <v>4</v>
      </c>
      <c r="J794">
        <v>0</v>
      </c>
      <c r="K794">
        <v>0</v>
      </c>
      <c r="L794">
        <v>0</v>
      </c>
      <c r="M794" t="s">
        <v>333</v>
      </c>
      <c r="N794" t="s">
        <v>336</v>
      </c>
    </row>
    <row r="795" spans="1:14" x14ac:dyDescent="0.3">
      <c r="A795">
        <v>350</v>
      </c>
      <c r="B795" t="s">
        <v>323</v>
      </c>
      <c r="C795">
        <v>176</v>
      </c>
      <c r="D795" t="s">
        <v>153</v>
      </c>
      <c r="E795">
        <v>1853</v>
      </c>
      <c r="F795" t="s">
        <v>1454</v>
      </c>
      <c r="G795">
        <v>0</v>
      </c>
      <c r="H795">
        <v>1</v>
      </c>
      <c r="I795">
        <v>3</v>
      </c>
      <c r="J795">
        <v>1</v>
      </c>
      <c r="K795">
        <v>0</v>
      </c>
      <c r="L795">
        <v>0</v>
      </c>
      <c r="M795" t="s">
        <v>333</v>
      </c>
      <c r="N795" t="s">
        <v>336</v>
      </c>
    </row>
    <row r="796" spans="1:14" x14ac:dyDescent="0.3">
      <c r="A796">
        <v>353</v>
      </c>
      <c r="B796" t="s">
        <v>313</v>
      </c>
      <c r="C796">
        <v>179</v>
      </c>
      <c r="D796" t="s">
        <v>159</v>
      </c>
      <c r="E796">
        <v>710</v>
      </c>
      <c r="F796" t="s">
        <v>896</v>
      </c>
      <c r="G796">
        <v>0</v>
      </c>
      <c r="H796">
        <v>3</v>
      </c>
      <c r="I796">
        <v>2</v>
      </c>
      <c r="J796">
        <v>0</v>
      </c>
      <c r="K796">
        <v>0</v>
      </c>
      <c r="L796">
        <v>0</v>
      </c>
      <c r="M796" t="s">
        <v>333</v>
      </c>
      <c r="N796" t="s">
        <v>326</v>
      </c>
    </row>
    <row r="797" spans="1:14" x14ac:dyDescent="0.3">
      <c r="A797">
        <v>353</v>
      </c>
      <c r="B797" t="s">
        <v>313</v>
      </c>
      <c r="C797">
        <v>179</v>
      </c>
      <c r="D797" t="s">
        <v>159</v>
      </c>
      <c r="E797">
        <v>712</v>
      </c>
      <c r="F797" t="s">
        <v>898</v>
      </c>
      <c r="G797">
        <v>0</v>
      </c>
      <c r="H797">
        <v>2</v>
      </c>
      <c r="I797">
        <v>1</v>
      </c>
      <c r="J797">
        <v>2</v>
      </c>
      <c r="K797">
        <v>0</v>
      </c>
      <c r="L797">
        <v>0</v>
      </c>
      <c r="M797" t="s">
        <v>333</v>
      </c>
      <c r="N797" t="s">
        <v>326</v>
      </c>
    </row>
    <row r="798" spans="1:14" x14ac:dyDescent="0.3">
      <c r="A798">
        <v>353</v>
      </c>
      <c r="B798" t="s">
        <v>313</v>
      </c>
      <c r="C798">
        <v>179</v>
      </c>
      <c r="D798" t="s">
        <v>159</v>
      </c>
      <c r="E798">
        <v>713</v>
      </c>
      <c r="F798" t="s">
        <v>899</v>
      </c>
      <c r="G798">
        <v>0</v>
      </c>
      <c r="H798">
        <v>0</v>
      </c>
      <c r="I798">
        <v>4</v>
      </c>
      <c r="J798">
        <v>0</v>
      </c>
      <c r="K798">
        <v>0</v>
      </c>
      <c r="L798">
        <v>0</v>
      </c>
      <c r="M798" t="s">
        <v>566</v>
      </c>
      <c r="N798" t="s">
        <v>336</v>
      </c>
    </row>
    <row r="799" spans="1:14" x14ac:dyDescent="0.3">
      <c r="A799">
        <v>353</v>
      </c>
      <c r="B799" t="s">
        <v>313</v>
      </c>
      <c r="C799">
        <v>179</v>
      </c>
      <c r="D799" t="s">
        <v>159</v>
      </c>
      <c r="E799">
        <v>714</v>
      </c>
      <c r="F799" t="s">
        <v>900</v>
      </c>
      <c r="G799">
        <v>0</v>
      </c>
      <c r="H799">
        <v>0</v>
      </c>
      <c r="I799">
        <v>0</v>
      </c>
      <c r="J799">
        <v>1</v>
      </c>
      <c r="K799">
        <v>1</v>
      </c>
      <c r="L799">
        <v>1</v>
      </c>
      <c r="M799" t="s">
        <v>333</v>
      </c>
      <c r="N799" t="s">
        <v>336</v>
      </c>
    </row>
    <row r="800" spans="1:14" x14ac:dyDescent="0.3">
      <c r="A800">
        <v>353</v>
      </c>
      <c r="B800" t="s">
        <v>313</v>
      </c>
      <c r="C800">
        <v>179</v>
      </c>
      <c r="D800" t="s">
        <v>159</v>
      </c>
      <c r="E800">
        <v>715</v>
      </c>
      <c r="F800" t="s">
        <v>901</v>
      </c>
      <c r="G800">
        <v>0</v>
      </c>
      <c r="H800">
        <v>0</v>
      </c>
      <c r="I800">
        <v>0</v>
      </c>
      <c r="J800">
        <v>1</v>
      </c>
      <c r="K800">
        <v>1</v>
      </c>
      <c r="L800">
        <v>4</v>
      </c>
      <c r="M800" t="s">
        <v>325</v>
      </c>
      <c r="N800" t="s">
        <v>336</v>
      </c>
    </row>
    <row r="801" spans="1:14" x14ac:dyDescent="0.3">
      <c r="A801">
        <v>353</v>
      </c>
      <c r="B801" t="s">
        <v>313</v>
      </c>
      <c r="C801">
        <v>179</v>
      </c>
      <c r="D801" t="s">
        <v>159</v>
      </c>
      <c r="E801">
        <v>717</v>
      </c>
      <c r="F801" t="s">
        <v>902</v>
      </c>
      <c r="G801">
        <v>0</v>
      </c>
      <c r="H801">
        <v>6</v>
      </c>
      <c r="I801">
        <v>1</v>
      </c>
      <c r="J801">
        <v>0</v>
      </c>
      <c r="K801">
        <v>0</v>
      </c>
      <c r="L801">
        <v>1</v>
      </c>
      <c r="M801" t="s">
        <v>325</v>
      </c>
      <c r="N801" t="s">
        <v>343</v>
      </c>
    </row>
    <row r="802" spans="1:14" x14ac:dyDescent="0.3">
      <c r="A802">
        <v>353</v>
      </c>
      <c r="B802" t="s">
        <v>313</v>
      </c>
      <c r="C802">
        <v>179</v>
      </c>
      <c r="D802" t="s">
        <v>159</v>
      </c>
      <c r="E802">
        <v>718</v>
      </c>
      <c r="F802" t="s">
        <v>903</v>
      </c>
      <c r="G802">
        <v>0</v>
      </c>
      <c r="H802">
        <v>2</v>
      </c>
      <c r="I802">
        <v>2</v>
      </c>
      <c r="J802">
        <v>0</v>
      </c>
      <c r="K802">
        <v>1</v>
      </c>
      <c r="L802">
        <v>0</v>
      </c>
      <c r="M802" t="s">
        <v>333</v>
      </c>
      <c r="N802" t="s">
        <v>336</v>
      </c>
    </row>
    <row r="803" spans="1:14" x14ac:dyDescent="0.3">
      <c r="A803">
        <v>353</v>
      </c>
      <c r="B803" t="s">
        <v>313</v>
      </c>
      <c r="C803">
        <v>179</v>
      </c>
      <c r="D803" t="s">
        <v>159</v>
      </c>
      <c r="E803">
        <v>719</v>
      </c>
      <c r="F803" t="s">
        <v>904</v>
      </c>
      <c r="G803">
        <v>0</v>
      </c>
      <c r="H803">
        <v>0</v>
      </c>
      <c r="I803">
        <v>0</v>
      </c>
      <c r="J803">
        <v>0</v>
      </c>
      <c r="K803">
        <v>0</v>
      </c>
      <c r="L803">
        <v>0</v>
      </c>
      <c r="M803" t="s">
        <v>325</v>
      </c>
      <c r="N803" t="s">
        <v>343</v>
      </c>
    </row>
    <row r="804" spans="1:14" x14ac:dyDescent="0.3">
      <c r="A804">
        <v>353</v>
      </c>
      <c r="B804" t="s">
        <v>313</v>
      </c>
      <c r="C804">
        <v>179</v>
      </c>
      <c r="D804" t="s">
        <v>159</v>
      </c>
      <c r="E804">
        <v>720</v>
      </c>
      <c r="F804" t="s">
        <v>905</v>
      </c>
      <c r="G804">
        <v>0</v>
      </c>
      <c r="H804">
        <v>2</v>
      </c>
      <c r="I804">
        <v>2</v>
      </c>
      <c r="J804">
        <v>0</v>
      </c>
      <c r="K804">
        <v>0</v>
      </c>
      <c r="L804">
        <v>0</v>
      </c>
      <c r="M804" t="s">
        <v>333</v>
      </c>
      <c r="N804" t="s">
        <v>336</v>
      </c>
    </row>
    <row r="805" spans="1:14" x14ac:dyDescent="0.3">
      <c r="A805">
        <v>353</v>
      </c>
      <c r="B805" t="s">
        <v>313</v>
      </c>
      <c r="C805">
        <v>179</v>
      </c>
      <c r="D805" t="s">
        <v>159</v>
      </c>
      <c r="E805">
        <v>722</v>
      </c>
      <c r="F805" t="s">
        <v>906</v>
      </c>
      <c r="G805">
        <v>3</v>
      </c>
      <c r="H805">
        <v>3</v>
      </c>
      <c r="I805">
        <v>3</v>
      </c>
      <c r="J805">
        <v>3</v>
      </c>
      <c r="K805">
        <v>0</v>
      </c>
      <c r="L805">
        <v>0</v>
      </c>
      <c r="M805" t="s">
        <v>325</v>
      </c>
      <c r="N805" t="s">
        <v>336</v>
      </c>
    </row>
    <row r="806" spans="1:14" x14ac:dyDescent="0.3">
      <c r="A806">
        <v>353</v>
      </c>
      <c r="B806" t="s">
        <v>313</v>
      </c>
      <c r="C806">
        <v>179</v>
      </c>
      <c r="D806" t="s">
        <v>159</v>
      </c>
      <c r="E806">
        <v>723</v>
      </c>
      <c r="F806" t="s">
        <v>907</v>
      </c>
      <c r="G806">
        <v>0</v>
      </c>
      <c r="H806">
        <v>0</v>
      </c>
      <c r="I806">
        <v>1</v>
      </c>
      <c r="J806">
        <v>0</v>
      </c>
      <c r="K806">
        <v>0</v>
      </c>
      <c r="L806">
        <v>0</v>
      </c>
      <c r="M806" t="s">
        <v>325</v>
      </c>
      <c r="N806" t="s">
        <v>348</v>
      </c>
    </row>
    <row r="807" spans="1:14" x14ac:dyDescent="0.3">
      <c r="A807">
        <v>353</v>
      </c>
      <c r="B807" t="s">
        <v>313</v>
      </c>
      <c r="C807">
        <v>179</v>
      </c>
      <c r="D807" t="s">
        <v>159</v>
      </c>
      <c r="E807">
        <v>724</v>
      </c>
      <c r="F807" t="s">
        <v>908</v>
      </c>
      <c r="G807">
        <v>0</v>
      </c>
      <c r="H807">
        <v>1</v>
      </c>
      <c r="I807">
        <v>2</v>
      </c>
      <c r="J807">
        <v>4</v>
      </c>
      <c r="K807">
        <v>3</v>
      </c>
      <c r="L807">
        <v>3</v>
      </c>
      <c r="M807" t="s">
        <v>333</v>
      </c>
      <c r="N807" t="s">
        <v>326</v>
      </c>
    </row>
    <row r="808" spans="1:14" x14ac:dyDescent="0.3">
      <c r="A808">
        <v>353</v>
      </c>
      <c r="B808" t="s">
        <v>313</v>
      </c>
      <c r="C808">
        <v>179</v>
      </c>
      <c r="D808" t="s">
        <v>159</v>
      </c>
      <c r="E808">
        <v>725</v>
      </c>
      <c r="F808" t="s">
        <v>909</v>
      </c>
      <c r="G808">
        <v>0</v>
      </c>
      <c r="H808">
        <v>0</v>
      </c>
      <c r="I808">
        <v>1</v>
      </c>
      <c r="J808">
        <v>2</v>
      </c>
      <c r="K808">
        <v>3</v>
      </c>
      <c r="L808">
        <v>1</v>
      </c>
      <c r="M808" t="s">
        <v>333</v>
      </c>
      <c r="N808" t="s">
        <v>326</v>
      </c>
    </row>
    <row r="809" spans="1:14" x14ac:dyDescent="0.3">
      <c r="A809">
        <v>353</v>
      </c>
      <c r="B809" t="s">
        <v>313</v>
      </c>
      <c r="C809">
        <v>179</v>
      </c>
      <c r="D809" t="s">
        <v>159</v>
      </c>
      <c r="E809">
        <v>726</v>
      </c>
      <c r="F809" t="s">
        <v>910</v>
      </c>
      <c r="G809">
        <v>3</v>
      </c>
      <c r="H809">
        <v>1</v>
      </c>
      <c r="I809">
        <v>1</v>
      </c>
      <c r="J809">
        <v>0</v>
      </c>
      <c r="K809">
        <v>0</v>
      </c>
      <c r="L809">
        <v>0</v>
      </c>
      <c r="M809" t="s">
        <v>333</v>
      </c>
      <c r="N809" t="s">
        <v>336</v>
      </c>
    </row>
    <row r="810" spans="1:14" x14ac:dyDescent="0.3">
      <c r="A810">
        <v>353</v>
      </c>
      <c r="B810" t="s">
        <v>313</v>
      </c>
      <c r="C810">
        <v>179</v>
      </c>
      <c r="D810" t="s">
        <v>159</v>
      </c>
      <c r="E810">
        <v>729</v>
      </c>
      <c r="F810" t="s">
        <v>911</v>
      </c>
      <c r="G810">
        <v>1</v>
      </c>
      <c r="H810">
        <v>0</v>
      </c>
      <c r="I810">
        <v>1</v>
      </c>
      <c r="J810">
        <v>0</v>
      </c>
      <c r="K810">
        <v>0</v>
      </c>
      <c r="L810">
        <v>0</v>
      </c>
      <c r="M810" t="s">
        <v>325</v>
      </c>
      <c r="N810" t="s">
        <v>343</v>
      </c>
    </row>
    <row r="811" spans="1:14" x14ac:dyDescent="0.3">
      <c r="A811">
        <v>353</v>
      </c>
      <c r="B811" t="s">
        <v>313</v>
      </c>
      <c r="C811">
        <v>179</v>
      </c>
      <c r="D811" t="s">
        <v>159</v>
      </c>
      <c r="E811">
        <v>730</v>
      </c>
      <c r="F811" t="s">
        <v>912</v>
      </c>
      <c r="G811">
        <v>0</v>
      </c>
      <c r="H811">
        <v>4</v>
      </c>
      <c r="I811">
        <v>4</v>
      </c>
      <c r="J811">
        <v>2</v>
      </c>
      <c r="K811">
        <v>2</v>
      </c>
      <c r="L811">
        <v>4</v>
      </c>
      <c r="M811" t="s">
        <v>333</v>
      </c>
      <c r="N811" t="s">
        <v>326</v>
      </c>
    </row>
    <row r="812" spans="1:14" x14ac:dyDescent="0.3">
      <c r="A812">
        <v>353</v>
      </c>
      <c r="B812" t="s">
        <v>313</v>
      </c>
      <c r="C812">
        <v>179</v>
      </c>
      <c r="D812" t="s">
        <v>159</v>
      </c>
      <c r="E812">
        <v>731</v>
      </c>
      <c r="F812" t="s">
        <v>913</v>
      </c>
      <c r="G812">
        <v>0</v>
      </c>
      <c r="H812">
        <v>5</v>
      </c>
      <c r="I812">
        <v>5</v>
      </c>
      <c r="J812">
        <v>6</v>
      </c>
      <c r="K812">
        <v>6</v>
      </c>
      <c r="L812">
        <v>7</v>
      </c>
      <c r="M812" t="s">
        <v>333</v>
      </c>
      <c r="N812" t="s">
        <v>326</v>
      </c>
    </row>
    <row r="813" spans="1:14" x14ac:dyDescent="0.3">
      <c r="A813">
        <v>353</v>
      </c>
      <c r="B813" t="s">
        <v>313</v>
      </c>
      <c r="C813">
        <v>179</v>
      </c>
      <c r="D813" t="s">
        <v>159</v>
      </c>
      <c r="E813">
        <v>733</v>
      </c>
      <c r="F813" t="s">
        <v>914</v>
      </c>
      <c r="G813">
        <v>3</v>
      </c>
      <c r="H813">
        <v>1</v>
      </c>
      <c r="I813">
        <v>3</v>
      </c>
      <c r="J813">
        <v>0</v>
      </c>
      <c r="K813">
        <v>3</v>
      </c>
      <c r="L813">
        <v>1</v>
      </c>
      <c r="M813" t="s">
        <v>410</v>
      </c>
      <c r="N813" t="s">
        <v>326</v>
      </c>
    </row>
    <row r="814" spans="1:14" x14ac:dyDescent="0.3">
      <c r="A814">
        <v>353</v>
      </c>
      <c r="B814" t="s">
        <v>313</v>
      </c>
      <c r="C814">
        <v>179</v>
      </c>
      <c r="D814" t="s">
        <v>159</v>
      </c>
      <c r="E814">
        <v>734</v>
      </c>
      <c r="F814" t="s">
        <v>915</v>
      </c>
      <c r="G814">
        <v>0</v>
      </c>
      <c r="H814">
        <v>0</v>
      </c>
      <c r="I814">
        <v>1</v>
      </c>
      <c r="J814">
        <v>2</v>
      </c>
      <c r="K814">
        <v>0</v>
      </c>
      <c r="L814">
        <v>0</v>
      </c>
      <c r="M814" t="s">
        <v>333</v>
      </c>
      <c r="N814" t="s">
        <v>336</v>
      </c>
    </row>
    <row r="815" spans="1:14" x14ac:dyDescent="0.3">
      <c r="A815">
        <v>353</v>
      </c>
      <c r="B815" t="s">
        <v>313</v>
      </c>
      <c r="C815">
        <v>179</v>
      </c>
      <c r="D815" t="s">
        <v>159</v>
      </c>
      <c r="E815">
        <v>735</v>
      </c>
      <c r="F815" t="s">
        <v>916</v>
      </c>
      <c r="G815">
        <v>3</v>
      </c>
      <c r="H815">
        <v>1</v>
      </c>
      <c r="I815">
        <v>1</v>
      </c>
      <c r="J815">
        <v>1</v>
      </c>
      <c r="K815">
        <v>0</v>
      </c>
      <c r="L815">
        <v>1</v>
      </c>
      <c r="M815" t="s">
        <v>325</v>
      </c>
      <c r="N815" t="s">
        <v>343</v>
      </c>
    </row>
    <row r="816" spans="1:14" x14ac:dyDescent="0.3">
      <c r="A816">
        <v>353</v>
      </c>
      <c r="B816" t="s">
        <v>313</v>
      </c>
      <c r="C816">
        <v>179</v>
      </c>
      <c r="D816" t="s">
        <v>159</v>
      </c>
      <c r="E816">
        <v>737</v>
      </c>
      <c r="F816" t="s">
        <v>917</v>
      </c>
      <c r="G816">
        <v>1</v>
      </c>
      <c r="H816">
        <v>2</v>
      </c>
      <c r="I816">
        <v>2</v>
      </c>
      <c r="J816">
        <v>0</v>
      </c>
      <c r="K816">
        <v>0</v>
      </c>
      <c r="L816">
        <v>1</v>
      </c>
      <c r="M816" t="s">
        <v>333</v>
      </c>
      <c r="N816" t="s">
        <v>336</v>
      </c>
    </row>
    <row r="817" spans="1:14" x14ac:dyDescent="0.3">
      <c r="A817">
        <v>353</v>
      </c>
      <c r="B817" t="s">
        <v>313</v>
      </c>
      <c r="C817">
        <v>179</v>
      </c>
      <c r="D817" t="s">
        <v>159</v>
      </c>
      <c r="E817">
        <v>738</v>
      </c>
      <c r="F817" t="s">
        <v>918</v>
      </c>
      <c r="G817">
        <v>1</v>
      </c>
      <c r="H817">
        <v>4</v>
      </c>
      <c r="I817">
        <v>5</v>
      </c>
      <c r="J817">
        <v>4</v>
      </c>
      <c r="K817">
        <v>5</v>
      </c>
      <c r="L817">
        <v>2</v>
      </c>
      <c r="M817" t="s">
        <v>333</v>
      </c>
      <c r="N817" t="s">
        <v>326</v>
      </c>
    </row>
    <row r="818" spans="1:14" x14ac:dyDescent="0.3">
      <c r="A818">
        <v>353</v>
      </c>
      <c r="B818" t="s">
        <v>313</v>
      </c>
      <c r="C818">
        <v>179</v>
      </c>
      <c r="D818" t="s">
        <v>159</v>
      </c>
      <c r="E818">
        <v>739</v>
      </c>
      <c r="F818" t="s">
        <v>919</v>
      </c>
      <c r="G818">
        <v>0</v>
      </c>
      <c r="H818">
        <v>6</v>
      </c>
      <c r="I818">
        <v>4</v>
      </c>
      <c r="J818">
        <v>8</v>
      </c>
      <c r="K818">
        <v>13</v>
      </c>
      <c r="L818">
        <v>7</v>
      </c>
      <c r="M818" t="s">
        <v>333</v>
      </c>
      <c r="N818" t="s">
        <v>326</v>
      </c>
    </row>
    <row r="819" spans="1:14" x14ac:dyDescent="0.3">
      <c r="A819">
        <v>353</v>
      </c>
      <c r="B819" t="s">
        <v>313</v>
      </c>
      <c r="C819">
        <v>179</v>
      </c>
      <c r="D819" t="s">
        <v>159</v>
      </c>
      <c r="E819">
        <v>740</v>
      </c>
      <c r="F819" t="s">
        <v>920</v>
      </c>
      <c r="G819">
        <v>0</v>
      </c>
      <c r="H819">
        <v>0</v>
      </c>
      <c r="I819">
        <v>1</v>
      </c>
      <c r="J819">
        <v>0</v>
      </c>
      <c r="K819">
        <v>0</v>
      </c>
      <c r="L819">
        <v>0</v>
      </c>
      <c r="M819" t="s">
        <v>325</v>
      </c>
      <c r="N819" t="s">
        <v>348</v>
      </c>
    </row>
    <row r="820" spans="1:14" x14ac:dyDescent="0.3">
      <c r="A820">
        <v>353</v>
      </c>
      <c r="B820" t="s">
        <v>313</v>
      </c>
      <c r="C820">
        <v>179</v>
      </c>
      <c r="D820" t="s">
        <v>159</v>
      </c>
      <c r="E820">
        <v>741</v>
      </c>
      <c r="F820" t="s">
        <v>921</v>
      </c>
      <c r="G820">
        <v>0</v>
      </c>
      <c r="H820">
        <v>0</v>
      </c>
      <c r="I820">
        <v>0</v>
      </c>
      <c r="J820">
        <v>0</v>
      </c>
      <c r="K820">
        <v>4</v>
      </c>
      <c r="L820">
        <v>0</v>
      </c>
      <c r="M820" t="s">
        <v>333</v>
      </c>
      <c r="N820" t="s">
        <v>326</v>
      </c>
    </row>
    <row r="821" spans="1:14" x14ac:dyDescent="0.3">
      <c r="A821">
        <v>353</v>
      </c>
      <c r="B821" t="s">
        <v>313</v>
      </c>
      <c r="C821">
        <v>179</v>
      </c>
      <c r="D821" t="s">
        <v>159</v>
      </c>
      <c r="E821">
        <v>742</v>
      </c>
      <c r="F821" t="s">
        <v>884</v>
      </c>
      <c r="G821">
        <v>1</v>
      </c>
      <c r="H821">
        <v>2</v>
      </c>
      <c r="I821">
        <v>3</v>
      </c>
      <c r="J821">
        <v>1</v>
      </c>
      <c r="K821">
        <v>0</v>
      </c>
      <c r="L821">
        <v>0</v>
      </c>
      <c r="M821" t="s">
        <v>333</v>
      </c>
      <c r="N821" t="s">
        <v>336</v>
      </c>
    </row>
    <row r="822" spans="1:14" x14ac:dyDescent="0.3">
      <c r="A822">
        <v>353</v>
      </c>
      <c r="B822" t="s">
        <v>313</v>
      </c>
      <c r="C822">
        <v>179</v>
      </c>
      <c r="D822" t="s">
        <v>159</v>
      </c>
      <c r="E822">
        <v>743</v>
      </c>
      <c r="F822" t="s">
        <v>831</v>
      </c>
      <c r="G822">
        <v>0</v>
      </c>
      <c r="H822">
        <v>2</v>
      </c>
      <c r="I822">
        <v>1</v>
      </c>
      <c r="J822">
        <v>1</v>
      </c>
      <c r="K822">
        <v>0</v>
      </c>
      <c r="L822">
        <v>1</v>
      </c>
      <c r="M822" t="s">
        <v>325</v>
      </c>
      <c r="N822" t="s">
        <v>484</v>
      </c>
    </row>
    <row r="823" spans="1:14" x14ac:dyDescent="0.3">
      <c r="A823">
        <v>353</v>
      </c>
      <c r="B823" t="s">
        <v>313</v>
      </c>
      <c r="C823">
        <v>179</v>
      </c>
      <c r="D823" t="s">
        <v>159</v>
      </c>
      <c r="E823">
        <v>745</v>
      </c>
      <c r="F823" t="s">
        <v>922</v>
      </c>
      <c r="G823">
        <v>0</v>
      </c>
      <c r="H823">
        <v>2</v>
      </c>
      <c r="I823">
        <v>1</v>
      </c>
      <c r="J823">
        <v>1</v>
      </c>
      <c r="K823">
        <v>0</v>
      </c>
      <c r="L823">
        <v>1</v>
      </c>
      <c r="M823" t="s">
        <v>325</v>
      </c>
      <c r="N823" t="s">
        <v>326</v>
      </c>
    </row>
    <row r="824" spans="1:14" x14ac:dyDescent="0.3">
      <c r="A824">
        <v>353</v>
      </c>
      <c r="B824" t="s">
        <v>313</v>
      </c>
      <c r="C824">
        <v>179</v>
      </c>
      <c r="D824" t="s">
        <v>159</v>
      </c>
      <c r="E824">
        <v>1093</v>
      </c>
      <c r="F824" t="s">
        <v>924</v>
      </c>
      <c r="G824">
        <v>0</v>
      </c>
      <c r="H824">
        <v>2</v>
      </c>
      <c r="I824">
        <v>2</v>
      </c>
      <c r="J824">
        <v>0</v>
      </c>
      <c r="K824">
        <v>2</v>
      </c>
      <c r="L824">
        <v>0</v>
      </c>
      <c r="M824" t="s">
        <v>333</v>
      </c>
      <c r="N824" t="s">
        <v>326</v>
      </c>
    </row>
    <row r="825" spans="1:14" x14ac:dyDescent="0.3">
      <c r="A825">
        <v>353</v>
      </c>
      <c r="B825" t="s">
        <v>313</v>
      </c>
      <c r="C825">
        <v>179</v>
      </c>
      <c r="D825" t="s">
        <v>159</v>
      </c>
      <c r="E825">
        <v>1094</v>
      </c>
      <c r="F825" t="s">
        <v>925</v>
      </c>
      <c r="G825">
        <v>0</v>
      </c>
      <c r="H825">
        <v>3</v>
      </c>
      <c r="I825">
        <v>2</v>
      </c>
      <c r="J825">
        <v>1</v>
      </c>
      <c r="K825">
        <v>0</v>
      </c>
      <c r="L825">
        <v>1</v>
      </c>
      <c r="M825" t="s">
        <v>333</v>
      </c>
      <c r="N825" t="s">
        <v>336</v>
      </c>
    </row>
    <row r="826" spans="1:14" x14ac:dyDescent="0.3">
      <c r="A826">
        <v>353</v>
      </c>
      <c r="B826" t="s">
        <v>313</v>
      </c>
      <c r="C826">
        <v>179</v>
      </c>
      <c r="D826" t="s">
        <v>159</v>
      </c>
      <c r="E826">
        <v>1095</v>
      </c>
      <c r="F826" t="s">
        <v>926</v>
      </c>
      <c r="G826">
        <v>0</v>
      </c>
      <c r="H826">
        <v>2</v>
      </c>
      <c r="I826">
        <v>1</v>
      </c>
      <c r="J826">
        <v>2</v>
      </c>
      <c r="K826">
        <v>0</v>
      </c>
      <c r="L826">
        <v>2</v>
      </c>
      <c r="M826" t="s">
        <v>333</v>
      </c>
      <c r="N826" t="s">
        <v>326</v>
      </c>
    </row>
    <row r="827" spans="1:14" x14ac:dyDescent="0.3">
      <c r="A827">
        <v>353</v>
      </c>
      <c r="B827" t="s">
        <v>313</v>
      </c>
      <c r="C827">
        <v>179</v>
      </c>
      <c r="D827" t="s">
        <v>159</v>
      </c>
      <c r="E827">
        <v>1333</v>
      </c>
      <c r="F827" t="s">
        <v>927</v>
      </c>
      <c r="G827">
        <v>0</v>
      </c>
      <c r="H827">
        <v>0</v>
      </c>
      <c r="I827">
        <v>1</v>
      </c>
      <c r="J827">
        <v>0</v>
      </c>
      <c r="K827">
        <v>0</v>
      </c>
      <c r="L827">
        <v>0</v>
      </c>
      <c r="M827" t="s">
        <v>333</v>
      </c>
      <c r="N827" t="s">
        <v>336</v>
      </c>
    </row>
    <row r="828" spans="1:14" x14ac:dyDescent="0.3">
      <c r="A828">
        <v>353</v>
      </c>
      <c r="B828" t="s">
        <v>313</v>
      </c>
      <c r="C828">
        <v>179</v>
      </c>
      <c r="D828" t="s">
        <v>159</v>
      </c>
      <c r="E828">
        <v>1334</v>
      </c>
      <c r="F828" t="s">
        <v>928</v>
      </c>
      <c r="G828">
        <v>0</v>
      </c>
      <c r="H828">
        <v>0</v>
      </c>
      <c r="I828">
        <v>3</v>
      </c>
      <c r="J828">
        <v>1</v>
      </c>
      <c r="K828">
        <v>0</v>
      </c>
      <c r="L828">
        <v>0</v>
      </c>
      <c r="M828" t="s">
        <v>410</v>
      </c>
      <c r="N828" t="s">
        <v>326</v>
      </c>
    </row>
    <row r="829" spans="1:14" x14ac:dyDescent="0.3">
      <c r="A829">
        <v>353</v>
      </c>
      <c r="B829" t="s">
        <v>313</v>
      </c>
      <c r="C829">
        <v>179</v>
      </c>
      <c r="D829" t="s">
        <v>159</v>
      </c>
      <c r="E829">
        <v>1714</v>
      </c>
      <c r="F829" t="s">
        <v>1387</v>
      </c>
    </row>
    <row r="830" spans="1:14" x14ac:dyDescent="0.3">
      <c r="A830">
        <v>353</v>
      </c>
      <c r="B830" t="s">
        <v>313</v>
      </c>
      <c r="C830">
        <v>179</v>
      </c>
      <c r="D830" t="s">
        <v>159</v>
      </c>
      <c r="E830">
        <v>1855</v>
      </c>
      <c r="F830" t="s">
        <v>1455</v>
      </c>
    </row>
    <row r="831" spans="1:14" x14ac:dyDescent="0.3">
      <c r="A831">
        <v>353</v>
      </c>
      <c r="B831" t="s">
        <v>313</v>
      </c>
      <c r="C831">
        <v>179</v>
      </c>
      <c r="D831" t="s">
        <v>159</v>
      </c>
      <c r="E831">
        <v>1856</v>
      </c>
      <c r="F831" t="s">
        <v>1456</v>
      </c>
    </row>
    <row r="832" spans="1:14" x14ac:dyDescent="0.3">
      <c r="A832">
        <v>354</v>
      </c>
      <c r="B832" t="s">
        <v>313</v>
      </c>
      <c r="C832">
        <v>180</v>
      </c>
      <c r="D832" t="s">
        <v>161</v>
      </c>
      <c r="E832">
        <v>800</v>
      </c>
      <c r="F832" t="s">
        <v>474</v>
      </c>
      <c r="G832">
        <v>0</v>
      </c>
      <c r="H832">
        <v>0</v>
      </c>
      <c r="I832">
        <v>3</v>
      </c>
      <c r="J832">
        <v>2</v>
      </c>
      <c r="K832">
        <v>4</v>
      </c>
      <c r="L832">
        <v>2</v>
      </c>
      <c r="M832" t="s">
        <v>325</v>
      </c>
      <c r="N832" t="s">
        <v>326</v>
      </c>
    </row>
    <row r="833" spans="1:14" x14ac:dyDescent="0.3">
      <c r="A833">
        <v>354</v>
      </c>
      <c r="B833" t="s">
        <v>313</v>
      </c>
      <c r="C833">
        <v>180</v>
      </c>
      <c r="D833" t="s">
        <v>161</v>
      </c>
      <c r="E833">
        <v>801</v>
      </c>
      <c r="F833" t="s">
        <v>929</v>
      </c>
      <c r="G833">
        <v>1</v>
      </c>
      <c r="H833">
        <v>3</v>
      </c>
      <c r="I833">
        <v>7</v>
      </c>
      <c r="J833">
        <v>7</v>
      </c>
      <c r="K833">
        <v>3</v>
      </c>
      <c r="L833">
        <v>3</v>
      </c>
      <c r="M833" t="s">
        <v>325</v>
      </c>
      <c r="N833" t="s">
        <v>326</v>
      </c>
    </row>
    <row r="834" spans="1:14" x14ac:dyDescent="0.3">
      <c r="A834">
        <v>354</v>
      </c>
      <c r="B834" t="s">
        <v>313</v>
      </c>
      <c r="C834">
        <v>180</v>
      </c>
      <c r="D834" t="s">
        <v>161</v>
      </c>
      <c r="E834">
        <v>802</v>
      </c>
      <c r="F834" t="s">
        <v>930</v>
      </c>
      <c r="G834">
        <v>0</v>
      </c>
      <c r="H834">
        <v>0</v>
      </c>
      <c r="I834">
        <v>2</v>
      </c>
      <c r="J834">
        <v>2</v>
      </c>
      <c r="K834">
        <v>6</v>
      </c>
      <c r="L834">
        <v>0</v>
      </c>
      <c r="M834" t="s">
        <v>333</v>
      </c>
      <c r="N834" t="s">
        <v>326</v>
      </c>
    </row>
    <row r="835" spans="1:14" x14ac:dyDescent="0.3">
      <c r="A835">
        <v>354</v>
      </c>
      <c r="B835" t="s">
        <v>313</v>
      </c>
      <c r="C835">
        <v>180</v>
      </c>
      <c r="D835" t="s">
        <v>161</v>
      </c>
      <c r="E835">
        <v>803</v>
      </c>
      <c r="F835" t="s">
        <v>931</v>
      </c>
      <c r="G835">
        <v>0</v>
      </c>
      <c r="H835">
        <v>0</v>
      </c>
      <c r="I835">
        <v>5</v>
      </c>
      <c r="J835">
        <v>2</v>
      </c>
      <c r="K835">
        <v>0</v>
      </c>
      <c r="L835">
        <v>0</v>
      </c>
      <c r="M835" t="s">
        <v>333</v>
      </c>
      <c r="N835" t="s">
        <v>326</v>
      </c>
    </row>
    <row r="836" spans="1:14" x14ac:dyDescent="0.3">
      <c r="A836">
        <v>354</v>
      </c>
      <c r="B836" t="s">
        <v>313</v>
      </c>
      <c r="C836">
        <v>180</v>
      </c>
      <c r="D836" t="s">
        <v>161</v>
      </c>
      <c r="E836">
        <v>806</v>
      </c>
      <c r="F836" t="s">
        <v>932</v>
      </c>
      <c r="G836">
        <v>0</v>
      </c>
      <c r="H836">
        <v>2</v>
      </c>
      <c r="I836">
        <v>1</v>
      </c>
      <c r="J836">
        <v>4</v>
      </c>
      <c r="K836">
        <v>1</v>
      </c>
      <c r="L836">
        <v>2</v>
      </c>
      <c r="M836" t="s">
        <v>333</v>
      </c>
      <c r="N836" t="s">
        <v>326</v>
      </c>
    </row>
    <row r="837" spans="1:14" x14ac:dyDescent="0.3">
      <c r="A837">
        <v>354</v>
      </c>
      <c r="B837" t="s">
        <v>313</v>
      </c>
      <c r="C837">
        <v>180</v>
      </c>
      <c r="D837" t="s">
        <v>161</v>
      </c>
      <c r="E837">
        <v>808</v>
      </c>
      <c r="F837" t="s">
        <v>933</v>
      </c>
      <c r="G837">
        <v>0</v>
      </c>
      <c r="H837">
        <v>0</v>
      </c>
      <c r="I837">
        <v>4</v>
      </c>
      <c r="J837">
        <v>4</v>
      </c>
      <c r="K837">
        <v>4</v>
      </c>
      <c r="L837">
        <v>2</v>
      </c>
      <c r="M837" t="s">
        <v>325</v>
      </c>
      <c r="N837" t="s">
        <v>326</v>
      </c>
    </row>
    <row r="838" spans="1:14" x14ac:dyDescent="0.3">
      <c r="A838">
        <v>354</v>
      </c>
      <c r="B838" t="s">
        <v>313</v>
      </c>
      <c r="C838">
        <v>180</v>
      </c>
      <c r="D838" t="s">
        <v>161</v>
      </c>
      <c r="E838">
        <v>809</v>
      </c>
      <c r="F838" t="s">
        <v>934</v>
      </c>
      <c r="G838">
        <v>0</v>
      </c>
      <c r="H838">
        <v>0</v>
      </c>
      <c r="I838">
        <v>0</v>
      </c>
      <c r="J838">
        <v>0</v>
      </c>
      <c r="K838">
        <v>1</v>
      </c>
      <c r="L838">
        <v>0</v>
      </c>
      <c r="M838" t="s">
        <v>325</v>
      </c>
      <c r="N838" t="s">
        <v>329</v>
      </c>
    </row>
    <row r="839" spans="1:14" x14ac:dyDescent="0.3">
      <c r="A839">
        <v>354</v>
      </c>
      <c r="B839" t="s">
        <v>313</v>
      </c>
      <c r="C839">
        <v>180</v>
      </c>
      <c r="D839" t="s">
        <v>161</v>
      </c>
      <c r="E839">
        <v>810</v>
      </c>
      <c r="F839" t="s">
        <v>935</v>
      </c>
      <c r="G839">
        <v>0</v>
      </c>
      <c r="H839">
        <v>0</v>
      </c>
      <c r="I839">
        <v>4</v>
      </c>
      <c r="J839">
        <v>2</v>
      </c>
      <c r="K839">
        <v>1</v>
      </c>
      <c r="L839">
        <v>0</v>
      </c>
      <c r="M839" t="s">
        <v>325</v>
      </c>
      <c r="N839" t="s">
        <v>326</v>
      </c>
    </row>
    <row r="840" spans="1:14" x14ac:dyDescent="0.3">
      <c r="A840">
        <v>354</v>
      </c>
      <c r="B840" t="s">
        <v>313</v>
      </c>
      <c r="C840">
        <v>180</v>
      </c>
      <c r="D840" t="s">
        <v>161</v>
      </c>
      <c r="E840">
        <v>811</v>
      </c>
      <c r="F840" t="s">
        <v>936</v>
      </c>
      <c r="G840">
        <v>0</v>
      </c>
      <c r="H840">
        <v>0</v>
      </c>
      <c r="I840">
        <v>3</v>
      </c>
      <c r="J840">
        <v>2</v>
      </c>
      <c r="K840">
        <v>2</v>
      </c>
      <c r="L840">
        <v>0</v>
      </c>
      <c r="M840" t="s">
        <v>333</v>
      </c>
      <c r="N840" t="s">
        <v>336</v>
      </c>
    </row>
    <row r="841" spans="1:14" x14ac:dyDescent="0.3">
      <c r="A841">
        <v>354</v>
      </c>
      <c r="B841" t="s">
        <v>313</v>
      </c>
      <c r="C841">
        <v>180</v>
      </c>
      <c r="D841" t="s">
        <v>161</v>
      </c>
      <c r="E841">
        <v>814</v>
      </c>
      <c r="F841" t="s">
        <v>640</v>
      </c>
      <c r="G841">
        <v>0</v>
      </c>
      <c r="H841">
        <v>0</v>
      </c>
      <c r="I841">
        <v>0</v>
      </c>
      <c r="J841">
        <v>0</v>
      </c>
      <c r="K841">
        <v>3</v>
      </c>
      <c r="L841">
        <v>3</v>
      </c>
      <c r="M841" t="s">
        <v>333</v>
      </c>
      <c r="N841" t="s">
        <v>326</v>
      </c>
    </row>
    <row r="842" spans="1:14" x14ac:dyDescent="0.3">
      <c r="A842">
        <v>354</v>
      </c>
      <c r="B842" t="s">
        <v>313</v>
      </c>
      <c r="C842">
        <v>180</v>
      </c>
      <c r="D842" t="s">
        <v>161</v>
      </c>
      <c r="E842">
        <v>815</v>
      </c>
      <c r="F842" t="s">
        <v>937</v>
      </c>
      <c r="G842">
        <v>0</v>
      </c>
      <c r="H842">
        <v>0</v>
      </c>
      <c r="I842">
        <v>0</v>
      </c>
      <c r="J842">
        <v>2</v>
      </c>
      <c r="K842">
        <v>1</v>
      </c>
      <c r="L842">
        <v>1</v>
      </c>
      <c r="M842" t="s">
        <v>333</v>
      </c>
      <c r="N842" t="s">
        <v>326</v>
      </c>
    </row>
    <row r="843" spans="1:14" x14ac:dyDescent="0.3">
      <c r="A843">
        <v>354</v>
      </c>
      <c r="B843" t="s">
        <v>313</v>
      </c>
      <c r="C843">
        <v>180</v>
      </c>
      <c r="D843" t="s">
        <v>161</v>
      </c>
      <c r="E843">
        <v>816</v>
      </c>
      <c r="F843" t="s">
        <v>938</v>
      </c>
      <c r="G843">
        <v>2</v>
      </c>
      <c r="H843">
        <v>3</v>
      </c>
      <c r="I843">
        <v>4</v>
      </c>
      <c r="J843">
        <v>0</v>
      </c>
      <c r="K843">
        <v>0</v>
      </c>
      <c r="L843">
        <v>0</v>
      </c>
      <c r="M843" t="s">
        <v>333</v>
      </c>
      <c r="N843" t="s">
        <v>326</v>
      </c>
    </row>
    <row r="844" spans="1:14" x14ac:dyDescent="0.3">
      <c r="A844">
        <v>354</v>
      </c>
      <c r="B844" t="s">
        <v>313</v>
      </c>
      <c r="C844">
        <v>180</v>
      </c>
      <c r="D844" t="s">
        <v>161</v>
      </c>
      <c r="E844">
        <v>818</v>
      </c>
      <c r="F844" t="s">
        <v>939</v>
      </c>
      <c r="G844">
        <v>0</v>
      </c>
      <c r="H844">
        <v>1</v>
      </c>
      <c r="I844">
        <v>4</v>
      </c>
      <c r="J844">
        <v>1</v>
      </c>
      <c r="K844">
        <v>0</v>
      </c>
      <c r="L844">
        <v>0</v>
      </c>
      <c r="M844" t="s">
        <v>333</v>
      </c>
      <c r="N844" t="s">
        <v>326</v>
      </c>
    </row>
    <row r="845" spans="1:14" x14ac:dyDescent="0.3">
      <c r="A845">
        <v>354</v>
      </c>
      <c r="B845" t="s">
        <v>313</v>
      </c>
      <c r="C845">
        <v>180</v>
      </c>
      <c r="D845" t="s">
        <v>161</v>
      </c>
      <c r="E845">
        <v>819</v>
      </c>
      <c r="F845" t="s">
        <v>940</v>
      </c>
      <c r="G845">
        <v>1</v>
      </c>
      <c r="H845">
        <v>0</v>
      </c>
      <c r="I845">
        <v>2</v>
      </c>
      <c r="J845">
        <v>2</v>
      </c>
      <c r="K845">
        <v>0</v>
      </c>
      <c r="L845">
        <v>0</v>
      </c>
      <c r="M845" t="s">
        <v>333</v>
      </c>
      <c r="N845" t="s">
        <v>326</v>
      </c>
    </row>
    <row r="846" spans="1:14" x14ac:dyDescent="0.3">
      <c r="A846">
        <v>354</v>
      </c>
      <c r="B846" t="s">
        <v>313</v>
      </c>
      <c r="C846">
        <v>180</v>
      </c>
      <c r="D846" t="s">
        <v>161</v>
      </c>
      <c r="E846">
        <v>820</v>
      </c>
      <c r="F846" t="s">
        <v>941</v>
      </c>
      <c r="G846">
        <v>6</v>
      </c>
      <c r="H846">
        <v>0</v>
      </c>
      <c r="I846">
        <v>0</v>
      </c>
      <c r="J846">
        <v>0</v>
      </c>
      <c r="K846">
        <v>0</v>
      </c>
      <c r="L846">
        <v>0</v>
      </c>
      <c r="M846" t="s">
        <v>333</v>
      </c>
      <c r="N846" t="s">
        <v>326</v>
      </c>
    </row>
    <row r="847" spans="1:14" x14ac:dyDescent="0.3">
      <c r="A847">
        <v>354</v>
      </c>
      <c r="B847" t="s">
        <v>313</v>
      </c>
      <c r="C847">
        <v>180</v>
      </c>
      <c r="D847" t="s">
        <v>161</v>
      </c>
      <c r="E847">
        <v>821</v>
      </c>
      <c r="F847" t="s">
        <v>942</v>
      </c>
      <c r="G847">
        <v>0</v>
      </c>
      <c r="H847">
        <v>0</v>
      </c>
      <c r="I847">
        <v>2</v>
      </c>
      <c r="J847">
        <v>2</v>
      </c>
      <c r="K847">
        <v>2</v>
      </c>
      <c r="L847">
        <v>0</v>
      </c>
      <c r="M847" t="s">
        <v>325</v>
      </c>
      <c r="N847" t="s">
        <v>336</v>
      </c>
    </row>
    <row r="848" spans="1:14" x14ac:dyDescent="0.3">
      <c r="A848">
        <v>354</v>
      </c>
      <c r="B848" t="s">
        <v>313</v>
      </c>
      <c r="C848">
        <v>180</v>
      </c>
      <c r="D848" t="s">
        <v>161</v>
      </c>
      <c r="E848">
        <v>822</v>
      </c>
      <c r="F848" t="s">
        <v>943</v>
      </c>
      <c r="G848">
        <v>0</v>
      </c>
      <c r="H848">
        <v>0</v>
      </c>
      <c r="I848">
        <v>6</v>
      </c>
      <c r="J848">
        <v>0</v>
      </c>
      <c r="K848">
        <v>0</v>
      </c>
      <c r="L848">
        <v>0</v>
      </c>
      <c r="M848" t="s">
        <v>325</v>
      </c>
      <c r="N848" t="s">
        <v>343</v>
      </c>
    </row>
    <row r="849" spans="1:14" x14ac:dyDescent="0.3">
      <c r="A849">
        <v>354</v>
      </c>
      <c r="B849" t="s">
        <v>313</v>
      </c>
      <c r="C849">
        <v>180</v>
      </c>
      <c r="D849" t="s">
        <v>161</v>
      </c>
      <c r="E849">
        <v>824</v>
      </c>
      <c r="F849" t="s">
        <v>944</v>
      </c>
      <c r="G849">
        <v>1</v>
      </c>
      <c r="H849">
        <v>0</v>
      </c>
      <c r="I849">
        <v>2</v>
      </c>
      <c r="J849">
        <v>2</v>
      </c>
      <c r="K849">
        <v>2</v>
      </c>
      <c r="L849">
        <v>2</v>
      </c>
      <c r="M849" t="s">
        <v>325</v>
      </c>
      <c r="N849" t="s">
        <v>326</v>
      </c>
    </row>
    <row r="850" spans="1:14" x14ac:dyDescent="0.3">
      <c r="A850">
        <v>354</v>
      </c>
      <c r="B850" t="s">
        <v>313</v>
      </c>
      <c r="C850">
        <v>180</v>
      </c>
      <c r="D850" t="s">
        <v>161</v>
      </c>
      <c r="E850">
        <v>825</v>
      </c>
      <c r="F850" t="s">
        <v>945</v>
      </c>
      <c r="G850">
        <v>0</v>
      </c>
      <c r="H850">
        <v>0</v>
      </c>
      <c r="I850">
        <v>0</v>
      </c>
      <c r="J850">
        <v>10</v>
      </c>
      <c r="K850">
        <v>10</v>
      </c>
      <c r="L850">
        <v>0</v>
      </c>
      <c r="M850" t="s">
        <v>325</v>
      </c>
      <c r="N850" t="s">
        <v>336</v>
      </c>
    </row>
    <row r="851" spans="1:14" x14ac:dyDescent="0.3">
      <c r="A851">
        <v>354</v>
      </c>
      <c r="B851" t="s">
        <v>313</v>
      </c>
      <c r="C851">
        <v>180</v>
      </c>
      <c r="D851" t="s">
        <v>161</v>
      </c>
      <c r="E851">
        <v>826</v>
      </c>
      <c r="F851" t="s">
        <v>946</v>
      </c>
      <c r="G851">
        <v>0</v>
      </c>
      <c r="H851">
        <v>0</v>
      </c>
      <c r="I851">
        <v>0</v>
      </c>
      <c r="J851">
        <v>0</v>
      </c>
      <c r="K851">
        <v>6</v>
      </c>
      <c r="L851">
        <v>0</v>
      </c>
      <c r="M851" t="s">
        <v>325</v>
      </c>
      <c r="N851" t="s">
        <v>336</v>
      </c>
    </row>
    <row r="852" spans="1:14" x14ac:dyDescent="0.3">
      <c r="A852">
        <v>354</v>
      </c>
      <c r="B852" t="s">
        <v>313</v>
      </c>
      <c r="C852">
        <v>180</v>
      </c>
      <c r="D852" t="s">
        <v>161</v>
      </c>
      <c r="E852">
        <v>827</v>
      </c>
      <c r="F852" t="s">
        <v>947</v>
      </c>
      <c r="G852">
        <v>0</v>
      </c>
      <c r="H852">
        <v>0</v>
      </c>
      <c r="I852">
        <v>3</v>
      </c>
      <c r="J852">
        <v>3</v>
      </c>
      <c r="K852">
        <v>3</v>
      </c>
      <c r="L852">
        <v>5</v>
      </c>
      <c r="M852" t="s">
        <v>325</v>
      </c>
      <c r="N852" t="s">
        <v>326</v>
      </c>
    </row>
    <row r="853" spans="1:14" x14ac:dyDescent="0.3">
      <c r="A853">
        <v>354</v>
      </c>
      <c r="B853" t="s">
        <v>313</v>
      </c>
      <c r="C853">
        <v>180</v>
      </c>
      <c r="D853" t="s">
        <v>161</v>
      </c>
      <c r="E853">
        <v>828</v>
      </c>
      <c r="F853" t="s">
        <v>948</v>
      </c>
      <c r="G853">
        <v>2</v>
      </c>
      <c r="H853">
        <v>2</v>
      </c>
      <c r="I853">
        <v>2</v>
      </c>
      <c r="J853">
        <v>2</v>
      </c>
      <c r="K853">
        <v>0</v>
      </c>
      <c r="L853">
        <v>0</v>
      </c>
      <c r="M853" t="s">
        <v>333</v>
      </c>
      <c r="N853" t="s">
        <v>326</v>
      </c>
    </row>
    <row r="854" spans="1:14" x14ac:dyDescent="0.3">
      <c r="A854">
        <v>354</v>
      </c>
      <c r="B854" t="s">
        <v>313</v>
      </c>
      <c r="C854">
        <v>180</v>
      </c>
      <c r="D854" t="s">
        <v>161</v>
      </c>
      <c r="E854">
        <v>829</v>
      </c>
      <c r="F854" t="s">
        <v>949</v>
      </c>
      <c r="G854">
        <v>0</v>
      </c>
      <c r="H854">
        <v>0</v>
      </c>
      <c r="I854">
        <v>0</v>
      </c>
      <c r="J854">
        <v>3</v>
      </c>
      <c r="K854">
        <v>3</v>
      </c>
      <c r="L854">
        <v>3</v>
      </c>
      <c r="M854" t="s">
        <v>333</v>
      </c>
      <c r="N854" t="s">
        <v>326</v>
      </c>
    </row>
    <row r="855" spans="1:14" x14ac:dyDescent="0.3">
      <c r="A855">
        <v>354</v>
      </c>
      <c r="B855" t="s">
        <v>313</v>
      </c>
      <c r="C855">
        <v>180</v>
      </c>
      <c r="D855" t="s">
        <v>161</v>
      </c>
      <c r="E855">
        <v>831</v>
      </c>
      <c r="F855" t="s">
        <v>950</v>
      </c>
      <c r="G855">
        <v>0</v>
      </c>
      <c r="H855">
        <v>0</v>
      </c>
      <c r="I855">
        <v>2</v>
      </c>
      <c r="J855">
        <v>2</v>
      </c>
      <c r="K855">
        <v>0</v>
      </c>
      <c r="L855">
        <v>0</v>
      </c>
      <c r="M855" t="s">
        <v>325</v>
      </c>
      <c r="N855" t="s">
        <v>329</v>
      </c>
    </row>
    <row r="856" spans="1:14" x14ac:dyDescent="0.3">
      <c r="A856">
        <v>354</v>
      </c>
      <c r="B856" t="s">
        <v>313</v>
      </c>
      <c r="C856">
        <v>180</v>
      </c>
      <c r="D856" t="s">
        <v>161</v>
      </c>
      <c r="E856">
        <v>832</v>
      </c>
      <c r="F856" t="s">
        <v>951</v>
      </c>
      <c r="G856">
        <v>1</v>
      </c>
      <c r="H856">
        <v>1</v>
      </c>
      <c r="I856">
        <v>4</v>
      </c>
      <c r="J856">
        <v>2</v>
      </c>
      <c r="K856">
        <v>2</v>
      </c>
      <c r="L856">
        <v>0</v>
      </c>
      <c r="M856" t="s">
        <v>325</v>
      </c>
      <c r="N856" t="s">
        <v>326</v>
      </c>
    </row>
    <row r="857" spans="1:14" x14ac:dyDescent="0.3">
      <c r="A857">
        <v>354</v>
      </c>
      <c r="B857" t="s">
        <v>313</v>
      </c>
      <c r="C857">
        <v>180</v>
      </c>
      <c r="D857" t="s">
        <v>161</v>
      </c>
      <c r="E857">
        <v>833</v>
      </c>
      <c r="F857" t="s">
        <v>952</v>
      </c>
      <c r="G857">
        <v>0</v>
      </c>
      <c r="H857">
        <v>2</v>
      </c>
      <c r="I857">
        <v>0</v>
      </c>
      <c r="J857">
        <v>4</v>
      </c>
      <c r="K857">
        <v>6</v>
      </c>
      <c r="L857">
        <v>3</v>
      </c>
      <c r="M857" t="s">
        <v>333</v>
      </c>
      <c r="N857" t="s">
        <v>326</v>
      </c>
    </row>
    <row r="858" spans="1:14" x14ac:dyDescent="0.3">
      <c r="A858">
        <v>354</v>
      </c>
      <c r="B858" t="s">
        <v>313</v>
      </c>
      <c r="C858">
        <v>180</v>
      </c>
      <c r="D858" t="s">
        <v>161</v>
      </c>
      <c r="E858">
        <v>834</v>
      </c>
      <c r="F858" t="s">
        <v>393</v>
      </c>
      <c r="G858">
        <v>0</v>
      </c>
      <c r="H858">
        <v>0</v>
      </c>
      <c r="I858">
        <v>3</v>
      </c>
      <c r="J858">
        <v>3</v>
      </c>
      <c r="K858">
        <v>0</v>
      </c>
      <c r="L858">
        <v>0</v>
      </c>
      <c r="M858" t="s">
        <v>566</v>
      </c>
      <c r="N858" t="s">
        <v>336</v>
      </c>
    </row>
    <row r="859" spans="1:14" x14ac:dyDescent="0.3">
      <c r="A859">
        <v>356</v>
      </c>
      <c r="B859" t="s">
        <v>313</v>
      </c>
      <c r="C859">
        <v>182</v>
      </c>
      <c r="D859" t="s">
        <v>165</v>
      </c>
      <c r="E859">
        <v>1684</v>
      </c>
      <c r="F859" t="s">
        <v>1457</v>
      </c>
    </row>
    <row r="860" spans="1:14" x14ac:dyDescent="0.3">
      <c r="A860">
        <v>356</v>
      </c>
      <c r="B860" t="s">
        <v>313</v>
      </c>
      <c r="C860">
        <v>182</v>
      </c>
      <c r="D860" t="s">
        <v>165</v>
      </c>
      <c r="E860">
        <v>1685</v>
      </c>
      <c r="F860" t="s">
        <v>1458</v>
      </c>
    </row>
    <row r="861" spans="1:14" x14ac:dyDescent="0.3">
      <c r="A861">
        <v>356</v>
      </c>
      <c r="B861" t="s">
        <v>313</v>
      </c>
      <c r="C861">
        <v>182</v>
      </c>
      <c r="D861" t="s">
        <v>165</v>
      </c>
      <c r="E861">
        <v>1686</v>
      </c>
      <c r="F861" t="s">
        <v>1459</v>
      </c>
    </row>
    <row r="862" spans="1:14" x14ac:dyDescent="0.3">
      <c r="A862">
        <v>356</v>
      </c>
      <c r="B862" t="s">
        <v>313</v>
      </c>
      <c r="C862">
        <v>182</v>
      </c>
      <c r="D862" t="s">
        <v>165</v>
      </c>
      <c r="E862">
        <v>1687</v>
      </c>
      <c r="F862" t="s">
        <v>1460</v>
      </c>
    </row>
    <row r="863" spans="1:14" x14ac:dyDescent="0.3">
      <c r="A863">
        <v>356</v>
      </c>
      <c r="B863" t="s">
        <v>313</v>
      </c>
      <c r="C863">
        <v>182</v>
      </c>
      <c r="D863" t="s">
        <v>165</v>
      </c>
      <c r="E863">
        <v>1688</v>
      </c>
      <c r="F863" t="s">
        <v>1461</v>
      </c>
    </row>
    <row r="864" spans="1:14" x14ac:dyDescent="0.3">
      <c r="A864">
        <v>356</v>
      </c>
      <c r="B864" t="s">
        <v>313</v>
      </c>
      <c r="C864">
        <v>182</v>
      </c>
      <c r="D864" t="s">
        <v>165</v>
      </c>
      <c r="E864">
        <v>1689</v>
      </c>
      <c r="F864" t="s">
        <v>1462</v>
      </c>
    </row>
    <row r="865" spans="1:6" x14ac:dyDescent="0.3">
      <c r="A865">
        <v>356</v>
      </c>
      <c r="B865" t="s">
        <v>313</v>
      </c>
      <c r="C865">
        <v>182</v>
      </c>
      <c r="D865" t="s">
        <v>165</v>
      </c>
      <c r="E865">
        <v>1690</v>
      </c>
      <c r="F865" t="s">
        <v>1463</v>
      </c>
    </row>
    <row r="866" spans="1:6" x14ac:dyDescent="0.3">
      <c r="A866">
        <v>356</v>
      </c>
      <c r="B866" t="s">
        <v>313</v>
      </c>
      <c r="C866">
        <v>182</v>
      </c>
      <c r="D866" t="s">
        <v>165</v>
      </c>
      <c r="E866">
        <v>1691</v>
      </c>
      <c r="F866" t="s">
        <v>1464</v>
      </c>
    </row>
    <row r="867" spans="1:6" x14ac:dyDescent="0.3">
      <c r="A867">
        <v>356</v>
      </c>
      <c r="B867" t="s">
        <v>313</v>
      </c>
      <c r="C867">
        <v>182</v>
      </c>
      <c r="D867" t="s">
        <v>165</v>
      </c>
      <c r="E867">
        <v>1692</v>
      </c>
      <c r="F867" t="s">
        <v>444</v>
      </c>
    </row>
    <row r="868" spans="1:6" x14ac:dyDescent="0.3">
      <c r="A868">
        <v>356</v>
      </c>
      <c r="B868" t="s">
        <v>313</v>
      </c>
      <c r="C868">
        <v>182</v>
      </c>
      <c r="D868" t="s">
        <v>165</v>
      </c>
      <c r="E868">
        <v>1693</v>
      </c>
      <c r="F868" t="s">
        <v>1465</v>
      </c>
    </row>
    <row r="869" spans="1:6" x14ac:dyDescent="0.3">
      <c r="A869">
        <v>356</v>
      </c>
      <c r="B869" t="s">
        <v>313</v>
      </c>
      <c r="C869">
        <v>182</v>
      </c>
      <c r="D869" t="s">
        <v>165</v>
      </c>
      <c r="E869">
        <v>1694</v>
      </c>
      <c r="F869" t="s">
        <v>863</v>
      </c>
    </row>
    <row r="870" spans="1:6" x14ac:dyDescent="0.3">
      <c r="A870">
        <v>356</v>
      </c>
      <c r="B870" t="s">
        <v>313</v>
      </c>
      <c r="C870">
        <v>182</v>
      </c>
      <c r="D870" t="s">
        <v>165</v>
      </c>
      <c r="E870">
        <v>1695</v>
      </c>
      <c r="F870" t="s">
        <v>1375</v>
      </c>
    </row>
    <row r="871" spans="1:6" x14ac:dyDescent="0.3">
      <c r="A871">
        <v>356</v>
      </c>
      <c r="B871" t="s">
        <v>313</v>
      </c>
      <c r="C871">
        <v>182</v>
      </c>
      <c r="D871" t="s">
        <v>165</v>
      </c>
      <c r="E871">
        <v>1696</v>
      </c>
      <c r="F871" t="s">
        <v>1466</v>
      </c>
    </row>
    <row r="872" spans="1:6" x14ac:dyDescent="0.3">
      <c r="A872">
        <v>356</v>
      </c>
      <c r="B872" t="s">
        <v>313</v>
      </c>
      <c r="C872">
        <v>182</v>
      </c>
      <c r="D872" t="s">
        <v>165</v>
      </c>
      <c r="E872">
        <v>1697</v>
      </c>
      <c r="F872" t="s">
        <v>1467</v>
      </c>
    </row>
    <row r="873" spans="1:6" x14ac:dyDescent="0.3">
      <c r="A873">
        <v>356</v>
      </c>
      <c r="B873" t="s">
        <v>313</v>
      </c>
      <c r="C873">
        <v>182</v>
      </c>
      <c r="D873" t="s">
        <v>165</v>
      </c>
      <c r="E873">
        <v>1698</v>
      </c>
      <c r="F873" t="s">
        <v>1240</v>
      </c>
    </row>
    <row r="874" spans="1:6" x14ac:dyDescent="0.3">
      <c r="A874">
        <v>356</v>
      </c>
      <c r="B874" t="s">
        <v>313</v>
      </c>
      <c r="C874">
        <v>182</v>
      </c>
      <c r="D874" t="s">
        <v>165</v>
      </c>
      <c r="E874">
        <v>1699</v>
      </c>
      <c r="F874" t="s">
        <v>884</v>
      </c>
    </row>
    <row r="875" spans="1:6" x14ac:dyDescent="0.3">
      <c r="A875">
        <v>356</v>
      </c>
      <c r="B875" t="s">
        <v>313</v>
      </c>
      <c r="C875">
        <v>182</v>
      </c>
      <c r="D875" t="s">
        <v>165</v>
      </c>
      <c r="E875">
        <v>1700</v>
      </c>
      <c r="F875" t="s">
        <v>680</v>
      </c>
    </row>
    <row r="876" spans="1:6" x14ac:dyDescent="0.3">
      <c r="A876">
        <v>356</v>
      </c>
      <c r="B876" t="s">
        <v>313</v>
      </c>
      <c r="C876">
        <v>182</v>
      </c>
      <c r="D876" t="s">
        <v>165</v>
      </c>
      <c r="E876">
        <v>1701</v>
      </c>
      <c r="F876" t="s">
        <v>781</v>
      </c>
    </row>
    <row r="877" spans="1:6" x14ac:dyDescent="0.3">
      <c r="A877">
        <v>356</v>
      </c>
      <c r="B877" t="s">
        <v>313</v>
      </c>
      <c r="C877">
        <v>182</v>
      </c>
      <c r="D877" t="s">
        <v>165</v>
      </c>
      <c r="E877">
        <v>1702</v>
      </c>
      <c r="F877" t="s">
        <v>897</v>
      </c>
    </row>
    <row r="878" spans="1:6" x14ac:dyDescent="0.3">
      <c r="A878">
        <v>356</v>
      </c>
      <c r="B878" t="s">
        <v>313</v>
      </c>
      <c r="C878">
        <v>182</v>
      </c>
      <c r="D878" t="s">
        <v>165</v>
      </c>
      <c r="E878">
        <v>1703</v>
      </c>
      <c r="F878" t="s">
        <v>666</v>
      </c>
    </row>
    <row r="879" spans="1:6" x14ac:dyDescent="0.3">
      <c r="A879">
        <v>356</v>
      </c>
      <c r="B879" t="s">
        <v>313</v>
      </c>
      <c r="C879">
        <v>182</v>
      </c>
      <c r="D879" t="s">
        <v>165</v>
      </c>
      <c r="E879">
        <v>1704</v>
      </c>
      <c r="F879" t="s">
        <v>1468</v>
      </c>
    </row>
    <row r="880" spans="1:6" x14ac:dyDescent="0.3">
      <c r="A880">
        <v>356</v>
      </c>
      <c r="B880" t="s">
        <v>313</v>
      </c>
      <c r="C880">
        <v>182</v>
      </c>
      <c r="D880" t="s">
        <v>165</v>
      </c>
      <c r="E880">
        <v>1705</v>
      </c>
      <c r="F880" t="s">
        <v>1469</v>
      </c>
    </row>
    <row r="881" spans="1:14" x14ac:dyDescent="0.3">
      <c r="A881">
        <v>356</v>
      </c>
      <c r="B881" t="s">
        <v>313</v>
      </c>
      <c r="C881">
        <v>182</v>
      </c>
      <c r="D881" t="s">
        <v>165</v>
      </c>
      <c r="E881">
        <v>1706</v>
      </c>
      <c r="F881" t="s">
        <v>1470</v>
      </c>
    </row>
    <row r="882" spans="1:14" x14ac:dyDescent="0.3">
      <c r="A882">
        <v>356</v>
      </c>
      <c r="B882" t="s">
        <v>313</v>
      </c>
      <c r="C882">
        <v>182</v>
      </c>
      <c r="D882" t="s">
        <v>165</v>
      </c>
      <c r="E882">
        <v>1707</v>
      </c>
      <c r="F882" t="s">
        <v>398</v>
      </c>
    </row>
    <row r="883" spans="1:14" x14ac:dyDescent="0.3">
      <c r="A883">
        <v>356</v>
      </c>
      <c r="B883" t="s">
        <v>313</v>
      </c>
      <c r="C883">
        <v>182</v>
      </c>
      <c r="D883" t="s">
        <v>165</v>
      </c>
      <c r="E883">
        <v>1708</v>
      </c>
      <c r="F883" t="s">
        <v>1471</v>
      </c>
    </row>
    <row r="884" spans="1:14" x14ac:dyDescent="0.3">
      <c r="A884">
        <v>356</v>
      </c>
      <c r="B884" t="s">
        <v>313</v>
      </c>
      <c r="C884">
        <v>182</v>
      </c>
      <c r="D884" t="s">
        <v>165</v>
      </c>
      <c r="E884">
        <v>1709</v>
      </c>
      <c r="F884" t="s">
        <v>1472</v>
      </c>
    </row>
    <row r="885" spans="1:14" x14ac:dyDescent="0.3">
      <c r="A885">
        <v>357</v>
      </c>
      <c r="B885" t="s">
        <v>323</v>
      </c>
      <c r="C885">
        <v>183</v>
      </c>
      <c r="D885" t="s">
        <v>167</v>
      </c>
      <c r="E885">
        <v>349</v>
      </c>
      <c r="F885" t="s">
        <v>393</v>
      </c>
      <c r="G885">
        <v>0</v>
      </c>
      <c r="H885">
        <v>0</v>
      </c>
      <c r="I885">
        <v>1</v>
      </c>
      <c r="J885">
        <v>1</v>
      </c>
      <c r="K885">
        <v>1</v>
      </c>
      <c r="L885">
        <v>0</v>
      </c>
      <c r="M885" t="s">
        <v>414</v>
      </c>
      <c r="N885" t="s">
        <v>326</v>
      </c>
    </row>
    <row r="886" spans="1:14" x14ac:dyDescent="0.3">
      <c r="A886">
        <v>357</v>
      </c>
      <c r="B886" t="s">
        <v>323</v>
      </c>
      <c r="C886">
        <v>183</v>
      </c>
      <c r="D886" t="s">
        <v>167</v>
      </c>
      <c r="E886">
        <v>353</v>
      </c>
      <c r="F886" t="s">
        <v>816</v>
      </c>
      <c r="G886">
        <v>0</v>
      </c>
      <c r="H886">
        <v>0</v>
      </c>
      <c r="I886">
        <v>2</v>
      </c>
      <c r="J886">
        <v>2</v>
      </c>
      <c r="K886">
        <v>0</v>
      </c>
      <c r="L886">
        <v>0</v>
      </c>
      <c r="M886" t="s">
        <v>333</v>
      </c>
      <c r="N886" t="s">
        <v>326</v>
      </c>
    </row>
    <row r="887" spans="1:14" x14ac:dyDescent="0.3">
      <c r="A887">
        <v>357</v>
      </c>
      <c r="B887" t="s">
        <v>323</v>
      </c>
      <c r="C887">
        <v>183</v>
      </c>
      <c r="D887" t="s">
        <v>167</v>
      </c>
      <c r="E887">
        <v>1710</v>
      </c>
      <c r="F887" t="s">
        <v>1473</v>
      </c>
      <c r="G887">
        <v>0</v>
      </c>
      <c r="H887">
        <v>0</v>
      </c>
      <c r="I887">
        <v>3</v>
      </c>
      <c r="J887">
        <v>1</v>
      </c>
      <c r="K887">
        <v>0</v>
      </c>
      <c r="L887">
        <v>0</v>
      </c>
      <c r="M887" t="s">
        <v>325</v>
      </c>
      <c r="N887" t="s">
        <v>348</v>
      </c>
    </row>
    <row r="888" spans="1:14" x14ac:dyDescent="0.3">
      <c r="A888">
        <v>359</v>
      </c>
      <c r="B888" t="s">
        <v>323</v>
      </c>
      <c r="C888">
        <v>185</v>
      </c>
      <c r="D888" t="s">
        <v>171</v>
      </c>
      <c r="E888">
        <v>1892</v>
      </c>
      <c r="F888" t="s">
        <v>1474</v>
      </c>
      <c r="G888">
        <v>0</v>
      </c>
      <c r="H888">
        <v>4</v>
      </c>
      <c r="I888">
        <v>3</v>
      </c>
      <c r="J888">
        <v>0</v>
      </c>
      <c r="K888">
        <v>3</v>
      </c>
      <c r="L888">
        <v>0</v>
      </c>
      <c r="M888" t="s">
        <v>333</v>
      </c>
      <c r="N888" t="s">
        <v>326</v>
      </c>
    </row>
    <row r="889" spans="1:14" x14ac:dyDescent="0.3">
      <c r="A889">
        <v>359</v>
      </c>
      <c r="B889" t="s">
        <v>323</v>
      </c>
      <c r="C889">
        <v>185</v>
      </c>
      <c r="D889" t="s">
        <v>171</v>
      </c>
      <c r="E889">
        <v>1893</v>
      </c>
      <c r="F889" t="s">
        <v>1475</v>
      </c>
      <c r="G889">
        <v>0</v>
      </c>
      <c r="H889">
        <v>4</v>
      </c>
      <c r="I889">
        <v>6</v>
      </c>
      <c r="J889">
        <v>1</v>
      </c>
      <c r="K889">
        <v>6</v>
      </c>
      <c r="L889">
        <v>0</v>
      </c>
      <c r="M889" t="s">
        <v>333</v>
      </c>
      <c r="N889" t="s">
        <v>326</v>
      </c>
    </row>
    <row r="890" spans="1:14" x14ac:dyDescent="0.3">
      <c r="A890">
        <v>359</v>
      </c>
      <c r="B890" t="s">
        <v>323</v>
      </c>
      <c r="C890">
        <v>185</v>
      </c>
      <c r="D890" t="s">
        <v>171</v>
      </c>
      <c r="E890">
        <v>1894</v>
      </c>
      <c r="F890" t="s">
        <v>432</v>
      </c>
      <c r="G890">
        <v>0</v>
      </c>
      <c r="H890">
        <v>3</v>
      </c>
      <c r="I890">
        <v>0</v>
      </c>
      <c r="J890">
        <v>0</v>
      </c>
      <c r="K890">
        <v>0</v>
      </c>
      <c r="L890">
        <v>0</v>
      </c>
      <c r="M890" t="s">
        <v>333</v>
      </c>
      <c r="N890" t="s">
        <v>343</v>
      </c>
    </row>
    <row r="891" spans="1:14" x14ac:dyDescent="0.3">
      <c r="A891">
        <v>359</v>
      </c>
      <c r="B891" t="s">
        <v>323</v>
      </c>
      <c r="C891">
        <v>185</v>
      </c>
      <c r="D891" t="s">
        <v>171</v>
      </c>
      <c r="E891">
        <v>1895</v>
      </c>
      <c r="F891" t="s">
        <v>825</v>
      </c>
      <c r="G891">
        <v>0</v>
      </c>
      <c r="H891">
        <v>4</v>
      </c>
      <c r="I891">
        <v>1</v>
      </c>
      <c r="J891">
        <v>0</v>
      </c>
      <c r="K891">
        <v>3</v>
      </c>
      <c r="L891">
        <v>0</v>
      </c>
      <c r="M891" t="s">
        <v>325</v>
      </c>
      <c r="N891" t="s">
        <v>484</v>
      </c>
    </row>
    <row r="892" spans="1:14" x14ac:dyDescent="0.3">
      <c r="A892">
        <v>359</v>
      </c>
      <c r="B892" t="s">
        <v>323</v>
      </c>
      <c r="C892">
        <v>185</v>
      </c>
      <c r="D892" t="s">
        <v>171</v>
      </c>
      <c r="E892">
        <v>1896</v>
      </c>
      <c r="F892" t="s">
        <v>1476</v>
      </c>
      <c r="G892">
        <v>0</v>
      </c>
      <c r="H892">
        <v>4</v>
      </c>
      <c r="I892">
        <v>1</v>
      </c>
      <c r="J892">
        <v>0</v>
      </c>
      <c r="K892">
        <v>1</v>
      </c>
      <c r="L892">
        <v>0</v>
      </c>
      <c r="M892" t="s">
        <v>333</v>
      </c>
      <c r="N892" t="s">
        <v>326</v>
      </c>
    </row>
    <row r="893" spans="1:14" x14ac:dyDescent="0.3">
      <c r="A893">
        <v>359</v>
      </c>
      <c r="B893" t="s">
        <v>323</v>
      </c>
      <c r="C893">
        <v>185</v>
      </c>
      <c r="D893" t="s">
        <v>171</v>
      </c>
      <c r="E893">
        <v>1897</v>
      </c>
      <c r="F893" t="s">
        <v>1450</v>
      </c>
      <c r="G893">
        <v>0</v>
      </c>
      <c r="H893">
        <v>3</v>
      </c>
      <c r="I893">
        <v>1</v>
      </c>
      <c r="J893">
        <v>0</v>
      </c>
      <c r="K893">
        <v>0</v>
      </c>
      <c r="L893">
        <v>2</v>
      </c>
      <c r="M893" t="s">
        <v>333</v>
      </c>
      <c r="N893" t="s">
        <v>336</v>
      </c>
    </row>
    <row r="894" spans="1:14" x14ac:dyDescent="0.3">
      <c r="A894">
        <v>359</v>
      </c>
      <c r="B894" t="s">
        <v>323</v>
      </c>
      <c r="C894">
        <v>185</v>
      </c>
      <c r="D894" t="s">
        <v>171</v>
      </c>
      <c r="E894">
        <v>1898</v>
      </c>
      <c r="F894" t="s">
        <v>398</v>
      </c>
      <c r="G894">
        <v>0</v>
      </c>
      <c r="H894">
        <v>2</v>
      </c>
      <c r="I894">
        <v>0</v>
      </c>
      <c r="J894">
        <v>0</v>
      </c>
      <c r="K894">
        <v>2</v>
      </c>
      <c r="L894">
        <v>0</v>
      </c>
      <c r="M894" t="s">
        <v>325</v>
      </c>
      <c r="N894" t="s">
        <v>348</v>
      </c>
    </row>
    <row r="895" spans="1:14" x14ac:dyDescent="0.3">
      <c r="A895">
        <v>359</v>
      </c>
      <c r="B895" t="s">
        <v>323</v>
      </c>
      <c r="C895">
        <v>185</v>
      </c>
      <c r="D895" t="s">
        <v>171</v>
      </c>
      <c r="E895">
        <v>1899</v>
      </c>
      <c r="F895" t="s">
        <v>1477</v>
      </c>
      <c r="G895">
        <v>0</v>
      </c>
      <c r="H895">
        <v>0</v>
      </c>
      <c r="I895">
        <v>3</v>
      </c>
      <c r="J895">
        <v>2</v>
      </c>
      <c r="K895">
        <v>1</v>
      </c>
      <c r="L895">
        <v>9</v>
      </c>
      <c r="M895" t="s">
        <v>333</v>
      </c>
      <c r="N895" t="s">
        <v>484</v>
      </c>
    </row>
    <row r="896" spans="1:14" x14ac:dyDescent="0.3">
      <c r="A896">
        <v>359</v>
      </c>
      <c r="B896" t="s">
        <v>323</v>
      </c>
      <c r="C896">
        <v>185</v>
      </c>
      <c r="D896" t="s">
        <v>171</v>
      </c>
      <c r="E896">
        <v>1900</v>
      </c>
      <c r="F896" t="s">
        <v>353</v>
      </c>
      <c r="G896">
        <v>0</v>
      </c>
      <c r="H896">
        <v>1</v>
      </c>
      <c r="I896">
        <v>0</v>
      </c>
      <c r="J896">
        <v>0</v>
      </c>
      <c r="K896">
        <v>4</v>
      </c>
      <c r="L896">
        <v>0</v>
      </c>
      <c r="M896" t="s">
        <v>333</v>
      </c>
      <c r="N896" t="s">
        <v>326</v>
      </c>
    </row>
    <row r="897" spans="1:14" x14ac:dyDescent="0.3">
      <c r="A897">
        <v>359</v>
      </c>
      <c r="B897" t="s">
        <v>323</v>
      </c>
      <c r="C897">
        <v>185</v>
      </c>
      <c r="D897" t="s">
        <v>171</v>
      </c>
      <c r="E897">
        <v>1901</v>
      </c>
      <c r="F897" t="s">
        <v>1478</v>
      </c>
      <c r="G897">
        <v>0</v>
      </c>
      <c r="H897">
        <v>0</v>
      </c>
      <c r="I897">
        <v>3</v>
      </c>
      <c r="J897">
        <v>0</v>
      </c>
      <c r="K897">
        <v>2</v>
      </c>
      <c r="L897">
        <v>0</v>
      </c>
      <c r="M897" t="s">
        <v>325</v>
      </c>
      <c r="N897" t="s">
        <v>326</v>
      </c>
    </row>
    <row r="898" spans="1:14" x14ac:dyDescent="0.3">
      <c r="A898">
        <v>359</v>
      </c>
      <c r="B898" t="s">
        <v>323</v>
      </c>
      <c r="C898">
        <v>185</v>
      </c>
      <c r="D898" t="s">
        <v>171</v>
      </c>
      <c r="E898">
        <v>1902</v>
      </c>
      <c r="F898" t="s">
        <v>1479</v>
      </c>
      <c r="G898">
        <v>0</v>
      </c>
      <c r="H898">
        <v>1</v>
      </c>
      <c r="I898">
        <v>1</v>
      </c>
      <c r="J898">
        <v>1</v>
      </c>
      <c r="K898">
        <v>4</v>
      </c>
      <c r="L898">
        <v>0</v>
      </c>
      <c r="M898" t="s">
        <v>333</v>
      </c>
      <c r="N898" t="s">
        <v>326</v>
      </c>
    </row>
    <row r="899" spans="1:14" x14ac:dyDescent="0.3">
      <c r="A899">
        <v>360</v>
      </c>
      <c r="B899" t="s">
        <v>323</v>
      </c>
      <c r="C899">
        <v>186</v>
      </c>
      <c r="D899" t="s">
        <v>173</v>
      </c>
      <c r="E899">
        <v>1342</v>
      </c>
      <c r="F899" t="s">
        <v>967</v>
      </c>
      <c r="G899">
        <v>0</v>
      </c>
      <c r="H899">
        <v>0</v>
      </c>
      <c r="I899">
        <v>0</v>
      </c>
      <c r="J899">
        <v>0</v>
      </c>
      <c r="K899">
        <v>0</v>
      </c>
      <c r="L899">
        <v>6</v>
      </c>
      <c r="M899" t="s">
        <v>333</v>
      </c>
      <c r="N899" t="s">
        <v>326</v>
      </c>
    </row>
    <row r="900" spans="1:14" x14ac:dyDescent="0.3">
      <c r="A900">
        <v>360</v>
      </c>
      <c r="B900" t="s">
        <v>323</v>
      </c>
      <c r="C900">
        <v>186</v>
      </c>
      <c r="D900" t="s">
        <v>173</v>
      </c>
      <c r="E900">
        <v>1343</v>
      </c>
      <c r="F900" t="s">
        <v>968</v>
      </c>
      <c r="G900">
        <v>0</v>
      </c>
      <c r="H900">
        <v>2</v>
      </c>
      <c r="I900">
        <v>2</v>
      </c>
      <c r="J900">
        <v>3</v>
      </c>
      <c r="K900">
        <v>2</v>
      </c>
      <c r="L900">
        <v>1</v>
      </c>
      <c r="M900" t="s">
        <v>325</v>
      </c>
      <c r="N900" t="s">
        <v>326</v>
      </c>
    </row>
    <row r="901" spans="1:14" x14ac:dyDescent="0.3">
      <c r="A901">
        <v>360</v>
      </c>
      <c r="B901" t="s">
        <v>323</v>
      </c>
      <c r="C901">
        <v>186</v>
      </c>
      <c r="D901" t="s">
        <v>173</v>
      </c>
      <c r="E901">
        <v>1344</v>
      </c>
      <c r="F901" t="s">
        <v>969</v>
      </c>
      <c r="G901">
        <v>0</v>
      </c>
      <c r="H901">
        <v>0</v>
      </c>
      <c r="I901">
        <v>3</v>
      </c>
      <c r="J901">
        <v>1</v>
      </c>
      <c r="K901">
        <v>1</v>
      </c>
      <c r="L901">
        <v>2</v>
      </c>
      <c r="M901" t="s">
        <v>410</v>
      </c>
      <c r="N901" t="s">
        <v>484</v>
      </c>
    </row>
    <row r="902" spans="1:14" x14ac:dyDescent="0.3">
      <c r="A902">
        <v>360</v>
      </c>
      <c r="B902" t="s">
        <v>323</v>
      </c>
      <c r="C902">
        <v>186</v>
      </c>
      <c r="D902" t="s">
        <v>173</v>
      </c>
      <c r="E902">
        <v>1345</v>
      </c>
      <c r="F902" t="s">
        <v>432</v>
      </c>
      <c r="G902">
        <v>0</v>
      </c>
      <c r="H902">
        <v>0</v>
      </c>
      <c r="I902">
        <v>4</v>
      </c>
      <c r="J902">
        <v>0</v>
      </c>
      <c r="K902">
        <v>1</v>
      </c>
      <c r="L902">
        <v>0</v>
      </c>
      <c r="M902" t="s">
        <v>410</v>
      </c>
      <c r="N902" t="s">
        <v>348</v>
      </c>
    </row>
    <row r="903" spans="1:14" x14ac:dyDescent="0.3">
      <c r="A903">
        <v>360</v>
      </c>
      <c r="B903" t="s">
        <v>323</v>
      </c>
      <c r="C903">
        <v>186</v>
      </c>
      <c r="D903" t="s">
        <v>173</v>
      </c>
      <c r="E903">
        <v>1348</v>
      </c>
      <c r="F903" t="s">
        <v>970</v>
      </c>
      <c r="G903">
        <v>3</v>
      </c>
      <c r="H903">
        <v>1</v>
      </c>
      <c r="I903">
        <v>2</v>
      </c>
      <c r="J903">
        <v>0</v>
      </c>
      <c r="K903">
        <v>1</v>
      </c>
      <c r="L903">
        <v>0</v>
      </c>
      <c r="M903" t="s">
        <v>410</v>
      </c>
      <c r="N903" t="s">
        <v>484</v>
      </c>
    </row>
    <row r="904" spans="1:14" x14ac:dyDescent="0.3">
      <c r="A904">
        <v>360</v>
      </c>
      <c r="B904" t="s">
        <v>323</v>
      </c>
      <c r="C904">
        <v>186</v>
      </c>
      <c r="D904" t="s">
        <v>173</v>
      </c>
      <c r="E904">
        <v>1349</v>
      </c>
      <c r="F904" t="s">
        <v>971</v>
      </c>
      <c r="G904">
        <v>0</v>
      </c>
      <c r="H904">
        <v>0</v>
      </c>
      <c r="I904">
        <v>3</v>
      </c>
      <c r="J904">
        <v>1</v>
      </c>
      <c r="K904">
        <v>0</v>
      </c>
      <c r="L904">
        <v>0</v>
      </c>
      <c r="M904" t="s">
        <v>410</v>
      </c>
      <c r="N904" t="s">
        <v>329</v>
      </c>
    </row>
    <row r="905" spans="1:14" x14ac:dyDescent="0.3">
      <c r="A905">
        <v>360</v>
      </c>
      <c r="B905" t="s">
        <v>323</v>
      </c>
      <c r="C905">
        <v>186</v>
      </c>
      <c r="D905" t="s">
        <v>173</v>
      </c>
      <c r="E905">
        <v>1350</v>
      </c>
      <c r="F905" t="s">
        <v>349</v>
      </c>
      <c r="G905">
        <v>0</v>
      </c>
      <c r="H905">
        <v>0</v>
      </c>
      <c r="I905">
        <v>3</v>
      </c>
      <c r="J905">
        <v>0</v>
      </c>
      <c r="K905">
        <v>0</v>
      </c>
      <c r="L905">
        <v>0</v>
      </c>
      <c r="M905" t="s">
        <v>566</v>
      </c>
      <c r="N905" t="s">
        <v>336</v>
      </c>
    </row>
    <row r="906" spans="1:14" x14ac:dyDescent="0.3">
      <c r="A906">
        <v>360</v>
      </c>
      <c r="B906" t="s">
        <v>323</v>
      </c>
      <c r="C906">
        <v>186</v>
      </c>
      <c r="D906" t="s">
        <v>173</v>
      </c>
      <c r="E906">
        <v>1351</v>
      </c>
      <c r="F906" t="s">
        <v>972</v>
      </c>
      <c r="G906">
        <v>0</v>
      </c>
      <c r="H906">
        <v>2</v>
      </c>
      <c r="I906">
        <v>4</v>
      </c>
      <c r="J906">
        <v>0</v>
      </c>
      <c r="K906">
        <v>0</v>
      </c>
      <c r="L906">
        <v>0</v>
      </c>
      <c r="M906" t="s">
        <v>566</v>
      </c>
      <c r="N906" t="s">
        <v>336</v>
      </c>
    </row>
    <row r="907" spans="1:14" x14ac:dyDescent="0.3">
      <c r="A907">
        <v>360</v>
      </c>
      <c r="B907" t="s">
        <v>323</v>
      </c>
      <c r="C907">
        <v>186</v>
      </c>
      <c r="D907" t="s">
        <v>173</v>
      </c>
      <c r="E907">
        <v>1352</v>
      </c>
      <c r="F907" t="s">
        <v>339</v>
      </c>
      <c r="G907">
        <v>7</v>
      </c>
      <c r="H907">
        <v>0</v>
      </c>
      <c r="I907">
        <v>1</v>
      </c>
      <c r="J907">
        <v>0</v>
      </c>
      <c r="K907">
        <v>0</v>
      </c>
      <c r="L907">
        <v>0</v>
      </c>
      <c r="M907" t="s">
        <v>325</v>
      </c>
      <c r="N907" t="s">
        <v>484</v>
      </c>
    </row>
    <row r="908" spans="1:14" x14ac:dyDescent="0.3">
      <c r="A908">
        <v>360</v>
      </c>
      <c r="B908" t="s">
        <v>323</v>
      </c>
      <c r="C908">
        <v>186</v>
      </c>
      <c r="D908" t="s">
        <v>173</v>
      </c>
      <c r="E908">
        <v>1354</v>
      </c>
      <c r="F908" t="s">
        <v>973</v>
      </c>
      <c r="G908">
        <v>0</v>
      </c>
      <c r="H908">
        <v>1</v>
      </c>
      <c r="I908">
        <v>1</v>
      </c>
      <c r="J908">
        <v>1</v>
      </c>
      <c r="K908">
        <v>0</v>
      </c>
      <c r="L908">
        <v>0</v>
      </c>
      <c r="M908" t="s">
        <v>566</v>
      </c>
      <c r="N908" t="s">
        <v>329</v>
      </c>
    </row>
    <row r="909" spans="1:14" x14ac:dyDescent="0.3">
      <c r="A909">
        <v>360</v>
      </c>
      <c r="B909" t="s">
        <v>323</v>
      </c>
      <c r="C909">
        <v>186</v>
      </c>
      <c r="D909" t="s">
        <v>173</v>
      </c>
      <c r="E909">
        <v>1356</v>
      </c>
      <c r="F909" t="s">
        <v>468</v>
      </c>
      <c r="G909">
        <v>0</v>
      </c>
      <c r="H909">
        <v>0</v>
      </c>
      <c r="I909">
        <v>2</v>
      </c>
      <c r="J909">
        <v>5</v>
      </c>
      <c r="K909">
        <v>4</v>
      </c>
      <c r="L909">
        <v>0</v>
      </c>
      <c r="M909" t="s">
        <v>325</v>
      </c>
      <c r="N909" t="s">
        <v>326</v>
      </c>
    </row>
    <row r="910" spans="1:14" x14ac:dyDescent="0.3">
      <c r="A910">
        <v>360</v>
      </c>
      <c r="B910" t="s">
        <v>323</v>
      </c>
      <c r="C910">
        <v>186</v>
      </c>
      <c r="D910" t="s">
        <v>173</v>
      </c>
      <c r="E910">
        <v>1357</v>
      </c>
      <c r="F910" t="s">
        <v>377</v>
      </c>
      <c r="G910">
        <v>0</v>
      </c>
      <c r="H910">
        <v>1</v>
      </c>
      <c r="I910">
        <v>3</v>
      </c>
      <c r="J910">
        <v>2</v>
      </c>
      <c r="K910">
        <v>3</v>
      </c>
      <c r="L910">
        <v>1</v>
      </c>
      <c r="M910" t="s">
        <v>410</v>
      </c>
      <c r="N910" t="s">
        <v>326</v>
      </c>
    </row>
    <row r="911" spans="1:14" x14ac:dyDescent="0.3">
      <c r="A911">
        <v>360</v>
      </c>
      <c r="B911" t="s">
        <v>323</v>
      </c>
      <c r="C911">
        <v>186</v>
      </c>
      <c r="D911" t="s">
        <v>173</v>
      </c>
      <c r="E911">
        <v>1358</v>
      </c>
      <c r="F911" t="s">
        <v>975</v>
      </c>
      <c r="G911">
        <v>0</v>
      </c>
      <c r="H911">
        <v>2</v>
      </c>
      <c r="I911">
        <v>1</v>
      </c>
      <c r="J911">
        <v>4</v>
      </c>
      <c r="K911">
        <v>0</v>
      </c>
      <c r="L911">
        <v>1</v>
      </c>
      <c r="M911" t="s">
        <v>414</v>
      </c>
      <c r="N911" t="s">
        <v>484</v>
      </c>
    </row>
    <row r="912" spans="1:14" x14ac:dyDescent="0.3">
      <c r="A912">
        <v>360</v>
      </c>
      <c r="B912" t="s">
        <v>323</v>
      </c>
      <c r="C912">
        <v>186</v>
      </c>
      <c r="D912" t="s">
        <v>173</v>
      </c>
      <c r="E912">
        <v>1359</v>
      </c>
      <c r="F912" t="s">
        <v>976</v>
      </c>
      <c r="G912">
        <v>0</v>
      </c>
      <c r="H912">
        <v>0</v>
      </c>
      <c r="I912">
        <v>2</v>
      </c>
      <c r="J912">
        <v>2</v>
      </c>
      <c r="K912">
        <v>1</v>
      </c>
      <c r="L912">
        <v>0</v>
      </c>
      <c r="M912" t="s">
        <v>333</v>
      </c>
      <c r="N912" t="s">
        <v>326</v>
      </c>
    </row>
    <row r="913" spans="1:14" x14ac:dyDescent="0.3">
      <c r="A913">
        <v>360</v>
      </c>
      <c r="B913" t="s">
        <v>323</v>
      </c>
      <c r="C913">
        <v>186</v>
      </c>
      <c r="D913" t="s">
        <v>173</v>
      </c>
      <c r="E913">
        <v>1362</v>
      </c>
      <c r="F913" t="s">
        <v>466</v>
      </c>
      <c r="G913">
        <v>6</v>
      </c>
      <c r="H913">
        <v>1</v>
      </c>
      <c r="I913">
        <v>3</v>
      </c>
      <c r="J913">
        <v>0</v>
      </c>
      <c r="K913">
        <v>0</v>
      </c>
      <c r="L913">
        <v>0</v>
      </c>
      <c r="M913" t="s">
        <v>325</v>
      </c>
      <c r="N913" t="s">
        <v>348</v>
      </c>
    </row>
    <row r="914" spans="1:14" x14ac:dyDescent="0.3">
      <c r="A914">
        <v>360</v>
      </c>
      <c r="B914" t="s">
        <v>323</v>
      </c>
      <c r="C914">
        <v>186</v>
      </c>
      <c r="D914" t="s">
        <v>173</v>
      </c>
      <c r="E914">
        <v>1363</v>
      </c>
      <c r="F914" t="s">
        <v>978</v>
      </c>
      <c r="G914">
        <v>0</v>
      </c>
      <c r="H914">
        <v>2</v>
      </c>
      <c r="I914">
        <v>5</v>
      </c>
      <c r="J914">
        <v>4</v>
      </c>
      <c r="K914">
        <v>10</v>
      </c>
      <c r="L914">
        <v>0</v>
      </c>
      <c r="M914" t="s">
        <v>333</v>
      </c>
      <c r="N914" t="s">
        <v>326</v>
      </c>
    </row>
    <row r="915" spans="1:14" x14ac:dyDescent="0.3">
      <c r="A915">
        <v>360</v>
      </c>
      <c r="B915" t="s">
        <v>323</v>
      </c>
      <c r="C915">
        <v>186</v>
      </c>
      <c r="D915" t="s">
        <v>173</v>
      </c>
      <c r="E915">
        <v>1364</v>
      </c>
      <c r="F915" t="s">
        <v>979</v>
      </c>
      <c r="G915">
        <v>0</v>
      </c>
      <c r="H915">
        <v>0</v>
      </c>
      <c r="I915">
        <v>1</v>
      </c>
      <c r="J915">
        <v>1</v>
      </c>
      <c r="K915">
        <v>1</v>
      </c>
      <c r="L915">
        <v>0</v>
      </c>
      <c r="M915" t="s">
        <v>333</v>
      </c>
      <c r="N915" t="s">
        <v>326</v>
      </c>
    </row>
    <row r="916" spans="1:14" x14ac:dyDescent="0.3">
      <c r="A916">
        <v>360</v>
      </c>
      <c r="B916" t="s">
        <v>323</v>
      </c>
      <c r="C916">
        <v>186</v>
      </c>
      <c r="D916" t="s">
        <v>173</v>
      </c>
      <c r="E916">
        <v>1365</v>
      </c>
      <c r="F916" t="s">
        <v>980</v>
      </c>
      <c r="G916">
        <v>0</v>
      </c>
      <c r="H916">
        <v>0</v>
      </c>
      <c r="I916">
        <v>2</v>
      </c>
      <c r="J916">
        <v>3</v>
      </c>
      <c r="K916">
        <v>2</v>
      </c>
      <c r="L916">
        <v>0</v>
      </c>
      <c r="M916" t="s">
        <v>325</v>
      </c>
      <c r="N916" t="s">
        <v>336</v>
      </c>
    </row>
    <row r="917" spans="1:14" x14ac:dyDescent="0.3">
      <c r="A917">
        <v>360</v>
      </c>
      <c r="B917" t="s">
        <v>323</v>
      </c>
      <c r="C917">
        <v>186</v>
      </c>
      <c r="D917" t="s">
        <v>173</v>
      </c>
      <c r="E917">
        <v>1367</v>
      </c>
      <c r="F917" t="s">
        <v>982</v>
      </c>
      <c r="G917">
        <v>0</v>
      </c>
      <c r="H917">
        <v>0</v>
      </c>
      <c r="I917">
        <v>4</v>
      </c>
      <c r="J917">
        <v>3</v>
      </c>
      <c r="K917">
        <v>2</v>
      </c>
      <c r="L917">
        <v>0</v>
      </c>
      <c r="M917" t="s">
        <v>333</v>
      </c>
      <c r="N917" t="s">
        <v>326</v>
      </c>
    </row>
    <row r="918" spans="1:14" x14ac:dyDescent="0.3">
      <c r="A918">
        <v>360</v>
      </c>
      <c r="B918" t="s">
        <v>323</v>
      </c>
      <c r="C918">
        <v>186</v>
      </c>
      <c r="D918" t="s">
        <v>173</v>
      </c>
      <c r="E918">
        <v>1369</v>
      </c>
      <c r="F918" t="s">
        <v>984</v>
      </c>
      <c r="G918">
        <v>0</v>
      </c>
      <c r="H918">
        <v>0</v>
      </c>
      <c r="I918">
        <v>4</v>
      </c>
      <c r="J918">
        <v>0</v>
      </c>
      <c r="K918">
        <v>3</v>
      </c>
      <c r="L918">
        <v>1</v>
      </c>
      <c r="M918" t="s">
        <v>410</v>
      </c>
      <c r="N918" t="s">
        <v>343</v>
      </c>
    </row>
    <row r="919" spans="1:14" x14ac:dyDescent="0.3">
      <c r="A919">
        <v>360</v>
      </c>
      <c r="B919" t="s">
        <v>323</v>
      </c>
      <c r="C919">
        <v>186</v>
      </c>
      <c r="D919" t="s">
        <v>173</v>
      </c>
      <c r="E919">
        <v>1390</v>
      </c>
      <c r="F919" t="s">
        <v>381</v>
      </c>
      <c r="G919">
        <v>0</v>
      </c>
      <c r="H919">
        <v>0</v>
      </c>
      <c r="I919">
        <v>4</v>
      </c>
      <c r="J919">
        <v>5</v>
      </c>
      <c r="K919">
        <v>2</v>
      </c>
      <c r="L919">
        <v>0</v>
      </c>
      <c r="M919" t="s">
        <v>325</v>
      </c>
      <c r="N919" t="s">
        <v>336</v>
      </c>
    </row>
    <row r="920" spans="1:14" x14ac:dyDescent="0.3">
      <c r="A920">
        <v>360</v>
      </c>
      <c r="B920" t="s">
        <v>323</v>
      </c>
      <c r="C920">
        <v>186</v>
      </c>
      <c r="D920" t="s">
        <v>173</v>
      </c>
      <c r="E920">
        <v>1746</v>
      </c>
      <c r="F920" t="s">
        <v>1480</v>
      </c>
      <c r="G920">
        <v>1</v>
      </c>
      <c r="H920">
        <v>1</v>
      </c>
      <c r="I920">
        <v>3</v>
      </c>
      <c r="J920">
        <v>2</v>
      </c>
      <c r="K920">
        <v>1</v>
      </c>
      <c r="L920">
        <v>0</v>
      </c>
      <c r="M920" t="s">
        <v>414</v>
      </c>
      <c r="N920" t="s">
        <v>326</v>
      </c>
    </row>
    <row r="921" spans="1:14" x14ac:dyDescent="0.3">
      <c r="A921">
        <v>360</v>
      </c>
      <c r="B921" t="s">
        <v>323</v>
      </c>
      <c r="C921">
        <v>186</v>
      </c>
      <c r="D921" t="s">
        <v>173</v>
      </c>
      <c r="E921">
        <v>1747</v>
      </c>
      <c r="F921" t="s">
        <v>1481</v>
      </c>
      <c r="G921">
        <v>1</v>
      </c>
      <c r="H921">
        <v>1</v>
      </c>
      <c r="I921">
        <v>2</v>
      </c>
      <c r="J921">
        <v>0</v>
      </c>
      <c r="K921">
        <v>2</v>
      </c>
      <c r="L921">
        <v>1</v>
      </c>
      <c r="M921" t="s">
        <v>333</v>
      </c>
      <c r="N921" t="s">
        <v>326</v>
      </c>
    </row>
    <row r="922" spans="1:14" x14ac:dyDescent="0.3">
      <c r="A922">
        <v>360</v>
      </c>
      <c r="B922" t="s">
        <v>323</v>
      </c>
      <c r="C922">
        <v>186</v>
      </c>
      <c r="D922" t="s">
        <v>173</v>
      </c>
      <c r="E922">
        <v>1748</v>
      </c>
      <c r="F922" t="s">
        <v>1482</v>
      </c>
      <c r="G922">
        <v>1</v>
      </c>
      <c r="H922">
        <v>0</v>
      </c>
      <c r="I922">
        <v>3</v>
      </c>
      <c r="J922">
        <v>2</v>
      </c>
      <c r="K922">
        <v>3</v>
      </c>
      <c r="L922">
        <v>1</v>
      </c>
      <c r="M922" t="s">
        <v>333</v>
      </c>
      <c r="N922" t="s">
        <v>326</v>
      </c>
    </row>
    <row r="923" spans="1:14" x14ac:dyDescent="0.3">
      <c r="A923">
        <v>360</v>
      </c>
      <c r="B923" t="s">
        <v>323</v>
      </c>
      <c r="C923">
        <v>186</v>
      </c>
      <c r="D923" t="s">
        <v>173</v>
      </c>
      <c r="E923">
        <v>1749</v>
      </c>
      <c r="F923" t="s">
        <v>788</v>
      </c>
      <c r="G923">
        <v>10</v>
      </c>
      <c r="H923">
        <v>10</v>
      </c>
      <c r="I923">
        <v>10</v>
      </c>
      <c r="J923">
        <v>10</v>
      </c>
      <c r="K923">
        <v>10</v>
      </c>
      <c r="L923">
        <v>10</v>
      </c>
      <c r="M923" t="s">
        <v>333</v>
      </c>
      <c r="N923" t="s">
        <v>326</v>
      </c>
    </row>
    <row r="924" spans="1:14" x14ac:dyDescent="0.3">
      <c r="A924">
        <v>360</v>
      </c>
      <c r="B924" t="s">
        <v>323</v>
      </c>
      <c r="C924">
        <v>186</v>
      </c>
      <c r="D924" t="s">
        <v>173</v>
      </c>
      <c r="E924">
        <v>1750</v>
      </c>
      <c r="F924" t="s">
        <v>1483</v>
      </c>
      <c r="G924">
        <v>1</v>
      </c>
      <c r="H924">
        <v>2</v>
      </c>
      <c r="I924">
        <v>3</v>
      </c>
      <c r="J924">
        <v>3</v>
      </c>
      <c r="K924">
        <v>1</v>
      </c>
      <c r="L924">
        <v>0</v>
      </c>
      <c r="M924" t="s">
        <v>333</v>
      </c>
      <c r="N924" t="s">
        <v>326</v>
      </c>
    </row>
    <row r="925" spans="1:14" x14ac:dyDescent="0.3">
      <c r="A925">
        <v>361</v>
      </c>
      <c r="B925" t="s">
        <v>323</v>
      </c>
      <c r="C925">
        <v>187</v>
      </c>
      <c r="D925" t="s">
        <v>176</v>
      </c>
      <c r="E925">
        <v>525</v>
      </c>
      <c r="F925" t="s">
        <v>349</v>
      </c>
      <c r="G925">
        <v>0</v>
      </c>
      <c r="H925">
        <v>3</v>
      </c>
      <c r="I925">
        <v>3</v>
      </c>
      <c r="J925">
        <v>2</v>
      </c>
      <c r="K925">
        <v>0</v>
      </c>
      <c r="L925">
        <v>0</v>
      </c>
      <c r="M925" t="s">
        <v>566</v>
      </c>
      <c r="N925" t="s">
        <v>336</v>
      </c>
    </row>
    <row r="926" spans="1:14" x14ac:dyDescent="0.3">
      <c r="A926">
        <v>361</v>
      </c>
      <c r="B926" t="s">
        <v>323</v>
      </c>
      <c r="C926">
        <v>187</v>
      </c>
      <c r="D926" t="s">
        <v>176</v>
      </c>
      <c r="E926">
        <v>526</v>
      </c>
      <c r="F926" t="s">
        <v>760</v>
      </c>
      <c r="G926">
        <v>2</v>
      </c>
      <c r="H926">
        <v>7</v>
      </c>
      <c r="I926">
        <v>0</v>
      </c>
      <c r="J926">
        <v>0</v>
      </c>
      <c r="K926">
        <v>0</v>
      </c>
      <c r="L926">
        <v>0</v>
      </c>
      <c r="M926" t="s">
        <v>416</v>
      </c>
      <c r="N926" t="s">
        <v>343</v>
      </c>
    </row>
    <row r="927" spans="1:14" x14ac:dyDescent="0.3">
      <c r="A927">
        <v>361</v>
      </c>
      <c r="B927" t="s">
        <v>323</v>
      </c>
      <c r="C927">
        <v>187</v>
      </c>
      <c r="D927" t="s">
        <v>176</v>
      </c>
      <c r="E927">
        <v>1234</v>
      </c>
      <c r="F927" t="s">
        <v>985</v>
      </c>
      <c r="G927">
        <v>6</v>
      </c>
      <c r="H927">
        <v>2</v>
      </c>
      <c r="I927">
        <v>0</v>
      </c>
      <c r="J927">
        <v>0</v>
      </c>
      <c r="K927">
        <v>0</v>
      </c>
      <c r="L927">
        <v>0</v>
      </c>
      <c r="M927" t="s">
        <v>325</v>
      </c>
      <c r="N927" t="s">
        <v>484</v>
      </c>
    </row>
    <row r="928" spans="1:14" x14ac:dyDescent="0.3">
      <c r="A928">
        <v>361</v>
      </c>
      <c r="B928" t="s">
        <v>323</v>
      </c>
      <c r="C928">
        <v>187</v>
      </c>
      <c r="D928" t="s">
        <v>176</v>
      </c>
      <c r="E928">
        <v>1235</v>
      </c>
      <c r="F928" t="s">
        <v>986</v>
      </c>
      <c r="G928">
        <v>0</v>
      </c>
      <c r="H928">
        <v>4</v>
      </c>
      <c r="I928">
        <v>4</v>
      </c>
      <c r="J928">
        <v>0</v>
      </c>
      <c r="K928">
        <v>0</v>
      </c>
      <c r="L928">
        <v>0</v>
      </c>
      <c r="M928" t="s">
        <v>414</v>
      </c>
      <c r="N928" t="s">
        <v>343</v>
      </c>
    </row>
    <row r="929" spans="1:14" x14ac:dyDescent="0.3">
      <c r="A929">
        <v>361</v>
      </c>
      <c r="B929" t="s">
        <v>323</v>
      </c>
      <c r="C929">
        <v>187</v>
      </c>
      <c r="D929" t="s">
        <v>176</v>
      </c>
      <c r="E929">
        <v>1236</v>
      </c>
      <c r="F929" t="s">
        <v>987</v>
      </c>
      <c r="G929">
        <v>0</v>
      </c>
      <c r="H929">
        <v>0</v>
      </c>
      <c r="I929">
        <v>0</v>
      </c>
      <c r="J929">
        <v>0</v>
      </c>
      <c r="K929">
        <v>0</v>
      </c>
      <c r="L929">
        <v>0</v>
      </c>
      <c r="M929" t="s">
        <v>333</v>
      </c>
      <c r="N929" t="s">
        <v>329</v>
      </c>
    </row>
    <row r="930" spans="1:14" x14ac:dyDescent="0.3">
      <c r="A930">
        <v>361</v>
      </c>
      <c r="B930" t="s">
        <v>323</v>
      </c>
      <c r="C930">
        <v>187</v>
      </c>
      <c r="D930" t="s">
        <v>176</v>
      </c>
      <c r="E930">
        <v>1238</v>
      </c>
      <c r="F930" t="s">
        <v>988</v>
      </c>
      <c r="G930">
        <v>0</v>
      </c>
      <c r="H930">
        <v>3</v>
      </c>
      <c r="I930">
        <v>3</v>
      </c>
      <c r="J930">
        <v>1</v>
      </c>
      <c r="K930">
        <v>0</v>
      </c>
      <c r="L930">
        <v>0</v>
      </c>
      <c r="M930" t="s">
        <v>333</v>
      </c>
      <c r="N930" t="s">
        <v>326</v>
      </c>
    </row>
    <row r="931" spans="1:14" x14ac:dyDescent="0.3">
      <c r="A931">
        <v>361</v>
      </c>
      <c r="B931" t="s">
        <v>323</v>
      </c>
      <c r="C931">
        <v>187</v>
      </c>
      <c r="D931" t="s">
        <v>176</v>
      </c>
      <c r="E931">
        <v>1239</v>
      </c>
      <c r="F931" t="s">
        <v>989</v>
      </c>
      <c r="G931">
        <v>0</v>
      </c>
      <c r="H931">
        <v>2</v>
      </c>
      <c r="I931">
        <v>4</v>
      </c>
      <c r="J931">
        <v>3</v>
      </c>
      <c r="K931">
        <v>0</v>
      </c>
      <c r="L931">
        <v>0</v>
      </c>
      <c r="M931" t="s">
        <v>325</v>
      </c>
      <c r="N931" t="s">
        <v>326</v>
      </c>
    </row>
    <row r="932" spans="1:14" x14ac:dyDescent="0.3">
      <c r="A932">
        <v>361</v>
      </c>
      <c r="B932" t="s">
        <v>323</v>
      </c>
      <c r="C932">
        <v>187</v>
      </c>
      <c r="D932" t="s">
        <v>176</v>
      </c>
      <c r="E932">
        <v>1240</v>
      </c>
      <c r="F932" t="s">
        <v>897</v>
      </c>
      <c r="G932">
        <v>0</v>
      </c>
      <c r="H932">
        <v>2</v>
      </c>
      <c r="I932">
        <v>3</v>
      </c>
      <c r="J932">
        <v>1</v>
      </c>
      <c r="K932">
        <v>0</v>
      </c>
      <c r="L932">
        <v>0</v>
      </c>
      <c r="M932" t="s">
        <v>410</v>
      </c>
      <c r="N932" t="s">
        <v>343</v>
      </c>
    </row>
    <row r="933" spans="1:14" x14ac:dyDescent="0.3">
      <c r="A933">
        <v>361</v>
      </c>
      <c r="B933" t="s">
        <v>323</v>
      </c>
      <c r="C933">
        <v>187</v>
      </c>
      <c r="D933" t="s">
        <v>176</v>
      </c>
      <c r="E933">
        <v>1241</v>
      </c>
      <c r="F933" t="s">
        <v>648</v>
      </c>
      <c r="G933">
        <v>0</v>
      </c>
      <c r="H933">
        <v>0</v>
      </c>
      <c r="I933">
        <v>5</v>
      </c>
      <c r="J933">
        <v>4</v>
      </c>
      <c r="K933">
        <v>0</v>
      </c>
      <c r="L933">
        <v>0</v>
      </c>
      <c r="M933" t="s">
        <v>333</v>
      </c>
      <c r="N933" t="s">
        <v>326</v>
      </c>
    </row>
    <row r="934" spans="1:14" x14ac:dyDescent="0.3">
      <c r="A934">
        <v>361</v>
      </c>
      <c r="B934" t="s">
        <v>323</v>
      </c>
      <c r="C934">
        <v>187</v>
      </c>
      <c r="D934" t="s">
        <v>176</v>
      </c>
      <c r="E934">
        <v>1242</v>
      </c>
      <c r="F934" t="s">
        <v>990</v>
      </c>
      <c r="G934">
        <v>0</v>
      </c>
      <c r="H934">
        <v>0</v>
      </c>
      <c r="I934">
        <v>3</v>
      </c>
      <c r="J934">
        <v>3</v>
      </c>
      <c r="K934">
        <v>2</v>
      </c>
      <c r="L934">
        <v>0</v>
      </c>
      <c r="M934" t="s">
        <v>333</v>
      </c>
      <c r="N934" t="s">
        <v>326</v>
      </c>
    </row>
    <row r="935" spans="1:14" x14ac:dyDescent="0.3">
      <c r="A935">
        <v>361</v>
      </c>
      <c r="B935" t="s">
        <v>323</v>
      </c>
      <c r="C935">
        <v>187</v>
      </c>
      <c r="D935" t="s">
        <v>176</v>
      </c>
      <c r="E935">
        <v>1243</v>
      </c>
      <c r="F935" t="s">
        <v>663</v>
      </c>
      <c r="G935">
        <v>0</v>
      </c>
      <c r="H935">
        <v>4</v>
      </c>
      <c r="I935">
        <v>4</v>
      </c>
      <c r="J935">
        <v>0</v>
      </c>
      <c r="K935">
        <v>0</v>
      </c>
      <c r="L935">
        <v>0</v>
      </c>
      <c r="M935" t="s">
        <v>416</v>
      </c>
      <c r="N935" t="s">
        <v>484</v>
      </c>
    </row>
    <row r="936" spans="1:14" x14ac:dyDescent="0.3">
      <c r="A936">
        <v>361</v>
      </c>
      <c r="B936" t="s">
        <v>323</v>
      </c>
      <c r="C936">
        <v>187</v>
      </c>
      <c r="D936" t="s">
        <v>176</v>
      </c>
      <c r="E936">
        <v>1244</v>
      </c>
      <c r="F936" t="s">
        <v>991</v>
      </c>
      <c r="G936">
        <v>2</v>
      </c>
      <c r="H936">
        <v>4</v>
      </c>
      <c r="I936">
        <v>0</v>
      </c>
      <c r="J936">
        <v>0</v>
      </c>
      <c r="K936">
        <v>0</v>
      </c>
      <c r="L936">
        <v>0</v>
      </c>
      <c r="M936" t="s">
        <v>325</v>
      </c>
      <c r="N936" t="s">
        <v>348</v>
      </c>
    </row>
    <row r="937" spans="1:14" x14ac:dyDescent="0.3">
      <c r="A937">
        <v>361</v>
      </c>
      <c r="B937" t="s">
        <v>323</v>
      </c>
      <c r="C937">
        <v>187</v>
      </c>
      <c r="D937" t="s">
        <v>176</v>
      </c>
      <c r="E937">
        <v>1246</v>
      </c>
      <c r="F937" t="s">
        <v>992</v>
      </c>
      <c r="G937">
        <v>2</v>
      </c>
      <c r="H937">
        <v>3</v>
      </c>
      <c r="I937">
        <v>0</v>
      </c>
      <c r="J937">
        <v>0</v>
      </c>
      <c r="K937">
        <v>0</v>
      </c>
      <c r="L937">
        <v>0</v>
      </c>
      <c r="M937" t="s">
        <v>325</v>
      </c>
      <c r="N937" t="s">
        <v>348</v>
      </c>
    </row>
    <row r="938" spans="1:14" x14ac:dyDescent="0.3">
      <c r="A938">
        <v>361</v>
      </c>
      <c r="B938" t="s">
        <v>323</v>
      </c>
      <c r="C938">
        <v>187</v>
      </c>
      <c r="D938" t="s">
        <v>176</v>
      </c>
      <c r="E938">
        <v>1247</v>
      </c>
      <c r="F938" t="s">
        <v>993</v>
      </c>
      <c r="G938">
        <v>5</v>
      </c>
      <c r="H938">
        <v>10</v>
      </c>
      <c r="I938">
        <v>10</v>
      </c>
      <c r="J938">
        <v>3</v>
      </c>
      <c r="K938">
        <v>3</v>
      </c>
      <c r="L938">
        <v>0</v>
      </c>
      <c r="M938" t="s">
        <v>325</v>
      </c>
      <c r="N938" t="s">
        <v>326</v>
      </c>
    </row>
    <row r="939" spans="1:14" x14ac:dyDescent="0.3">
      <c r="A939">
        <v>361</v>
      </c>
      <c r="B939" t="s">
        <v>323</v>
      </c>
      <c r="C939">
        <v>187</v>
      </c>
      <c r="D939" t="s">
        <v>176</v>
      </c>
      <c r="E939">
        <v>1248</v>
      </c>
      <c r="F939" t="s">
        <v>994</v>
      </c>
      <c r="G939">
        <v>1</v>
      </c>
      <c r="H939">
        <v>2</v>
      </c>
      <c r="I939">
        <v>2</v>
      </c>
      <c r="J939">
        <v>2</v>
      </c>
      <c r="K939">
        <v>2</v>
      </c>
      <c r="L939">
        <v>0</v>
      </c>
      <c r="M939" t="s">
        <v>333</v>
      </c>
      <c r="N939" t="s">
        <v>326</v>
      </c>
    </row>
    <row r="940" spans="1:14" x14ac:dyDescent="0.3">
      <c r="A940">
        <v>361</v>
      </c>
      <c r="B940" t="s">
        <v>323</v>
      </c>
      <c r="C940">
        <v>187</v>
      </c>
      <c r="D940" t="s">
        <v>176</v>
      </c>
      <c r="E940">
        <v>1249</v>
      </c>
      <c r="F940" t="s">
        <v>647</v>
      </c>
      <c r="G940">
        <v>3</v>
      </c>
      <c r="H940">
        <v>3</v>
      </c>
      <c r="I940">
        <v>3</v>
      </c>
      <c r="J940">
        <v>0</v>
      </c>
      <c r="K940">
        <v>0</v>
      </c>
      <c r="L940">
        <v>0</v>
      </c>
      <c r="M940" t="s">
        <v>325</v>
      </c>
      <c r="N940" t="s">
        <v>326</v>
      </c>
    </row>
    <row r="941" spans="1:14" x14ac:dyDescent="0.3">
      <c r="A941">
        <v>361</v>
      </c>
      <c r="B941" t="s">
        <v>323</v>
      </c>
      <c r="C941">
        <v>187</v>
      </c>
      <c r="D941" t="s">
        <v>176</v>
      </c>
      <c r="E941">
        <v>1250</v>
      </c>
      <c r="F941" t="s">
        <v>995</v>
      </c>
      <c r="G941">
        <v>1</v>
      </c>
      <c r="H941">
        <v>4</v>
      </c>
      <c r="I941">
        <v>0</v>
      </c>
      <c r="J941">
        <v>0</v>
      </c>
      <c r="K941">
        <v>0</v>
      </c>
      <c r="L941">
        <v>0</v>
      </c>
      <c r="M941" t="s">
        <v>325</v>
      </c>
      <c r="N941" t="s">
        <v>348</v>
      </c>
    </row>
    <row r="942" spans="1:14" x14ac:dyDescent="0.3">
      <c r="A942">
        <v>361</v>
      </c>
      <c r="B942" t="s">
        <v>323</v>
      </c>
      <c r="C942">
        <v>187</v>
      </c>
      <c r="D942" t="s">
        <v>176</v>
      </c>
      <c r="E942">
        <v>1251</v>
      </c>
      <c r="F942" t="s">
        <v>996</v>
      </c>
      <c r="G942">
        <v>2</v>
      </c>
      <c r="H942">
        <v>3</v>
      </c>
      <c r="I942">
        <v>2</v>
      </c>
      <c r="J942">
        <v>0</v>
      </c>
      <c r="K942">
        <v>0</v>
      </c>
      <c r="L942">
        <v>0</v>
      </c>
      <c r="M942" t="s">
        <v>333</v>
      </c>
      <c r="N942" t="s">
        <v>326</v>
      </c>
    </row>
    <row r="943" spans="1:14" x14ac:dyDescent="0.3">
      <c r="A943">
        <v>361</v>
      </c>
      <c r="B943" t="s">
        <v>323</v>
      </c>
      <c r="C943">
        <v>187</v>
      </c>
      <c r="D943" t="s">
        <v>176</v>
      </c>
      <c r="E943">
        <v>1252</v>
      </c>
      <c r="F943" t="s">
        <v>997</v>
      </c>
      <c r="G943">
        <v>4</v>
      </c>
      <c r="H943">
        <v>2</v>
      </c>
      <c r="I943">
        <v>2</v>
      </c>
      <c r="J943">
        <v>0</v>
      </c>
      <c r="K943">
        <v>0</v>
      </c>
      <c r="L943">
        <v>0</v>
      </c>
      <c r="M943" t="s">
        <v>325</v>
      </c>
      <c r="N943" t="s">
        <v>326</v>
      </c>
    </row>
    <row r="944" spans="1:14" x14ac:dyDescent="0.3">
      <c r="A944">
        <v>361</v>
      </c>
      <c r="B944" t="s">
        <v>323</v>
      </c>
      <c r="C944">
        <v>187</v>
      </c>
      <c r="D944" t="s">
        <v>176</v>
      </c>
      <c r="E944">
        <v>1254</v>
      </c>
      <c r="F944" t="s">
        <v>998</v>
      </c>
      <c r="G944">
        <v>3</v>
      </c>
      <c r="H944">
        <v>3</v>
      </c>
      <c r="I944">
        <v>2</v>
      </c>
      <c r="J944">
        <v>0</v>
      </c>
      <c r="K944">
        <v>0</v>
      </c>
      <c r="L944">
        <v>0</v>
      </c>
      <c r="M944" t="s">
        <v>333</v>
      </c>
      <c r="N944" t="s">
        <v>326</v>
      </c>
    </row>
    <row r="945" spans="1:14" x14ac:dyDescent="0.3">
      <c r="A945">
        <v>361</v>
      </c>
      <c r="B945" t="s">
        <v>323</v>
      </c>
      <c r="C945">
        <v>187</v>
      </c>
      <c r="D945" t="s">
        <v>176</v>
      </c>
      <c r="E945">
        <v>1255</v>
      </c>
      <c r="F945" t="s">
        <v>999</v>
      </c>
      <c r="G945">
        <v>2</v>
      </c>
      <c r="H945">
        <v>0</v>
      </c>
      <c r="I945">
        <v>0</v>
      </c>
      <c r="J945">
        <v>0</v>
      </c>
      <c r="K945">
        <v>0</v>
      </c>
      <c r="L945">
        <v>0</v>
      </c>
      <c r="M945" t="s">
        <v>325</v>
      </c>
      <c r="N945" t="s">
        <v>326</v>
      </c>
    </row>
    <row r="946" spans="1:14" x14ac:dyDescent="0.3">
      <c r="A946">
        <v>361</v>
      </c>
      <c r="B946" t="s">
        <v>323</v>
      </c>
      <c r="C946">
        <v>187</v>
      </c>
      <c r="D946" t="s">
        <v>176</v>
      </c>
      <c r="E946">
        <v>1256</v>
      </c>
      <c r="F946" t="s">
        <v>1000</v>
      </c>
      <c r="G946">
        <v>0</v>
      </c>
      <c r="H946">
        <v>4</v>
      </c>
      <c r="I946">
        <v>3</v>
      </c>
      <c r="J946">
        <v>0</v>
      </c>
      <c r="K946">
        <v>0</v>
      </c>
      <c r="L946">
        <v>0</v>
      </c>
      <c r="M946" t="s">
        <v>325</v>
      </c>
      <c r="N946" t="s">
        <v>348</v>
      </c>
    </row>
    <row r="947" spans="1:14" x14ac:dyDescent="0.3">
      <c r="A947">
        <v>361</v>
      </c>
      <c r="B947" t="s">
        <v>323</v>
      </c>
      <c r="C947">
        <v>187</v>
      </c>
      <c r="D947" t="s">
        <v>176</v>
      </c>
      <c r="E947">
        <v>1257</v>
      </c>
      <c r="F947" t="s">
        <v>1001</v>
      </c>
      <c r="G947">
        <v>3</v>
      </c>
      <c r="H947">
        <v>3</v>
      </c>
      <c r="I947">
        <v>0</v>
      </c>
      <c r="J947">
        <v>0</v>
      </c>
      <c r="K947">
        <v>0</v>
      </c>
      <c r="L947">
        <v>0</v>
      </c>
      <c r="M947" t="s">
        <v>325</v>
      </c>
      <c r="N947" t="s">
        <v>348</v>
      </c>
    </row>
    <row r="948" spans="1:14" x14ac:dyDescent="0.3">
      <c r="A948">
        <v>361</v>
      </c>
      <c r="B948" t="s">
        <v>323</v>
      </c>
      <c r="C948">
        <v>187</v>
      </c>
      <c r="D948" t="s">
        <v>176</v>
      </c>
      <c r="E948">
        <v>1258</v>
      </c>
      <c r="F948" t="s">
        <v>1002</v>
      </c>
      <c r="G948">
        <v>0</v>
      </c>
      <c r="H948">
        <v>5</v>
      </c>
      <c r="I948">
        <v>2</v>
      </c>
      <c r="J948">
        <v>1</v>
      </c>
      <c r="K948">
        <v>0</v>
      </c>
      <c r="L948">
        <v>0</v>
      </c>
      <c r="M948" t="s">
        <v>325</v>
      </c>
      <c r="N948" t="s">
        <v>348</v>
      </c>
    </row>
    <row r="949" spans="1:14" x14ac:dyDescent="0.3">
      <c r="A949">
        <v>361</v>
      </c>
      <c r="B949" t="s">
        <v>323</v>
      </c>
      <c r="C949">
        <v>187</v>
      </c>
      <c r="D949" t="s">
        <v>176</v>
      </c>
      <c r="E949">
        <v>1259</v>
      </c>
      <c r="F949" t="s">
        <v>1003</v>
      </c>
      <c r="G949">
        <v>1</v>
      </c>
      <c r="H949">
        <v>3</v>
      </c>
      <c r="I949">
        <v>1</v>
      </c>
      <c r="J949">
        <v>0</v>
      </c>
      <c r="K949">
        <v>0</v>
      </c>
      <c r="L949">
        <v>0</v>
      </c>
      <c r="M949" t="s">
        <v>325</v>
      </c>
      <c r="N949" t="s">
        <v>326</v>
      </c>
    </row>
    <row r="950" spans="1:14" x14ac:dyDescent="0.3">
      <c r="A950">
        <v>361</v>
      </c>
      <c r="B950" t="s">
        <v>323</v>
      </c>
      <c r="C950">
        <v>187</v>
      </c>
      <c r="D950" t="s">
        <v>176</v>
      </c>
      <c r="E950">
        <v>1260</v>
      </c>
      <c r="F950" t="s">
        <v>1004</v>
      </c>
      <c r="G950">
        <v>0</v>
      </c>
      <c r="H950">
        <v>0</v>
      </c>
      <c r="I950">
        <v>4</v>
      </c>
      <c r="J950">
        <v>5</v>
      </c>
      <c r="K950">
        <v>2</v>
      </c>
      <c r="L950">
        <v>0</v>
      </c>
      <c r="M950" t="s">
        <v>416</v>
      </c>
      <c r="N950" t="s">
        <v>329</v>
      </c>
    </row>
    <row r="951" spans="1:14" x14ac:dyDescent="0.3">
      <c r="A951">
        <v>361</v>
      </c>
      <c r="B951" t="s">
        <v>323</v>
      </c>
      <c r="C951">
        <v>187</v>
      </c>
      <c r="D951" t="s">
        <v>176</v>
      </c>
      <c r="E951">
        <v>1543</v>
      </c>
      <c r="F951" t="s">
        <v>1005</v>
      </c>
      <c r="G951">
        <v>0</v>
      </c>
      <c r="H951">
        <v>0</v>
      </c>
      <c r="I951">
        <v>3</v>
      </c>
      <c r="J951">
        <v>3</v>
      </c>
      <c r="K951">
        <v>0</v>
      </c>
      <c r="L951">
        <v>0</v>
      </c>
      <c r="M951" t="s">
        <v>325</v>
      </c>
      <c r="N951" t="s">
        <v>348</v>
      </c>
    </row>
    <row r="952" spans="1:14" x14ac:dyDescent="0.3">
      <c r="A952">
        <v>361</v>
      </c>
      <c r="B952" t="s">
        <v>323</v>
      </c>
      <c r="C952">
        <v>187</v>
      </c>
      <c r="D952" t="s">
        <v>176</v>
      </c>
      <c r="E952">
        <v>1544</v>
      </c>
      <c r="F952" t="s">
        <v>1006</v>
      </c>
      <c r="G952">
        <v>0</v>
      </c>
      <c r="H952">
        <v>2</v>
      </c>
      <c r="I952">
        <v>3</v>
      </c>
      <c r="J952">
        <v>3</v>
      </c>
      <c r="K952">
        <v>0</v>
      </c>
      <c r="L952">
        <v>0</v>
      </c>
      <c r="M952" t="s">
        <v>325</v>
      </c>
      <c r="N952" t="s">
        <v>484</v>
      </c>
    </row>
    <row r="953" spans="1:14" x14ac:dyDescent="0.3">
      <c r="A953">
        <v>361</v>
      </c>
      <c r="B953" t="s">
        <v>323</v>
      </c>
      <c r="C953">
        <v>187</v>
      </c>
      <c r="D953" t="s">
        <v>176</v>
      </c>
      <c r="E953">
        <v>1546</v>
      </c>
      <c r="F953" t="s">
        <v>1007</v>
      </c>
      <c r="G953">
        <v>5</v>
      </c>
      <c r="H953">
        <v>7</v>
      </c>
      <c r="I953">
        <v>3</v>
      </c>
      <c r="J953">
        <v>0</v>
      </c>
      <c r="K953">
        <v>0</v>
      </c>
      <c r="L953">
        <v>0</v>
      </c>
      <c r="M953" t="s">
        <v>410</v>
      </c>
      <c r="N953" t="s">
        <v>326</v>
      </c>
    </row>
    <row r="954" spans="1:14" x14ac:dyDescent="0.3">
      <c r="A954">
        <v>362</v>
      </c>
      <c r="B954" t="s">
        <v>323</v>
      </c>
      <c r="C954">
        <v>188</v>
      </c>
      <c r="D954" t="s">
        <v>178</v>
      </c>
      <c r="E954">
        <v>1261</v>
      </c>
      <c r="F954" t="s">
        <v>1484</v>
      </c>
      <c r="G954">
        <v>0</v>
      </c>
      <c r="H954">
        <v>3</v>
      </c>
      <c r="I954">
        <v>5</v>
      </c>
      <c r="J954">
        <v>0</v>
      </c>
      <c r="K954">
        <v>3</v>
      </c>
      <c r="L954">
        <v>8</v>
      </c>
      <c r="M954" t="s">
        <v>333</v>
      </c>
      <c r="N954" t="s">
        <v>326</v>
      </c>
    </row>
    <row r="955" spans="1:14" x14ac:dyDescent="0.3">
      <c r="A955">
        <v>362</v>
      </c>
      <c r="B955" t="s">
        <v>323</v>
      </c>
      <c r="C955">
        <v>188</v>
      </c>
      <c r="D955" t="s">
        <v>178</v>
      </c>
      <c r="E955">
        <v>1262</v>
      </c>
      <c r="F955" t="s">
        <v>1485</v>
      </c>
      <c r="G955">
        <v>0</v>
      </c>
      <c r="H955">
        <v>0</v>
      </c>
      <c r="I955">
        <v>0</v>
      </c>
      <c r="J955">
        <v>0</v>
      </c>
      <c r="K955">
        <v>0</v>
      </c>
      <c r="L955">
        <v>4</v>
      </c>
      <c r="M955" t="s">
        <v>325</v>
      </c>
      <c r="N955" t="s">
        <v>329</v>
      </c>
    </row>
    <row r="956" spans="1:14" x14ac:dyDescent="0.3">
      <c r="A956">
        <v>362</v>
      </c>
      <c r="B956" t="s">
        <v>323</v>
      </c>
      <c r="C956">
        <v>188</v>
      </c>
      <c r="D956" t="s">
        <v>178</v>
      </c>
      <c r="E956">
        <v>1263</v>
      </c>
      <c r="F956" t="s">
        <v>1486</v>
      </c>
      <c r="G956">
        <v>0</v>
      </c>
      <c r="H956">
        <v>3</v>
      </c>
      <c r="I956">
        <v>0</v>
      </c>
      <c r="J956">
        <v>0</v>
      </c>
      <c r="K956">
        <v>0</v>
      </c>
      <c r="L956">
        <v>0</v>
      </c>
      <c r="M956" t="s">
        <v>414</v>
      </c>
      <c r="N956" t="s">
        <v>343</v>
      </c>
    </row>
    <row r="957" spans="1:14" x14ac:dyDescent="0.3">
      <c r="A957">
        <v>362</v>
      </c>
      <c r="B957" t="s">
        <v>323</v>
      </c>
      <c r="C957">
        <v>188</v>
      </c>
      <c r="D957" t="s">
        <v>178</v>
      </c>
      <c r="E957">
        <v>1264</v>
      </c>
      <c r="F957" t="s">
        <v>1487</v>
      </c>
      <c r="G957">
        <v>0</v>
      </c>
      <c r="H957">
        <v>0</v>
      </c>
      <c r="I957">
        <v>0</v>
      </c>
      <c r="J957">
        <v>0</v>
      </c>
      <c r="K957">
        <v>0</v>
      </c>
      <c r="L957">
        <v>15</v>
      </c>
      <c r="M957" t="s">
        <v>410</v>
      </c>
      <c r="N957" t="s">
        <v>329</v>
      </c>
    </row>
    <row r="958" spans="1:14" x14ac:dyDescent="0.3">
      <c r="A958">
        <v>362</v>
      </c>
      <c r="B958" t="s">
        <v>323</v>
      </c>
      <c r="C958">
        <v>188</v>
      </c>
      <c r="D958" t="s">
        <v>178</v>
      </c>
      <c r="E958">
        <v>1265</v>
      </c>
      <c r="F958" t="s">
        <v>500</v>
      </c>
      <c r="G958">
        <v>0</v>
      </c>
      <c r="H958">
        <v>8</v>
      </c>
      <c r="I958">
        <v>0</v>
      </c>
      <c r="J958">
        <v>0</v>
      </c>
      <c r="K958">
        <v>0</v>
      </c>
      <c r="L958">
        <v>0</v>
      </c>
      <c r="M958" t="s">
        <v>566</v>
      </c>
      <c r="N958" t="s">
        <v>348</v>
      </c>
    </row>
    <row r="959" spans="1:14" x14ac:dyDescent="0.3">
      <c r="A959">
        <v>362</v>
      </c>
      <c r="B959" t="s">
        <v>323</v>
      </c>
      <c r="C959">
        <v>188</v>
      </c>
      <c r="D959" t="s">
        <v>178</v>
      </c>
      <c r="E959">
        <v>1266</v>
      </c>
      <c r="F959" t="s">
        <v>366</v>
      </c>
      <c r="G959">
        <v>0</v>
      </c>
      <c r="H959">
        <v>6</v>
      </c>
      <c r="I959">
        <v>0</v>
      </c>
      <c r="J959">
        <v>0</v>
      </c>
      <c r="K959">
        <v>0</v>
      </c>
      <c r="L959">
        <v>0</v>
      </c>
      <c r="M959" t="s">
        <v>414</v>
      </c>
      <c r="N959" t="s">
        <v>348</v>
      </c>
    </row>
    <row r="960" spans="1:14" x14ac:dyDescent="0.3">
      <c r="A960">
        <v>362</v>
      </c>
      <c r="B960" t="s">
        <v>323</v>
      </c>
      <c r="C960">
        <v>188</v>
      </c>
      <c r="D960" t="s">
        <v>178</v>
      </c>
      <c r="E960">
        <v>1267</v>
      </c>
      <c r="F960" t="s">
        <v>1488</v>
      </c>
      <c r="G960">
        <v>5</v>
      </c>
      <c r="H960">
        <v>0</v>
      </c>
      <c r="I960">
        <v>0</v>
      </c>
      <c r="J960">
        <v>0</v>
      </c>
      <c r="K960">
        <v>0</v>
      </c>
      <c r="L960">
        <v>0</v>
      </c>
      <c r="M960" t="s">
        <v>325</v>
      </c>
      <c r="N960" t="s">
        <v>329</v>
      </c>
    </row>
    <row r="961" spans="1:14" x14ac:dyDescent="0.3">
      <c r="A961">
        <v>362</v>
      </c>
      <c r="B961" t="s">
        <v>323</v>
      </c>
      <c r="C961">
        <v>188</v>
      </c>
      <c r="D961" t="s">
        <v>178</v>
      </c>
      <c r="E961">
        <v>1268</v>
      </c>
      <c r="F961" t="s">
        <v>1489</v>
      </c>
      <c r="G961">
        <v>0</v>
      </c>
      <c r="H961">
        <v>0</v>
      </c>
      <c r="I961">
        <v>0</v>
      </c>
      <c r="J961">
        <v>0</v>
      </c>
      <c r="K961">
        <v>0</v>
      </c>
      <c r="L961">
        <v>0</v>
      </c>
      <c r="M961" t="s">
        <v>333</v>
      </c>
      <c r="N961" t="s">
        <v>326</v>
      </c>
    </row>
    <row r="962" spans="1:14" x14ac:dyDescent="0.3">
      <c r="A962">
        <v>362</v>
      </c>
      <c r="B962" t="s">
        <v>323</v>
      </c>
      <c r="C962">
        <v>188</v>
      </c>
      <c r="D962" t="s">
        <v>178</v>
      </c>
      <c r="E962">
        <v>1269</v>
      </c>
      <c r="F962" t="s">
        <v>359</v>
      </c>
      <c r="G962">
        <v>0</v>
      </c>
      <c r="H962">
        <v>10</v>
      </c>
      <c r="I962">
        <v>0</v>
      </c>
      <c r="J962">
        <v>0</v>
      </c>
      <c r="K962">
        <v>0</v>
      </c>
      <c r="L962">
        <v>0</v>
      </c>
      <c r="M962" t="s">
        <v>566</v>
      </c>
      <c r="N962" t="s">
        <v>348</v>
      </c>
    </row>
    <row r="963" spans="1:14" x14ac:dyDescent="0.3">
      <c r="A963">
        <v>362</v>
      </c>
      <c r="B963" t="s">
        <v>323</v>
      </c>
      <c r="C963">
        <v>188</v>
      </c>
      <c r="D963" t="s">
        <v>178</v>
      </c>
      <c r="E963">
        <v>1270</v>
      </c>
      <c r="F963" t="s">
        <v>1490</v>
      </c>
      <c r="G963">
        <v>5</v>
      </c>
      <c r="H963">
        <v>0</v>
      </c>
      <c r="I963">
        <v>0</v>
      </c>
      <c r="J963">
        <v>0</v>
      </c>
      <c r="K963">
        <v>0</v>
      </c>
      <c r="L963">
        <v>0</v>
      </c>
      <c r="M963" t="s">
        <v>333</v>
      </c>
      <c r="N963" t="s">
        <v>329</v>
      </c>
    </row>
    <row r="964" spans="1:14" x14ac:dyDescent="0.3">
      <c r="A964">
        <v>362</v>
      </c>
      <c r="B964" t="s">
        <v>323</v>
      </c>
      <c r="C964">
        <v>188</v>
      </c>
      <c r="D964" t="s">
        <v>178</v>
      </c>
      <c r="E964">
        <v>1271</v>
      </c>
      <c r="F964" t="s">
        <v>1491</v>
      </c>
      <c r="G964">
        <v>0</v>
      </c>
      <c r="H964">
        <v>0</v>
      </c>
      <c r="I964">
        <v>0</v>
      </c>
      <c r="J964">
        <v>0</v>
      </c>
      <c r="K964">
        <v>0</v>
      </c>
      <c r="L964">
        <v>29</v>
      </c>
      <c r="M964" t="s">
        <v>325</v>
      </c>
      <c r="N964" t="s">
        <v>326</v>
      </c>
    </row>
    <row r="965" spans="1:14" x14ac:dyDescent="0.3">
      <c r="A965">
        <v>362</v>
      </c>
      <c r="B965" t="s">
        <v>323</v>
      </c>
      <c r="C965">
        <v>188</v>
      </c>
      <c r="D965" t="s">
        <v>178</v>
      </c>
      <c r="E965">
        <v>1272</v>
      </c>
      <c r="F965" t="s">
        <v>1492</v>
      </c>
      <c r="G965">
        <v>0</v>
      </c>
      <c r="H965">
        <v>0</v>
      </c>
      <c r="I965">
        <v>10</v>
      </c>
      <c r="J965">
        <v>0</v>
      </c>
      <c r="K965">
        <v>0</v>
      </c>
      <c r="L965">
        <v>0</v>
      </c>
      <c r="M965" t="s">
        <v>410</v>
      </c>
      <c r="N965" t="s">
        <v>348</v>
      </c>
    </row>
    <row r="966" spans="1:14" x14ac:dyDescent="0.3">
      <c r="A966">
        <v>362</v>
      </c>
      <c r="B966" t="s">
        <v>323</v>
      </c>
      <c r="C966">
        <v>188</v>
      </c>
      <c r="D966" t="s">
        <v>178</v>
      </c>
      <c r="E966">
        <v>1273</v>
      </c>
      <c r="F966" t="s">
        <v>1493</v>
      </c>
      <c r="G966">
        <v>0</v>
      </c>
      <c r="H966">
        <v>0</v>
      </c>
      <c r="I966">
        <v>0</v>
      </c>
      <c r="J966">
        <v>0</v>
      </c>
      <c r="K966">
        <v>0</v>
      </c>
      <c r="L966">
        <v>8</v>
      </c>
      <c r="M966" t="s">
        <v>333</v>
      </c>
      <c r="N966" t="s">
        <v>326</v>
      </c>
    </row>
    <row r="967" spans="1:14" x14ac:dyDescent="0.3">
      <c r="A967">
        <v>362</v>
      </c>
      <c r="B967" t="s">
        <v>323</v>
      </c>
      <c r="C967">
        <v>188</v>
      </c>
      <c r="D967" t="s">
        <v>178</v>
      </c>
      <c r="E967">
        <v>1274</v>
      </c>
      <c r="F967" t="s">
        <v>1494</v>
      </c>
      <c r="G967">
        <v>0</v>
      </c>
      <c r="H967">
        <v>0</v>
      </c>
      <c r="I967">
        <v>0</v>
      </c>
      <c r="J967">
        <v>0</v>
      </c>
      <c r="K967">
        <v>0</v>
      </c>
      <c r="L967">
        <v>24</v>
      </c>
      <c r="M967" t="s">
        <v>333</v>
      </c>
      <c r="N967" t="s">
        <v>326</v>
      </c>
    </row>
    <row r="968" spans="1:14" x14ac:dyDescent="0.3">
      <c r="A968">
        <v>362</v>
      </c>
      <c r="B968" t="s">
        <v>323</v>
      </c>
      <c r="C968">
        <v>188</v>
      </c>
      <c r="D968" t="s">
        <v>178</v>
      </c>
      <c r="E968">
        <v>1275</v>
      </c>
      <c r="F968" t="s">
        <v>1495</v>
      </c>
      <c r="G968">
        <v>0</v>
      </c>
      <c r="H968">
        <v>0</v>
      </c>
      <c r="I968">
        <v>0</v>
      </c>
      <c r="J968">
        <v>0</v>
      </c>
      <c r="K968">
        <v>0</v>
      </c>
      <c r="L968">
        <v>20</v>
      </c>
      <c r="M968" t="s">
        <v>333</v>
      </c>
      <c r="N968" t="s">
        <v>326</v>
      </c>
    </row>
    <row r="969" spans="1:14" x14ac:dyDescent="0.3">
      <c r="A969">
        <v>362</v>
      </c>
      <c r="B969" t="s">
        <v>323</v>
      </c>
      <c r="C969">
        <v>188</v>
      </c>
      <c r="D969" t="s">
        <v>178</v>
      </c>
      <c r="E969">
        <v>1276</v>
      </c>
      <c r="F969" t="s">
        <v>1496</v>
      </c>
      <c r="G969">
        <v>0</v>
      </c>
      <c r="H969">
        <v>0</v>
      </c>
      <c r="I969">
        <v>6</v>
      </c>
      <c r="J969">
        <v>0</v>
      </c>
      <c r="K969">
        <v>0</v>
      </c>
      <c r="L969">
        <v>0</v>
      </c>
      <c r="M969" t="s">
        <v>566</v>
      </c>
      <c r="N969" t="s">
        <v>336</v>
      </c>
    </row>
    <row r="970" spans="1:14" x14ac:dyDescent="0.3">
      <c r="A970">
        <v>362</v>
      </c>
      <c r="B970" t="s">
        <v>323</v>
      </c>
      <c r="C970">
        <v>188</v>
      </c>
      <c r="D970" t="s">
        <v>178</v>
      </c>
      <c r="E970">
        <v>1277</v>
      </c>
      <c r="F970" t="s">
        <v>972</v>
      </c>
      <c r="G970">
        <v>0</v>
      </c>
      <c r="H970">
        <v>0</v>
      </c>
      <c r="I970">
        <v>0</v>
      </c>
      <c r="J970">
        <v>0</v>
      </c>
      <c r="K970">
        <v>0</v>
      </c>
      <c r="L970">
        <v>5</v>
      </c>
      <c r="M970" t="s">
        <v>566</v>
      </c>
      <c r="N970" t="s">
        <v>336</v>
      </c>
    </row>
    <row r="971" spans="1:14" x14ac:dyDescent="0.3">
      <c r="A971">
        <v>362</v>
      </c>
      <c r="B971" t="s">
        <v>323</v>
      </c>
      <c r="C971">
        <v>188</v>
      </c>
      <c r="D971" t="s">
        <v>178</v>
      </c>
      <c r="E971">
        <v>1278</v>
      </c>
      <c r="F971" t="s">
        <v>1497</v>
      </c>
      <c r="G971">
        <v>0</v>
      </c>
      <c r="H971">
        <v>0</v>
      </c>
      <c r="I971">
        <v>0</v>
      </c>
      <c r="J971">
        <v>0</v>
      </c>
      <c r="K971">
        <v>0</v>
      </c>
      <c r="L971">
        <v>13</v>
      </c>
      <c r="M971" t="s">
        <v>325</v>
      </c>
      <c r="N971" t="s">
        <v>326</v>
      </c>
    </row>
    <row r="972" spans="1:14" x14ac:dyDescent="0.3">
      <c r="A972">
        <v>362</v>
      </c>
      <c r="B972" t="s">
        <v>323</v>
      </c>
      <c r="C972">
        <v>188</v>
      </c>
      <c r="D972" t="s">
        <v>178</v>
      </c>
      <c r="E972">
        <v>1279</v>
      </c>
      <c r="F972" t="s">
        <v>381</v>
      </c>
      <c r="G972">
        <v>0</v>
      </c>
      <c r="H972">
        <v>0</v>
      </c>
      <c r="I972">
        <v>0</v>
      </c>
      <c r="J972">
        <v>0</v>
      </c>
      <c r="K972">
        <v>0</v>
      </c>
      <c r="L972">
        <v>6</v>
      </c>
      <c r="M972" t="s">
        <v>325</v>
      </c>
      <c r="N972" t="s">
        <v>326</v>
      </c>
    </row>
    <row r="973" spans="1:14" x14ac:dyDescent="0.3">
      <c r="A973">
        <v>362</v>
      </c>
      <c r="B973" t="s">
        <v>323</v>
      </c>
      <c r="C973">
        <v>188</v>
      </c>
      <c r="D973" t="s">
        <v>178</v>
      </c>
      <c r="E973">
        <v>1280</v>
      </c>
      <c r="F973" t="s">
        <v>1498</v>
      </c>
      <c r="G973">
        <v>0</v>
      </c>
      <c r="H973">
        <v>0</v>
      </c>
      <c r="I973">
        <v>0</v>
      </c>
      <c r="J973">
        <v>0</v>
      </c>
      <c r="K973">
        <v>0</v>
      </c>
      <c r="L973">
        <v>2</v>
      </c>
      <c r="M973" t="s">
        <v>325</v>
      </c>
      <c r="N973" t="s">
        <v>336</v>
      </c>
    </row>
    <row r="974" spans="1:14" x14ac:dyDescent="0.3">
      <c r="A974">
        <v>362</v>
      </c>
      <c r="B974" t="s">
        <v>323</v>
      </c>
      <c r="C974">
        <v>188</v>
      </c>
      <c r="D974" t="s">
        <v>178</v>
      </c>
      <c r="E974">
        <v>1281</v>
      </c>
      <c r="F974" t="s">
        <v>1499</v>
      </c>
      <c r="G974">
        <v>0</v>
      </c>
      <c r="H974">
        <v>0</v>
      </c>
      <c r="I974">
        <v>0</v>
      </c>
      <c r="J974">
        <v>0</v>
      </c>
      <c r="K974">
        <v>0</v>
      </c>
      <c r="L974">
        <v>13</v>
      </c>
      <c r="M974" t="s">
        <v>333</v>
      </c>
      <c r="N974" t="s">
        <v>326</v>
      </c>
    </row>
    <row r="975" spans="1:14" x14ac:dyDescent="0.3">
      <c r="A975">
        <v>362</v>
      </c>
      <c r="B975" t="s">
        <v>323</v>
      </c>
      <c r="C975">
        <v>188</v>
      </c>
      <c r="D975" t="s">
        <v>178</v>
      </c>
      <c r="E975">
        <v>1282</v>
      </c>
      <c r="F975" t="s">
        <v>1500</v>
      </c>
      <c r="G975">
        <v>0</v>
      </c>
      <c r="H975">
        <v>0</v>
      </c>
      <c r="I975">
        <v>0</v>
      </c>
      <c r="J975">
        <v>0</v>
      </c>
      <c r="K975">
        <v>0</v>
      </c>
      <c r="L975">
        <v>20</v>
      </c>
      <c r="M975" t="s">
        <v>410</v>
      </c>
      <c r="N975" t="s">
        <v>343</v>
      </c>
    </row>
    <row r="976" spans="1:14" x14ac:dyDescent="0.3">
      <c r="A976">
        <v>362</v>
      </c>
      <c r="B976" t="s">
        <v>323</v>
      </c>
      <c r="C976">
        <v>188</v>
      </c>
      <c r="D976" t="s">
        <v>178</v>
      </c>
      <c r="E976">
        <v>1283</v>
      </c>
      <c r="F976" t="s">
        <v>1501</v>
      </c>
      <c r="G976">
        <v>5</v>
      </c>
      <c r="H976">
        <v>0</v>
      </c>
      <c r="I976">
        <v>0</v>
      </c>
      <c r="J976">
        <v>0</v>
      </c>
      <c r="K976">
        <v>0</v>
      </c>
      <c r="L976">
        <v>0</v>
      </c>
      <c r="M976" t="s">
        <v>325</v>
      </c>
      <c r="N976" t="s">
        <v>329</v>
      </c>
    </row>
    <row r="977" spans="1:14" x14ac:dyDescent="0.3">
      <c r="A977">
        <v>362</v>
      </c>
      <c r="B977" t="s">
        <v>323</v>
      </c>
      <c r="C977">
        <v>188</v>
      </c>
      <c r="D977" t="s">
        <v>178</v>
      </c>
      <c r="E977">
        <v>1918</v>
      </c>
      <c r="F977" t="s">
        <v>1502</v>
      </c>
      <c r="G977">
        <v>0</v>
      </c>
      <c r="H977">
        <v>0</v>
      </c>
      <c r="I977">
        <v>0</v>
      </c>
      <c r="J977">
        <v>0</v>
      </c>
      <c r="K977">
        <v>0</v>
      </c>
      <c r="L977">
        <v>6</v>
      </c>
      <c r="M977" t="s">
        <v>325</v>
      </c>
      <c r="N977" t="s">
        <v>326</v>
      </c>
    </row>
    <row r="978" spans="1:14" x14ac:dyDescent="0.3">
      <c r="A978">
        <v>363</v>
      </c>
      <c r="B978" t="s">
        <v>323</v>
      </c>
      <c r="C978">
        <v>189</v>
      </c>
      <c r="D978" t="s">
        <v>180</v>
      </c>
      <c r="E978">
        <v>410</v>
      </c>
      <c r="F978" t="s">
        <v>1008</v>
      </c>
      <c r="G978">
        <v>2</v>
      </c>
      <c r="H978">
        <v>0</v>
      </c>
      <c r="I978">
        <v>1</v>
      </c>
      <c r="J978">
        <v>0</v>
      </c>
      <c r="K978">
        <v>0</v>
      </c>
      <c r="L978">
        <v>0</v>
      </c>
      <c r="M978" t="s">
        <v>325</v>
      </c>
      <c r="N978" t="s">
        <v>348</v>
      </c>
    </row>
    <row r="979" spans="1:14" x14ac:dyDescent="0.3">
      <c r="A979">
        <v>363</v>
      </c>
      <c r="B979" t="s">
        <v>323</v>
      </c>
      <c r="C979">
        <v>189</v>
      </c>
      <c r="D979" t="s">
        <v>180</v>
      </c>
      <c r="E979">
        <v>411</v>
      </c>
      <c r="F979" t="s">
        <v>1009</v>
      </c>
      <c r="G979">
        <v>0</v>
      </c>
      <c r="H979">
        <v>1</v>
      </c>
      <c r="I979">
        <v>1</v>
      </c>
      <c r="J979">
        <v>3</v>
      </c>
      <c r="K979">
        <v>1</v>
      </c>
      <c r="L979">
        <v>0</v>
      </c>
      <c r="M979" t="s">
        <v>333</v>
      </c>
      <c r="N979" t="s">
        <v>326</v>
      </c>
    </row>
    <row r="980" spans="1:14" x14ac:dyDescent="0.3">
      <c r="A980">
        <v>363</v>
      </c>
      <c r="B980" t="s">
        <v>323</v>
      </c>
      <c r="C980">
        <v>189</v>
      </c>
      <c r="D980" t="s">
        <v>180</v>
      </c>
      <c r="E980">
        <v>412</v>
      </c>
      <c r="F980" t="s">
        <v>1010</v>
      </c>
      <c r="G980">
        <v>3</v>
      </c>
      <c r="H980">
        <v>2</v>
      </c>
      <c r="I980">
        <v>0</v>
      </c>
      <c r="J980">
        <v>0</v>
      </c>
      <c r="K980">
        <v>0</v>
      </c>
      <c r="L980">
        <v>0</v>
      </c>
      <c r="M980" t="s">
        <v>414</v>
      </c>
      <c r="N980" t="s">
        <v>348</v>
      </c>
    </row>
    <row r="981" spans="1:14" x14ac:dyDescent="0.3">
      <c r="A981">
        <v>363</v>
      </c>
      <c r="B981" t="s">
        <v>323</v>
      </c>
      <c r="C981">
        <v>189</v>
      </c>
      <c r="D981" t="s">
        <v>180</v>
      </c>
      <c r="E981">
        <v>413</v>
      </c>
      <c r="F981" t="s">
        <v>1011</v>
      </c>
      <c r="G981">
        <v>1</v>
      </c>
      <c r="H981">
        <v>2</v>
      </c>
      <c r="I981">
        <v>0</v>
      </c>
      <c r="J981">
        <v>1</v>
      </c>
      <c r="K981">
        <v>1</v>
      </c>
      <c r="L981">
        <v>0</v>
      </c>
      <c r="M981" t="s">
        <v>414</v>
      </c>
      <c r="N981" t="s">
        <v>348</v>
      </c>
    </row>
    <row r="982" spans="1:14" x14ac:dyDescent="0.3">
      <c r="A982">
        <v>363</v>
      </c>
      <c r="B982" t="s">
        <v>323</v>
      </c>
      <c r="C982">
        <v>189</v>
      </c>
      <c r="D982" t="s">
        <v>180</v>
      </c>
      <c r="E982">
        <v>414</v>
      </c>
      <c r="F982" t="s">
        <v>1012</v>
      </c>
      <c r="G982">
        <v>5</v>
      </c>
      <c r="H982">
        <v>0</v>
      </c>
      <c r="I982">
        <v>0</v>
      </c>
      <c r="J982">
        <v>0</v>
      </c>
      <c r="K982">
        <v>0</v>
      </c>
      <c r="L982">
        <v>0</v>
      </c>
      <c r="M982" t="s">
        <v>325</v>
      </c>
      <c r="N982" t="s">
        <v>329</v>
      </c>
    </row>
    <row r="983" spans="1:14" x14ac:dyDescent="0.3">
      <c r="A983">
        <v>363</v>
      </c>
      <c r="B983" t="s">
        <v>323</v>
      </c>
      <c r="C983">
        <v>189</v>
      </c>
      <c r="D983" t="s">
        <v>180</v>
      </c>
      <c r="E983">
        <v>415</v>
      </c>
      <c r="F983" t="s">
        <v>1013</v>
      </c>
      <c r="G983">
        <v>0</v>
      </c>
      <c r="H983">
        <v>1</v>
      </c>
      <c r="I983">
        <v>1</v>
      </c>
      <c r="J983">
        <v>1</v>
      </c>
      <c r="K983">
        <v>1</v>
      </c>
      <c r="L983">
        <v>0</v>
      </c>
      <c r="M983" t="s">
        <v>333</v>
      </c>
      <c r="N983" t="s">
        <v>326</v>
      </c>
    </row>
    <row r="984" spans="1:14" x14ac:dyDescent="0.3">
      <c r="A984">
        <v>363</v>
      </c>
      <c r="B984" t="s">
        <v>323</v>
      </c>
      <c r="C984">
        <v>189</v>
      </c>
      <c r="D984" t="s">
        <v>180</v>
      </c>
      <c r="E984">
        <v>416</v>
      </c>
      <c r="F984" t="s">
        <v>1014</v>
      </c>
      <c r="G984">
        <v>0</v>
      </c>
      <c r="H984">
        <v>0</v>
      </c>
      <c r="I984">
        <v>1</v>
      </c>
      <c r="J984">
        <v>4</v>
      </c>
      <c r="K984">
        <v>1</v>
      </c>
      <c r="L984">
        <v>0</v>
      </c>
      <c r="M984" t="s">
        <v>333</v>
      </c>
      <c r="N984" t="s">
        <v>326</v>
      </c>
    </row>
    <row r="985" spans="1:14" x14ac:dyDescent="0.3">
      <c r="A985">
        <v>363</v>
      </c>
      <c r="B985" t="s">
        <v>323</v>
      </c>
      <c r="C985">
        <v>189</v>
      </c>
      <c r="D985" t="s">
        <v>180</v>
      </c>
      <c r="E985">
        <v>417</v>
      </c>
      <c r="F985" t="s">
        <v>1015</v>
      </c>
      <c r="G985">
        <v>0</v>
      </c>
      <c r="H985">
        <v>1</v>
      </c>
      <c r="I985">
        <v>0</v>
      </c>
      <c r="J985">
        <v>0</v>
      </c>
      <c r="K985">
        <v>0</v>
      </c>
      <c r="L985">
        <v>0</v>
      </c>
      <c r="M985" t="s">
        <v>325</v>
      </c>
      <c r="N985" t="s">
        <v>329</v>
      </c>
    </row>
    <row r="986" spans="1:14" x14ac:dyDescent="0.3">
      <c r="A986">
        <v>363</v>
      </c>
      <c r="B986" t="s">
        <v>323</v>
      </c>
      <c r="C986">
        <v>189</v>
      </c>
      <c r="D986" t="s">
        <v>180</v>
      </c>
      <c r="E986">
        <v>418</v>
      </c>
      <c r="F986" t="s">
        <v>1016</v>
      </c>
      <c r="G986">
        <v>0</v>
      </c>
      <c r="H986">
        <v>0</v>
      </c>
      <c r="I986">
        <v>0</v>
      </c>
      <c r="J986">
        <v>0</v>
      </c>
      <c r="K986">
        <v>0</v>
      </c>
      <c r="L986">
        <v>0</v>
      </c>
      <c r="M986" t="s">
        <v>333</v>
      </c>
      <c r="N986" t="s">
        <v>326</v>
      </c>
    </row>
    <row r="987" spans="1:14" x14ac:dyDescent="0.3">
      <c r="A987">
        <v>363</v>
      </c>
      <c r="B987" t="s">
        <v>323</v>
      </c>
      <c r="C987">
        <v>189</v>
      </c>
      <c r="D987" t="s">
        <v>180</v>
      </c>
      <c r="E987">
        <v>419</v>
      </c>
      <c r="F987" t="s">
        <v>1017</v>
      </c>
      <c r="G987">
        <v>0</v>
      </c>
      <c r="H987">
        <v>1</v>
      </c>
      <c r="I987">
        <v>2</v>
      </c>
      <c r="J987">
        <v>0</v>
      </c>
      <c r="K987">
        <v>0</v>
      </c>
      <c r="L987">
        <v>0</v>
      </c>
      <c r="M987" t="s">
        <v>325</v>
      </c>
      <c r="N987" t="s">
        <v>326</v>
      </c>
    </row>
    <row r="988" spans="1:14" x14ac:dyDescent="0.3">
      <c r="A988">
        <v>363</v>
      </c>
      <c r="B988" t="s">
        <v>323</v>
      </c>
      <c r="C988">
        <v>189</v>
      </c>
      <c r="D988" t="s">
        <v>180</v>
      </c>
      <c r="E988">
        <v>420</v>
      </c>
      <c r="F988" t="s">
        <v>1018</v>
      </c>
      <c r="G988">
        <v>0</v>
      </c>
      <c r="H988">
        <v>4</v>
      </c>
      <c r="I988">
        <v>1</v>
      </c>
      <c r="J988">
        <v>0</v>
      </c>
      <c r="K988">
        <v>0</v>
      </c>
      <c r="L988">
        <v>0</v>
      </c>
      <c r="M988" t="s">
        <v>333</v>
      </c>
      <c r="N988" t="s">
        <v>329</v>
      </c>
    </row>
    <row r="989" spans="1:14" x14ac:dyDescent="0.3">
      <c r="A989">
        <v>363</v>
      </c>
      <c r="B989" t="s">
        <v>323</v>
      </c>
      <c r="C989">
        <v>189</v>
      </c>
      <c r="D989" t="s">
        <v>180</v>
      </c>
      <c r="E989">
        <v>421</v>
      </c>
      <c r="F989" t="s">
        <v>1019</v>
      </c>
      <c r="G989">
        <v>0</v>
      </c>
      <c r="H989">
        <v>0</v>
      </c>
      <c r="I989">
        <v>4</v>
      </c>
      <c r="J989">
        <v>0</v>
      </c>
      <c r="K989">
        <v>2</v>
      </c>
      <c r="L989">
        <v>0</v>
      </c>
      <c r="M989" t="s">
        <v>410</v>
      </c>
      <c r="N989" t="s">
        <v>326</v>
      </c>
    </row>
    <row r="990" spans="1:14" x14ac:dyDescent="0.3">
      <c r="A990">
        <v>363</v>
      </c>
      <c r="B990" t="s">
        <v>323</v>
      </c>
      <c r="C990">
        <v>189</v>
      </c>
      <c r="D990" t="s">
        <v>180</v>
      </c>
      <c r="E990">
        <v>422</v>
      </c>
      <c r="F990" t="s">
        <v>1020</v>
      </c>
      <c r="G990">
        <v>6</v>
      </c>
      <c r="H990">
        <v>0</v>
      </c>
      <c r="I990">
        <v>0</v>
      </c>
      <c r="J990">
        <v>0</v>
      </c>
      <c r="K990">
        <v>0</v>
      </c>
      <c r="L990">
        <v>0</v>
      </c>
      <c r="M990" t="s">
        <v>410</v>
      </c>
      <c r="N990" t="s">
        <v>329</v>
      </c>
    </row>
    <row r="991" spans="1:14" x14ac:dyDescent="0.3">
      <c r="A991">
        <v>363</v>
      </c>
      <c r="B991" t="s">
        <v>323</v>
      </c>
      <c r="C991">
        <v>189</v>
      </c>
      <c r="D991" t="s">
        <v>180</v>
      </c>
      <c r="E991">
        <v>423</v>
      </c>
      <c r="F991" t="s">
        <v>1021</v>
      </c>
      <c r="G991">
        <v>0</v>
      </c>
      <c r="H991">
        <v>0</v>
      </c>
      <c r="I991">
        <v>1</v>
      </c>
      <c r="J991">
        <v>0</v>
      </c>
      <c r="K991">
        <v>3</v>
      </c>
      <c r="L991">
        <v>0</v>
      </c>
      <c r="M991" t="s">
        <v>333</v>
      </c>
      <c r="N991" t="s">
        <v>326</v>
      </c>
    </row>
    <row r="992" spans="1:14" x14ac:dyDescent="0.3">
      <c r="A992">
        <v>363</v>
      </c>
      <c r="B992" t="s">
        <v>323</v>
      </c>
      <c r="C992">
        <v>189</v>
      </c>
      <c r="D992" t="s">
        <v>180</v>
      </c>
      <c r="E992">
        <v>424</v>
      </c>
      <c r="F992" t="s">
        <v>523</v>
      </c>
      <c r="G992">
        <v>0</v>
      </c>
      <c r="H992">
        <v>0</v>
      </c>
      <c r="I992">
        <v>3</v>
      </c>
      <c r="J992">
        <v>1</v>
      </c>
      <c r="K992">
        <v>0</v>
      </c>
      <c r="L992">
        <v>0</v>
      </c>
      <c r="M992" t="s">
        <v>325</v>
      </c>
      <c r="N992" t="s">
        <v>326</v>
      </c>
    </row>
    <row r="993" spans="1:14" x14ac:dyDescent="0.3">
      <c r="A993">
        <v>363</v>
      </c>
      <c r="B993" t="s">
        <v>323</v>
      </c>
      <c r="C993">
        <v>189</v>
      </c>
      <c r="D993" t="s">
        <v>180</v>
      </c>
      <c r="E993">
        <v>425</v>
      </c>
      <c r="F993" t="s">
        <v>1022</v>
      </c>
      <c r="G993">
        <v>4</v>
      </c>
      <c r="H993">
        <v>1</v>
      </c>
      <c r="I993">
        <v>0</v>
      </c>
      <c r="J993">
        <v>0</v>
      </c>
      <c r="K993">
        <v>0</v>
      </c>
      <c r="L993">
        <v>0</v>
      </c>
      <c r="M993" t="s">
        <v>410</v>
      </c>
      <c r="N993" t="s">
        <v>348</v>
      </c>
    </row>
    <row r="994" spans="1:14" x14ac:dyDescent="0.3">
      <c r="A994">
        <v>363</v>
      </c>
      <c r="B994" t="s">
        <v>323</v>
      </c>
      <c r="C994">
        <v>189</v>
      </c>
      <c r="D994" t="s">
        <v>180</v>
      </c>
      <c r="E994">
        <v>426</v>
      </c>
      <c r="F994" t="s">
        <v>1023</v>
      </c>
      <c r="G994">
        <v>0</v>
      </c>
      <c r="H994">
        <v>0</v>
      </c>
      <c r="I994">
        <v>2</v>
      </c>
      <c r="J994">
        <v>1</v>
      </c>
      <c r="K994">
        <v>0</v>
      </c>
      <c r="L994">
        <v>0</v>
      </c>
      <c r="M994" t="s">
        <v>333</v>
      </c>
      <c r="N994" t="s">
        <v>326</v>
      </c>
    </row>
    <row r="995" spans="1:14" x14ac:dyDescent="0.3">
      <c r="A995">
        <v>363</v>
      </c>
      <c r="B995" t="s">
        <v>323</v>
      </c>
      <c r="C995">
        <v>189</v>
      </c>
      <c r="D995" t="s">
        <v>180</v>
      </c>
      <c r="E995">
        <v>428</v>
      </c>
      <c r="F995" t="s">
        <v>1024</v>
      </c>
      <c r="G995">
        <v>0</v>
      </c>
      <c r="H995">
        <v>1</v>
      </c>
      <c r="I995">
        <v>2</v>
      </c>
      <c r="J995">
        <v>1</v>
      </c>
      <c r="K995">
        <v>0</v>
      </c>
      <c r="L995">
        <v>0</v>
      </c>
      <c r="M995" t="s">
        <v>410</v>
      </c>
      <c r="N995" t="s">
        <v>348</v>
      </c>
    </row>
    <row r="996" spans="1:14" x14ac:dyDescent="0.3">
      <c r="A996">
        <v>363</v>
      </c>
      <c r="B996" t="s">
        <v>323</v>
      </c>
      <c r="C996">
        <v>189</v>
      </c>
      <c r="D996" t="s">
        <v>180</v>
      </c>
      <c r="E996">
        <v>430</v>
      </c>
      <c r="F996" t="s">
        <v>1025</v>
      </c>
      <c r="G996">
        <v>0</v>
      </c>
      <c r="H996">
        <v>2</v>
      </c>
      <c r="I996">
        <v>4</v>
      </c>
      <c r="J996">
        <v>0</v>
      </c>
      <c r="K996">
        <v>0</v>
      </c>
      <c r="L996">
        <v>0</v>
      </c>
      <c r="M996" t="s">
        <v>410</v>
      </c>
      <c r="N996" t="s">
        <v>326</v>
      </c>
    </row>
    <row r="997" spans="1:14" x14ac:dyDescent="0.3">
      <c r="A997">
        <v>363</v>
      </c>
      <c r="B997" t="s">
        <v>323</v>
      </c>
      <c r="C997">
        <v>189</v>
      </c>
      <c r="D997" t="s">
        <v>180</v>
      </c>
      <c r="E997">
        <v>431</v>
      </c>
      <c r="F997" t="s">
        <v>381</v>
      </c>
      <c r="G997">
        <v>0</v>
      </c>
      <c r="H997">
        <v>0</v>
      </c>
      <c r="I997">
        <v>1</v>
      </c>
      <c r="J997">
        <v>3</v>
      </c>
      <c r="K997">
        <v>1</v>
      </c>
      <c r="L997">
        <v>0</v>
      </c>
      <c r="M997" t="s">
        <v>410</v>
      </c>
      <c r="N997" t="s">
        <v>326</v>
      </c>
    </row>
    <row r="998" spans="1:14" x14ac:dyDescent="0.3">
      <c r="A998">
        <v>363</v>
      </c>
      <c r="B998" t="s">
        <v>323</v>
      </c>
      <c r="C998">
        <v>189</v>
      </c>
      <c r="D998" t="s">
        <v>180</v>
      </c>
      <c r="E998">
        <v>432</v>
      </c>
      <c r="F998" t="s">
        <v>447</v>
      </c>
      <c r="G998">
        <v>0</v>
      </c>
      <c r="H998">
        <v>0</v>
      </c>
      <c r="I998">
        <v>0</v>
      </c>
      <c r="J998">
        <v>0</v>
      </c>
      <c r="K998">
        <v>3</v>
      </c>
      <c r="L998">
        <v>0</v>
      </c>
      <c r="M998" t="s">
        <v>325</v>
      </c>
      <c r="N998" t="s">
        <v>326</v>
      </c>
    </row>
    <row r="999" spans="1:14" x14ac:dyDescent="0.3">
      <c r="A999">
        <v>363</v>
      </c>
      <c r="B999" t="s">
        <v>323</v>
      </c>
      <c r="C999">
        <v>189</v>
      </c>
      <c r="D999" t="s">
        <v>180</v>
      </c>
      <c r="E999">
        <v>433</v>
      </c>
      <c r="F999" t="s">
        <v>1026</v>
      </c>
      <c r="G999">
        <v>1</v>
      </c>
      <c r="H999">
        <v>0</v>
      </c>
      <c r="I999">
        <v>0</v>
      </c>
      <c r="J999">
        <v>0</v>
      </c>
      <c r="K999">
        <v>1</v>
      </c>
      <c r="L999">
        <v>0</v>
      </c>
      <c r="M999" t="s">
        <v>333</v>
      </c>
      <c r="N999" t="s">
        <v>326</v>
      </c>
    </row>
    <row r="1000" spans="1:14" x14ac:dyDescent="0.3">
      <c r="A1000">
        <v>363</v>
      </c>
      <c r="B1000" t="s">
        <v>323</v>
      </c>
      <c r="C1000">
        <v>189</v>
      </c>
      <c r="D1000" t="s">
        <v>180</v>
      </c>
      <c r="E1000">
        <v>434</v>
      </c>
      <c r="F1000" t="s">
        <v>1027</v>
      </c>
      <c r="G1000">
        <v>0</v>
      </c>
      <c r="H1000">
        <v>2</v>
      </c>
      <c r="I1000">
        <v>2</v>
      </c>
      <c r="J1000">
        <v>2</v>
      </c>
      <c r="K1000">
        <v>0</v>
      </c>
      <c r="L1000">
        <v>0</v>
      </c>
      <c r="M1000" t="s">
        <v>325</v>
      </c>
      <c r="N1000" t="s">
        <v>326</v>
      </c>
    </row>
    <row r="1001" spans="1:14" x14ac:dyDescent="0.3">
      <c r="A1001">
        <v>363</v>
      </c>
      <c r="B1001" t="s">
        <v>323</v>
      </c>
      <c r="C1001">
        <v>189</v>
      </c>
      <c r="D1001" t="s">
        <v>180</v>
      </c>
      <c r="E1001">
        <v>436</v>
      </c>
      <c r="F1001" t="s">
        <v>1028</v>
      </c>
      <c r="G1001">
        <v>0</v>
      </c>
      <c r="H1001">
        <v>0</v>
      </c>
      <c r="I1001">
        <v>3</v>
      </c>
      <c r="J1001">
        <v>1</v>
      </c>
      <c r="K1001">
        <v>0</v>
      </c>
      <c r="L1001">
        <v>0</v>
      </c>
      <c r="M1001" t="s">
        <v>325</v>
      </c>
      <c r="N1001" t="s">
        <v>326</v>
      </c>
    </row>
    <row r="1002" spans="1:14" x14ac:dyDescent="0.3">
      <c r="A1002">
        <v>363</v>
      </c>
      <c r="B1002" t="s">
        <v>323</v>
      </c>
      <c r="C1002">
        <v>189</v>
      </c>
      <c r="D1002" t="s">
        <v>180</v>
      </c>
      <c r="E1002">
        <v>437</v>
      </c>
      <c r="F1002" t="s">
        <v>1029</v>
      </c>
      <c r="G1002">
        <v>0</v>
      </c>
      <c r="H1002">
        <v>0</v>
      </c>
      <c r="I1002">
        <v>1</v>
      </c>
      <c r="J1002">
        <v>0</v>
      </c>
      <c r="K1002">
        <v>2</v>
      </c>
      <c r="L1002">
        <v>0</v>
      </c>
      <c r="M1002" t="s">
        <v>333</v>
      </c>
      <c r="N1002" t="s">
        <v>326</v>
      </c>
    </row>
    <row r="1003" spans="1:14" x14ac:dyDescent="0.3">
      <c r="A1003">
        <v>363</v>
      </c>
      <c r="B1003" t="s">
        <v>323</v>
      </c>
      <c r="C1003">
        <v>189</v>
      </c>
      <c r="D1003" t="s">
        <v>180</v>
      </c>
      <c r="E1003">
        <v>438</v>
      </c>
      <c r="F1003" t="s">
        <v>1030</v>
      </c>
      <c r="G1003">
        <v>0</v>
      </c>
      <c r="H1003">
        <v>1</v>
      </c>
      <c r="I1003">
        <v>0</v>
      </c>
      <c r="J1003">
        <v>0</v>
      </c>
      <c r="K1003">
        <v>0</v>
      </c>
      <c r="L1003">
        <v>0</v>
      </c>
      <c r="M1003" t="s">
        <v>325</v>
      </c>
      <c r="N1003" t="s">
        <v>329</v>
      </c>
    </row>
    <row r="1004" spans="1:14" x14ac:dyDescent="0.3">
      <c r="A1004">
        <v>363</v>
      </c>
      <c r="B1004" t="s">
        <v>323</v>
      </c>
      <c r="C1004">
        <v>189</v>
      </c>
      <c r="D1004" t="s">
        <v>180</v>
      </c>
      <c r="E1004">
        <v>439</v>
      </c>
      <c r="F1004" t="s">
        <v>1031</v>
      </c>
      <c r="G1004">
        <v>2</v>
      </c>
      <c r="H1004">
        <v>1</v>
      </c>
      <c r="I1004">
        <v>2</v>
      </c>
      <c r="J1004">
        <v>1</v>
      </c>
      <c r="K1004">
        <v>0</v>
      </c>
      <c r="L1004">
        <v>0</v>
      </c>
      <c r="M1004" t="s">
        <v>410</v>
      </c>
      <c r="N1004" t="s">
        <v>326</v>
      </c>
    </row>
    <row r="1005" spans="1:14" x14ac:dyDescent="0.3">
      <c r="A1005">
        <v>363</v>
      </c>
      <c r="B1005" t="s">
        <v>323</v>
      </c>
      <c r="C1005">
        <v>189</v>
      </c>
      <c r="D1005" t="s">
        <v>180</v>
      </c>
      <c r="E1005">
        <v>440</v>
      </c>
      <c r="F1005" t="s">
        <v>1032</v>
      </c>
      <c r="G1005">
        <v>2</v>
      </c>
      <c r="H1005">
        <v>0</v>
      </c>
      <c r="I1005">
        <v>0</v>
      </c>
      <c r="J1005">
        <v>1</v>
      </c>
      <c r="K1005">
        <v>1</v>
      </c>
      <c r="L1005">
        <v>0</v>
      </c>
      <c r="M1005" t="s">
        <v>414</v>
      </c>
      <c r="N1005" t="s">
        <v>348</v>
      </c>
    </row>
    <row r="1006" spans="1:14" x14ac:dyDescent="0.3">
      <c r="A1006">
        <v>363</v>
      </c>
      <c r="B1006" t="s">
        <v>323</v>
      </c>
      <c r="C1006">
        <v>189</v>
      </c>
      <c r="D1006" t="s">
        <v>180</v>
      </c>
      <c r="E1006">
        <v>1336</v>
      </c>
      <c r="F1006" t="s">
        <v>1033</v>
      </c>
      <c r="G1006">
        <v>1</v>
      </c>
      <c r="H1006">
        <v>1</v>
      </c>
      <c r="I1006">
        <v>1</v>
      </c>
      <c r="J1006">
        <v>1</v>
      </c>
      <c r="K1006">
        <v>2</v>
      </c>
      <c r="L1006">
        <v>0</v>
      </c>
      <c r="M1006" t="s">
        <v>414</v>
      </c>
      <c r="N1006" t="s">
        <v>336</v>
      </c>
    </row>
    <row r="1007" spans="1:14" x14ac:dyDescent="0.3">
      <c r="A1007">
        <v>363</v>
      </c>
      <c r="B1007" t="s">
        <v>323</v>
      </c>
      <c r="C1007">
        <v>189</v>
      </c>
      <c r="D1007" t="s">
        <v>180</v>
      </c>
      <c r="E1007">
        <v>1337</v>
      </c>
      <c r="F1007" t="s">
        <v>1034</v>
      </c>
      <c r="G1007">
        <v>3</v>
      </c>
      <c r="H1007">
        <v>0</v>
      </c>
      <c r="I1007">
        <v>0</v>
      </c>
      <c r="J1007">
        <v>0</v>
      </c>
      <c r="K1007">
        <v>0</v>
      </c>
      <c r="L1007">
        <v>0</v>
      </c>
      <c r="M1007" t="s">
        <v>325</v>
      </c>
      <c r="N1007" t="s">
        <v>329</v>
      </c>
    </row>
    <row r="1008" spans="1:14" x14ac:dyDescent="0.3">
      <c r="A1008">
        <v>363</v>
      </c>
      <c r="B1008" t="s">
        <v>323</v>
      </c>
      <c r="C1008">
        <v>189</v>
      </c>
      <c r="D1008" t="s">
        <v>180</v>
      </c>
      <c r="E1008">
        <v>1338</v>
      </c>
      <c r="F1008" t="s">
        <v>1035</v>
      </c>
      <c r="G1008">
        <v>0</v>
      </c>
      <c r="H1008">
        <v>2</v>
      </c>
      <c r="I1008">
        <v>1</v>
      </c>
      <c r="J1008">
        <v>1</v>
      </c>
      <c r="K1008">
        <v>0</v>
      </c>
      <c r="L1008">
        <v>0</v>
      </c>
      <c r="M1008" t="s">
        <v>414</v>
      </c>
      <c r="N1008" t="s">
        <v>348</v>
      </c>
    </row>
    <row r="1009" spans="1:14" x14ac:dyDescent="0.3">
      <c r="A1009">
        <v>363</v>
      </c>
      <c r="B1009" t="s">
        <v>323</v>
      </c>
      <c r="C1009">
        <v>189</v>
      </c>
      <c r="D1009" t="s">
        <v>180</v>
      </c>
      <c r="E1009">
        <v>1339</v>
      </c>
      <c r="F1009" t="s">
        <v>1036</v>
      </c>
      <c r="G1009">
        <v>0</v>
      </c>
      <c r="H1009">
        <v>2</v>
      </c>
      <c r="I1009">
        <v>1</v>
      </c>
      <c r="J1009">
        <v>0</v>
      </c>
      <c r="K1009">
        <v>0</v>
      </c>
      <c r="L1009">
        <v>0</v>
      </c>
      <c r="M1009" t="s">
        <v>566</v>
      </c>
      <c r="N1009" t="s">
        <v>336</v>
      </c>
    </row>
    <row r="1010" spans="1:14" x14ac:dyDescent="0.3">
      <c r="A1010">
        <v>363</v>
      </c>
      <c r="B1010" t="s">
        <v>323</v>
      </c>
      <c r="C1010">
        <v>189</v>
      </c>
      <c r="D1010" t="s">
        <v>180</v>
      </c>
      <c r="E1010">
        <v>1887</v>
      </c>
      <c r="F1010" t="s">
        <v>1503</v>
      </c>
      <c r="G1010">
        <v>0</v>
      </c>
      <c r="H1010">
        <v>3</v>
      </c>
      <c r="I1010">
        <v>2</v>
      </c>
      <c r="J1010">
        <v>1</v>
      </c>
      <c r="K1010">
        <v>0</v>
      </c>
      <c r="L1010">
        <v>0</v>
      </c>
      <c r="M1010" t="s">
        <v>333</v>
      </c>
      <c r="N1010" t="s">
        <v>326</v>
      </c>
    </row>
    <row r="1011" spans="1:14" x14ac:dyDescent="0.3">
      <c r="A1011">
        <v>363</v>
      </c>
      <c r="B1011" t="s">
        <v>323</v>
      </c>
      <c r="C1011">
        <v>189</v>
      </c>
      <c r="D1011" t="s">
        <v>180</v>
      </c>
      <c r="E1011">
        <v>1888</v>
      </c>
      <c r="F1011" t="s">
        <v>1504</v>
      </c>
      <c r="G1011">
        <v>0</v>
      </c>
      <c r="H1011">
        <v>0</v>
      </c>
      <c r="I1011">
        <v>3</v>
      </c>
      <c r="J1011">
        <v>1</v>
      </c>
      <c r="K1011">
        <v>1</v>
      </c>
      <c r="L1011">
        <v>0</v>
      </c>
      <c r="M1011" t="s">
        <v>325</v>
      </c>
      <c r="N1011" t="s">
        <v>326</v>
      </c>
    </row>
    <row r="1012" spans="1:14" x14ac:dyDescent="0.3">
      <c r="A1012">
        <v>363</v>
      </c>
      <c r="B1012" t="s">
        <v>323</v>
      </c>
      <c r="C1012">
        <v>189</v>
      </c>
      <c r="D1012" t="s">
        <v>180</v>
      </c>
      <c r="E1012">
        <v>1889</v>
      </c>
      <c r="F1012" t="s">
        <v>1505</v>
      </c>
      <c r="G1012">
        <v>0</v>
      </c>
      <c r="H1012">
        <v>1</v>
      </c>
      <c r="I1012">
        <v>0</v>
      </c>
      <c r="J1012">
        <v>0</v>
      </c>
      <c r="K1012">
        <v>0</v>
      </c>
      <c r="L1012">
        <v>0</v>
      </c>
      <c r="M1012" t="s">
        <v>325</v>
      </c>
      <c r="N1012" t="s">
        <v>348</v>
      </c>
    </row>
    <row r="1013" spans="1:14" x14ac:dyDescent="0.3">
      <c r="A1013">
        <v>363</v>
      </c>
      <c r="B1013" t="s">
        <v>323</v>
      </c>
      <c r="C1013">
        <v>189</v>
      </c>
      <c r="D1013" t="s">
        <v>180</v>
      </c>
      <c r="E1013">
        <v>1890</v>
      </c>
      <c r="F1013" t="s">
        <v>1506</v>
      </c>
      <c r="G1013">
        <v>0</v>
      </c>
      <c r="H1013">
        <v>3</v>
      </c>
      <c r="I1013">
        <v>2</v>
      </c>
      <c r="J1013">
        <v>0</v>
      </c>
      <c r="K1013">
        <v>1</v>
      </c>
      <c r="L1013">
        <v>0</v>
      </c>
      <c r="M1013" t="s">
        <v>410</v>
      </c>
      <c r="N1013" t="s">
        <v>348</v>
      </c>
    </row>
    <row r="1014" spans="1:14" x14ac:dyDescent="0.3">
      <c r="A1014">
        <v>364</v>
      </c>
      <c r="B1014" t="s">
        <v>323</v>
      </c>
      <c r="C1014">
        <v>190</v>
      </c>
      <c r="D1014" t="s">
        <v>182</v>
      </c>
      <c r="E1014">
        <v>635</v>
      </c>
      <c r="F1014" t="s">
        <v>393</v>
      </c>
      <c r="G1014">
        <v>0</v>
      </c>
      <c r="H1014">
        <v>0</v>
      </c>
      <c r="I1014">
        <v>2</v>
      </c>
      <c r="J1014">
        <v>1</v>
      </c>
      <c r="K1014">
        <v>0</v>
      </c>
      <c r="L1014">
        <v>1</v>
      </c>
      <c r="M1014" t="s">
        <v>414</v>
      </c>
      <c r="N1014" t="s">
        <v>326</v>
      </c>
    </row>
    <row r="1015" spans="1:14" x14ac:dyDescent="0.3">
      <c r="A1015">
        <v>364</v>
      </c>
      <c r="B1015" t="s">
        <v>323</v>
      </c>
      <c r="C1015">
        <v>190</v>
      </c>
      <c r="D1015" t="s">
        <v>182</v>
      </c>
      <c r="E1015">
        <v>636</v>
      </c>
      <c r="F1015" t="s">
        <v>1413</v>
      </c>
      <c r="G1015">
        <v>1</v>
      </c>
      <c r="H1015">
        <v>1</v>
      </c>
      <c r="I1015">
        <v>0</v>
      </c>
      <c r="J1015">
        <v>0</v>
      </c>
      <c r="K1015">
        <v>0</v>
      </c>
      <c r="L1015">
        <v>0</v>
      </c>
      <c r="M1015" t="s">
        <v>333</v>
      </c>
      <c r="N1015" t="s">
        <v>336</v>
      </c>
    </row>
    <row r="1016" spans="1:14" x14ac:dyDescent="0.3">
      <c r="A1016">
        <v>364</v>
      </c>
      <c r="B1016" t="s">
        <v>323</v>
      </c>
      <c r="C1016">
        <v>190</v>
      </c>
      <c r="D1016" t="s">
        <v>182</v>
      </c>
      <c r="E1016">
        <v>637</v>
      </c>
      <c r="F1016" t="s">
        <v>1507</v>
      </c>
      <c r="G1016">
        <v>0</v>
      </c>
      <c r="H1016">
        <v>0</v>
      </c>
      <c r="I1016">
        <v>1</v>
      </c>
      <c r="J1016">
        <v>0</v>
      </c>
      <c r="K1016">
        <v>0</v>
      </c>
      <c r="L1016">
        <v>0</v>
      </c>
      <c r="M1016" t="s">
        <v>333</v>
      </c>
      <c r="N1016" t="s">
        <v>336</v>
      </c>
    </row>
    <row r="1017" spans="1:14" x14ac:dyDescent="0.3">
      <c r="A1017">
        <v>364</v>
      </c>
      <c r="B1017" t="s">
        <v>323</v>
      </c>
      <c r="C1017">
        <v>190</v>
      </c>
      <c r="D1017" t="s">
        <v>182</v>
      </c>
      <c r="E1017">
        <v>638</v>
      </c>
      <c r="F1017" t="s">
        <v>1508</v>
      </c>
      <c r="G1017">
        <v>0</v>
      </c>
      <c r="H1017">
        <v>0</v>
      </c>
      <c r="I1017">
        <v>1</v>
      </c>
      <c r="J1017">
        <v>0</v>
      </c>
      <c r="K1017">
        <v>1</v>
      </c>
      <c r="L1017">
        <v>0</v>
      </c>
      <c r="M1017" t="s">
        <v>333</v>
      </c>
      <c r="N1017" t="s">
        <v>329</v>
      </c>
    </row>
    <row r="1018" spans="1:14" x14ac:dyDescent="0.3">
      <c r="A1018">
        <v>364</v>
      </c>
      <c r="B1018" t="s">
        <v>323</v>
      </c>
      <c r="C1018">
        <v>190</v>
      </c>
      <c r="D1018" t="s">
        <v>182</v>
      </c>
      <c r="E1018">
        <v>639</v>
      </c>
      <c r="F1018" t="s">
        <v>1509</v>
      </c>
      <c r="G1018">
        <v>0</v>
      </c>
      <c r="H1018">
        <v>2</v>
      </c>
      <c r="I1018">
        <v>0</v>
      </c>
      <c r="J1018">
        <v>0</v>
      </c>
      <c r="K1018">
        <v>0</v>
      </c>
      <c r="L1018">
        <v>1</v>
      </c>
      <c r="M1018" t="s">
        <v>333</v>
      </c>
      <c r="N1018" t="s">
        <v>336</v>
      </c>
    </row>
    <row r="1019" spans="1:14" x14ac:dyDescent="0.3">
      <c r="A1019">
        <v>364</v>
      </c>
      <c r="B1019" t="s">
        <v>323</v>
      </c>
      <c r="C1019">
        <v>190</v>
      </c>
      <c r="D1019" t="s">
        <v>182</v>
      </c>
      <c r="E1019">
        <v>641</v>
      </c>
      <c r="F1019" t="s">
        <v>838</v>
      </c>
      <c r="G1019">
        <v>0</v>
      </c>
      <c r="H1019">
        <v>0</v>
      </c>
      <c r="I1019">
        <v>0</v>
      </c>
      <c r="J1019">
        <v>0</v>
      </c>
      <c r="K1019">
        <v>0</v>
      </c>
      <c r="L1019">
        <v>4</v>
      </c>
      <c r="M1019" t="s">
        <v>325</v>
      </c>
      <c r="N1019" t="s">
        <v>329</v>
      </c>
    </row>
    <row r="1020" spans="1:14" x14ac:dyDescent="0.3">
      <c r="A1020">
        <v>364</v>
      </c>
      <c r="B1020" t="s">
        <v>323</v>
      </c>
      <c r="C1020">
        <v>190</v>
      </c>
      <c r="D1020" t="s">
        <v>182</v>
      </c>
      <c r="E1020">
        <v>642</v>
      </c>
      <c r="F1020" t="s">
        <v>1510</v>
      </c>
      <c r="G1020">
        <v>0</v>
      </c>
      <c r="H1020">
        <v>0</v>
      </c>
      <c r="I1020">
        <v>1</v>
      </c>
      <c r="J1020">
        <v>1</v>
      </c>
      <c r="K1020">
        <v>0</v>
      </c>
      <c r="L1020">
        <v>0</v>
      </c>
      <c r="M1020" t="s">
        <v>325</v>
      </c>
      <c r="N1020" t="s">
        <v>336</v>
      </c>
    </row>
    <row r="1021" spans="1:14" x14ac:dyDescent="0.3">
      <c r="A1021">
        <v>364</v>
      </c>
      <c r="B1021" t="s">
        <v>323</v>
      </c>
      <c r="C1021">
        <v>190</v>
      </c>
      <c r="D1021" t="s">
        <v>182</v>
      </c>
      <c r="E1021">
        <v>643</v>
      </c>
      <c r="F1021" t="s">
        <v>1511</v>
      </c>
      <c r="G1021">
        <v>0</v>
      </c>
      <c r="H1021">
        <v>1</v>
      </c>
      <c r="I1021">
        <v>1</v>
      </c>
      <c r="J1021">
        <v>0</v>
      </c>
      <c r="K1021">
        <v>0</v>
      </c>
      <c r="L1021">
        <v>0</v>
      </c>
      <c r="M1021" t="s">
        <v>333</v>
      </c>
      <c r="N1021" t="s">
        <v>336</v>
      </c>
    </row>
    <row r="1022" spans="1:14" x14ac:dyDescent="0.3">
      <c r="A1022">
        <v>364</v>
      </c>
      <c r="B1022" t="s">
        <v>323</v>
      </c>
      <c r="C1022">
        <v>190</v>
      </c>
      <c r="D1022" t="s">
        <v>182</v>
      </c>
      <c r="E1022">
        <v>644</v>
      </c>
      <c r="F1022" t="s">
        <v>1512</v>
      </c>
      <c r="G1022">
        <v>0</v>
      </c>
      <c r="H1022">
        <v>2</v>
      </c>
      <c r="I1022">
        <v>1</v>
      </c>
      <c r="J1022">
        <v>0</v>
      </c>
      <c r="K1022">
        <v>0</v>
      </c>
      <c r="L1022">
        <v>1</v>
      </c>
      <c r="M1022" t="s">
        <v>325</v>
      </c>
      <c r="N1022" t="s">
        <v>348</v>
      </c>
    </row>
    <row r="1023" spans="1:14" x14ac:dyDescent="0.3">
      <c r="A1023">
        <v>364</v>
      </c>
      <c r="B1023" t="s">
        <v>323</v>
      </c>
      <c r="C1023">
        <v>190</v>
      </c>
      <c r="D1023" t="s">
        <v>182</v>
      </c>
      <c r="E1023">
        <v>645</v>
      </c>
      <c r="F1023" t="s">
        <v>353</v>
      </c>
      <c r="G1023">
        <v>0</v>
      </c>
      <c r="H1023">
        <v>0</v>
      </c>
      <c r="I1023">
        <v>0</v>
      </c>
      <c r="J1023">
        <v>1</v>
      </c>
      <c r="K1023">
        <v>0</v>
      </c>
      <c r="L1023">
        <v>1</v>
      </c>
      <c r="M1023" t="s">
        <v>333</v>
      </c>
      <c r="N1023" t="s">
        <v>336</v>
      </c>
    </row>
    <row r="1024" spans="1:14" x14ac:dyDescent="0.3">
      <c r="A1024">
        <v>364</v>
      </c>
      <c r="B1024" t="s">
        <v>323</v>
      </c>
      <c r="C1024">
        <v>190</v>
      </c>
      <c r="D1024" t="s">
        <v>182</v>
      </c>
      <c r="E1024">
        <v>646</v>
      </c>
      <c r="F1024" t="s">
        <v>1513</v>
      </c>
      <c r="G1024">
        <v>0</v>
      </c>
      <c r="H1024">
        <v>0</v>
      </c>
      <c r="I1024">
        <v>0</v>
      </c>
      <c r="J1024">
        <v>0</v>
      </c>
      <c r="K1024">
        <v>0</v>
      </c>
      <c r="L1024">
        <v>4</v>
      </c>
      <c r="M1024" t="s">
        <v>325</v>
      </c>
      <c r="N1024" t="s">
        <v>329</v>
      </c>
    </row>
    <row r="1025" spans="1:14" x14ac:dyDescent="0.3">
      <c r="A1025">
        <v>364</v>
      </c>
      <c r="B1025" t="s">
        <v>323</v>
      </c>
      <c r="C1025">
        <v>190</v>
      </c>
      <c r="D1025" t="s">
        <v>182</v>
      </c>
      <c r="E1025">
        <v>647</v>
      </c>
      <c r="F1025" t="s">
        <v>1514</v>
      </c>
      <c r="G1025">
        <v>1</v>
      </c>
      <c r="H1025">
        <v>1</v>
      </c>
      <c r="I1025">
        <v>1</v>
      </c>
      <c r="J1025">
        <v>0</v>
      </c>
      <c r="K1025">
        <v>1</v>
      </c>
      <c r="L1025">
        <v>0</v>
      </c>
      <c r="M1025" t="s">
        <v>325</v>
      </c>
      <c r="N1025" t="s">
        <v>348</v>
      </c>
    </row>
    <row r="1026" spans="1:14" x14ac:dyDescent="0.3">
      <c r="A1026">
        <v>364</v>
      </c>
      <c r="B1026" t="s">
        <v>323</v>
      </c>
      <c r="C1026">
        <v>190</v>
      </c>
      <c r="D1026" t="s">
        <v>182</v>
      </c>
      <c r="E1026">
        <v>648</v>
      </c>
      <c r="F1026" t="s">
        <v>1515</v>
      </c>
      <c r="G1026">
        <v>0</v>
      </c>
      <c r="H1026">
        <v>0</v>
      </c>
      <c r="I1026">
        <v>0</v>
      </c>
      <c r="J1026">
        <v>1</v>
      </c>
      <c r="K1026">
        <v>0</v>
      </c>
      <c r="L1026">
        <v>1</v>
      </c>
      <c r="M1026" t="s">
        <v>333</v>
      </c>
      <c r="N1026" t="s">
        <v>336</v>
      </c>
    </row>
    <row r="1027" spans="1:14" x14ac:dyDescent="0.3">
      <c r="A1027">
        <v>364</v>
      </c>
      <c r="B1027" t="s">
        <v>323</v>
      </c>
      <c r="C1027">
        <v>190</v>
      </c>
      <c r="D1027" t="s">
        <v>182</v>
      </c>
      <c r="E1027">
        <v>649</v>
      </c>
      <c r="F1027" t="s">
        <v>1516</v>
      </c>
      <c r="G1027">
        <v>0</v>
      </c>
      <c r="H1027">
        <v>0</v>
      </c>
      <c r="I1027">
        <v>3</v>
      </c>
      <c r="J1027">
        <v>0</v>
      </c>
      <c r="K1027">
        <v>2</v>
      </c>
      <c r="L1027">
        <v>1</v>
      </c>
      <c r="M1027" t="s">
        <v>333</v>
      </c>
      <c r="N1027" t="s">
        <v>336</v>
      </c>
    </row>
    <row r="1028" spans="1:14" x14ac:dyDescent="0.3">
      <c r="A1028">
        <v>364</v>
      </c>
      <c r="B1028" t="s">
        <v>323</v>
      </c>
      <c r="C1028">
        <v>190</v>
      </c>
      <c r="D1028" t="s">
        <v>182</v>
      </c>
      <c r="E1028">
        <v>650</v>
      </c>
      <c r="F1028" t="s">
        <v>1517</v>
      </c>
      <c r="G1028">
        <v>0</v>
      </c>
      <c r="H1028">
        <v>0</v>
      </c>
      <c r="I1028">
        <v>0</v>
      </c>
      <c r="J1028">
        <v>0</v>
      </c>
      <c r="K1028">
        <v>0</v>
      </c>
      <c r="L1028">
        <v>2</v>
      </c>
      <c r="M1028" t="s">
        <v>325</v>
      </c>
      <c r="N1028" t="s">
        <v>336</v>
      </c>
    </row>
    <row r="1029" spans="1:14" x14ac:dyDescent="0.3">
      <c r="A1029">
        <v>364</v>
      </c>
      <c r="B1029" t="s">
        <v>323</v>
      </c>
      <c r="C1029">
        <v>190</v>
      </c>
      <c r="D1029" t="s">
        <v>182</v>
      </c>
      <c r="E1029">
        <v>651</v>
      </c>
      <c r="F1029" t="s">
        <v>639</v>
      </c>
      <c r="G1029">
        <v>0</v>
      </c>
      <c r="H1029">
        <v>0</v>
      </c>
      <c r="I1029">
        <v>2</v>
      </c>
      <c r="J1029">
        <v>0</v>
      </c>
      <c r="K1029">
        <v>0</v>
      </c>
      <c r="L1029">
        <v>0</v>
      </c>
      <c r="M1029" t="s">
        <v>333</v>
      </c>
      <c r="N1029" t="s">
        <v>336</v>
      </c>
    </row>
    <row r="1030" spans="1:14" x14ac:dyDescent="0.3">
      <c r="A1030">
        <v>364</v>
      </c>
      <c r="B1030" t="s">
        <v>323</v>
      </c>
      <c r="C1030">
        <v>190</v>
      </c>
      <c r="D1030" t="s">
        <v>182</v>
      </c>
      <c r="E1030">
        <v>652</v>
      </c>
      <c r="F1030" t="s">
        <v>1518</v>
      </c>
      <c r="G1030">
        <v>0</v>
      </c>
      <c r="H1030">
        <v>0</v>
      </c>
      <c r="I1030">
        <v>0</v>
      </c>
      <c r="J1030">
        <v>0</v>
      </c>
      <c r="K1030">
        <v>0</v>
      </c>
      <c r="L1030">
        <v>6</v>
      </c>
      <c r="M1030" t="s">
        <v>333</v>
      </c>
      <c r="N1030" t="s">
        <v>336</v>
      </c>
    </row>
    <row r="1031" spans="1:14" x14ac:dyDescent="0.3">
      <c r="A1031">
        <v>364</v>
      </c>
      <c r="B1031" t="s">
        <v>323</v>
      </c>
      <c r="C1031">
        <v>190</v>
      </c>
      <c r="D1031" t="s">
        <v>182</v>
      </c>
      <c r="E1031">
        <v>653</v>
      </c>
      <c r="F1031" t="s">
        <v>1519</v>
      </c>
      <c r="G1031">
        <v>0</v>
      </c>
      <c r="H1031">
        <v>1</v>
      </c>
      <c r="I1031">
        <v>0</v>
      </c>
      <c r="J1031">
        <v>0</v>
      </c>
      <c r="K1031">
        <v>0</v>
      </c>
      <c r="L1031">
        <v>0</v>
      </c>
      <c r="M1031" t="s">
        <v>333</v>
      </c>
      <c r="N1031" t="s">
        <v>336</v>
      </c>
    </row>
    <row r="1032" spans="1:14" x14ac:dyDescent="0.3">
      <c r="A1032">
        <v>364</v>
      </c>
      <c r="B1032" t="s">
        <v>323</v>
      </c>
      <c r="C1032">
        <v>190</v>
      </c>
      <c r="D1032" t="s">
        <v>182</v>
      </c>
      <c r="E1032">
        <v>654</v>
      </c>
      <c r="F1032" t="s">
        <v>1520</v>
      </c>
      <c r="G1032">
        <v>0</v>
      </c>
      <c r="H1032">
        <v>0</v>
      </c>
      <c r="I1032">
        <v>0</v>
      </c>
      <c r="J1032">
        <v>0</v>
      </c>
      <c r="K1032">
        <v>1</v>
      </c>
      <c r="L1032">
        <v>1</v>
      </c>
      <c r="M1032" t="s">
        <v>333</v>
      </c>
      <c r="N1032" t="s">
        <v>336</v>
      </c>
    </row>
    <row r="1033" spans="1:14" x14ac:dyDescent="0.3">
      <c r="A1033">
        <v>364</v>
      </c>
      <c r="B1033" t="s">
        <v>323</v>
      </c>
      <c r="C1033">
        <v>190</v>
      </c>
      <c r="D1033" t="s">
        <v>182</v>
      </c>
      <c r="E1033">
        <v>655</v>
      </c>
      <c r="F1033" t="s">
        <v>1521</v>
      </c>
      <c r="G1033">
        <v>0</v>
      </c>
      <c r="H1033">
        <v>1</v>
      </c>
      <c r="I1033">
        <v>1</v>
      </c>
      <c r="J1033">
        <v>0</v>
      </c>
      <c r="K1033">
        <v>0</v>
      </c>
      <c r="L1033">
        <v>0</v>
      </c>
      <c r="M1033" t="s">
        <v>325</v>
      </c>
      <c r="N1033" t="s">
        <v>336</v>
      </c>
    </row>
    <row r="1034" spans="1:14" x14ac:dyDescent="0.3">
      <c r="A1034">
        <v>364</v>
      </c>
      <c r="B1034" t="s">
        <v>323</v>
      </c>
      <c r="C1034">
        <v>190</v>
      </c>
      <c r="D1034" t="s">
        <v>182</v>
      </c>
      <c r="E1034">
        <v>656</v>
      </c>
      <c r="F1034" t="s">
        <v>1522</v>
      </c>
      <c r="G1034">
        <v>0</v>
      </c>
      <c r="H1034">
        <v>0</v>
      </c>
      <c r="I1034">
        <v>1</v>
      </c>
      <c r="J1034">
        <v>0</v>
      </c>
      <c r="K1034">
        <v>0</v>
      </c>
      <c r="L1034">
        <v>0</v>
      </c>
      <c r="M1034" t="s">
        <v>333</v>
      </c>
      <c r="N1034" t="s">
        <v>336</v>
      </c>
    </row>
    <row r="1035" spans="1:14" x14ac:dyDescent="0.3">
      <c r="A1035">
        <v>364</v>
      </c>
      <c r="B1035" t="s">
        <v>323</v>
      </c>
      <c r="C1035">
        <v>190</v>
      </c>
      <c r="D1035" t="s">
        <v>182</v>
      </c>
      <c r="E1035">
        <v>658</v>
      </c>
      <c r="F1035" t="s">
        <v>529</v>
      </c>
      <c r="G1035">
        <v>0</v>
      </c>
      <c r="H1035">
        <v>0</v>
      </c>
      <c r="I1035">
        <v>1</v>
      </c>
      <c r="J1035">
        <v>0</v>
      </c>
      <c r="K1035">
        <v>0</v>
      </c>
      <c r="L1035">
        <v>1</v>
      </c>
      <c r="M1035" t="s">
        <v>333</v>
      </c>
      <c r="N1035" t="s">
        <v>336</v>
      </c>
    </row>
    <row r="1036" spans="1:14" x14ac:dyDescent="0.3">
      <c r="A1036">
        <v>364</v>
      </c>
      <c r="B1036" t="s">
        <v>323</v>
      </c>
      <c r="C1036">
        <v>190</v>
      </c>
      <c r="D1036" t="s">
        <v>182</v>
      </c>
      <c r="E1036">
        <v>659</v>
      </c>
      <c r="F1036" t="s">
        <v>1523</v>
      </c>
      <c r="G1036">
        <v>0</v>
      </c>
      <c r="H1036">
        <v>0</v>
      </c>
      <c r="I1036">
        <v>1</v>
      </c>
      <c r="J1036">
        <v>0</v>
      </c>
      <c r="K1036">
        <v>0</v>
      </c>
      <c r="L1036">
        <v>2</v>
      </c>
      <c r="M1036" t="s">
        <v>333</v>
      </c>
      <c r="N1036" t="s">
        <v>326</v>
      </c>
    </row>
    <row r="1037" spans="1:14" x14ac:dyDescent="0.3">
      <c r="A1037">
        <v>364</v>
      </c>
      <c r="B1037" t="s">
        <v>323</v>
      </c>
      <c r="C1037">
        <v>190</v>
      </c>
      <c r="D1037" t="s">
        <v>182</v>
      </c>
      <c r="E1037">
        <v>1789</v>
      </c>
      <c r="F1037" t="s">
        <v>1524</v>
      </c>
      <c r="G1037">
        <v>0</v>
      </c>
      <c r="H1037">
        <v>0</v>
      </c>
      <c r="I1037">
        <v>0</v>
      </c>
      <c r="J1037">
        <v>0</v>
      </c>
      <c r="K1037">
        <v>0</v>
      </c>
      <c r="L1037">
        <v>1</v>
      </c>
      <c r="M1037" t="s">
        <v>325</v>
      </c>
      <c r="N1037" t="s">
        <v>329</v>
      </c>
    </row>
    <row r="1038" spans="1:14" x14ac:dyDescent="0.3">
      <c r="A1038">
        <v>364</v>
      </c>
      <c r="B1038" t="s">
        <v>323</v>
      </c>
      <c r="C1038">
        <v>190</v>
      </c>
      <c r="D1038" t="s">
        <v>182</v>
      </c>
      <c r="E1038">
        <v>1790</v>
      </c>
      <c r="F1038" t="s">
        <v>1525</v>
      </c>
      <c r="G1038">
        <v>0</v>
      </c>
      <c r="H1038">
        <v>0</v>
      </c>
      <c r="I1038">
        <v>0</v>
      </c>
      <c r="J1038">
        <v>0</v>
      </c>
      <c r="K1038">
        <v>0</v>
      </c>
      <c r="L1038">
        <v>1</v>
      </c>
      <c r="M1038" t="s">
        <v>325</v>
      </c>
      <c r="N1038" t="s">
        <v>329</v>
      </c>
    </row>
    <row r="1039" spans="1:14" x14ac:dyDescent="0.3">
      <c r="A1039">
        <v>364</v>
      </c>
      <c r="B1039" t="s">
        <v>323</v>
      </c>
      <c r="C1039">
        <v>190</v>
      </c>
      <c r="D1039" t="s">
        <v>182</v>
      </c>
      <c r="E1039">
        <v>1791</v>
      </c>
      <c r="F1039" t="s">
        <v>1526</v>
      </c>
      <c r="G1039">
        <v>0</v>
      </c>
      <c r="H1039">
        <v>1</v>
      </c>
      <c r="I1039">
        <v>1</v>
      </c>
      <c r="J1039">
        <v>0</v>
      </c>
      <c r="K1039">
        <v>0</v>
      </c>
      <c r="L1039">
        <v>0</v>
      </c>
      <c r="M1039" t="s">
        <v>325</v>
      </c>
      <c r="N1039" t="s">
        <v>329</v>
      </c>
    </row>
    <row r="1040" spans="1:14" x14ac:dyDescent="0.3">
      <c r="A1040">
        <v>364</v>
      </c>
      <c r="B1040" t="s">
        <v>323</v>
      </c>
      <c r="C1040">
        <v>190</v>
      </c>
      <c r="D1040" t="s">
        <v>182</v>
      </c>
      <c r="E1040">
        <v>1792</v>
      </c>
      <c r="F1040" t="s">
        <v>1527</v>
      </c>
      <c r="G1040">
        <v>0</v>
      </c>
      <c r="H1040">
        <v>0</v>
      </c>
      <c r="I1040">
        <v>2</v>
      </c>
      <c r="J1040">
        <v>0</v>
      </c>
      <c r="K1040">
        <v>0</v>
      </c>
      <c r="L1040">
        <v>0</v>
      </c>
      <c r="M1040" t="s">
        <v>410</v>
      </c>
      <c r="N1040" t="s">
        <v>348</v>
      </c>
    </row>
    <row r="1041" spans="1:14" x14ac:dyDescent="0.3">
      <c r="A1041">
        <v>364</v>
      </c>
      <c r="B1041" t="s">
        <v>323</v>
      </c>
      <c r="C1041">
        <v>190</v>
      </c>
      <c r="D1041" t="s">
        <v>182</v>
      </c>
      <c r="E1041">
        <v>1793</v>
      </c>
      <c r="F1041" t="s">
        <v>1528</v>
      </c>
      <c r="G1041">
        <v>0</v>
      </c>
      <c r="H1041">
        <v>0</v>
      </c>
      <c r="I1041">
        <v>1</v>
      </c>
      <c r="J1041">
        <v>0</v>
      </c>
      <c r="K1041">
        <v>0</v>
      </c>
      <c r="L1041">
        <v>1</v>
      </c>
      <c r="M1041" t="s">
        <v>333</v>
      </c>
      <c r="N1041" t="s">
        <v>343</v>
      </c>
    </row>
    <row r="1042" spans="1:14" x14ac:dyDescent="0.3">
      <c r="A1042">
        <v>366</v>
      </c>
      <c r="B1042" t="s">
        <v>323</v>
      </c>
      <c r="C1042">
        <v>192</v>
      </c>
      <c r="D1042" t="s">
        <v>186</v>
      </c>
      <c r="E1042">
        <v>1635</v>
      </c>
      <c r="F1042" t="s">
        <v>349</v>
      </c>
      <c r="G1042">
        <v>0</v>
      </c>
      <c r="H1042">
        <v>0</v>
      </c>
      <c r="I1042">
        <v>3</v>
      </c>
      <c r="J1042">
        <v>2</v>
      </c>
      <c r="K1042">
        <v>0</v>
      </c>
      <c r="L1042">
        <v>0</v>
      </c>
      <c r="M1042" t="s">
        <v>566</v>
      </c>
      <c r="N1042" t="s">
        <v>336</v>
      </c>
    </row>
    <row r="1043" spans="1:14" x14ac:dyDescent="0.3">
      <c r="A1043">
        <v>366</v>
      </c>
      <c r="B1043" t="s">
        <v>323</v>
      </c>
      <c r="C1043">
        <v>192</v>
      </c>
      <c r="D1043" t="s">
        <v>186</v>
      </c>
      <c r="E1043">
        <v>1637</v>
      </c>
      <c r="F1043" t="s">
        <v>1037</v>
      </c>
      <c r="G1043">
        <v>0</v>
      </c>
      <c r="H1043">
        <v>0</v>
      </c>
      <c r="I1043">
        <v>0</v>
      </c>
      <c r="J1043">
        <v>0</v>
      </c>
      <c r="K1043">
        <v>0</v>
      </c>
      <c r="L1043">
        <v>4</v>
      </c>
      <c r="M1043" t="s">
        <v>325</v>
      </c>
      <c r="N1043" t="s">
        <v>326</v>
      </c>
    </row>
    <row r="1044" spans="1:14" x14ac:dyDescent="0.3">
      <c r="A1044">
        <v>366</v>
      </c>
      <c r="B1044" t="s">
        <v>323</v>
      </c>
      <c r="C1044">
        <v>192</v>
      </c>
      <c r="D1044" t="s">
        <v>186</v>
      </c>
      <c r="E1044">
        <v>1638</v>
      </c>
      <c r="F1044" t="s">
        <v>1038</v>
      </c>
      <c r="G1044">
        <v>0</v>
      </c>
      <c r="H1044">
        <v>0</v>
      </c>
      <c r="I1044">
        <v>0</v>
      </c>
      <c r="J1044">
        <v>0</v>
      </c>
      <c r="K1044">
        <v>0</v>
      </c>
      <c r="L1044">
        <v>3</v>
      </c>
      <c r="M1044" t="s">
        <v>325</v>
      </c>
      <c r="N1044" t="s">
        <v>326</v>
      </c>
    </row>
    <row r="1045" spans="1:14" x14ac:dyDescent="0.3">
      <c r="A1045">
        <v>366</v>
      </c>
      <c r="B1045" t="s">
        <v>323</v>
      </c>
      <c r="C1045">
        <v>192</v>
      </c>
      <c r="D1045" t="s">
        <v>186</v>
      </c>
      <c r="E1045">
        <v>1965</v>
      </c>
      <c r="F1045" t="s">
        <v>1529</v>
      </c>
      <c r="G1045">
        <v>0</v>
      </c>
      <c r="H1045">
        <v>0</v>
      </c>
      <c r="I1045">
        <v>0</v>
      </c>
      <c r="J1045">
        <v>0</v>
      </c>
      <c r="K1045">
        <v>0</v>
      </c>
      <c r="L1045">
        <v>9</v>
      </c>
      <c r="M1045" t="s">
        <v>333</v>
      </c>
      <c r="N1045" t="s">
        <v>326</v>
      </c>
    </row>
    <row r="1046" spans="1:14" x14ac:dyDescent="0.3">
      <c r="A1046">
        <v>366</v>
      </c>
      <c r="B1046" t="s">
        <v>323</v>
      </c>
      <c r="C1046">
        <v>192</v>
      </c>
      <c r="D1046" t="s">
        <v>186</v>
      </c>
      <c r="E1046">
        <v>1966</v>
      </c>
      <c r="F1046" t="s">
        <v>1525</v>
      </c>
      <c r="G1046">
        <v>0</v>
      </c>
      <c r="H1046">
        <v>0</v>
      </c>
      <c r="I1046">
        <v>0</v>
      </c>
      <c r="J1046">
        <v>0</v>
      </c>
      <c r="K1046">
        <v>0</v>
      </c>
      <c r="L1046">
        <v>1</v>
      </c>
      <c r="M1046" t="s">
        <v>333</v>
      </c>
      <c r="N1046" t="s">
        <v>329</v>
      </c>
    </row>
    <row r="1047" spans="1:14" x14ac:dyDescent="0.3">
      <c r="A1047">
        <v>366</v>
      </c>
      <c r="B1047" t="s">
        <v>323</v>
      </c>
      <c r="C1047">
        <v>192</v>
      </c>
      <c r="D1047" t="s">
        <v>186</v>
      </c>
      <c r="E1047">
        <v>1967</v>
      </c>
      <c r="F1047" t="s">
        <v>1530</v>
      </c>
      <c r="G1047">
        <v>0</v>
      </c>
      <c r="H1047">
        <v>0</v>
      </c>
      <c r="I1047">
        <v>0</v>
      </c>
      <c r="J1047">
        <v>0</v>
      </c>
      <c r="K1047">
        <v>0</v>
      </c>
      <c r="L1047">
        <v>3</v>
      </c>
      <c r="M1047" t="s">
        <v>333</v>
      </c>
      <c r="N1047" t="s">
        <v>336</v>
      </c>
    </row>
    <row r="1048" spans="1:14" x14ac:dyDescent="0.3">
      <c r="A1048">
        <v>366</v>
      </c>
      <c r="B1048" t="s">
        <v>323</v>
      </c>
      <c r="C1048">
        <v>192</v>
      </c>
      <c r="D1048" t="s">
        <v>186</v>
      </c>
      <c r="E1048">
        <v>1968</v>
      </c>
      <c r="F1048" t="s">
        <v>500</v>
      </c>
      <c r="G1048">
        <v>0</v>
      </c>
      <c r="H1048">
        <v>0</v>
      </c>
      <c r="I1048">
        <v>0</v>
      </c>
      <c r="J1048">
        <v>0</v>
      </c>
      <c r="K1048">
        <v>0</v>
      </c>
      <c r="L1048">
        <v>4</v>
      </c>
      <c r="M1048" t="s">
        <v>333</v>
      </c>
      <c r="N1048" t="s">
        <v>348</v>
      </c>
    </row>
    <row r="1049" spans="1:14" x14ac:dyDescent="0.3">
      <c r="A1049">
        <v>366</v>
      </c>
      <c r="B1049" t="s">
        <v>323</v>
      </c>
      <c r="C1049">
        <v>192</v>
      </c>
      <c r="D1049" t="s">
        <v>186</v>
      </c>
      <c r="E1049">
        <v>1969</v>
      </c>
      <c r="F1049" t="s">
        <v>1516</v>
      </c>
      <c r="G1049">
        <v>0</v>
      </c>
      <c r="H1049">
        <v>0</v>
      </c>
      <c r="I1049">
        <v>0</v>
      </c>
      <c r="J1049">
        <v>0</v>
      </c>
      <c r="K1049">
        <v>0</v>
      </c>
      <c r="L1049">
        <v>20</v>
      </c>
      <c r="M1049" t="s">
        <v>325</v>
      </c>
      <c r="N1049" t="s">
        <v>336</v>
      </c>
    </row>
    <row r="1050" spans="1:14" x14ac:dyDescent="0.3">
      <c r="A1050">
        <v>366</v>
      </c>
      <c r="B1050" t="s">
        <v>323</v>
      </c>
      <c r="C1050">
        <v>192</v>
      </c>
      <c r="D1050" t="s">
        <v>186</v>
      </c>
      <c r="E1050">
        <v>1970</v>
      </c>
      <c r="F1050" t="s">
        <v>1531</v>
      </c>
      <c r="G1050">
        <v>0</v>
      </c>
      <c r="H1050">
        <v>0</v>
      </c>
      <c r="I1050">
        <v>0</v>
      </c>
      <c r="J1050">
        <v>0</v>
      </c>
      <c r="K1050">
        <v>0</v>
      </c>
      <c r="L1050">
        <v>3</v>
      </c>
      <c r="M1050" t="s">
        <v>325</v>
      </c>
      <c r="N1050" t="s">
        <v>329</v>
      </c>
    </row>
    <row r="1051" spans="1:14" x14ac:dyDescent="0.3">
      <c r="A1051">
        <v>366</v>
      </c>
      <c r="B1051" t="s">
        <v>323</v>
      </c>
      <c r="C1051">
        <v>192</v>
      </c>
      <c r="D1051" t="s">
        <v>186</v>
      </c>
      <c r="E1051">
        <v>1971</v>
      </c>
      <c r="F1051" t="s">
        <v>1532</v>
      </c>
      <c r="G1051">
        <v>0</v>
      </c>
      <c r="H1051">
        <v>0</v>
      </c>
      <c r="I1051">
        <v>0</v>
      </c>
      <c r="J1051">
        <v>0</v>
      </c>
      <c r="K1051">
        <v>0</v>
      </c>
      <c r="L1051">
        <v>4</v>
      </c>
      <c r="M1051" t="s">
        <v>325</v>
      </c>
      <c r="N1051" t="s">
        <v>348</v>
      </c>
    </row>
    <row r="1052" spans="1:14" x14ac:dyDescent="0.3">
      <c r="A1052">
        <v>366</v>
      </c>
      <c r="B1052" t="s">
        <v>323</v>
      </c>
      <c r="C1052">
        <v>192</v>
      </c>
      <c r="D1052" t="s">
        <v>186</v>
      </c>
      <c r="E1052">
        <v>1972</v>
      </c>
      <c r="F1052" t="s">
        <v>353</v>
      </c>
      <c r="G1052">
        <v>0</v>
      </c>
      <c r="H1052">
        <v>0</v>
      </c>
      <c r="I1052">
        <v>0</v>
      </c>
      <c r="J1052">
        <v>0</v>
      </c>
      <c r="K1052">
        <v>0</v>
      </c>
      <c r="L1052">
        <v>4</v>
      </c>
      <c r="M1052" t="s">
        <v>333</v>
      </c>
      <c r="N1052" t="s">
        <v>336</v>
      </c>
    </row>
    <row r="1053" spans="1:14" x14ac:dyDescent="0.3">
      <c r="A1053">
        <v>366</v>
      </c>
      <c r="B1053" t="s">
        <v>323</v>
      </c>
      <c r="C1053">
        <v>192</v>
      </c>
      <c r="D1053" t="s">
        <v>186</v>
      </c>
      <c r="E1053">
        <v>1973</v>
      </c>
      <c r="F1053" t="s">
        <v>543</v>
      </c>
      <c r="G1053">
        <v>0</v>
      </c>
      <c r="H1053">
        <v>0</v>
      </c>
      <c r="I1053">
        <v>0</v>
      </c>
      <c r="J1053">
        <v>0</v>
      </c>
      <c r="K1053">
        <v>0</v>
      </c>
      <c r="L1053">
        <v>3</v>
      </c>
      <c r="M1053" t="s">
        <v>325</v>
      </c>
      <c r="N1053" t="s">
        <v>348</v>
      </c>
    </row>
    <row r="1054" spans="1:14" x14ac:dyDescent="0.3">
      <c r="A1054">
        <v>366</v>
      </c>
      <c r="B1054" t="s">
        <v>323</v>
      </c>
      <c r="C1054">
        <v>192</v>
      </c>
      <c r="D1054" t="s">
        <v>186</v>
      </c>
      <c r="E1054">
        <v>1974</v>
      </c>
      <c r="F1054" t="s">
        <v>639</v>
      </c>
      <c r="G1054">
        <v>0</v>
      </c>
      <c r="H1054">
        <v>0</v>
      </c>
      <c r="I1054">
        <v>0</v>
      </c>
      <c r="J1054">
        <v>0</v>
      </c>
      <c r="K1054">
        <v>0</v>
      </c>
      <c r="L1054">
        <v>5</v>
      </c>
      <c r="M1054" t="s">
        <v>333</v>
      </c>
      <c r="N1054" t="s">
        <v>326</v>
      </c>
    </row>
    <row r="1055" spans="1:14" x14ac:dyDescent="0.3">
      <c r="A1055">
        <v>366</v>
      </c>
      <c r="B1055" t="s">
        <v>323</v>
      </c>
      <c r="C1055">
        <v>192</v>
      </c>
      <c r="D1055" t="s">
        <v>186</v>
      </c>
      <c r="E1055">
        <v>1975</v>
      </c>
      <c r="F1055" t="s">
        <v>1533</v>
      </c>
      <c r="G1055">
        <v>0</v>
      </c>
      <c r="H1055">
        <v>0</v>
      </c>
      <c r="I1055">
        <v>0</v>
      </c>
      <c r="J1055">
        <v>0</v>
      </c>
      <c r="K1055">
        <v>0</v>
      </c>
      <c r="L1055">
        <v>5</v>
      </c>
      <c r="M1055" t="s">
        <v>325</v>
      </c>
      <c r="N1055" t="s">
        <v>336</v>
      </c>
    </row>
    <row r="1056" spans="1:14" x14ac:dyDescent="0.3">
      <c r="A1056">
        <v>366</v>
      </c>
      <c r="B1056" t="s">
        <v>323</v>
      </c>
      <c r="C1056">
        <v>192</v>
      </c>
      <c r="D1056" t="s">
        <v>186</v>
      </c>
      <c r="E1056">
        <v>1976</v>
      </c>
      <c r="F1056" t="s">
        <v>1534</v>
      </c>
      <c r="G1056">
        <v>0</v>
      </c>
      <c r="H1056">
        <v>0</v>
      </c>
      <c r="I1056">
        <v>0</v>
      </c>
      <c r="J1056">
        <v>0</v>
      </c>
      <c r="K1056">
        <v>0</v>
      </c>
      <c r="L1056">
        <v>14</v>
      </c>
      <c r="M1056" t="s">
        <v>325</v>
      </c>
      <c r="N1056" t="s">
        <v>329</v>
      </c>
    </row>
    <row r="1057" spans="1:14" x14ac:dyDescent="0.3">
      <c r="A1057">
        <v>366</v>
      </c>
      <c r="B1057" t="s">
        <v>323</v>
      </c>
      <c r="C1057">
        <v>192</v>
      </c>
      <c r="D1057" t="s">
        <v>186</v>
      </c>
      <c r="E1057">
        <v>1977</v>
      </c>
      <c r="F1057" t="s">
        <v>1535</v>
      </c>
      <c r="G1057">
        <v>0</v>
      </c>
      <c r="H1057">
        <v>0</v>
      </c>
      <c r="I1057">
        <v>0</v>
      </c>
      <c r="J1057">
        <v>0</v>
      </c>
      <c r="K1057">
        <v>0</v>
      </c>
      <c r="L1057">
        <v>8</v>
      </c>
      <c r="M1057" t="s">
        <v>333</v>
      </c>
      <c r="N1057" t="s">
        <v>326</v>
      </c>
    </row>
    <row r="1058" spans="1:14" x14ac:dyDescent="0.3">
      <c r="A1058">
        <v>366</v>
      </c>
      <c r="B1058" t="s">
        <v>323</v>
      </c>
      <c r="C1058">
        <v>192</v>
      </c>
      <c r="D1058" t="s">
        <v>186</v>
      </c>
      <c r="E1058">
        <v>1978</v>
      </c>
      <c r="F1058" t="s">
        <v>1536</v>
      </c>
      <c r="G1058">
        <v>0</v>
      </c>
      <c r="H1058">
        <v>0</v>
      </c>
      <c r="I1058">
        <v>0</v>
      </c>
      <c r="J1058">
        <v>0</v>
      </c>
      <c r="K1058">
        <v>0</v>
      </c>
      <c r="L1058">
        <v>10</v>
      </c>
      <c r="M1058" t="s">
        <v>325</v>
      </c>
      <c r="N1058" t="s">
        <v>336</v>
      </c>
    </row>
    <row r="1059" spans="1:14" x14ac:dyDescent="0.3">
      <c r="A1059">
        <v>366</v>
      </c>
      <c r="B1059" t="s">
        <v>323</v>
      </c>
      <c r="C1059">
        <v>192</v>
      </c>
      <c r="D1059" t="s">
        <v>186</v>
      </c>
      <c r="E1059">
        <v>1979</v>
      </c>
      <c r="F1059" t="s">
        <v>1537</v>
      </c>
      <c r="G1059">
        <v>0</v>
      </c>
      <c r="H1059">
        <v>0</v>
      </c>
      <c r="I1059">
        <v>0</v>
      </c>
      <c r="J1059">
        <v>0</v>
      </c>
      <c r="K1059">
        <v>0</v>
      </c>
      <c r="L1059">
        <v>4</v>
      </c>
      <c r="M1059" t="s">
        <v>333</v>
      </c>
      <c r="N1059" t="s">
        <v>326</v>
      </c>
    </row>
    <row r="1060" spans="1:14" x14ac:dyDescent="0.3">
      <c r="A1060">
        <v>366</v>
      </c>
      <c r="B1060" t="s">
        <v>323</v>
      </c>
      <c r="C1060">
        <v>192</v>
      </c>
      <c r="D1060" t="s">
        <v>186</v>
      </c>
      <c r="E1060">
        <v>1980</v>
      </c>
      <c r="F1060" t="s">
        <v>1538</v>
      </c>
      <c r="G1060">
        <v>0</v>
      </c>
      <c r="H1060">
        <v>0</v>
      </c>
      <c r="I1060">
        <v>0</v>
      </c>
      <c r="J1060">
        <v>0</v>
      </c>
      <c r="K1060">
        <v>0</v>
      </c>
      <c r="L1060">
        <v>5</v>
      </c>
      <c r="M1060" t="s">
        <v>325</v>
      </c>
      <c r="N1060" t="s">
        <v>336</v>
      </c>
    </row>
    <row r="1061" spans="1:14" x14ac:dyDescent="0.3">
      <c r="A1061">
        <v>366</v>
      </c>
      <c r="B1061" t="s">
        <v>323</v>
      </c>
      <c r="C1061">
        <v>192</v>
      </c>
      <c r="D1061" t="s">
        <v>186</v>
      </c>
      <c r="E1061">
        <v>1981</v>
      </c>
      <c r="F1061" t="s">
        <v>1539</v>
      </c>
      <c r="G1061">
        <v>0</v>
      </c>
      <c r="H1061">
        <v>0</v>
      </c>
      <c r="I1061">
        <v>0</v>
      </c>
      <c r="J1061">
        <v>0</v>
      </c>
      <c r="K1061">
        <v>0</v>
      </c>
      <c r="L1061">
        <v>3</v>
      </c>
      <c r="M1061" t="s">
        <v>333</v>
      </c>
      <c r="N1061" t="s">
        <v>326</v>
      </c>
    </row>
    <row r="1062" spans="1:14" x14ac:dyDescent="0.3">
      <c r="A1062">
        <v>366</v>
      </c>
      <c r="B1062" t="s">
        <v>323</v>
      </c>
      <c r="C1062">
        <v>192</v>
      </c>
      <c r="D1062" t="s">
        <v>186</v>
      </c>
      <c r="E1062">
        <v>1982</v>
      </c>
      <c r="F1062" t="s">
        <v>1540</v>
      </c>
      <c r="G1062">
        <v>0</v>
      </c>
      <c r="H1062">
        <v>0</v>
      </c>
      <c r="I1062">
        <v>0</v>
      </c>
      <c r="J1062">
        <v>0</v>
      </c>
      <c r="K1062">
        <v>0</v>
      </c>
      <c r="L1062">
        <v>2</v>
      </c>
      <c r="M1062" t="s">
        <v>325</v>
      </c>
      <c r="N1062" t="s">
        <v>348</v>
      </c>
    </row>
    <row r="1063" spans="1:14" x14ac:dyDescent="0.3">
      <c r="A1063">
        <v>366</v>
      </c>
      <c r="B1063" t="s">
        <v>323</v>
      </c>
      <c r="C1063">
        <v>192</v>
      </c>
      <c r="D1063" t="s">
        <v>186</v>
      </c>
      <c r="E1063">
        <v>1983</v>
      </c>
      <c r="F1063" t="s">
        <v>1541</v>
      </c>
      <c r="G1063">
        <v>0</v>
      </c>
      <c r="H1063">
        <v>0</v>
      </c>
      <c r="I1063">
        <v>0</v>
      </c>
      <c r="J1063">
        <v>0</v>
      </c>
      <c r="K1063">
        <v>0</v>
      </c>
      <c r="L1063">
        <v>3</v>
      </c>
      <c r="M1063" t="s">
        <v>333</v>
      </c>
      <c r="N1063" t="s">
        <v>343</v>
      </c>
    </row>
    <row r="1064" spans="1:14" x14ac:dyDescent="0.3">
      <c r="A1064">
        <v>366</v>
      </c>
      <c r="B1064" t="s">
        <v>323</v>
      </c>
      <c r="C1064">
        <v>192</v>
      </c>
      <c r="D1064" t="s">
        <v>186</v>
      </c>
      <c r="E1064">
        <v>1984</v>
      </c>
      <c r="F1064" t="s">
        <v>884</v>
      </c>
      <c r="G1064">
        <v>0</v>
      </c>
      <c r="H1064">
        <v>0</v>
      </c>
      <c r="I1064">
        <v>0</v>
      </c>
      <c r="J1064">
        <v>0</v>
      </c>
      <c r="K1064">
        <v>0</v>
      </c>
      <c r="L1064">
        <v>4</v>
      </c>
      <c r="M1064" t="s">
        <v>325</v>
      </c>
      <c r="N1064" t="s">
        <v>326</v>
      </c>
    </row>
    <row r="1065" spans="1:14" x14ac:dyDescent="0.3">
      <c r="A1065">
        <v>366</v>
      </c>
      <c r="B1065" t="s">
        <v>323</v>
      </c>
      <c r="C1065">
        <v>192</v>
      </c>
      <c r="D1065" t="s">
        <v>186</v>
      </c>
      <c r="E1065">
        <v>1985</v>
      </c>
      <c r="F1065" t="s">
        <v>1542</v>
      </c>
      <c r="G1065">
        <v>0</v>
      </c>
      <c r="H1065">
        <v>0</v>
      </c>
      <c r="I1065">
        <v>0</v>
      </c>
      <c r="J1065">
        <v>0</v>
      </c>
      <c r="K1065">
        <v>0</v>
      </c>
      <c r="L1065">
        <v>5</v>
      </c>
      <c r="M1065" t="s">
        <v>333</v>
      </c>
      <c r="N1065" t="s">
        <v>326</v>
      </c>
    </row>
    <row r="1066" spans="1:14" x14ac:dyDescent="0.3">
      <c r="A1066">
        <v>366</v>
      </c>
      <c r="B1066" t="s">
        <v>323</v>
      </c>
      <c r="C1066">
        <v>192</v>
      </c>
      <c r="D1066" t="s">
        <v>186</v>
      </c>
      <c r="E1066">
        <v>1986</v>
      </c>
      <c r="F1066" t="s">
        <v>1543</v>
      </c>
      <c r="G1066">
        <v>0</v>
      </c>
      <c r="H1066">
        <v>0</v>
      </c>
      <c r="I1066">
        <v>0</v>
      </c>
      <c r="J1066">
        <v>0</v>
      </c>
      <c r="K1066">
        <v>0</v>
      </c>
      <c r="L1066">
        <v>3</v>
      </c>
      <c r="M1066" t="s">
        <v>410</v>
      </c>
      <c r="N1066" t="s">
        <v>336</v>
      </c>
    </row>
    <row r="1067" spans="1:14" x14ac:dyDescent="0.3">
      <c r="A1067">
        <v>366</v>
      </c>
      <c r="B1067" t="s">
        <v>323</v>
      </c>
      <c r="C1067">
        <v>192</v>
      </c>
      <c r="D1067" t="s">
        <v>186</v>
      </c>
      <c r="E1067">
        <v>1987</v>
      </c>
      <c r="F1067" t="s">
        <v>1544</v>
      </c>
      <c r="G1067">
        <v>0</v>
      </c>
      <c r="H1067">
        <v>0</v>
      </c>
      <c r="I1067">
        <v>0</v>
      </c>
      <c r="J1067">
        <v>0</v>
      </c>
      <c r="K1067">
        <v>0</v>
      </c>
      <c r="L1067">
        <v>3</v>
      </c>
      <c r="M1067" t="s">
        <v>333</v>
      </c>
      <c r="N1067" t="s">
        <v>326</v>
      </c>
    </row>
    <row r="1068" spans="1:14" x14ac:dyDescent="0.3">
      <c r="A1068">
        <v>369</v>
      </c>
      <c r="B1068" t="s">
        <v>323</v>
      </c>
      <c r="C1068">
        <v>195</v>
      </c>
      <c r="D1068" t="s">
        <v>192</v>
      </c>
      <c r="E1068">
        <v>839</v>
      </c>
      <c r="F1068" t="s">
        <v>1040</v>
      </c>
      <c r="G1068">
        <v>0</v>
      </c>
      <c r="H1068">
        <v>0</v>
      </c>
      <c r="I1068">
        <v>4</v>
      </c>
      <c r="J1068">
        <v>2</v>
      </c>
      <c r="K1068">
        <v>0</v>
      </c>
      <c r="L1068">
        <v>0</v>
      </c>
      <c r="M1068" t="s">
        <v>566</v>
      </c>
      <c r="N1068" t="s">
        <v>326</v>
      </c>
    </row>
    <row r="1069" spans="1:14" x14ac:dyDescent="0.3">
      <c r="A1069">
        <v>369</v>
      </c>
      <c r="B1069" t="s">
        <v>323</v>
      </c>
      <c r="C1069">
        <v>195</v>
      </c>
      <c r="D1069" t="s">
        <v>192</v>
      </c>
      <c r="E1069">
        <v>840</v>
      </c>
      <c r="F1069" t="s">
        <v>1041</v>
      </c>
      <c r="G1069">
        <v>0</v>
      </c>
      <c r="H1069">
        <v>2</v>
      </c>
      <c r="I1069">
        <v>3</v>
      </c>
      <c r="J1069">
        <v>0</v>
      </c>
      <c r="K1069">
        <v>0</v>
      </c>
      <c r="L1069">
        <v>0</v>
      </c>
      <c r="M1069" t="s">
        <v>566</v>
      </c>
      <c r="N1069" t="s">
        <v>343</v>
      </c>
    </row>
    <row r="1070" spans="1:14" x14ac:dyDescent="0.3">
      <c r="A1070">
        <v>369</v>
      </c>
      <c r="B1070" t="s">
        <v>323</v>
      </c>
      <c r="C1070">
        <v>195</v>
      </c>
      <c r="D1070" t="s">
        <v>192</v>
      </c>
      <c r="E1070">
        <v>841</v>
      </c>
      <c r="F1070" t="s">
        <v>1042</v>
      </c>
      <c r="G1070">
        <v>0</v>
      </c>
      <c r="H1070">
        <v>0</v>
      </c>
      <c r="I1070">
        <v>0</v>
      </c>
      <c r="J1070">
        <v>4</v>
      </c>
      <c r="K1070">
        <v>1</v>
      </c>
      <c r="L1070">
        <v>0</v>
      </c>
      <c r="M1070" t="s">
        <v>325</v>
      </c>
      <c r="N1070" t="s">
        <v>484</v>
      </c>
    </row>
    <row r="1071" spans="1:14" x14ac:dyDescent="0.3">
      <c r="A1071">
        <v>369</v>
      </c>
      <c r="B1071" t="s">
        <v>323</v>
      </c>
      <c r="C1071">
        <v>195</v>
      </c>
      <c r="D1071" t="s">
        <v>192</v>
      </c>
      <c r="E1071">
        <v>842</v>
      </c>
      <c r="F1071" t="s">
        <v>1043</v>
      </c>
      <c r="G1071">
        <v>0</v>
      </c>
      <c r="H1071">
        <v>0</v>
      </c>
      <c r="I1071">
        <v>3</v>
      </c>
      <c r="J1071">
        <v>2</v>
      </c>
      <c r="K1071">
        <v>0</v>
      </c>
      <c r="L1071">
        <v>0</v>
      </c>
      <c r="M1071" t="s">
        <v>325</v>
      </c>
      <c r="N1071" t="s">
        <v>343</v>
      </c>
    </row>
    <row r="1072" spans="1:14" x14ac:dyDescent="0.3">
      <c r="A1072">
        <v>369</v>
      </c>
      <c r="B1072" t="s">
        <v>323</v>
      </c>
      <c r="C1072">
        <v>195</v>
      </c>
      <c r="D1072" t="s">
        <v>192</v>
      </c>
      <c r="E1072">
        <v>843</v>
      </c>
      <c r="F1072" t="s">
        <v>1044</v>
      </c>
      <c r="G1072">
        <v>0</v>
      </c>
      <c r="H1072">
        <v>3</v>
      </c>
      <c r="I1072">
        <v>2</v>
      </c>
      <c r="J1072">
        <v>0</v>
      </c>
      <c r="K1072">
        <v>0</v>
      </c>
      <c r="L1072">
        <v>0</v>
      </c>
      <c r="M1072" t="s">
        <v>414</v>
      </c>
      <c r="N1072" t="s">
        <v>343</v>
      </c>
    </row>
    <row r="1073" spans="1:14" x14ac:dyDescent="0.3">
      <c r="A1073">
        <v>370</v>
      </c>
      <c r="B1073" t="s">
        <v>313</v>
      </c>
      <c r="C1073">
        <v>196</v>
      </c>
      <c r="D1073" t="s">
        <v>195</v>
      </c>
      <c r="E1073">
        <v>1886</v>
      </c>
      <c r="F1073" t="s">
        <v>1545</v>
      </c>
    </row>
    <row r="1074" spans="1:14" x14ac:dyDescent="0.3">
      <c r="A1074">
        <v>371</v>
      </c>
      <c r="B1074" t="s">
        <v>323</v>
      </c>
      <c r="C1074">
        <v>197</v>
      </c>
      <c r="D1074" t="s">
        <v>197</v>
      </c>
      <c r="E1074">
        <v>1468</v>
      </c>
      <c r="F1074" t="s">
        <v>1045</v>
      </c>
      <c r="G1074">
        <v>4</v>
      </c>
      <c r="H1074">
        <v>6</v>
      </c>
      <c r="I1074">
        <v>2</v>
      </c>
      <c r="J1074">
        <v>4</v>
      </c>
      <c r="K1074">
        <v>1</v>
      </c>
      <c r="L1074">
        <v>5</v>
      </c>
      <c r="M1074" t="s">
        <v>333</v>
      </c>
      <c r="N1074" t="s">
        <v>336</v>
      </c>
    </row>
    <row r="1075" spans="1:14" x14ac:dyDescent="0.3">
      <c r="A1075">
        <v>372</v>
      </c>
      <c r="B1075" t="s">
        <v>313</v>
      </c>
      <c r="C1075">
        <v>198</v>
      </c>
      <c r="D1075" t="s">
        <v>200</v>
      </c>
      <c r="E1075">
        <v>1224</v>
      </c>
      <c r="F1075" t="s">
        <v>1046</v>
      </c>
      <c r="G1075">
        <v>1</v>
      </c>
      <c r="H1075">
        <v>2</v>
      </c>
      <c r="I1075">
        <v>0</v>
      </c>
      <c r="J1075">
        <v>0</v>
      </c>
      <c r="K1075">
        <v>3</v>
      </c>
      <c r="L1075">
        <v>7</v>
      </c>
      <c r="M1075" t="s">
        <v>410</v>
      </c>
      <c r="N1075" t="s">
        <v>336</v>
      </c>
    </row>
    <row r="1076" spans="1:14" x14ac:dyDescent="0.3">
      <c r="A1076">
        <v>372</v>
      </c>
      <c r="B1076" t="s">
        <v>313</v>
      </c>
      <c r="C1076">
        <v>198</v>
      </c>
      <c r="D1076" t="s">
        <v>200</v>
      </c>
      <c r="E1076">
        <v>1225</v>
      </c>
      <c r="F1076" t="s">
        <v>1047</v>
      </c>
      <c r="G1076">
        <v>0</v>
      </c>
      <c r="H1076">
        <v>0</v>
      </c>
      <c r="I1076">
        <v>0</v>
      </c>
      <c r="J1076">
        <v>0</v>
      </c>
      <c r="K1076">
        <v>1</v>
      </c>
      <c r="L1076">
        <v>1</v>
      </c>
      <c r="M1076" t="s">
        <v>325</v>
      </c>
      <c r="N1076" t="s">
        <v>326</v>
      </c>
    </row>
    <row r="1077" spans="1:14" x14ac:dyDescent="0.3">
      <c r="A1077">
        <v>372</v>
      </c>
      <c r="B1077" t="s">
        <v>313</v>
      </c>
      <c r="C1077">
        <v>198</v>
      </c>
      <c r="D1077" t="s">
        <v>200</v>
      </c>
      <c r="E1077">
        <v>1226</v>
      </c>
      <c r="F1077" t="s">
        <v>1048</v>
      </c>
      <c r="G1077">
        <v>1</v>
      </c>
      <c r="H1077">
        <v>0</v>
      </c>
      <c r="I1077">
        <v>0</v>
      </c>
      <c r="J1077">
        <v>0</v>
      </c>
      <c r="K1077">
        <v>0</v>
      </c>
      <c r="L1077">
        <v>2</v>
      </c>
      <c r="M1077" t="s">
        <v>325</v>
      </c>
      <c r="N1077" t="s">
        <v>326</v>
      </c>
    </row>
    <row r="1078" spans="1:14" x14ac:dyDescent="0.3">
      <c r="A1078">
        <v>372</v>
      </c>
      <c r="B1078" t="s">
        <v>313</v>
      </c>
      <c r="C1078">
        <v>198</v>
      </c>
      <c r="D1078" t="s">
        <v>200</v>
      </c>
      <c r="E1078">
        <v>1227</v>
      </c>
      <c r="F1078" t="s">
        <v>1049</v>
      </c>
      <c r="G1078">
        <v>0</v>
      </c>
      <c r="H1078">
        <v>0</v>
      </c>
      <c r="I1078">
        <v>0</v>
      </c>
      <c r="J1078">
        <v>0</v>
      </c>
      <c r="K1078">
        <v>1</v>
      </c>
      <c r="L1078">
        <v>1</v>
      </c>
      <c r="M1078" t="s">
        <v>325</v>
      </c>
      <c r="N1078" t="s">
        <v>336</v>
      </c>
    </row>
    <row r="1079" spans="1:14" x14ac:dyDescent="0.3">
      <c r="A1079">
        <v>372</v>
      </c>
      <c r="B1079" t="s">
        <v>313</v>
      </c>
      <c r="C1079">
        <v>198</v>
      </c>
      <c r="D1079" t="s">
        <v>200</v>
      </c>
      <c r="E1079">
        <v>1228</v>
      </c>
      <c r="F1079" t="s">
        <v>1050</v>
      </c>
      <c r="G1079">
        <v>1</v>
      </c>
      <c r="H1079">
        <v>0</v>
      </c>
      <c r="I1079">
        <v>0</v>
      </c>
      <c r="J1079">
        <v>0</v>
      </c>
      <c r="K1079">
        <v>0</v>
      </c>
      <c r="L1079">
        <v>3</v>
      </c>
      <c r="M1079" t="s">
        <v>325</v>
      </c>
      <c r="N1079" t="s">
        <v>336</v>
      </c>
    </row>
    <row r="1080" spans="1:14" x14ac:dyDescent="0.3">
      <c r="A1080">
        <v>372</v>
      </c>
      <c r="B1080" t="s">
        <v>313</v>
      </c>
      <c r="C1080">
        <v>198</v>
      </c>
      <c r="D1080" t="s">
        <v>200</v>
      </c>
      <c r="E1080">
        <v>1229</v>
      </c>
      <c r="F1080" t="s">
        <v>1051</v>
      </c>
      <c r="G1080">
        <v>0</v>
      </c>
      <c r="H1080">
        <v>0</v>
      </c>
      <c r="I1080">
        <v>0</v>
      </c>
      <c r="J1080">
        <v>0</v>
      </c>
      <c r="K1080">
        <v>1</v>
      </c>
      <c r="L1080">
        <v>1</v>
      </c>
      <c r="M1080" t="s">
        <v>325</v>
      </c>
      <c r="N1080" t="s">
        <v>336</v>
      </c>
    </row>
    <row r="1081" spans="1:14" x14ac:dyDescent="0.3">
      <c r="A1081">
        <v>372</v>
      </c>
      <c r="B1081" t="s">
        <v>313</v>
      </c>
      <c r="C1081">
        <v>198</v>
      </c>
      <c r="D1081" t="s">
        <v>200</v>
      </c>
      <c r="E1081">
        <v>1230</v>
      </c>
      <c r="F1081" t="s">
        <v>1052</v>
      </c>
      <c r="G1081">
        <v>0</v>
      </c>
      <c r="H1081">
        <v>0</v>
      </c>
      <c r="I1081">
        <v>0</v>
      </c>
      <c r="J1081">
        <v>0</v>
      </c>
      <c r="K1081">
        <v>0</v>
      </c>
      <c r="L1081">
        <v>2</v>
      </c>
      <c r="M1081" t="s">
        <v>325</v>
      </c>
      <c r="N1081" t="s">
        <v>336</v>
      </c>
    </row>
    <row r="1082" spans="1:14" x14ac:dyDescent="0.3">
      <c r="A1082">
        <v>372</v>
      </c>
      <c r="B1082" t="s">
        <v>313</v>
      </c>
      <c r="C1082">
        <v>198</v>
      </c>
      <c r="D1082" t="s">
        <v>200</v>
      </c>
      <c r="E1082">
        <v>1231</v>
      </c>
      <c r="F1082" t="s">
        <v>1053</v>
      </c>
      <c r="G1082">
        <v>1</v>
      </c>
      <c r="H1082">
        <v>0</v>
      </c>
      <c r="I1082">
        <v>0</v>
      </c>
      <c r="J1082">
        <v>0</v>
      </c>
      <c r="K1082">
        <v>1</v>
      </c>
      <c r="L1082">
        <v>0</v>
      </c>
      <c r="M1082" t="s">
        <v>325</v>
      </c>
      <c r="N1082" t="s">
        <v>326</v>
      </c>
    </row>
    <row r="1083" spans="1:14" x14ac:dyDescent="0.3">
      <c r="A1083">
        <v>372</v>
      </c>
      <c r="B1083" t="s">
        <v>313</v>
      </c>
      <c r="C1083">
        <v>198</v>
      </c>
      <c r="D1083" t="s">
        <v>200</v>
      </c>
      <c r="E1083">
        <v>1232</v>
      </c>
      <c r="F1083" t="s">
        <v>1054</v>
      </c>
      <c r="G1083">
        <v>0</v>
      </c>
      <c r="H1083">
        <v>0</v>
      </c>
      <c r="I1083">
        <v>0</v>
      </c>
      <c r="J1083">
        <v>0</v>
      </c>
      <c r="K1083">
        <v>0</v>
      </c>
      <c r="L1083">
        <v>4</v>
      </c>
      <c r="M1083" t="s">
        <v>325</v>
      </c>
      <c r="N1083" t="s">
        <v>326</v>
      </c>
    </row>
    <row r="1084" spans="1:14" x14ac:dyDescent="0.3">
      <c r="A1084">
        <v>372</v>
      </c>
      <c r="B1084" t="s">
        <v>313</v>
      </c>
      <c r="C1084">
        <v>198</v>
      </c>
      <c r="D1084" t="s">
        <v>200</v>
      </c>
      <c r="E1084">
        <v>1554</v>
      </c>
      <c r="F1084" t="s">
        <v>1055</v>
      </c>
      <c r="G1084">
        <v>0</v>
      </c>
      <c r="H1084">
        <v>0</v>
      </c>
      <c r="I1084">
        <v>1</v>
      </c>
      <c r="J1084">
        <v>0</v>
      </c>
      <c r="K1084">
        <v>2</v>
      </c>
      <c r="L1084">
        <v>0</v>
      </c>
      <c r="M1084" t="s">
        <v>325</v>
      </c>
      <c r="N1084" t="s">
        <v>326</v>
      </c>
    </row>
    <row r="1085" spans="1:14" x14ac:dyDescent="0.3">
      <c r="A1085">
        <v>372</v>
      </c>
      <c r="B1085" t="s">
        <v>313</v>
      </c>
      <c r="C1085">
        <v>198</v>
      </c>
      <c r="D1085" t="s">
        <v>200</v>
      </c>
      <c r="E1085">
        <v>1558</v>
      </c>
      <c r="F1085" t="s">
        <v>1056</v>
      </c>
      <c r="G1085">
        <v>1</v>
      </c>
      <c r="H1085">
        <v>0</v>
      </c>
      <c r="I1085">
        <v>0</v>
      </c>
      <c r="J1085">
        <v>0</v>
      </c>
      <c r="K1085">
        <v>1</v>
      </c>
      <c r="L1085">
        <v>0</v>
      </c>
      <c r="M1085" t="s">
        <v>325</v>
      </c>
      <c r="N1085" t="s">
        <v>326</v>
      </c>
    </row>
    <row r="1086" spans="1:14" x14ac:dyDescent="0.3">
      <c r="A1086">
        <v>377</v>
      </c>
      <c r="B1086" t="s">
        <v>323</v>
      </c>
      <c r="C1086">
        <v>203</v>
      </c>
      <c r="D1086" t="s">
        <v>210</v>
      </c>
      <c r="E1086">
        <v>1560</v>
      </c>
      <c r="F1086" t="s">
        <v>1059</v>
      </c>
      <c r="G1086">
        <v>0</v>
      </c>
      <c r="H1086">
        <v>0</v>
      </c>
      <c r="I1086">
        <v>1</v>
      </c>
      <c r="J1086">
        <v>2</v>
      </c>
      <c r="K1086">
        <v>0</v>
      </c>
      <c r="L1086">
        <v>0</v>
      </c>
      <c r="M1086" t="s">
        <v>414</v>
      </c>
      <c r="N1086" t="s">
        <v>336</v>
      </c>
    </row>
    <row r="1087" spans="1:14" x14ac:dyDescent="0.3">
      <c r="A1087">
        <v>377</v>
      </c>
      <c r="B1087" t="s">
        <v>323</v>
      </c>
      <c r="C1087">
        <v>203</v>
      </c>
      <c r="D1087" t="s">
        <v>210</v>
      </c>
      <c r="E1087">
        <v>1597</v>
      </c>
      <c r="F1087" t="s">
        <v>531</v>
      </c>
      <c r="G1087">
        <v>0</v>
      </c>
      <c r="H1087">
        <v>1</v>
      </c>
      <c r="I1087">
        <v>2</v>
      </c>
      <c r="J1087">
        <v>3</v>
      </c>
      <c r="K1087">
        <v>0</v>
      </c>
      <c r="L1087">
        <v>0</v>
      </c>
      <c r="M1087" t="s">
        <v>333</v>
      </c>
      <c r="N1087" t="s">
        <v>336</v>
      </c>
    </row>
    <row r="1088" spans="1:14" x14ac:dyDescent="0.3">
      <c r="A1088">
        <v>377</v>
      </c>
      <c r="B1088" t="s">
        <v>323</v>
      </c>
      <c r="C1088">
        <v>203</v>
      </c>
      <c r="D1088" t="s">
        <v>210</v>
      </c>
      <c r="E1088">
        <v>1598</v>
      </c>
      <c r="F1088" t="s">
        <v>1060</v>
      </c>
      <c r="G1088">
        <v>0</v>
      </c>
      <c r="H1088">
        <v>0</v>
      </c>
      <c r="I1088">
        <v>0</v>
      </c>
      <c r="J1088">
        <v>2</v>
      </c>
      <c r="K1088">
        <v>2</v>
      </c>
      <c r="L1088">
        <v>0</v>
      </c>
      <c r="M1088" t="s">
        <v>333</v>
      </c>
      <c r="N1088" t="s">
        <v>326</v>
      </c>
    </row>
    <row r="1089" spans="1:14" x14ac:dyDescent="0.3">
      <c r="A1089">
        <v>377</v>
      </c>
      <c r="B1089" t="s">
        <v>323</v>
      </c>
      <c r="C1089">
        <v>203</v>
      </c>
      <c r="D1089" t="s">
        <v>210</v>
      </c>
      <c r="E1089">
        <v>1807</v>
      </c>
      <c r="F1089" t="s">
        <v>1546</v>
      </c>
      <c r="G1089">
        <v>0</v>
      </c>
      <c r="H1089">
        <v>0</v>
      </c>
      <c r="I1089">
        <v>1</v>
      </c>
      <c r="J1089">
        <v>1</v>
      </c>
      <c r="K1089">
        <v>1</v>
      </c>
      <c r="L1089">
        <v>0</v>
      </c>
      <c r="M1089" t="s">
        <v>333</v>
      </c>
      <c r="N1089" t="s">
        <v>348</v>
      </c>
    </row>
    <row r="1090" spans="1:14" x14ac:dyDescent="0.3">
      <c r="A1090">
        <v>377</v>
      </c>
      <c r="B1090" t="s">
        <v>323</v>
      </c>
      <c r="C1090">
        <v>203</v>
      </c>
      <c r="D1090" t="s">
        <v>210</v>
      </c>
      <c r="E1090">
        <v>1808</v>
      </c>
      <c r="F1090" t="s">
        <v>666</v>
      </c>
      <c r="G1090">
        <v>0</v>
      </c>
      <c r="H1090">
        <v>0</v>
      </c>
      <c r="I1090">
        <v>2</v>
      </c>
      <c r="J1090">
        <v>1</v>
      </c>
      <c r="K1090">
        <v>0</v>
      </c>
      <c r="L1090">
        <v>0</v>
      </c>
      <c r="M1090" t="s">
        <v>333</v>
      </c>
      <c r="N1090" t="s">
        <v>336</v>
      </c>
    </row>
    <row r="1091" spans="1:14" x14ac:dyDescent="0.3">
      <c r="A1091">
        <v>378</v>
      </c>
      <c r="B1091" t="s">
        <v>323</v>
      </c>
      <c r="C1091">
        <v>204</v>
      </c>
      <c r="D1091" t="s">
        <v>212</v>
      </c>
      <c r="E1091">
        <v>314</v>
      </c>
      <c r="F1091" t="s">
        <v>1061</v>
      </c>
      <c r="G1091">
        <v>1</v>
      </c>
      <c r="H1091">
        <v>1</v>
      </c>
      <c r="I1091">
        <v>3</v>
      </c>
      <c r="J1091">
        <v>2</v>
      </c>
      <c r="K1091">
        <v>0</v>
      </c>
      <c r="L1091">
        <v>1</v>
      </c>
      <c r="M1091" t="s">
        <v>325</v>
      </c>
      <c r="N1091" t="s">
        <v>336</v>
      </c>
    </row>
    <row r="1092" spans="1:14" x14ac:dyDescent="0.3">
      <c r="A1092">
        <v>378</v>
      </c>
      <c r="B1092" t="s">
        <v>323</v>
      </c>
      <c r="C1092">
        <v>204</v>
      </c>
      <c r="D1092" t="s">
        <v>212</v>
      </c>
      <c r="E1092">
        <v>315</v>
      </c>
      <c r="F1092" t="s">
        <v>1062</v>
      </c>
      <c r="G1092">
        <v>0</v>
      </c>
      <c r="H1092">
        <v>0</v>
      </c>
      <c r="I1092">
        <v>0</v>
      </c>
      <c r="J1092">
        <v>1</v>
      </c>
      <c r="K1092">
        <v>0</v>
      </c>
      <c r="L1092">
        <v>4</v>
      </c>
      <c r="M1092" t="s">
        <v>410</v>
      </c>
      <c r="N1092" t="s">
        <v>326</v>
      </c>
    </row>
    <row r="1093" spans="1:14" x14ac:dyDescent="0.3">
      <c r="A1093">
        <v>378</v>
      </c>
      <c r="B1093" t="s">
        <v>323</v>
      </c>
      <c r="C1093">
        <v>204</v>
      </c>
      <c r="D1093" t="s">
        <v>212</v>
      </c>
      <c r="E1093">
        <v>316</v>
      </c>
      <c r="F1093" t="s">
        <v>1063</v>
      </c>
      <c r="G1093">
        <v>0</v>
      </c>
      <c r="H1093">
        <v>1</v>
      </c>
      <c r="I1093">
        <v>0</v>
      </c>
      <c r="J1093">
        <v>2</v>
      </c>
      <c r="K1093">
        <v>0</v>
      </c>
      <c r="L1093">
        <v>1</v>
      </c>
      <c r="M1093" t="s">
        <v>325</v>
      </c>
      <c r="N1093" t="s">
        <v>343</v>
      </c>
    </row>
    <row r="1094" spans="1:14" x14ac:dyDescent="0.3">
      <c r="A1094">
        <v>378</v>
      </c>
      <c r="B1094" t="s">
        <v>323</v>
      </c>
      <c r="C1094">
        <v>204</v>
      </c>
      <c r="D1094" t="s">
        <v>212</v>
      </c>
      <c r="E1094">
        <v>317</v>
      </c>
      <c r="F1094" t="s">
        <v>1064</v>
      </c>
      <c r="G1094">
        <v>0</v>
      </c>
      <c r="H1094">
        <v>0</v>
      </c>
      <c r="I1094">
        <v>0</v>
      </c>
      <c r="J1094">
        <v>2</v>
      </c>
      <c r="K1094">
        <v>3</v>
      </c>
      <c r="L1094">
        <v>0</v>
      </c>
      <c r="M1094" t="s">
        <v>333</v>
      </c>
      <c r="N1094" t="s">
        <v>326</v>
      </c>
    </row>
    <row r="1095" spans="1:14" x14ac:dyDescent="0.3">
      <c r="A1095">
        <v>378</v>
      </c>
      <c r="B1095" t="s">
        <v>323</v>
      </c>
      <c r="C1095">
        <v>204</v>
      </c>
      <c r="D1095" t="s">
        <v>212</v>
      </c>
      <c r="E1095">
        <v>318</v>
      </c>
      <c r="F1095" t="s">
        <v>1065</v>
      </c>
      <c r="G1095">
        <v>0</v>
      </c>
      <c r="H1095">
        <v>1</v>
      </c>
      <c r="I1095">
        <v>1</v>
      </c>
      <c r="J1095">
        <v>0</v>
      </c>
      <c r="K1095">
        <v>0</v>
      </c>
      <c r="L1095">
        <v>0</v>
      </c>
      <c r="M1095" t="s">
        <v>325</v>
      </c>
      <c r="N1095" t="s">
        <v>348</v>
      </c>
    </row>
    <row r="1096" spans="1:14" x14ac:dyDescent="0.3">
      <c r="A1096">
        <v>378</v>
      </c>
      <c r="B1096" t="s">
        <v>323</v>
      </c>
      <c r="C1096">
        <v>204</v>
      </c>
      <c r="D1096" t="s">
        <v>212</v>
      </c>
      <c r="E1096">
        <v>319</v>
      </c>
      <c r="F1096" t="s">
        <v>531</v>
      </c>
      <c r="G1096">
        <v>0</v>
      </c>
      <c r="H1096">
        <v>0</v>
      </c>
      <c r="I1096">
        <v>1</v>
      </c>
      <c r="J1096">
        <v>1</v>
      </c>
      <c r="K1096">
        <v>0</v>
      </c>
      <c r="L1096">
        <v>3</v>
      </c>
      <c r="M1096" t="s">
        <v>333</v>
      </c>
      <c r="N1096" t="s">
        <v>326</v>
      </c>
    </row>
    <row r="1097" spans="1:14" x14ac:dyDescent="0.3">
      <c r="A1097">
        <v>378</v>
      </c>
      <c r="B1097" t="s">
        <v>323</v>
      </c>
      <c r="C1097">
        <v>204</v>
      </c>
      <c r="D1097" t="s">
        <v>212</v>
      </c>
      <c r="E1097">
        <v>320</v>
      </c>
      <c r="F1097" t="s">
        <v>322</v>
      </c>
      <c r="G1097">
        <v>0</v>
      </c>
      <c r="H1097">
        <v>0</v>
      </c>
      <c r="I1097">
        <v>2</v>
      </c>
      <c r="J1097">
        <v>1</v>
      </c>
      <c r="K1097">
        <v>0</v>
      </c>
      <c r="L1097">
        <v>1</v>
      </c>
      <c r="M1097" t="s">
        <v>325</v>
      </c>
      <c r="N1097" t="s">
        <v>326</v>
      </c>
    </row>
    <row r="1098" spans="1:14" x14ac:dyDescent="0.3">
      <c r="A1098">
        <v>378</v>
      </c>
      <c r="B1098" t="s">
        <v>323</v>
      </c>
      <c r="C1098">
        <v>204</v>
      </c>
      <c r="D1098" t="s">
        <v>212</v>
      </c>
      <c r="E1098">
        <v>321</v>
      </c>
      <c r="F1098" t="s">
        <v>1066</v>
      </c>
      <c r="G1098">
        <v>0</v>
      </c>
      <c r="H1098">
        <v>0</v>
      </c>
      <c r="I1098">
        <v>0</v>
      </c>
      <c r="J1098">
        <v>0</v>
      </c>
      <c r="K1098">
        <v>0</v>
      </c>
      <c r="L1098">
        <v>3</v>
      </c>
      <c r="M1098" t="s">
        <v>325</v>
      </c>
      <c r="N1098" t="s">
        <v>326</v>
      </c>
    </row>
    <row r="1099" spans="1:14" x14ac:dyDescent="0.3">
      <c r="A1099">
        <v>378</v>
      </c>
      <c r="B1099" t="s">
        <v>323</v>
      </c>
      <c r="C1099">
        <v>204</v>
      </c>
      <c r="D1099" t="s">
        <v>212</v>
      </c>
      <c r="E1099">
        <v>961</v>
      </c>
      <c r="F1099" t="s">
        <v>393</v>
      </c>
      <c r="G1099">
        <v>0</v>
      </c>
      <c r="H1099">
        <v>0</v>
      </c>
      <c r="I1099">
        <v>2</v>
      </c>
      <c r="J1099">
        <v>1</v>
      </c>
      <c r="K1099">
        <v>0</v>
      </c>
      <c r="L1099">
        <v>0</v>
      </c>
      <c r="M1099" t="s">
        <v>566</v>
      </c>
      <c r="N1099" t="s">
        <v>326</v>
      </c>
    </row>
    <row r="1100" spans="1:14" x14ac:dyDescent="0.3">
      <c r="A1100">
        <v>378</v>
      </c>
      <c r="B1100" t="s">
        <v>323</v>
      </c>
      <c r="C1100">
        <v>204</v>
      </c>
      <c r="D1100" t="s">
        <v>212</v>
      </c>
      <c r="E1100">
        <v>1475</v>
      </c>
      <c r="F1100" t="s">
        <v>1067</v>
      </c>
      <c r="G1100">
        <v>0</v>
      </c>
      <c r="H1100">
        <v>2</v>
      </c>
      <c r="I1100">
        <v>1</v>
      </c>
      <c r="J1100">
        <v>1</v>
      </c>
      <c r="K1100">
        <v>1</v>
      </c>
      <c r="L1100">
        <v>0</v>
      </c>
      <c r="M1100" t="s">
        <v>333</v>
      </c>
      <c r="N1100" t="s">
        <v>336</v>
      </c>
    </row>
    <row r="1101" spans="1:14" x14ac:dyDescent="0.3">
      <c r="A1101">
        <v>378</v>
      </c>
      <c r="B1101" t="s">
        <v>323</v>
      </c>
      <c r="C1101">
        <v>204</v>
      </c>
      <c r="D1101" t="s">
        <v>212</v>
      </c>
      <c r="E1101">
        <v>1476</v>
      </c>
      <c r="F1101" t="s">
        <v>1068</v>
      </c>
      <c r="G1101">
        <v>0</v>
      </c>
      <c r="H1101">
        <v>1</v>
      </c>
      <c r="I1101">
        <v>2</v>
      </c>
      <c r="J1101">
        <v>1</v>
      </c>
      <c r="K1101">
        <v>0</v>
      </c>
      <c r="L1101">
        <v>0</v>
      </c>
      <c r="M1101" t="s">
        <v>325</v>
      </c>
      <c r="N1101" t="s">
        <v>326</v>
      </c>
    </row>
    <row r="1102" spans="1:14" x14ac:dyDescent="0.3">
      <c r="A1102">
        <v>378</v>
      </c>
      <c r="B1102" t="s">
        <v>323</v>
      </c>
      <c r="C1102">
        <v>204</v>
      </c>
      <c r="D1102" t="s">
        <v>212</v>
      </c>
      <c r="E1102">
        <v>1477</v>
      </c>
      <c r="F1102" t="s">
        <v>1069</v>
      </c>
      <c r="G1102">
        <v>0</v>
      </c>
      <c r="H1102">
        <v>0</v>
      </c>
      <c r="I1102">
        <v>0</v>
      </c>
      <c r="J1102">
        <v>0</v>
      </c>
      <c r="K1102">
        <v>0</v>
      </c>
      <c r="L1102">
        <v>0</v>
      </c>
      <c r="M1102" t="s">
        <v>325</v>
      </c>
      <c r="N1102" t="s">
        <v>343</v>
      </c>
    </row>
    <row r="1103" spans="1:14" x14ac:dyDescent="0.3">
      <c r="A1103">
        <v>378</v>
      </c>
      <c r="B1103" t="s">
        <v>323</v>
      </c>
      <c r="C1103">
        <v>204</v>
      </c>
      <c r="D1103" t="s">
        <v>212</v>
      </c>
      <c r="E1103">
        <v>1553</v>
      </c>
      <c r="F1103" t="s">
        <v>1070</v>
      </c>
      <c r="G1103">
        <v>0</v>
      </c>
      <c r="H1103">
        <v>0</v>
      </c>
      <c r="I1103">
        <v>1</v>
      </c>
      <c r="J1103">
        <v>2</v>
      </c>
      <c r="K1103">
        <v>1</v>
      </c>
      <c r="L1103">
        <v>1</v>
      </c>
      <c r="M1103" t="s">
        <v>410</v>
      </c>
      <c r="N1103" t="s">
        <v>326</v>
      </c>
    </row>
    <row r="1104" spans="1:14" x14ac:dyDescent="0.3">
      <c r="A1104">
        <v>378</v>
      </c>
      <c r="B1104" t="s">
        <v>323</v>
      </c>
      <c r="C1104">
        <v>204</v>
      </c>
      <c r="D1104" t="s">
        <v>212</v>
      </c>
      <c r="E1104">
        <v>1875</v>
      </c>
      <c r="F1104" t="s">
        <v>1547</v>
      </c>
      <c r="G1104">
        <v>0</v>
      </c>
      <c r="H1104">
        <v>1</v>
      </c>
      <c r="I1104">
        <v>1</v>
      </c>
      <c r="J1104">
        <v>0</v>
      </c>
      <c r="K1104">
        <v>0</v>
      </c>
      <c r="L1104">
        <v>1</v>
      </c>
      <c r="M1104" t="s">
        <v>325</v>
      </c>
      <c r="N1104" t="s">
        <v>348</v>
      </c>
    </row>
    <row r="1105" spans="1:14" x14ac:dyDescent="0.3">
      <c r="A1105">
        <v>378</v>
      </c>
      <c r="B1105" t="s">
        <v>323</v>
      </c>
      <c r="C1105">
        <v>204</v>
      </c>
      <c r="D1105" t="s">
        <v>212</v>
      </c>
      <c r="E1105">
        <v>1919</v>
      </c>
      <c r="F1105" t="s">
        <v>1548</v>
      </c>
      <c r="G1105">
        <v>0</v>
      </c>
      <c r="H1105">
        <v>2</v>
      </c>
      <c r="I1105">
        <v>2</v>
      </c>
      <c r="J1105">
        <v>4</v>
      </c>
      <c r="K1105">
        <v>2</v>
      </c>
      <c r="L1105">
        <v>4</v>
      </c>
      <c r="M1105" t="s">
        <v>410</v>
      </c>
      <c r="N1105" t="s">
        <v>326</v>
      </c>
    </row>
    <row r="1106" spans="1:14" x14ac:dyDescent="0.3">
      <c r="A1106">
        <v>379</v>
      </c>
      <c r="B1106" t="s">
        <v>323</v>
      </c>
      <c r="C1106">
        <v>206</v>
      </c>
      <c r="D1106" t="s">
        <v>214</v>
      </c>
      <c r="E1106">
        <v>347</v>
      </c>
      <c r="F1106" t="s">
        <v>1071</v>
      </c>
      <c r="G1106">
        <v>0</v>
      </c>
      <c r="H1106">
        <v>3</v>
      </c>
      <c r="I1106">
        <v>3</v>
      </c>
      <c r="J1106">
        <v>2</v>
      </c>
      <c r="K1106">
        <v>1</v>
      </c>
      <c r="L1106">
        <v>0</v>
      </c>
      <c r="M1106" t="s">
        <v>325</v>
      </c>
      <c r="N1106" t="s">
        <v>348</v>
      </c>
    </row>
    <row r="1107" spans="1:14" x14ac:dyDescent="0.3">
      <c r="A1107">
        <v>379</v>
      </c>
      <c r="B1107" t="s">
        <v>323</v>
      </c>
      <c r="C1107">
        <v>206</v>
      </c>
      <c r="D1107" t="s">
        <v>214</v>
      </c>
      <c r="E1107">
        <v>348</v>
      </c>
      <c r="F1107" t="s">
        <v>349</v>
      </c>
      <c r="G1107">
        <v>0</v>
      </c>
      <c r="H1107">
        <v>0</v>
      </c>
      <c r="I1107">
        <v>0</v>
      </c>
      <c r="J1107">
        <v>1</v>
      </c>
      <c r="K1107">
        <v>3</v>
      </c>
      <c r="L1107">
        <v>0</v>
      </c>
      <c r="M1107" t="s">
        <v>410</v>
      </c>
      <c r="N1107" t="s">
        <v>336</v>
      </c>
    </row>
    <row r="1108" spans="1:14" x14ac:dyDescent="0.3">
      <c r="A1108">
        <v>382</v>
      </c>
      <c r="B1108" t="s">
        <v>323</v>
      </c>
      <c r="C1108">
        <v>209</v>
      </c>
      <c r="D1108" t="s">
        <v>220</v>
      </c>
      <c r="E1108">
        <v>1780</v>
      </c>
      <c r="F1108" t="s">
        <v>393</v>
      </c>
      <c r="G1108">
        <v>0</v>
      </c>
      <c r="H1108">
        <v>0</v>
      </c>
      <c r="I1108">
        <v>6</v>
      </c>
      <c r="J1108">
        <v>0</v>
      </c>
      <c r="K1108">
        <v>0</v>
      </c>
      <c r="L1108">
        <v>0</v>
      </c>
      <c r="M1108" t="s">
        <v>566</v>
      </c>
      <c r="N1108" t="s">
        <v>336</v>
      </c>
    </row>
    <row r="1109" spans="1:14" x14ac:dyDescent="0.3">
      <c r="A1109">
        <v>384</v>
      </c>
      <c r="B1109" t="s">
        <v>323</v>
      </c>
      <c r="C1109">
        <v>212</v>
      </c>
      <c r="D1109" t="s">
        <v>226</v>
      </c>
      <c r="E1109">
        <v>1505</v>
      </c>
      <c r="F1109" t="s">
        <v>1077</v>
      </c>
      <c r="G1109">
        <v>0</v>
      </c>
      <c r="H1109">
        <v>0</v>
      </c>
      <c r="I1109">
        <v>5</v>
      </c>
      <c r="J1109">
        <v>3</v>
      </c>
      <c r="K1109">
        <v>1</v>
      </c>
      <c r="L1109">
        <v>0</v>
      </c>
      <c r="M1109" t="s">
        <v>416</v>
      </c>
      <c r="N1109" t="s">
        <v>336</v>
      </c>
    </row>
    <row r="1110" spans="1:14" x14ac:dyDescent="0.3">
      <c r="A1110">
        <v>385</v>
      </c>
      <c r="B1110" t="s">
        <v>323</v>
      </c>
      <c r="C1110">
        <v>213</v>
      </c>
      <c r="D1110" t="s">
        <v>228</v>
      </c>
      <c r="E1110">
        <v>1551</v>
      </c>
      <c r="F1110" t="s">
        <v>1078</v>
      </c>
      <c r="G1110">
        <v>1</v>
      </c>
      <c r="H1110">
        <v>1</v>
      </c>
      <c r="I1110">
        <v>1</v>
      </c>
      <c r="J1110">
        <v>2</v>
      </c>
      <c r="K1110">
        <v>1</v>
      </c>
      <c r="L1110">
        <v>0</v>
      </c>
      <c r="M1110" t="s">
        <v>333</v>
      </c>
      <c r="N1110" t="s">
        <v>329</v>
      </c>
    </row>
    <row r="1111" spans="1:14" x14ac:dyDescent="0.3">
      <c r="A1111">
        <v>385</v>
      </c>
      <c r="B1111" t="s">
        <v>323</v>
      </c>
      <c r="C1111">
        <v>213</v>
      </c>
      <c r="D1111" t="s">
        <v>228</v>
      </c>
      <c r="E1111">
        <v>1732</v>
      </c>
      <c r="F1111" t="s">
        <v>1549</v>
      </c>
      <c r="G1111">
        <v>1</v>
      </c>
      <c r="H1111">
        <v>1</v>
      </c>
      <c r="I1111">
        <v>1</v>
      </c>
      <c r="J1111">
        <v>2</v>
      </c>
      <c r="K1111">
        <v>1</v>
      </c>
      <c r="L1111">
        <v>0</v>
      </c>
      <c r="M1111" t="s">
        <v>333</v>
      </c>
      <c r="N1111" t="s">
        <v>329</v>
      </c>
    </row>
    <row r="1112" spans="1:14" x14ac:dyDescent="0.3">
      <c r="A1112">
        <v>385</v>
      </c>
      <c r="B1112" t="s">
        <v>323</v>
      </c>
      <c r="C1112">
        <v>213</v>
      </c>
      <c r="D1112" t="s">
        <v>228</v>
      </c>
      <c r="E1112">
        <v>1733</v>
      </c>
      <c r="F1112" t="s">
        <v>1550</v>
      </c>
      <c r="G1112">
        <v>1</v>
      </c>
      <c r="H1112">
        <v>1</v>
      </c>
      <c r="I1112">
        <v>1</v>
      </c>
      <c r="J1112">
        <v>2</v>
      </c>
      <c r="K1112">
        <v>1</v>
      </c>
      <c r="L1112">
        <v>0</v>
      </c>
      <c r="M1112" t="s">
        <v>333</v>
      </c>
      <c r="N1112" t="s">
        <v>336</v>
      </c>
    </row>
    <row r="1113" spans="1:14" x14ac:dyDescent="0.3">
      <c r="A1113">
        <v>385</v>
      </c>
      <c r="B1113" t="s">
        <v>323</v>
      </c>
      <c r="C1113">
        <v>213</v>
      </c>
      <c r="D1113" t="s">
        <v>228</v>
      </c>
      <c r="E1113">
        <v>1734</v>
      </c>
      <c r="F1113" t="s">
        <v>1551</v>
      </c>
      <c r="G1113">
        <v>1</v>
      </c>
      <c r="H1113">
        <v>1</v>
      </c>
      <c r="I1113">
        <v>1</v>
      </c>
      <c r="J1113">
        <v>2</v>
      </c>
      <c r="K1113">
        <v>1</v>
      </c>
      <c r="L1113">
        <v>0</v>
      </c>
      <c r="M1113" t="s">
        <v>333</v>
      </c>
      <c r="N1113" t="s">
        <v>336</v>
      </c>
    </row>
    <row r="1114" spans="1:14" x14ac:dyDescent="0.3">
      <c r="A1114">
        <v>389</v>
      </c>
      <c r="B1114" t="s">
        <v>323</v>
      </c>
      <c r="C1114">
        <v>218</v>
      </c>
      <c r="D1114" t="s">
        <v>236</v>
      </c>
      <c r="E1114">
        <v>1854</v>
      </c>
      <c r="F1114" t="s">
        <v>1552</v>
      </c>
      <c r="G1114">
        <v>0</v>
      </c>
      <c r="H1114">
        <v>0</v>
      </c>
      <c r="I1114">
        <v>0</v>
      </c>
      <c r="J1114">
        <v>0</v>
      </c>
      <c r="K1114">
        <v>0</v>
      </c>
      <c r="L1114">
        <v>0</v>
      </c>
      <c r="M1114" t="s">
        <v>566</v>
      </c>
      <c r="N1114" t="s">
        <v>336</v>
      </c>
    </row>
    <row r="1115" spans="1:14" x14ac:dyDescent="0.3">
      <c r="A1115">
        <v>392</v>
      </c>
      <c r="B1115" t="s">
        <v>323</v>
      </c>
      <c r="C1115">
        <v>221</v>
      </c>
      <c r="D1115" t="s">
        <v>242</v>
      </c>
      <c r="E1115">
        <v>1134</v>
      </c>
      <c r="F1115" t="s">
        <v>1085</v>
      </c>
      <c r="G1115">
        <v>0</v>
      </c>
      <c r="H1115">
        <v>0</v>
      </c>
      <c r="I1115">
        <v>0</v>
      </c>
      <c r="J1115">
        <v>0</v>
      </c>
      <c r="K1115">
        <v>0</v>
      </c>
      <c r="L1115">
        <v>10</v>
      </c>
      <c r="M1115" t="s">
        <v>325</v>
      </c>
      <c r="N1115" t="s">
        <v>326</v>
      </c>
    </row>
    <row r="1116" spans="1:14" x14ac:dyDescent="0.3">
      <c r="A1116">
        <v>392</v>
      </c>
      <c r="B1116" t="s">
        <v>323</v>
      </c>
      <c r="C1116">
        <v>221</v>
      </c>
      <c r="D1116" t="s">
        <v>242</v>
      </c>
      <c r="E1116">
        <v>1135</v>
      </c>
      <c r="F1116" t="s">
        <v>1086</v>
      </c>
      <c r="G1116">
        <v>0</v>
      </c>
      <c r="H1116">
        <v>0</v>
      </c>
      <c r="I1116">
        <v>0</v>
      </c>
      <c r="J1116">
        <v>0</v>
      </c>
      <c r="K1116">
        <v>0</v>
      </c>
      <c r="L1116">
        <v>8</v>
      </c>
      <c r="M1116" t="s">
        <v>325</v>
      </c>
      <c r="N1116" t="s">
        <v>326</v>
      </c>
    </row>
    <row r="1117" spans="1:14" x14ac:dyDescent="0.3">
      <c r="A1117">
        <v>392</v>
      </c>
      <c r="B1117" t="s">
        <v>323</v>
      </c>
      <c r="C1117">
        <v>221</v>
      </c>
      <c r="D1117" t="s">
        <v>242</v>
      </c>
      <c r="E1117">
        <v>1136</v>
      </c>
      <c r="F1117" t="s">
        <v>1087</v>
      </c>
      <c r="G1117">
        <v>0</v>
      </c>
      <c r="H1117">
        <v>0</v>
      </c>
      <c r="I1117">
        <v>0</v>
      </c>
      <c r="J1117">
        <v>0</v>
      </c>
      <c r="K1117">
        <v>0</v>
      </c>
      <c r="L1117">
        <v>2</v>
      </c>
      <c r="M1117" t="s">
        <v>325</v>
      </c>
      <c r="N1117" t="s">
        <v>326</v>
      </c>
    </row>
    <row r="1118" spans="1:14" x14ac:dyDescent="0.3">
      <c r="A1118">
        <v>392</v>
      </c>
      <c r="B1118" t="s">
        <v>323</v>
      </c>
      <c r="C1118">
        <v>221</v>
      </c>
      <c r="D1118" t="s">
        <v>242</v>
      </c>
      <c r="E1118">
        <v>1137</v>
      </c>
      <c r="F1118" t="s">
        <v>1088</v>
      </c>
      <c r="G1118">
        <v>0</v>
      </c>
      <c r="H1118">
        <v>0</v>
      </c>
      <c r="I1118">
        <v>0</v>
      </c>
      <c r="J1118">
        <v>0</v>
      </c>
      <c r="K1118">
        <v>0</v>
      </c>
      <c r="L1118">
        <v>15</v>
      </c>
      <c r="M1118" t="s">
        <v>325</v>
      </c>
      <c r="N1118" t="s">
        <v>326</v>
      </c>
    </row>
    <row r="1119" spans="1:14" x14ac:dyDescent="0.3">
      <c r="A1119">
        <v>392</v>
      </c>
      <c r="B1119" t="s">
        <v>323</v>
      </c>
      <c r="C1119">
        <v>221</v>
      </c>
      <c r="D1119" t="s">
        <v>242</v>
      </c>
      <c r="E1119">
        <v>1138</v>
      </c>
      <c r="F1119" t="s">
        <v>505</v>
      </c>
      <c r="G1119">
        <v>0</v>
      </c>
      <c r="H1119">
        <v>0</v>
      </c>
      <c r="I1119">
        <v>0</v>
      </c>
      <c r="J1119">
        <v>0</v>
      </c>
      <c r="K1119">
        <v>0</v>
      </c>
      <c r="L1119">
        <v>5</v>
      </c>
      <c r="M1119" t="s">
        <v>325</v>
      </c>
      <c r="N1119" t="s">
        <v>326</v>
      </c>
    </row>
    <row r="1120" spans="1:14" x14ac:dyDescent="0.3">
      <c r="A1120">
        <v>392</v>
      </c>
      <c r="B1120" t="s">
        <v>323</v>
      </c>
      <c r="C1120">
        <v>221</v>
      </c>
      <c r="D1120" t="s">
        <v>242</v>
      </c>
      <c r="E1120">
        <v>1139</v>
      </c>
      <c r="F1120" t="s">
        <v>1089</v>
      </c>
      <c r="G1120">
        <v>0</v>
      </c>
      <c r="H1120">
        <v>4</v>
      </c>
      <c r="I1120">
        <v>1</v>
      </c>
      <c r="J1120">
        <v>2</v>
      </c>
      <c r="K1120">
        <v>2</v>
      </c>
      <c r="L1120">
        <v>0</v>
      </c>
      <c r="M1120" t="s">
        <v>566</v>
      </c>
      <c r="N1120" t="s">
        <v>336</v>
      </c>
    </row>
    <row r="1121" spans="1:14" x14ac:dyDescent="0.3">
      <c r="A1121">
        <v>392</v>
      </c>
      <c r="B1121" t="s">
        <v>323</v>
      </c>
      <c r="C1121">
        <v>221</v>
      </c>
      <c r="D1121" t="s">
        <v>242</v>
      </c>
      <c r="E1121">
        <v>1140</v>
      </c>
      <c r="F1121" t="s">
        <v>1090</v>
      </c>
      <c r="G1121">
        <v>0</v>
      </c>
      <c r="H1121">
        <v>0</v>
      </c>
      <c r="I1121">
        <v>0</v>
      </c>
      <c r="J1121">
        <v>0</v>
      </c>
      <c r="K1121">
        <v>0</v>
      </c>
      <c r="L1121">
        <v>5</v>
      </c>
      <c r="M1121" t="s">
        <v>410</v>
      </c>
      <c r="N1121" t="s">
        <v>326</v>
      </c>
    </row>
    <row r="1122" spans="1:14" x14ac:dyDescent="0.3">
      <c r="A1122">
        <v>392</v>
      </c>
      <c r="B1122" t="s">
        <v>323</v>
      </c>
      <c r="C1122">
        <v>221</v>
      </c>
      <c r="D1122" t="s">
        <v>242</v>
      </c>
      <c r="E1122">
        <v>1141</v>
      </c>
      <c r="F1122" t="s">
        <v>1091</v>
      </c>
      <c r="G1122">
        <v>0</v>
      </c>
      <c r="H1122">
        <v>0</v>
      </c>
      <c r="I1122">
        <v>0</v>
      </c>
      <c r="J1122">
        <v>0</v>
      </c>
      <c r="K1122">
        <v>0</v>
      </c>
      <c r="L1122">
        <v>4</v>
      </c>
      <c r="M1122" t="s">
        <v>325</v>
      </c>
      <c r="N1122" t="s">
        <v>326</v>
      </c>
    </row>
    <row r="1123" spans="1:14" x14ac:dyDescent="0.3">
      <c r="A1123">
        <v>392</v>
      </c>
      <c r="B1123" t="s">
        <v>323</v>
      </c>
      <c r="C1123">
        <v>221</v>
      </c>
      <c r="D1123" t="s">
        <v>242</v>
      </c>
      <c r="E1123">
        <v>1142</v>
      </c>
      <c r="F1123" t="s">
        <v>1092</v>
      </c>
      <c r="G1123">
        <v>0</v>
      </c>
      <c r="H1123">
        <v>0</v>
      </c>
      <c r="I1123">
        <v>0</v>
      </c>
      <c r="J1123">
        <v>0</v>
      </c>
      <c r="K1123">
        <v>0</v>
      </c>
      <c r="L1123">
        <v>5</v>
      </c>
      <c r="M1123" t="s">
        <v>325</v>
      </c>
      <c r="N1123" t="s">
        <v>326</v>
      </c>
    </row>
    <row r="1124" spans="1:14" x14ac:dyDescent="0.3">
      <c r="A1124">
        <v>392</v>
      </c>
      <c r="B1124" t="s">
        <v>323</v>
      </c>
      <c r="C1124">
        <v>221</v>
      </c>
      <c r="D1124" t="s">
        <v>242</v>
      </c>
      <c r="E1124">
        <v>1640</v>
      </c>
      <c r="F1124" t="s">
        <v>1093</v>
      </c>
      <c r="G1124">
        <v>0</v>
      </c>
      <c r="H1124">
        <v>0</v>
      </c>
      <c r="I1124">
        <v>0</v>
      </c>
      <c r="J1124">
        <v>0</v>
      </c>
      <c r="K1124">
        <v>0</v>
      </c>
      <c r="L1124">
        <v>4</v>
      </c>
      <c r="M1124" t="s">
        <v>325</v>
      </c>
      <c r="N1124" t="s">
        <v>326</v>
      </c>
    </row>
    <row r="1125" spans="1:14" x14ac:dyDescent="0.3">
      <c r="A1125">
        <v>392</v>
      </c>
      <c r="B1125" t="s">
        <v>323</v>
      </c>
      <c r="C1125">
        <v>221</v>
      </c>
      <c r="D1125" t="s">
        <v>242</v>
      </c>
      <c r="E1125">
        <v>1641</v>
      </c>
      <c r="F1125" t="s">
        <v>1094</v>
      </c>
      <c r="G1125">
        <v>0</v>
      </c>
      <c r="H1125">
        <v>0</v>
      </c>
      <c r="I1125">
        <v>0</v>
      </c>
      <c r="J1125">
        <v>0</v>
      </c>
      <c r="K1125">
        <v>0</v>
      </c>
      <c r="L1125">
        <v>0</v>
      </c>
      <c r="M1125" t="s">
        <v>325</v>
      </c>
      <c r="N1125" t="s">
        <v>326</v>
      </c>
    </row>
    <row r="1126" spans="1:14" x14ac:dyDescent="0.3">
      <c r="A1126">
        <v>392</v>
      </c>
      <c r="B1126" t="s">
        <v>323</v>
      </c>
      <c r="C1126">
        <v>221</v>
      </c>
      <c r="D1126" t="s">
        <v>242</v>
      </c>
      <c r="E1126">
        <v>1642</v>
      </c>
      <c r="F1126" t="s">
        <v>376</v>
      </c>
      <c r="G1126">
        <v>0</v>
      </c>
      <c r="H1126">
        <v>0</v>
      </c>
      <c r="I1126">
        <v>0</v>
      </c>
      <c r="J1126">
        <v>0</v>
      </c>
      <c r="K1126">
        <v>0</v>
      </c>
      <c r="L1126">
        <v>5</v>
      </c>
      <c r="M1126" t="s">
        <v>325</v>
      </c>
      <c r="N1126" t="s">
        <v>326</v>
      </c>
    </row>
    <row r="1127" spans="1:14" x14ac:dyDescent="0.3">
      <c r="A1127">
        <v>392</v>
      </c>
      <c r="B1127" t="s">
        <v>323</v>
      </c>
      <c r="C1127">
        <v>221</v>
      </c>
      <c r="D1127" t="s">
        <v>242</v>
      </c>
      <c r="E1127">
        <v>1643</v>
      </c>
      <c r="F1127" t="s">
        <v>363</v>
      </c>
      <c r="G1127">
        <v>0</v>
      </c>
      <c r="H1127">
        <v>0</v>
      </c>
      <c r="I1127">
        <v>0</v>
      </c>
      <c r="J1127">
        <v>0</v>
      </c>
      <c r="K1127">
        <v>0</v>
      </c>
      <c r="L1127">
        <v>7</v>
      </c>
      <c r="M1127" t="s">
        <v>410</v>
      </c>
      <c r="N1127" t="s">
        <v>336</v>
      </c>
    </row>
    <row r="1128" spans="1:14" x14ac:dyDescent="0.3">
      <c r="A1128">
        <v>392</v>
      </c>
      <c r="B1128" t="s">
        <v>323</v>
      </c>
      <c r="C1128">
        <v>221</v>
      </c>
      <c r="D1128" t="s">
        <v>242</v>
      </c>
      <c r="E1128">
        <v>1644</v>
      </c>
      <c r="F1128" t="s">
        <v>1095</v>
      </c>
      <c r="G1128">
        <v>0</v>
      </c>
      <c r="H1128">
        <v>0</v>
      </c>
      <c r="I1128">
        <v>0</v>
      </c>
      <c r="J1128">
        <v>0</v>
      </c>
      <c r="K1128">
        <v>0</v>
      </c>
      <c r="L1128">
        <v>3</v>
      </c>
      <c r="M1128" t="s">
        <v>325</v>
      </c>
      <c r="N1128" t="s">
        <v>326</v>
      </c>
    </row>
    <row r="1129" spans="1:14" x14ac:dyDescent="0.3">
      <c r="A1129">
        <v>392</v>
      </c>
      <c r="B1129" t="s">
        <v>323</v>
      </c>
      <c r="C1129">
        <v>221</v>
      </c>
      <c r="D1129" t="s">
        <v>242</v>
      </c>
      <c r="E1129">
        <v>1645</v>
      </c>
      <c r="F1129" t="s">
        <v>1096</v>
      </c>
      <c r="G1129">
        <v>0</v>
      </c>
      <c r="H1129">
        <v>0</v>
      </c>
      <c r="I1129">
        <v>0</v>
      </c>
      <c r="J1129">
        <v>0</v>
      </c>
      <c r="K1129">
        <v>0</v>
      </c>
      <c r="L1129">
        <v>11</v>
      </c>
      <c r="M1129" t="s">
        <v>325</v>
      </c>
      <c r="N1129" t="s">
        <v>326</v>
      </c>
    </row>
    <row r="1130" spans="1:14" x14ac:dyDescent="0.3">
      <c r="A1130">
        <v>392</v>
      </c>
      <c r="B1130" t="s">
        <v>323</v>
      </c>
      <c r="C1130">
        <v>221</v>
      </c>
      <c r="D1130" t="s">
        <v>242</v>
      </c>
      <c r="E1130">
        <v>1837</v>
      </c>
      <c r="F1130" t="s">
        <v>363</v>
      </c>
      <c r="G1130">
        <v>0</v>
      </c>
      <c r="H1130">
        <v>0</v>
      </c>
      <c r="I1130">
        <v>0</v>
      </c>
      <c r="J1130">
        <v>0</v>
      </c>
      <c r="K1130">
        <v>0</v>
      </c>
      <c r="L1130">
        <v>7</v>
      </c>
      <c r="M1130" t="s">
        <v>325</v>
      </c>
      <c r="N1130" t="s">
        <v>336</v>
      </c>
    </row>
    <row r="1131" spans="1:14" x14ac:dyDescent="0.3">
      <c r="A1131">
        <v>393</v>
      </c>
      <c r="B1131" t="s">
        <v>323</v>
      </c>
      <c r="C1131">
        <v>222</v>
      </c>
      <c r="D1131" t="s">
        <v>244</v>
      </c>
      <c r="E1131">
        <v>1493</v>
      </c>
      <c r="F1131" t="s">
        <v>1097</v>
      </c>
      <c r="G1131">
        <v>0</v>
      </c>
      <c r="H1131">
        <v>0</v>
      </c>
      <c r="I1131">
        <v>0</v>
      </c>
      <c r="J1131">
        <v>4</v>
      </c>
      <c r="K1131">
        <v>0</v>
      </c>
      <c r="L1131">
        <v>0</v>
      </c>
      <c r="M1131" t="s">
        <v>566</v>
      </c>
      <c r="N1131" t="s">
        <v>326</v>
      </c>
    </row>
    <row r="1132" spans="1:14" x14ac:dyDescent="0.3">
      <c r="A1132">
        <v>393</v>
      </c>
      <c r="B1132" t="s">
        <v>323</v>
      </c>
      <c r="C1132">
        <v>222</v>
      </c>
      <c r="D1132" t="s">
        <v>244</v>
      </c>
      <c r="E1132">
        <v>1495</v>
      </c>
      <c r="F1132" t="s">
        <v>1098</v>
      </c>
      <c r="G1132">
        <v>1</v>
      </c>
      <c r="H1132">
        <v>3</v>
      </c>
      <c r="I1132">
        <v>5</v>
      </c>
      <c r="J1132">
        <v>3</v>
      </c>
      <c r="K1132">
        <v>0</v>
      </c>
      <c r="L1132">
        <v>2</v>
      </c>
      <c r="M1132" t="s">
        <v>566</v>
      </c>
      <c r="N1132" t="s">
        <v>326</v>
      </c>
    </row>
    <row r="1133" spans="1:14" x14ac:dyDescent="0.3">
      <c r="A1133">
        <v>393</v>
      </c>
      <c r="B1133" t="s">
        <v>323</v>
      </c>
      <c r="C1133">
        <v>222</v>
      </c>
      <c r="D1133" t="s">
        <v>244</v>
      </c>
      <c r="E1133">
        <v>1496</v>
      </c>
      <c r="F1133" t="s">
        <v>1099</v>
      </c>
      <c r="G1133">
        <v>0</v>
      </c>
      <c r="H1133">
        <v>0</v>
      </c>
      <c r="I1133">
        <v>1</v>
      </c>
      <c r="J1133">
        <v>3</v>
      </c>
      <c r="K1133">
        <v>0</v>
      </c>
      <c r="L1133">
        <v>0</v>
      </c>
      <c r="M1133" t="s">
        <v>566</v>
      </c>
      <c r="N1133" t="s">
        <v>326</v>
      </c>
    </row>
    <row r="1134" spans="1:14" x14ac:dyDescent="0.3">
      <c r="A1134">
        <v>397</v>
      </c>
      <c r="B1134" t="s">
        <v>313</v>
      </c>
      <c r="C1134">
        <v>226</v>
      </c>
      <c r="D1134" t="s">
        <v>252</v>
      </c>
      <c r="E1134">
        <v>523</v>
      </c>
      <c r="F1134" t="s">
        <v>393</v>
      </c>
    </row>
    <row r="1135" spans="1:14" x14ac:dyDescent="0.3">
      <c r="A1135">
        <v>398</v>
      </c>
      <c r="B1135" t="s">
        <v>323</v>
      </c>
      <c r="C1135">
        <v>227</v>
      </c>
      <c r="D1135" t="s">
        <v>254</v>
      </c>
      <c r="E1135">
        <v>1630</v>
      </c>
      <c r="F1135" t="s">
        <v>1100</v>
      </c>
      <c r="G1135">
        <v>0</v>
      </c>
      <c r="H1135">
        <v>0</v>
      </c>
      <c r="I1135">
        <v>2</v>
      </c>
      <c r="J1135">
        <v>1</v>
      </c>
      <c r="K1135">
        <v>0</v>
      </c>
      <c r="L1135">
        <v>0</v>
      </c>
      <c r="M1135" t="s">
        <v>333</v>
      </c>
      <c r="N1135" t="s">
        <v>329</v>
      </c>
    </row>
    <row r="1136" spans="1:14" x14ac:dyDescent="0.3">
      <c r="A1136">
        <v>398</v>
      </c>
      <c r="B1136" t="s">
        <v>323</v>
      </c>
      <c r="C1136">
        <v>227</v>
      </c>
      <c r="D1136" t="s">
        <v>254</v>
      </c>
      <c r="E1136">
        <v>1631</v>
      </c>
      <c r="F1136" t="s">
        <v>1101</v>
      </c>
      <c r="G1136">
        <v>1</v>
      </c>
      <c r="H1136">
        <v>0</v>
      </c>
      <c r="I1136">
        <v>0</v>
      </c>
      <c r="J1136">
        <v>1</v>
      </c>
      <c r="K1136">
        <v>0</v>
      </c>
      <c r="L1136">
        <v>0</v>
      </c>
      <c r="M1136" t="s">
        <v>333</v>
      </c>
      <c r="N1136" t="s">
        <v>326</v>
      </c>
    </row>
    <row r="1137" spans="1:14" x14ac:dyDescent="0.3">
      <c r="A1137">
        <v>398</v>
      </c>
      <c r="B1137" t="s">
        <v>323</v>
      </c>
      <c r="C1137">
        <v>227</v>
      </c>
      <c r="D1137" t="s">
        <v>254</v>
      </c>
      <c r="E1137">
        <v>1632</v>
      </c>
      <c r="F1137" t="s">
        <v>498</v>
      </c>
      <c r="G1137">
        <v>0</v>
      </c>
      <c r="H1137">
        <v>0</v>
      </c>
      <c r="I1137">
        <v>0</v>
      </c>
      <c r="J1137">
        <v>0</v>
      </c>
      <c r="K1137">
        <v>2</v>
      </c>
      <c r="L1137">
        <v>0</v>
      </c>
      <c r="M1137" t="s">
        <v>333</v>
      </c>
      <c r="N1137" t="s">
        <v>326</v>
      </c>
    </row>
    <row r="1138" spans="1:14" x14ac:dyDescent="0.3">
      <c r="A1138">
        <v>398</v>
      </c>
      <c r="B1138" t="s">
        <v>323</v>
      </c>
      <c r="C1138">
        <v>227</v>
      </c>
      <c r="D1138" t="s">
        <v>254</v>
      </c>
      <c r="E1138">
        <v>1633</v>
      </c>
      <c r="F1138" t="s">
        <v>1102</v>
      </c>
      <c r="G1138">
        <v>0</v>
      </c>
      <c r="H1138">
        <v>1</v>
      </c>
      <c r="I1138">
        <v>0</v>
      </c>
      <c r="J1138">
        <v>1</v>
      </c>
      <c r="K1138">
        <v>0</v>
      </c>
      <c r="L1138">
        <v>0</v>
      </c>
      <c r="M1138" t="s">
        <v>333</v>
      </c>
      <c r="N1138" t="s">
        <v>326</v>
      </c>
    </row>
    <row r="1139" spans="1:14" x14ac:dyDescent="0.3">
      <c r="A1139">
        <v>398</v>
      </c>
      <c r="B1139" t="s">
        <v>323</v>
      </c>
      <c r="C1139">
        <v>227</v>
      </c>
      <c r="D1139" t="s">
        <v>254</v>
      </c>
      <c r="E1139">
        <v>1634</v>
      </c>
      <c r="F1139" t="s">
        <v>1103</v>
      </c>
      <c r="G1139">
        <v>1</v>
      </c>
      <c r="H1139">
        <v>1</v>
      </c>
      <c r="I1139">
        <v>0</v>
      </c>
      <c r="J1139">
        <v>0</v>
      </c>
      <c r="K1139">
        <v>0</v>
      </c>
      <c r="L1139">
        <v>0</v>
      </c>
      <c r="M1139" t="s">
        <v>333</v>
      </c>
      <c r="N1139" t="s">
        <v>326</v>
      </c>
    </row>
    <row r="1140" spans="1:14" x14ac:dyDescent="0.3">
      <c r="A1140">
        <v>400</v>
      </c>
      <c r="B1140" t="s">
        <v>323</v>
      </c>
      <c r="C1140">
        <v>230</v>
      </c>
      <c r="D1140" t="s">
        <v>258</v>
      </c>
      <c r="E1140">
        <v>1318</v>
      </c>
      <c r="F1140" t="s">
        <v>1553</v>
      </c>
      <c r="G1140">
        <v>0</v>
      </c>
      <c r="H1140">
        <v>1</v>
      </c>
      <c r="I1140">
        <v>8</v>
      </c>
      <c r="J1140">
        <v>11</v>
      </c>
      <c r="K1140">
        <v>1</v>
      </c>
      <c r="L1140">
        <v>0</v>
      </c>
      <c r="M1140" t="s">
        <v>566</v>
      </c>
      <c r="N1140" t="s">
        <v>336</v>
      </c>
    </row>
    <row r="1141" spans="1:14" x14ac:dyDescent="0.3">
      <c r="A1141">
        <v>401</v>
      </c>
      <c r="B1141" t="s">
        <v>323</v>
      </c>
      <c r="C1141">
        <v>231</v>
      </c>
      <c r="D1141" t="s">
        <v>260</v>
      </c>
      <c r="E1141">
        <v>1341</v>
      </c>
      <c r="F1141" t="s">
        <v>1104</v>
      </c>
      <c r="G1141">
        <v>0</v>
      </c>
      <c r="H1141">
        <v>0</v>
      </c>
      <c r="I1141">
        <v>0</v>
      </c>
      <c r="J1141">
        <v>0</v>
      </c>
      <c r="K1141">
        <v>0</v>
      </c>
      <c r="L1141">
        <v>0</v>
      </c>
      <c r="M1141" t="s">
        <v>333</v>
      </c>
      <c r="N1141" t="s">
        <v>329</v>
      </c>
    </row>
    <row r="1142" spans="1:14" x14ac:dyDescent="0.3">
      <c r="A1142">
        <v>404</v>
      </c>
      <c r="B1142" t="s">
        <v>323</v>
      </c>
      <c r="C1142">
        <v>234</v>
      </c>
      <c r="D1142" t="s">
        <v>266</v>
      </c>
      <c r="E1142">
        <v>1414</v>
      </c>
      <c r="F1142" t="s">
        <v>1105</v>
      </c>
      <c r="G1142">
        <v>0</v>
      </c>
      <c r="H1142">
        <v>3</v>
      </c>
      <c r="I1142">
        <v>2</v>
      </c>
      <c r="J1142">
        <v>0</v>
      </c>
      <c r="K1142">
        <v>0</v>
      </c>
      <c r="L1142">
        <v>0</v>
      </c>
      <c r="M1142" t="s">
        <v>333</v>
      </c>
      <c r="N1142" t="s">
        <v>336</v>
      </c>
    </row>
    <row r="1143" spans="1:14" x14ac:dyDescent="0.3">
      <c r="A1143">
        <v>404</v>
      </c>
      <c r="B1143" t="s">
        <v>323</v>
      </c>
      <c r="C1143">
        <v>234</v>
      </c>
      <c r="D1143" t="s">
        <v>266</v>
      </c>
      <c r="E1143">
        <v>1917</v>
      </c>
      <c r="F1143" t="s">
        <v>1554</v>
      </c>
      <c r="G1143">
        <v>0</v>
      </c>
      <c r="H1143">
        <v>0</v>
      </c>
      <c r="I1143">
        <v>1</v>
      </c>
      <c r="J1143">
        <v>0</v>
      </c>
      <c r="K1143">
        <v>0</v>
      </c>
      <c r="L1143">
        <v>0</v>
      </c>
      <c r="M1143" t="s">
        <v>325</v>
      </c>
      <c r="N1143" t="s">
        <v>336</v>
      </c>
    </row>
    <row r="1144" spans="1:14" x14ac:dyDescent="0.3">
      <c r="A1144">
        <v>405</v>
      </c>
      <c r="B1144" t="s">
        <v>323</v>
      </c>
      <c r="C1144">
        <v>235</v>
      </c>
      <c r="D1144" t="s">
        <v>268</v>
      </c>
      <c r="E1144">
        <v>1872</v>
      </c>
      <c r="F1144" t="s">
        <v>1555</v>
      </c>
      <c r="G1144">
        <v>0</v>
      </c>
      <c r="H1144">
        <v>1</v>
      </c>
      <c r="I1144">
        <v>6</v>
      </c>
      <c r="J1144">
        <v>1</v>
      </c>
      <c r="K1144">
        <v>1</v>
      </c>
      <c r="L1144">
        <v>0</v>
      </c>
      <c r="M1144" t="s">
        <v>566</v>
      </c>
      <c r="N1144" t="s">
        <v>336</v>
      </c>
    </row>
    <row r="1145" spans="1:14" x14ac:dyDescent="0.3">
      <c r="A1145">
        <v>405</v>
      </c>
      <c r="B1145" t="s">
        <v>323</v>
      </c>
      <c r="C1145">
        <v>235</v>
      </c>
      <c r="D1145" t="s">
        <v>268</v>
      </c>
      <c r="E1145">
        <v>1873</v>
      </c>
      <c r="F1145" t="s">
        <v>1556</v>
      </c>
      <c r="G1145">
        <v>1</v>
      </c>
      <c r="H1145">
        <v>5</v>
      </c>
      <c r="I1145">
        <v>6</v>
      </c>
      <c r="J1145">
        <v>4</v>
      </c>
      <c r="K1145">
        <v>1</v>
      </c>
      <c r="L1145">
        <v>0</v>
      </c>
      <c r="M1145" t="s">
        <v>410</v>
      </c>
      <c r="N1145" t="s">
        <v>336</v>
      </c>
    </row>
    <row r="1146" spans="1:14" x14ac:dyDescent="0.3">
      <c r="A1146">
        <v>407</v>
      </c>
      <c r="B1146" t="s">
        <v>323</v>
      </c>
      <c r="C1146">
        <v>237</v>
      </c>
      <c r="D1146" t="s">
        <v>272</v>
      </c>
      <c r="E1146">
        <v>459</v>
      </c>
      <c r="F1146" t="s">
        <v>393</v>
      </c>
      <c r="G1146">
        <v>0</v>
      </c>
      <c r="H1146">
        <v>0</v>
      </c>
      <c r="I1146">
        <v>2</v>
      </c>
      <c r="J1146">
        <v>0</v>
      </c>
      <c r="K1146">
        <v>1</v>
      </c>
      <c r="L1146">
        <v>0</v>
      </c>
      <c r="M1146" t="s">
        <v>325</v>
      </c>
      <c r="N1146" t="s">
        <v>326</v>
      </c>
    </row>
    <row r="1147" spans="1:14" x14ac:dyDescent="0.3">
      <c r="A1147">
        <v>407</v>
      </c>
      <c r="B1147" t="s">
        <v>323</v>
      </c>
      <c r="C1147">
        <v>237</v>
      </c>
      <c r="D1147" t="s">
        <v>272</v>
      </c>
      <c r="E1147">
        <v>460</v>
      </c>
      <c r="F1147" t="s">
        <v>1557</v>
      </c>
      <c r="G1147">
        <v>0</v>
      </c>
      <c r="H1147">
        <v>0</v>
      </c>
      <c r="I1147">
        <v>0</v>
      </c>
      <c r="J1147">
        <v>0</v>
      </c>
      <c r="K1147">
        <v>0</v>
      </c>
      <c r="L1147">
        <v>2</v>
      </c>
      <c r="M1147" t="s">
        <v>333</v>
      </c>
      <c r="N1147" t="s">
        <v>326</v>
      </c>
    </row>
    <row r="1148" spans="1:14" x14ac:dyDescent="0.3">
      <c r="A1148">
        <v>407</v>
      </c>
      <c r="B1148" t="s">
        <v>323</v>
      </c>
      <c r="C1148">
        <v>237</v>
      </c>
      <c r="D1148" t="s">
        <v>272</v>
      </c>
      <c r="E1148">
        <v>461</v>
      </c>
      <c r="F1148" t="s">
        <v>1558</v>
      </c>
      <c r="G1148">
        <v>0</v>
      </c>
      <c r="H1148">
        <v>0</v>
      </c>
      <c r="I1148">
        <v>4</v>
      </c>
      <c r="J1148">
        <v>0</v>
      </c>
      <c r="K1148">
        <v>1</v>
      </c>
      <c r="L1148">
        <v>0</v>
      </c>
      <c r="M1148" t="s">
        <v>333</v>
      </c>
      <c r="N1148" t="s">
        <v>326</v>
      </c>
    </row>
    <row r="1149" spans="1:14" x14ac:dyDescent="0.3">
      <c r="A1149">
        <v>407</v>
      </c>
      <c r="B1149" t="s">
        <v>323</v>
      </c>
      <c r="C1149">
        <v>237</v>
      </c>
      <c r="D1149" t="s">
        <v>272</v>
      </c>
      <c r="E1149">
        <v>462</v>
      </c>
      <c r="F1149" t="s">
        <v>1559</v>
      </c>
      <c r="G1149">
        <v>0</v>
      </c>
      <c r="H1149">
        <v>0</v>
      </c>
      <c r="I1149">
        <v>2</v>
      </c>
      <c r="J1149">
        <v>0</v>
      </c>
      <c r="K1149">
        <v>0</v>
      </c>
      <c r="L1149">
        <v>0</v>
      </c>
      <c r="M1149" t="s">
        <v>333</v>
      </c>
      <c r="N1149" t="s">
        <v>326</v>
      </c>
    </row>
    <row r="1150" spans="1:14" x14ac:dyDescent="0.3">
      <c r="A1150">
        <v>409</v>
      </c>
      <c r="B1150" t="s">
        <v>323</v>
      </c>
      <c r="C1150">
        <v>239</v>
      </c>
      <c r="D1150" t="s">
        <v>276</v>
      </c>
      <c r="E1150">
        <v>1129</v>
      </c>
      <c r="F1150" t="s">
        <v>1109</v>
      </c>
      <c r="G1150">
        <v>0</v>
      </c>
      <c r="H1150">
        <v>0</v>
      </c>
      <c r="I1150">
        <v>2</v>
      </c>
      <c r="J1150">
        <v>2</v>
      </c>
      <c r="K1150">
        <v>2</v>
      </c>
      <c r="L1150">
        <v>1</v>
      </c>
      <c r="M1150" t="s">
        <v>325</v>
      </c>
      <c r="N1150" t="s">
        <v>484</v>
      </c>
    </row>
    <row r="1151" spans="1:14" x14ac:dyDescent="0.3">
      <c r="A1151">
        <v>409</v>
      </c>
      <c r="B1151" t="s">
        <v>323</v>
      </c>
      <c r="C1151">
        <v>239</v>
      </c>
      <c r="D1151" t="s">
        <v>276</v>
      </c>
      <c r="E1151">
        <v>1130</v>
      </c>
      <c r="F1151" t="s">
        <v>946</v>
      </c>
      <c r="G1151">
        <v>0</v>
      </c>
      <c r="H1151">
        <v>0</v>
      </c>
      <c r="I1151">
        <v>0</v>
      </c>
      <c r="J1151">
        <v>0</v>
      </c>
      <c r="K1151">
        <v>2</v>
      </c>
      <c r="L1151">
        <v>0</v>
      </c>
      <c r="M1151" t="s">
        <v>333</v>
      </c>
      <c r="N1151" t="s">
        <v>326</v>
      </c>
    </row>
    <row r="1152" spans="1:14" x14ac:dyDescent="0.3">
      <c r="A1152">
        <v>409</v>
      </c>
      <c r="B1152" t="s">
        <v>323</v>
      </c>
      <c r="C1152">
        <v>239</v>
      </c>
      <c r="D1152" t="s">
        <v>276</v>
      </c>
      <c r="E1152">
        <v>1131</v>
      </c>
      <c r="F1152" t="s">
        <v>1110</v>
      </c>
      <c r="G1152">
        <v>0</v>
      </c>
      <c r="H1152">
        <v>0</v>
      </c>
      <c r="I1152">
        <v>3</v>
      </c>
      <c r="J1152">
        <v>1</v>
      </c>
      <c r="K1152">
        <v>0</v>
      </c>
      <c r="L1152">
        <v>0</v>
      </c>
      <c r="M1152" t="s">
        <v>333</v>
      </c>
      <c r="N1152" t="s">
        <v>348</v>
      </c>
    </row>
    <row r="1153" spans="1:14" x14ac:dyDescent="0.3">
      <c r="A1153">
        <v>409</v>
      </c>
      <c r="B1153" t="s">
        <v>323</v>
      </c>
      <c r="C1153">
        <v>239</v>
      </c>
      <c r="D1153" t="s">
        <v>276</v>
      </c>
      <c r="E1153">
        <v>1132</v>
      </c>
      <c r="F1153" t="s">
        <v>1111</v>
      </c>
      <c r="G1153">
        <v>0</v>
      </c>
      <c r="H1153">
        <v>0</v>
      </c>
      <c r="I1153">
        <v>4</v>
      </c>
      <c r="J1153">
        <v>0</v>
      </c>
      <c r="K1153">
        <v>0</v>
      </c>
      <c r="L1153">
        <v>0</v>
      </c>
      <c r="M1153" t="s">
        <v>325</v>
      </c>
      <c r="N1153" t="s">
        <v>329</v>
      </c>
    </row>
    <row r="1154" spans="1:14" x14ac:dyDescent="0.3">
      <c r="A1154">
        <v>409</v>
      </c>
      <c r="B1154" t="s">
        <v>323</v>
      </c>
      <c r="C1154">
        <v>239</v>
      </c>
      <c r="D1154" t="s">
        <v>276</v>
      </c>
      <c r="E1154">
        <v>1133</v>
      </c>
      <c r="F1154" t="s">
        <v>353</v>
      </c>
      <c r="G1154">
        <v>0</v>
      </c>
      <c r="H1154">
        <v>0</v>
      </c>
      <c r="I1154">
        <v>1</v>
      </c>
      <c r="J1154">
        <v>2</v>
      </c>
      <c r="K1154">
        <v>0</v>
      </c>
      <c r="L1154">
        <v>0</v>
      </c>
      <c r="M1154" t="s">
        <v>333</v>
      </c>
      <c r="N1154" t="s">
        <v>326</v>
      </c>
    </row>
    <row r="1155" spans="1:14" x14ac:dyDescent="0.3">
      <c r="A1155">
        <v>409</v>
      </c>
      <c r="B1155" t="s">
        <v>323</v>
      </c>
      <c r="C1155">
        <v>239</v>
      </c>
      <c r="D1155" t="s">
        <v>276</v>
      </c>
      <c r="E1155">
        <v>1524</v>
      </c>
      <c r="F1155" t="s">
        <v>1112</v>
      </c>
      <c r="G1155">
        <v>0</v>
      </c>
      <c r="H1155">
        <v>0</v>
      </c>
      <c r="I1155">
        <v>3</v>
      </c>
      <c r="J1155">
        <v>1</v>
      </c>
      <c r="K1155">
        <v>0</v>
      </c>
      <c r="L1155">
        <v>0</v>
      </c>
      <c r="M1155" t="s">
        <v>325</v>
      </c>
      <c r="N1155" t="s">
        <v>348</v>
      </c>
    </row>
    <row r="1156" spans="1:14" x14ac:dyDescent="0.3">
      <c r="A1156">
        <v>409</v>
      </c>
      <c r="B1156" t="s">
        <v>323</v>
      </c>
      <c r="C1156">
        <v>239</v>
      </c>
      <c r="D1156" t="s">
        <v>276</v>
      </c>
      <c r="E1156">
        <v>1779</v>
      </c>
      <c r="F1156" t="s">
        <v>1560</v>
      </c>
      <c r="G1156">
        <v>0</v>
      </c>
      <c r="H1156">
        <v>0</v>
      </c>
      <c r="I1156">
        <v>3</v>
      </c>
      <c r="J1156">
        <v>2</v>
      </c>
      <c r="K1156">
        <v>0</v>
      </c>
      <c r="L1156">
        <v>0</v>
      </c>
      <c r="M1156" t="s">
        <v>333</v>
      </c>
      <c r="N1156" t="s">
        <v>326</v>
      </c>
    </row>
    <row r="1157" spans="1:14" x14ac:dyDescent="0.3">
      <c r="A1157">
        <v>413</v>
      </c>
      <c r="B1157" t="s">
        <v>323</v>
      </c>
      <c r="C1157">
        <v>243</v>
      </c>
      <c r="D1157" t="s">
        <v>284</v>
      </c>
      <c r="E1157">
        <v>1844</v>
      </c>
      <c r="F1157" t="s">
        <v>1561</v>
      </c>
      <c r="G1157">
        <v>0</v>
      </c>
      <c r="H1157">
        <v>2</v>
      </c>
      <c r="I1157">
        <v>3</v>
      </c>
      <c r="J1157">
        <v>2</v>
      </c>
      <c r="K1157">
        <v>0</v>
      </c>
      <c r="L1157">
        <v>0</v>
      </c>
      <c r="M1157" t="s">
        <v>410</v>
      </c>
      <c r="N1157" t="s">
        <v>336</v>
      </c>
    </row>
    <row r="1158" spans="1:14" x14ac:dyDescent="0.3">
      <c r="A1158">
        <v>413</v>
      </c>
      <c r="B1158" t="s">
        <v>323</v>
      </c>
      <c r="C1158">
        <v>243</v>
      </c>
      <c r="D1158" t="s">
        <v>284</v>
      </c>
      <c r="E1158">
        <v>1845</v>
      </c>
      <c r="F1158" t="s">
        <v>1562</v>
      </c>
      <c r="G1158">
        <v>8</v>
      </c>
      <c r="H1158">
        <v>12</v>
      </c>
      <c r="I1158">
        <v>8</v>
      </c>
      <c r="J1158">
        <v>6</v>
      </c>
      <c r="K1158">
        <v>6</v>
      </c>
      <c r="L1158">
        <v>3</v>
      </c>
      <c r="M1158" t="s">
        <v>333</v>
      </c>
      <c r="N1158" t="s">
        <v>326</v>
      </c>
    </row>
    <row r="1159" spans="1:14" x14ac:dyDescent="0.3">
      <c r="A1159">
        <v>413</v>
      </c>
      <c r="B1159" t="s">
        <v>323</v>
      </c>
      <c r="C1159">
        <v>243</v>
      </c>
      <c r="D1159" t="s">
        <v>284</v>
      </c>
      <c r="E1159">
        <v>1846</v>
      </c>
      <c r="F1159" t="s">
        <v>1563</v>
      </c>
      <c r="G1159">
        <v>0</v>
      </c>
      <c r="H1159">
        <v>1</v>
      </c>
      <c r="I1159">
        <v>4</v>
      </c>
      <c r="J1159">
        <v>1</v>
      </c>
      <c r="K1159">
        <v>2</v>
      </c>
      <c r="L1159">
        <v>0</v>
      </c>
      <c r="M1159" t="s">
        <v>333</v>
      </c>
      <c r="N1159" t="s">
        <v>326</v>
      </c>
    </row>
    <row r="1160" spans="1:14" x14ac:dyDescent="0.3">
      <c r="A1160">
        <v>414</v>
      </c>
      <c r="B1160" t="s">
        <v>323</v>
      </c>
      <c r="C1160">
        <v>244</v>
      </c>
      <c r="D1160" t="s">
        <v>286</v>
      </c>
      <c r="E1160">
        <v>1769</v>
      </c>
      <c r="F1160" t="s">
        <v>972</v>
      </c>
      <c r="G1160">
        <v>0</v>
      </c>
      <c r="H1160">
        <v>3</v>
      </c>
      <c r="I1160">
        <v>3</v>
      </c>
      <c r="J1160">
        <v>0</v>
      </c>
      <c r="K1160">
        <v>0</v>
      </c>
      <c r="L1160">
        <v>0</v>
      </c>
      <c r="M1160" t="s">
        <v>416</v>
      </c>
      <c r="N1160" t="s">
        <v>336</v>
      </c>
    </row>
    <row r="1161" spans="1:14" x14ac:dyDescent="0.3">
      <c r="A1161">
        <v>414</v>
      </c>
      <c r="B1161" t="s">
        <v>323</v>
      </c>
      <c r="C1161">
        <v>244</v>
      </c>
      <c r="D1161" t="s">
        <v>286</v>
      </c>
      <c r="E1161">
        <v>1770</v>
      </c>
      <c r="F1161" t="s">
        <v>381</v>
      </c>
      <c r="G1161">
        <v>0</v>
      </c>
      <c r="H1161">
        <v>0</v>
      </c>
      <c r="I1161">
        <v>2</v>
      </c>
      <c r="J1161">
        <v>2</v>
      </c>
      <c r="K1161">
        <v>3</v>
      </c>
      <c r="L1161">
        <v>0</v>
      </c>
      <c r="M1161" t="s">
        <v>333</v>
      </c>
      <c r="N1161" t="s">
        <v>336</v>
      </c>
    </row>
    <row r="1162" spans="1:14" x14ac:dyDescent="0.3">
      <c r="A1162">
        <v>414</v>
      </c>
      <c r="B1162" t="s">
        <v>323</v>
      </c>
      <c r="C1162">
        <v>244</v>
      </c>
      <c r="D1162" t="s">
        <v>286</v>
      </c>
      <c r="E1162">
        <v>1771</v>
      </c>
      <c r="F1162" t="s">
        <v>447</v>
      </c>
      <c r="G1162">
        <v>0</v>
      </c>
      <c r="H1162">
        <v>0</v>
      </c>
      <c r="I1162">
        <v>0</v>
      </c>
      <c r="J1162">
        <v>0</v>
      </c>
      <c r="K1162">
        <v>5</v>
      </c>
      <c r="L1162">
        <v>0</v>
      </c>
      <c r="M1162" t="s">
        <v>325</v>
      </c>
      <c r="N1162" t="s">
        <v>326</v>
      </c>
    </row>
    <row r="1163" spans="1:14" x14ac:dyDescent="0.3">
      <c r="A1163">
        <v>414</v>
      </c>
      <c r="B1163" t="s">
        <v>323</v>
      </c>
      <c r="C1163">
        <v>244</v>
      </c>
      <c r="D1163" t="s">
        <v>286</v>
      </c>
      <c r="E1163">
        <v>1772</v>
      </c>
      <c r="F1163" t="s">
        <v>468</v>
      </c>
      <c r="G1163">
        <v>0</v>
      </c>
      <c r="H1163">
        <v>0</v>
      </c>
      <c r="I1163">
        <v>1</v>
      </c>
      <c r="J1163">
        <v>1</v>
      </c>
      <c r="K1163">
        <v>4</v>
      </c>
      <c r="L1163">
        <v>0</v>
      </c>
      <c r="M1163" t="s">
        <v>333</v>
      </c>
      <c r="N1163" t="s">
        <v>336</v>
      </c>
    </row>
    <row r="1164" spans="1:14" x14ac:dyDescent="0.3">
      <c r="A1164">
        <v>414</v>
      </c>
      <c r="B1164" t="s">
        <v>323</v>
      </c>
      <c r="C1164">
        <v>244</v>
      </c>
      <c r="D1164" t="s">
        <v>286</v>
      </c>
      <c r="E1164">
        <v>1773</v>
      </c>
      <c r="F1164" t="s">
        <v>1564</v>
      </c>
      <c r="G1164">
        <v>0</v>
      </c>
      <c r="H1164">
        <v>0</v>
      </c>
      <c r="I1164">
        <v>2</v>
      </c>
      <c r="J1164">
        <v>3</v>
      </c>
      <c r="K1164">
        <v>5</v>
      </c>
      <c r="L1164">
        <v>0</v>
      </c>
      <c r="M1164" t="s">
        <v>333</v>
      </c>
      <c r="N1164" t="s">
        <v>326</v>
      </c>
    </row>
    <row r="1165" spans="1:14" x14ac:dyDescent="0.3">
      <c r="A1165">
        <v>417</v>
      </c>
      <c r="B1165" t="s">
        <v>323</v>
      </c>
      <c r="C1165">
        <v>247</v>
      </c>
      <c r="D1165" t="s">
        <v>292</v>
      </c>
      <c r="E1165">
        <v>1408</v>
      </c>
      <c r="F1165" t="s">
        <v>376</v>
      </c>
      <c r="G1165">
        <v>0</v>
      </c>
      <c r="H1165">
        <v>0</v>
      </c>
      <c r="I1165">
        <v>1</v>
      </c>
      <c r="J1165">
        <v>1</v>
      </c>
      <c r="K1165">
        <v>3</v>
      </c>
      <c r="L1165">
        <v>0</v>
      </c>
      <c r="M1165" t="s">
        <v>333</v>
      </c>
      <c r="N1165" t="s">
        <v>326</v>
      </c>
    </row>
    <row r="1166" spans="1:14" x14ac:dyDescent="0.3">
      <c r="A1166">
        <v>417</v>
      </c>
      <c r="B1166" t="s">
        <v>323</v>
      </c>
      <c r="C1166">
        <v>247</v>
      </c>
      <c r="D1166" t="s">
        <v>292</v>
      </c>
      <c r="E1166">
        <v>1409</v>
      </c>
      <c r="F1166" t="s">
        <v>1113</v>
      </c>
      <c r="G1166">
        <v>0</v>
      </c>
      <c r="H1166">
        <v>0</v>
      </c>
      <c r="I1166">
        <v>1</v>
      </c>
      <c r="J1166">
        <v>1</v>
      </c>
      <c r="K1166">
        <v>0</v>
      </c>
      <c r="L1166">
        <v>0</v>
      </c>
      <c r="M1166" t="s">
        <v>333</v>
      </c>
      <c r="N1166" t="s">
        <v>348</v>
      </c>
    </row>
    <row r="1167" spans="1:14" x14ac:dyDescent="0.3">
      <c r="A1167">
        <v>417</v>
      </c>
      <c r="B1167" t="s">
        <v>323</v>
      </c>
      <c r="C1167">
        <v>247</v>
      </c>
      <c r="D1167" t="s">
        <v>292</v>
      </c>
      <c r="E1167">
        <v>1410</v>
      </c>
      <c r="F1167" t="s">
        <v>640</v>
      </c>
      <c r="G1167">
        <v>0</v>
      </c>
      <c r="H1167">
        <v>0</v>
      </c>
      <c r="I1167">
        <v>0</v>
      </c>
      <c r="J1167">
        <v>0</v>
      </c>
      <c r="K1167">
        <v>0</v>
      </c>
      <c r="L1167">
        <v>4</v>
      </c>
      <c r="M1167" t="s">
        <v>333</v>
      </c>
      <c r="N1167" t="s">
        <v>326</v>
      </c>
    </row>
    <row r="1168" spans="1:14" x14ac:dyDescent="0.3">
      <c r="A1168">
        <v>419</v>
      </c>
      <c r="B1168" t="s">
        <v>323</v>
      </c>
      <c r="C1168">
        <v>249</v>
      </c>
      <c r="D1168" t="s">
        <v>296</v>
      </c>
      <c r="E1168">
        <v>1411</v>
      </c>
      <c r="F1168" t="s">
        <v>315</v>
      </c>
      <c r="G1168">
        <v>0</v>
      </c>
      <c r="H1168">
        <v>1</v>
      </c>
      <c r="I1168">
        <v>2</v>
      </c>
      <c r="J1168">
        <v>0</v>
      </c>
      <c r="K1168">
        <v>0</v>
      </c>
      <c r="L1168">
        <v>0</v>
      </c>
      <c r="M1168" t="s">
        <v>333</v>
      </c>
      <c r="N1168" t="s">
        <v>329</v>
      </c>
    </row>
    <row r="1169" spans="1:14" x14ac:dyDescent="0.3">
      <c r="A1169">
        <v>419</v>
      </c>
      <c r="B1169" t="s">
        <v>323</v>
      </c>
      <c r="C1169">
        <v>249</v>
      </c>
      <c r="D1169" t="s">
        <v>296</v>
      </c>
      <c r="E1169">
        <v>1412</v>
      </c>
      <c r="F1169" t="s">
        <v>1114</v>
      </c>
      <c r="G1169">
        <v>3</v>
      </c>
      <c r="H1169">
        <v>0</v>
      </c>
      <c r="I1169">
        <v>0</v>
      </c>
      <c r="J1169">
        <v>0</v>
      </c>
      <c r="K1169">
        <v>0</v>
      </c>
      <c r="L1169">
        <v>0</v>
      </c>
      <c r="M1169" t="s">
        <v>333</v>
      </c>
      <c r="N1169" t="s">
        <v>329</v>
      </c>
    </row>
    <row r="1170" spans="1:14" x14ac:dyDescent="0.3">
      <c r="A1170">
        <v>419</v>
      </c>
      <c r="B1170" t="s">
        <v>323</v>
      </c>
      <c r="C1170">
        <v>249</v>
      </c>
      <c r="D1170" t="s">
        <v>296</v>
      </c>
      <c r="E1170">
        <v>1413</v>
      </c>
      <c r="F1170" t="s">
        <v>1115</v>
      </c>
      <c r="G1170">
        <v>2</v>
      </c>
      <c r="H1170">
        <v>0</v>
      </c>
      <c r="I1170">
        <v>0</v>
      </c>
      <c r="J1170">
        <v>0</v>
      </c>
      <c r="K1170">
        <v>0</v>
      </c>
      <c r="L1170">
        <v>0</v>
      </c>
      <c r="M1170" t="s">
        <v>333</v>
      </c>
      <c r="N1170" t="s">
        <v>329</v>
      </c>
    </row>
    <row r="1171" spans="1:14" x14ac:dyDescent="0.3">
      <c r="A1171">
        <v>421</v>
      </c>
      <c r="B1171" t="s">
        <v>323</v>
      </c>
      <c r="C1171">
        <v>252</v>
      </c>
      <c r="D1171" t="s">
        <v>1200</v>
      </c>
      <c r="E1171">
        <v>1794</v>
      </c>
      <c r="F1171" t="s">
        <v>1565</v>
      </c>
      <c r="G1171">
        <v>0</v>
      </c>
      <c r="H1171">
        <v>0</v>
      </c>
      <c r="I1171">
        <v>3</v>
      </c>
      <c r="J1171">
        <v>1</v>
      </c>
      <c r="K1171">
        <v>0</v>
      </c>
      <c r="L1171">
        <v>0</v>
      </c>
      <c r="M1171" t="s">
        <v>325</v>
      </c>
      <c r="N1171" t="s">
        <v>336</v>
      </c>
    </row>
    <row r="1172" spans="1:14" x14ac:dyDescent="0.3">
      <c r="A1172">
        <v>421</v>
      </c>
      <c r="B1172" t="s">
        <v>323</v>
      </c>
      <c r="C1172">
        <v>252</v>
      </c>
      <c r="D1172" t="s">
        <v>1200</v>
      </c>
      <c r="E1172">
        <v>1795</v>
      </c>
      <c r="F1172" t="s">
        <v>1566</v>
      </c>
      <c r="G1172">
        <v>0</v>
      </c>
      <c r="H1172">
        <v>0</v>
      </c>
      <c r="I1172">
        <v>1</v>
      </c>
      <c r="J1172">
        <v>1</v>
      </c>
      <c r="K1172">
        <v>0</v>
      </c>
      <c r="L1172">
        <v>0</v>
      </c>
      <c r="M1172" t="s">
        <v>333</v>
      </c>
      <c r="N1172" t="s">
        <v>329</v>
      </c>
    </row>
    <row r="1173" spans="1:14" x14ac:dyDescent="0.3">
      <c r="A1173">
        <v>421</v>
      </c>
      <c r="B1173" t="s">
        <v>323</v>
      </c>
      <c r="C1173">
        <v>252</v>
      </c>
      <c r="D1173" t="s">
        <v>1200</v>
      </c>
      <c r="E1173">
        <v>1796</v>
      </c>
      <c r="F1173" t="s">
        <v>1567</v>
      </c>
      <c r="G1173">
        <v>0</v>
      </c>
      <c r="H1173">
        <v>0</v>
      </c>
      <c r="I1173">
        <v>1</v>
      </c>
      <c r="J1173">
        <v>0</v>
      </c>
      <c r="K1173">
        <v>0</v>
      </c>
      <c r="L1173">
        <v>0</v>
      </c>
      <c r="M1173" t="s">
        <v>325</v>
      </c>
      <c r="N1173" t="s">
        <v>343</v>
      </c>
    </row>
    <row r="1174" spans="1:14" x14ac:dyDescent="0.3">
      <c r="A1174">
        <v>421</v>
      </c>
      <c r="B1174" t="s">
        <v>323</v>
      </c>
      <c r="C1174">
        <v>252</v>
      </c>
      <c r="D1174" t="s">
        <v>1200</v>
      </c>
      <c r="E1174">
        <v>1797</v>
      </c>
      <c r="F1174" t="s">
        <v>1568</v>
      </c>
      <c r="G1174">
        <v>1</v>
      </c>
      <c r="H1174">
        <v>0</v>
      </c>
      <c r="I1174">
        <v>2</v>
      </c>
      <c r="J1174">
        <v>0</v>
      </c>
      <c r="K1174">
        <v>0</v>
      </c>
      <c r="L1174">
        <v>0</v>
      </c>
      <c r="M1174" t="s">
        <v>325</v>
      </c>
      <c r="N1174" t="s">
        <v>343</v>
      </c>
    </row>
    <row r="1175" spans="1:14" x14ac:dyDescent="0.3">
      <c r="A1175">
        <v>421</v>
      </c>
      <c r="B1175" t="s">
        <v>323</v>
      </c>
      <c r="C1175">
        <v>252</v>
      </c>
      <c r="D1175" t="s">
        <v>1200</v>
      </c>
      <c r="E1175">
        <v>1798</v>
      </c>
      <c r="F1175" t="s">
        <v>1569</v>
      </c>
      <c r="G1175">
        <v>0</v>
      </c>
      <c r="H1175">
        <v>0</v>
      </c>
      <c r="I1175">
        <v>0</v>
      </c>
      <c r="J1175">
        <v>0</v>
      </c>
      <c r="K1175">
        <v>0</v>
      </c>
      <c r="L1175">
        <v>0</v>
      </c>
      <c r="M1175" t="s">
        <v>333</v>
      </c>
      <c r="N1175" t="s">
        <v>329</v>
      </c>
    </row>
    <row r="1176" spans="1:14" x14ac:dyDescent="0.3">
      <c r="A1176">
        <v>423</v>
      </c>
      <c r="B1176" t="s">
        <v>323</v>
      </c>
      <c r="C1176">
        <v>254</v>
      </c>
      <c r="D1176" t="s">
        <v>1202</v>
      </c>
      <c r="E1176">
        <v>1825</v>
      </c>
      <c r="F1176" t="s">
        <v>647</v>
      </c>
      <c r="G1176">
        <v>1</v>
      </c>
      <c r="H1176">
        <v>2</v>
      </c>
      <c r="I1176">
        <v>2</v>
      </c>
      <c r="J1176">
        <v>0</v>
      </c>
      <c r="K1176">
        <v>0</v>
      </c>
      <c r="L1176">
        <v>0</v>
      </c>
      <c r="M1176" t="s">
        <v>333</v>
      </c>
      <c r="N1176" t="s">
        <v>336</v>
      </c>
    </row>
    <row r="1177" spans="1:14" x14ac:dyDescent="0.3">
      <c r="A1177">
        <v>423</v>
      </c>
      <c r="B1177" t="s">
        <v>323</v>
      </c>
      <c r="C1177">
        <v>254</v>
      </c>
      <c r="D1177" t="s">
        <v>1202</v>
      </c>
      <c r="E1177">
        <v>1826</v>
      </c>
      <c r="F1177" t="s">
        <v>393</v>
      </c>
      <c r="G1177">
        <v>0</v>
      </c>
      <c r="H1177">
        <v>3</v>
      </c>
      <c r="I1177">
        <v>0</v>
      </c>
      <c r="J1177">
        <v>0</v>
      </c>
      <c r="K1177">
        <v>2</v>
      </c>
      <c r="L1177">
        <v>0</v>
      </c>
      <c r="M1177" t="s">
        <v>325</v>
      </c>
      <c r="N1177" t="s">
        <v>336</v>
      </c>
    </row>
    <row r="1178" spans="1:14" x14ac:dyDescent="0.3">
      <c r="A1178">
        <v>423</v>
      </c>
      <c r="B1178" t="s">
        <v>323</v>
      </c>
      <c r="C1178">
        <v>254</v>
      </c>
      <c r="D1178" t="s">
        <v>1202</v>
      </c>
      <c r="E1178">
        <v>1827</v>
      </c>
      <c r="F1178" t="s">
        <v>1570</v>
      </c>
      <c r="G1178">
        <v>2</v>
      </c>
      <c r="H1178">
        <v>3</v>
      </c>
      <c r="I1178">
        <v>0</v>
      </c>
      <c r="J1178">
        <v>0</v>
      </c>
      <c r="K1178">
        <v>1</v>
      </c>
      <c r="L1178">
        <v>0</v>
      </c>
      <c r="M1178" t="s">
        <v>333</v>
      </c>
      <c r="N1178" t="s">
        <v>336</v>
      </c>
    </row>
    <row r="1179" spans="1:14" x14ac:dyDescent="0.3">
      <c r="A1179">
        <v>423</v>
      </c>
      <c r="B1179" t="s">
        <v>323</v>
      </c>
      <c r="C1179">
        <v>254</v>
      </c>
      <c r="D1179" t="s">
        <v>1202</v>
      </c>
      <c r="E1179">
        <v>1828</v>
      </c>
      <c r="F1179" t="s">
        <v>1571</v>
      </c>
      <c r="G1179">
        <v>0</v>
      </c>
      <c r="H1179">
        <v>1</v>
      </c>
      <c r="I1179">
        <v>0</v>
      </c>
      <c r="J1179">
        <v>0</v>
      </c>
      <c r="K1179">
        <v>0</v>
      </c>
      <c r="L1179">
        <v>0</v>
      </c>
      <c r="M1179" t="s">
        <v>333</v>
      </c>
      <c r="N1179" t="s">
        <v>336</v>
      </c>
    </row>
    <row r="1180" spans="1:14" x14ac:dyDescent="0.3">
      <c r="A1180">
        <v>423</v>
      </c>
      <c r="B1180" t="s">
        <v>323</v>
      </c>
      <c r="C1180">
        <v>254</v>
      </c>
      <c r="D1180" t="s">
        <v>1202</v>
      </c>
      <c r="E1180">
        <v>1829</v>
      </c>
      <c r="F1180" t="s">
        <v>1572</v>
      </c>
      <c r="G1180">
        <v>0</v>
      </c>
      <c r="H1180">
        <v>1</v>
      </c>
      <c r="I1180">
        <v>0</v>
      </c>
      <c r="J1180">
        <v>0</v>
      </c>
      <c r="K1180">
        <v>0</v>
      </c>
      <c r="L1180">
        <v>0</v>
      </c>
      <c r="M1180" t="s">
        <v>333</v>
      </c>
      <c r="N1180" t="s">
        <v>336</v>
      </c>
    </row>
    <row r="1181" spans="1:14" x14ac:dyDescent="0.3">
      <c r="A1181">
        <v>423</v>
      </c>
      <c r="B1181" t="s">
        <v>323</v>
      </c>
      <c r="C1181">
        <v>254</v>
      </c>
      <c r="D1181" t="s">
        <v>1202</v>
      </c>
      <c r="E1181">
        <v>1830</v>
      </c>
      <c r="F1181" t="s">
        <v>1573</v>
      </c>
      <c r="G1181">
        <v>0</v>
      </c>
      <c r="H1181">
        <v>0</v>
      </c>
      <c r="I1181">
        <v>0</v>
      </c>
      <c r="J1181">
        <v>0</v>
      </c>
      <c r="K1181">
        <v>1</v>
      </c>
      <c r="L1181">
        <v>0</v>
      </c>
      <c r="M1181" t="s">
        <v>333</v>
      </c>
      <c r="N1181" t="s">
        <v>336</v>
      </c>
    </row>
    <row r="1182" spans="1:14" x14ac:dyDescent="0.3">
      <c r="A1182">
        <v>424</v>
      </c>
      <c r="B1182" t="s">
        <v>323</v>
      </c>
      <c r="C1182">
        <v>255</v>
      </c>
      <c r="D1182" t="s">
        <v>1204</v>
      </c>
      <c r="E1182">
        <v>2016</v>
      </c>
      <c r="F1182" t="s">
        <v>1574</v>
      </c>
      <c r="G1182">
        <v>0</v>
      </c>
      <c r="H1182">
        <v>2</v>
      </c>
      <c r="I1182">
        <v>3</v>
      </c>
      <c r="J1182">
        <v>0</v>
      </c>
      <c r="K1182">
        <v>1</v>
      </c>
      <c r="L1182">
        <v>0</v>
      </c>
      <c r="M1182" t="s">
        <v>333</v>
      </c>
      <c r="N1182" t="s">
        <v>484</v>
      </c>
    </row>
    <row r="1183" spans="1:14" x14ac:dyDescent="0.3">
      <c r="A1183">
        <v>424</v>
      </c>
      <c r="B1183" t="s">
        <v>323</v>
      </c>
      <c r="C1183">
        <v>255</v>
      </c>
      <c r="D1183" t="s">
        <v>1204</v>
      </c>
      <c r="E1183">
        <v>2017</v>
      </c>
      <c r="F1183" t="s">
        <v>1575</v>
      </c>
      <c r="G1183">
        <v>0</v>
      </c>
      <c r="H1183">
        <v>0</v>
      </c>
      <c r="I1183">
        <v>2</v>
      </c>
      <c r="J1183">
        <v>0</v>
      </c>
      <c r="K1183">
        <v>0</v>
      </c>
      <c r="L1183">
        <v>0</v>
      </c>
      <c r="M1183" t="s">
        <v>325</v>
      </c>
      <c r="N1183" t="s">
        <v>336</v>
      </c>
    </row>
    <row r="1184" spans="1:14" x14ac:dyDescent="0.3">
      <c r="A1184">
        <v>424</v>
      </c>
      <c r="B1184" t="s">
        <v>323</v>
      </c>
      <c r="C1184">
        <v>255</v>
      </c>
      <c r="D1184" t="s">
        <v>1204</v>
      </c>
      <c r="E1184">
        <v>2018</v>
      </c>
      <c r="F1184" t="s">
        <v>1576</v>
      </c>
      <c r="G1184">
        <v>0</v>
      </c>
      <c r="H1184">
        <v>0</v>
      </c>
      <c r="I1184">
        <v>1</v>
      </c>
      <c r="J1184">
        <v>0</v>
      </c>
      <c r="K1184">
        <v>0</v>
      </c>
      <c r="L1184">
        <v>3</v>
      </c>
      <c r="M1184" t="s">
        <v>333</v>
      </c>
      <c r="N1184" t="s">
        <v>484</v>
      </c>
    </row>
    <row r="1185" spans="1:14" x14ac:dyDescent="0.3">
      <c r="A1185">
        <v>424</v>
      </c>
      <c r="B1185" t="s">
        <v>323</v>
      </c>
      <c r="C1185">
        <v>255</v>
      </c>
      <c r="D1185" t="s">
        <v>1204</v>
      </c>
      <c r="E1185">
        <v>2019</v>
      </c>
      <c r="F1185" t="s">
        <v>1577</v>
      </c>
      <c r="G1185">
        <v>0</v>
      </c>
      <c r="H1185">
        <v>0</v>
      </c>
      <c r="I1185">
        <v>3</v>
      </c>
      <c r="J1185">
        <v>0</v>
      </c>
      <c r="K1185">
        <v>0</v>
      </c>
      <c r="L1185">
        <v>0</v>
      </c>
      <c r="M1185" t="s">
        <v>333</v>
      </c>
      <c r="N1185" t="s">
        <v>336</v>
      </c>
    </row>
    <row r="1186" spans="1:14" x14ac:dyDescent="0.3">
      <c r="A1186">
        <v>424</v>
      </c>
      <c r="B1186" t="s">
        <v>323</v>
      </c>
      <c r="C1186">
        <v>255</v>
      </c>
      <c r="D1186" t="s">
        <v>1204</v>
      </c>
      <c r="E1186">
        <v>2020</v>
      </c>
      <c r="F1186" t="s">
        <v>1578</v>
      </c>
      <c r="G1186">
        <v>0</v>
      </c>
      <c r="H1186">
        <v>0</v>
      </c>
      <c r="I1186">
        <v>3</v>
      </c>
      <c r="J1186">
        <v>0</v>
      </c>
      <c r="K1186">
        <v>0</v>
      </c>
      <c r="L1186">
        <v>0</v>
      </c>
      <c r="M1186" t="s">
        <v>325</v>
      </c>
      <c r="N1186" t="s">
        <v>336</v>
      </c>
    </row>
    <row r="1187" spans="1:14" x14ac:dyDescent="0.3">
      <c r="A1187">
        <v>424</v>
      </c>
      <c r="B1187" t="s">
        <v>323</v>
      </c>
      <c r="C1187">
        <v>255</v>
      </c>
      <c r="D1187" t="s">
        <v>1204</v>
      </c>
      <c r="E1187">
        <v>2021</v>
      </c>
      <c r="F1187" t="s">
        <v>1579</v>
      </c>
      <c r="G1187">
        <v>0</v>
      </c>
      <c r="H1187">
        <v>0</v>
      </c>
      <c r="I1187">
        <v>0</v>
      </c>
      <c r="J1187">
        <v>0</v>
      </c>
      <c r="K1187">
        <v>0</v>
      </c>
      <c r="L1187">
        <v>5</v>
      </c>
      <c r="M1187" t="s">
        <v>410</v>
      </c>
      <c r="N1187" t="s">
        <v>329</v>
      </c>
    </row>
    <row r="1188" spans="1:14" x14ac:dyDescent="0.3">
      <c r="A1188">
        <v>424</v>
      </c>
      <c r="B1188" t="s">
        <v>323</v>
      </c>
      <c r="C1188">
        <v>255</v>
      </c>
      <c r="D1188" t="s">
        <v>1204</v>
      </c>
      <c r="E1188">
        <v>2022</v>
      </c>
      <c r="F1188" t="s">
        <v>1580</v>
      </c>
      <c r="G1188">
        <v>0</v>
      </c>
      <c r="H1188">
        <v>0</v>
      </c>
      <c r="I1188">
        <v>0</v>
      </c>
      <c r="J1188">
        <v>0</v>
      </c>
      <c r="K1188">
        <v>0</v>
      </c>
      <c r="L1188">
        <v>1</v>
      </c>
      <c r="M1188" t="s">
        <v>333</v>
      </c>
      <c r="N1188" t="s">
        <v>336</v>
      </c>
    </row>
    <row r="1189" spans="1:14" x14ac:dyDescent="0.3">
      <c r="A1189">
        <v>424</v>
      </c>
      <c r="B1189" t="s">
        <v>323</v>
      </c>
      <c r="C1189">
        <v>255</v>
      </c>
      <c r="D1189" t="s">
        <v>1204</v>
      </c>
      <c r="E1189">
        <v>2023</v>
      </c>
      <c r="F1189" t="s">
        <v>1581</v>
      </c>
      <c r="G1189">
        <v>0</v>
      </c>
      <c r="H1189">
        <v>0</v>
      </c>
      <c r="I1189">
        <v>0</v>
      </c>
      <c r="J1189">
        <v>0</v>
      </c>
      <c r="K1189">
        <v>0</v>
      </c>
      <c r="L1189">
        <v>5</v>
      </c>
      <c r="M1189" t="s">
        <v>333</v>
      </c>
      <c r="N1189" t="s">
        <v>336</v>
      </c>
    </row>
    <row r="1190" spans="1:14" x14ac:dyDescent="0.3">
      <c r="A1190">
        <v>424</v>
      </c>
      <c r="B1190" t="s">
        <v>323</v>
      </c>
      <c r="C1190">
        <v>255</v>
      </c>
      <c r="D1190" t="s">
        <v>1204</v>
      </c>
      <c r="E1190">
        <v>2024</v>
      </c>
      <c r="F1190" t="s">
        <v>1582</v>
      </c>
      <c r="G1190">
        <v>0</v>
      </c>
      <c r="H1190">
        <v>0</v>
      </c>
      <c r="I1190">
        <v>1</v>
      </c>
      <c r="J1190">
        <v>0</v>
      </c>
      <c r="K1190">
        <v>0</v>
      </c>
      <c r="L1190">
        <v>0</v>
      </c>
      <c r="M1190" t="s">
        <v>333</v>
      </c>
      <c r="N1190" t="s">
        <v>336</v>
      </c>
    </row>
    <row r="1191" spans="1:14" x14ac:dyDescent="0.3">
      <c r="A1191">
        <v>424</v>
      </c>
      <c r="B1191" t="s">
        <v>323</v>
      </c>
      <c r="C1191">
        <v>255</v>
      </c>
      <c r="D1191" t="s">
        <v>1204</v>
      </c>
      <c r="E1191">
        <v>2025</v>
      </c>
      <c r="F1191" t="s">
        <v>1583</v>
      </c>
      <c r="G1191">
        <v>0</v>
      </c>
      <c r="H1191">
        <v>0</v>
      </c>
      <c r="I1191">
        <v>0</v>
      </c>
      <c r="J1191">
        <v>0</v>
      </c>
      <c r="K1191">
        <v>0</v>
      </c>
      <c r="L1191">
        <v>1</v>
      </c>
      <c r="M1191" t="s">
        <v>333</v>
      </c>
      <c r="N1191" t="s">
        <v>336</v>
      </c>
    </row>
    <row r="1192" spans="1:14" x14ac:dyDescent="0.3">
      <c r="A1192">
        <v>424</v>
      </c>
      <c r="B1192" t="s">
        <v>323</v>
      </c>
      <c r="C1192">
        <v>255</v>
      </c>
      <c r="D1192" t="s">
        <v>1204</v>
      </c>
      <c r="E1192">
        <v>2026</v>
      </c>
      <c r="F1192" t="s">
        <v>1584</v>
      </c>
      <c r="G1192">
        <v>0</v>
      </c>
      <c r="H1192">
        <v>0</v>
      </c>
      <c r="I1192">
        <v>3</v>
      </c>
      <c r="J1192">
        <v>0</v>
      </c>
      <c r="K1192">
        <v>0</v>
      </c>
      <c r="L1192">
        <v>0</v>
      </c>
      <c r="M1192" t="s">
        <v>333</v>
      </c>
      <c r="N1192" t="s">
        <v>329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FC5A-127C-40FE-AE4C-8D0F04FBB3E7}">
  <sheetPr codeName="Sheet22">
    <tabColor rgb="FF0070C0"/>
  </sheetPr>
  <dimension ref="A1:AE49"/>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ht="14.4" x14ac:dyDescent="0.3"/>
    <row r="2" ht="14.4" x14ac:dyDescent="0.3"/>
    <row r="3" ht="14.4" x14ac:dyDescent="0.3"/>
    <row r="4" ht="14.4" x14ac:dyDescent="0.3"/>
    <row r="5" ht="14.4" x14ac:dyDescent="0.3"/>
    <row r="6" ht="14.4" x14ac:dyDescent="0.3"/>
    <row r="7" ht="14.4" x14ac:dyDescent="0.3"/>
    <row r="8" ht="14.4" x14ac:dyDescent="0.3"/>
    <row r="9" ht="14.4" x14ac:dyDescent="0.3"/>
    <row r="10" ht="14.4" x14ac:dyDescent="0.3"/>
    <row r="11" ht="14.4" x14ac:dyDescent="0.3"/>
    <row r="12" ht="14.4" x14ac:dyDescent="0.3"/>
    <row r="13" ht="14.4" x14ac:dyDescent="0.3"/>
    <row r="14" ht="14.4" x14ac:dyDescent="0.3"/>
    <row r="15" ht="14.4" x14ac:dyDescent="0.3"/>
    <row r="16"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sheetData>
  <sheetProtection selectLockedCells="1" autoFilter="0" pivotTables="0" selectUnlockedCell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2AA57-D5F8-436E-B894-C5172BC6778A}">
  <sheetPr codeName="Sheet28"/>
  <dimension ref="A1:AL279"/>
  <sheetViews>
    <sheetView zoomScale="58" workbookViewId="0">
      <selection activeCell="AN7" sqref="AN7"/>
    </sheetView>
  </sheetViews>
  <sheetFormatPr defaultRowHeight="14.4" x14ac:dyDescent="0.3"/>
  <cols>
    <col min="1" max="1" width="45.33203125" bestFit="1" customWidth="1"/>
    <col min="2" max="2" width="13.6640625" bestFit="1" customWidth="1"/>
    <col min="3" max="3" width="12.33203125" bestFit="1" customWidth="1"/>
    <col min="4" max="4" width="29.77734375" bestFit="1" customWidth="1"/>
    <col min="5" max="5" width="37.6640625" bestFit="1" customWidth="1"/>
    <col min="6" max="6" width="40.88671875" bestFit="1" customWidth="1"/>
    <col min="7" max="7" width="38.77734375" bestFit="1" customWidth="1"/>
    <col min="8" max="8" width="41.109375" bestFit="1" customWidth="1"/>
    <col min="9" max="9" width="39.5546875" bestFit="1" customWidth="1"/>
    <col min="10" max="10" width="23.109375" bestFit="1" customWidth="1"/>
    <col min="11" max="11" width="16.44140625" bestFit="1" customWidth="1"/>
    <col min="12" max="12" width="18.109375" bestFit="1" customWidth="1"/>
    <col min="13" max="13" width="25.44140625" bestFit="1" customWidth="1"/>
    <col min="14" max="14" width="18.6640625" bestFit="1" customWidth="1"/>
    <col min="15" max="15" width="20.5546875" bestFit="1" customWidth="1"/>
    <col min="16" max="16" width="31.5546875" style="9" bestFit="1" customWidth="1"/>
    <col min="17" max="17" width="25.77734375" style="9" bestFit="1" customWidth="1"/>
    <col min="18" max="18" width="27.5546875" style="9" bestFit="1" customWidth="1"/>
    <col min="19" max="19" width="41.6640625" bestFit="1" customWidth="1"/>
    <col min="20" max="20" width="49.77734375" bestFit="1" customWidth="1"/>
    <col min="21" max="21" width="49" bestFit="1" customWidth="1"/>
    <col min="22" max="22" width="30.33203125" bestFit="1" customWidth="1"/>
    <col min="23" max="23" width="32.109375" bestFit="1" customWidth="1"/>
    <col min="24" max="24" width="35.88671875" bestFit="1" customWidth="1"/>
    <col min="25" max="25" width="35.33203125" bestFit="1" customWidth="1"/>
    <col min="26" max="26" width="52.44140625" bestFit="1" customWidth="1"/>
    <col min="27" max="27" width="56.21875" bestFit="1" customWidth="1"/>
    <col min="28" max="28" width="53.33203125" bestFit="1" customWidth="1"/>
    <col min="29" max="29" width="54.88671875" bestFit="1" customWidth="1"/>
    <col min="30" max="30" width="50.44140625" bestFit="1" customWidth="1"/>
    <col min="31" max="31" width="36.33203125" bestFit="1" customWidth="1"/>
    <col min="32" max="32" width="30.5546875" bestFit="1" customWidth="1"/>
    <col min="33" max="33" width="45.5546875" bestFit="1" customWidth="1"/>
    <col min="34" max="34" width="44.77734375" bestFit="1" customWidth="1"/>
    <col min="35" max="35" width="41.33203125" bestFit="1" customWidth="1"/>
    <col min="36" max="36" width="43.21875" bestFit="1" customWidth="1"/>
    <col min="37" max="37" width="44.88671875" bestFit="1" customWidth="1"/>
    <col min="38" max="38" width="10.88671875" bestFit="1" customWidth="1"/>
  </cols>
  <sheetData>
    <row r="1" spans="1:38" x14ac:dyDescent="0.3">
      <c r="A1" t="s">
        <v>1</v>
      </c>
      <c r="B1" t="s">
        <v>1125</v>
      </c>
      <c r="C1" t="s">
        <v>1126</v>
      </c>
      <c r="D1" t="s">
        <v>1148</v>
      </c>
      <c r="E1" t="s">
        <v>1149</v>
      </c>
      <c r="F1" t="s">
        <v>1150</v>
      </c>
      <c r="G1" t="s">
        <v>1151</v>
      </c>
      <c r="H1" t="s">
        <v>1152</v>
      </c>
      <c r="I1" t="s">
        <v>1153</v>
      </c>
      <c r="J1" t="s">
        <v>1127</v>
      </c>
      <c r="K1" t="s">
        <v>1128</v>
      </c>
      <c r="L1" t="s">
        <v>1129</v>
      </c>
      <c r="M1" t="s">
        <v>1130</v>
      </c>
      <c r="N1" t="s">
        <v>1131</v>
      </c>
      <c r="O1" t="s">
        <v>1132</v>
      </c>
      <c r="P1" s="9" t="s">
        <v>1138</v>
      </c>
      <c r="Q1" s="9" t="s">
        <v>1139</v>
      </c>
      <c r="R1" s="9" t="s">
        <v>1141</v>
      </c>
      <c r="S1" t="s">
        <v>1154</v>
      </c>
      <c r="T1" t="s">
        <v>1155</v>
      </c>
      <c r="U1" t="s">
        <v>1156</v>
      </c>
      <c r="V1" t="s">
        <v>1157</v>
      </c>
      <c r="W1" t="s">
        <v>1158</v>
      </c>
      <c r="X1" t="s">
        <v>1159</v>
      </c>
      <c r="Y1" t="s">
        <v>1160</v>
      </c>
      <c r="Z1" t="s">
        <v>1162</v>
      </c>
      <c r="AA1" t="s">
        <v>1163</v>
      </c>
      <c r="AB1" t="s">
        <v>1164</v>
      </c>
      <c r="AC1" t="s">
        <v>1165</v>
      </c>
      <c r="AD1" t="s">
        <v>1166</v>
      </c>
      <c r="AE1" t="s">
        <v>1173</v>
      </c>
      <c r="AF1" t="s">
        <v>1161</v>
      </c>
      <c r="AG1" t="s">
        <v>1167</v>
      </c>
      <c r="AH1" t="s">
        <v>1168</v>
      </c>
      <c r="AI1" t="s">
        <v>1169</v>
      </c>
      <c r="AJ1" t="s">
        <v>1170</v>
      </c>
      <c r="AK1" t="s">
        <v>1171</v>
      </c>
      <c r="AL1" t="s">
        <v>17956</v>
      </c>
    </row>
    <row r="2" spans="1:38" x14ac:dyDescent="0.3">
      <c r="A2" t="s">
        <v>13</v>
      </c>
      <c r="B2" t="s">
        <v>17</v>
      </c>
      <c r="C2" t="s">
        <v>14</v>
      </c>
      <c r="D2">
        <v>60</v>
      </c>
      <c r="E2">
        <v>2</v>
      </c>
      <c r="F2">
        <v>58</v>
      </c>
      <c r="G2">
        <v>3.3333333333333333E-2</v>
      </c>
      <c r="H2">
        <v>0.96666666666666667</v>
      </c>
      <c r="I2" t="s">
        <v>1197</v>
      </c>
      <c r="J2">
        <v>10</v>
      </c>
      <c r="K2">
        <v>1</v>
      </c>
      <c r="L2">
        <v>49</v>
      </c>
      <c r="M2">
        <v>0</v>
      </c>
      <c r="N2">
        <v>0</v>
      </c>
      <c r="O2">
        <v>2</v>
      </c>
      <c r="P2" s="9">
        <v>0</v>
      </c>
      <c r="Q2" s="9">
        <v>0</v>
      </c>
      <c r="R2" s="9">
        <v>4.0816326530612242E-2</v>
      </c>
      <c r="S2" t="s">
        <v>1140</v>
      </c>
      <c r="T2" t="s">
        <v>1140</v>
      </c>
      <c r="U2" t="s">
        <v>1140</v>
      </c>
      <c r="V2" t="s">
        <v>1140</v>
      </c>
      <c r="W2" t="s">
        <v>1140</v>
      </c>
      <c r="X2" t="s">
        <v>1140</v>
      </c>
      <c r="Y2" t="s">
        <v>1140</v>
      </c>
      <c r="Z2">
        <v>0</v>
      </c>
      <c r="AA2">
        <v>0</v>
      </c>
      <c r="AB2">
        <v>0</v>
      </c>
      <c r="AC2">
        <v>0</v>
      </c>
      <c r="AD2">
        <v>0</v>
      </c>
      <c r="AE2">
        <v>0</v>
      </c>
      <c r="AF2">
        <v>9</v>
      </c>
      <c r="AG2">
        <v>0</v>
      </c>
      <c r="AH2">
        <v>0</v>
      </c>
      <c r="AI2">
        <v>0</v>
      </c>
      <c r="AJ2">
        <v>0</v>
      </c>
      <c r="AK2">
        <v>0</v>
      </c>
      <c r="AL2">
        <v>2021</v>
      </c>
    </row>
    <row r="3" spans="1:38" x14ac:dyDescent="0.3">
      <c r="A3" t="s">
        <v>18</v>
      </c>
      <c r="B3" t="s">
        <v>20</v>
      </c>
      <c r="C3" t="s">
        <v>14</v>
      </c>
      <c r="D3">
        <v>99</v>
      </c>
      <c r="E3">
        <v>10</v>
      </c>
      <c r="F3">
        <v>89</v>
      </c>
      <c r="G3">
        <v>0.10101010101010101</v>
      </c>
      <c r="H3">
        <v>0.89898989898989901</v>
      </c>
      <c r="I3" t="s">
        <v>1197</v>
      </c>
      <c r="J3">
        <v>40</v>
      </c>
      <c r="K3">
        <v>1</v>
      </c>
      <c r="L3">
        <v>58</v>
      </c>
      <c r="M3">
        <v>1</v>
      </c>
      <c r="N3">
        <v>0</v>
      </c>
      <c r="O3">
        <v>9</v>
      </c>
      <c r="P3" s="9">
        <v>0.1</v>
      </c>
      <c r="Q3" s="9">
        <v>0</v>
      </c>
      <c r="R3" s="9">
        <v>0.15517241379310345</v>
      </c>
      <c r="S3" t="s">
        <v>1140</v>
      </c>
      <c r="T3" t="s">
        <v>1140</v>
      </c>
      <c r="U3" t="s">
        <v>1140</v>
      </c>
      <c r="V3" t="s">
        <v>1140</v>
      </c>
      <c r="W3" t="s">
        <v>1140</v>
      </c>
      <c r="X3" t="s">
        <v>1140</v>
      </c>
      <c r="Y3" t="s">
        <v>1140</v>
      </c>
      <c r="Z3">
        <v>14</v>
      </c>
      <c r="AA3">
        <v>16</v>
      </c>
      <c r="AB3">
        <v>18</v>
      </c>
      <c r="AC3">
        <v>7</v>
      </c>
      <c r="AD3">
        <v>13</v>
      </c>
      <c r="AE3">
        <v>68</v>
      </c>
      <c r="AF3">
        <v>14</v>
      </c>
      <c r="AG3">
        <v>0</v>
      </c>
      <c r="AH3">
        <v>1</v>
      </c>
      <c r="AI3">
        <v>6</v>
      </c>
      <c r="AJ3">
        <v>4</v>
      </c>
      <c r="AK3">
        <v>3</v>
      </c>
      <c r="AL3">
        <v>2021</v>
      </c>
    </row>
    <row r="4" spans="1:38" x14ac:dyDescent="0.3">
      <c r="A4" t="s">
        <v>21</v>
      </c>
      <c r="B4" t="s">
        <v>20</v>
      </c>
      <c r="C4" t="s">
        <v>14</v>
      </c>
      <c r="D4" t="s">
        <v>17955</v>
      </c>
      <c r="E4" t="s">
        <v>17955</v>
      </c>
      <c r="F4" t="s">
        <v>17955</v>
      </c>
      <c r="G4" t="s">
        <v>17955</v>
      </c>
      <c r="H4" t="s">
        <v>17955</v>
      </c>
      <c r="I4" t="s">
        <v>17954</v>
      </c>
      <c r="J4" t="s">
        <v>17955</v>
      </c>
      <c r="K4" t="s">
        <v>17955</v>
      </c>
      <c r="L4" t="s">
        <v>17955</v>
      </c>
      <c r="M4">
        <v>0</v>
      </c>
      <c r="N4">
        <v>0</v>
      </c>
      <c r="O4" t="s">
        <v>17955</v>
      </c>
      <c r="P4" s="9" t="s">
        <v>17955</v>
      </c>
      <c r="Q4" s="9" t="s">
        <v>17955</v>
      </c>
      <c r="R4" s="9" t="s">
        <v>17955</v>
      </c>
      <c r="S4" t="s">
        <v>17957</v>
      </c>
      <c r="T4" t="s">
        <v>17957</v>
      </c>
      <c r="U4" t="s">
        <v>17957</v>
      </c>
      <c r="V4" t="s">
        <v>1140</v>
      </c>
      <c r="W4" t="s">
        <v>1140</v>
      </c>
      <c r="X4" t="s">
        <v>1140</v>
      </c>
      <c r="Y4" t="s">
        <v>17957</v>
      </c>
      <c r="Z4" t="s">
        <v>17955</v>
      </c>
      <c r="AA4" t="s">
        <v>17955</v>
      </c>
      <c r="AB4" t="s">
        <v>17955</v>
      </c>
      <c r="AC4" t="s">
        <v>17955</v>
      </c>
      <c r="AD4" t="s">
        <v>17955</v>
      </c>
      <c r="AE4">
        <v>0</v>
      </c>
      <c r="AF4">
        <v>0</v>
      </c>
      <c r="AG4">
        <v>0</v>
      </c>
      <c r="AH4">
        <v>0</v>
      </c>
      <c r="AI4">
        <v>0</v>
      </c>
      <c r="AJ4">
        <v>0</v>
      </c>
      <c r="AK4">
        <v>0</v>
      </c>
      <c r="AL4">
        <v>2021</v>
      </c>
    </row>
    <row r="5" spans="1:38" x14ac:dyDescent="0.3">
      <c r="A5" t="s">
        <v>23</v>
      </c>
      <c r="B5" t="s">
        <v>20</v>
      </c>
      <c r="C5" t="s">
        <v>14</v>
      </c>
      <c r="D5">
        <v>58</v>
      </c>
      <c r="E5">
        <v>10</v>
      </c>
      <c r="F5">
        <v>48</v>
      </c>
      <c r="G5">
        <v>0.17241379310344829</v>
      </c>
      <c r="H5">
        <v>0.82758620689655171</v>
      </c>
      <c r="I5" t="s">
        <v>1197</v>
      </c>
      <c r="J5">
        <v>18</v>
      </c>
      <c r="K5">
        <v>1</v>
      </c>
      <c r="L5">
        <v>39</v>
      </c>
      <c r="M5">
        <v>0</v>
      </c>
      <c r="N5">
        <v>1</v>
      </c>
      <c r="O5">
        <v>9</v>
      </c>
      <c r="P5" s="9">
        <v>0</v>
      </c>
      <c r="Q5" s="9">
        <v>1</v>
      </c>
      <c r="R5" s="9">
        <v>0.23076923076923078</v>
      </c>
      <c r="S5" t="s">
        <v>1140</v>
      </c>
      <c r="T5" t="s">
        <v>1140</v>
      </c>
      <c r="U5" t="s">
        <v>1140</v>
      </c>
      <c r="V5" t="s">
        <v>1140</v>
      </c>
      <c r="W5" t="s">
        <v>1140</v>
      </c>
      <c r="X5" t="s">
        <v>1140</v>
      </c>
      <c r="Y5" t="s">
        <v>1140</v>
      </c>
      <c r="Z5">
        <v>1</v>
      </c>
      <c r="AA5">
        <v>1</v>
      </c>
      <c r="AB5">
        <v>0</v>
      </c>
      <c r="AC5">
        <v>9</v>
      </c>
      <c r="AD5">
        <v>24</v>
      </c>
      <c r="AE5">
        <v>35</v>
      </c>
      <c r="AF5">
        <v>15</v>
      </c>
      <c r="AG5">
        <v>5</v>
      </c>
      <c r="AH5">
        <v>2</v>
      </c>
      <c r="AI5">
        <v>4</v>
      </c>
      <c r="AJ5">
        <v>3</v>
      </c>
      <c r="AK5">
        <v>1</v>
      </c>
      <c r="AL5">
        <v>2021</v>
      </c>
    </row>
    <row r="6" spans="1:38" x14ac:dyDescent="0.3">
      <c r="A6" t="s">
        <v>25</v>
      </c>
      <c r="B6" t="s">
        <v>20</v>
      </c>
      <c r="C6" t="s">
        <v>14</v>
      </c>
      <c r="D6">
        <v>232</v>
      </c>
      <c r="E6">
        <v>40</v>
      </c>
      <c r="F6">
        <v>192</v>
      </c>
      <c r="G6">
        <v>0.17241379310344829</v>
      </c>
      <c r="H6">
        <v>0.82758620689655171</v>
      </c>
      <c r="I6" t="s">
        <v>1191</v>
      </c>
      <c r="J6">
        <v>56</v>
      </c>
      <c r="K6">
        <v>0</v>
      </c>
      <c r="L6">
        <v>176</v>
      </c>
      <c r="M6">
        <v>0</v>
      </c>
      <c r="N6">
        <v>0</v>
      </c>
      <c r="O6">
        <v>40</v>
      </c>
      <c r="P6" s="9">
        <v>0</v>
      </c>
      <c r="Q6" s="9" t="s">
        <v>17955</v>
      </c>
      <c r="R6" s="9">
        <v>0.22727272727272727</v>
      </c>
      <c r="S6" t="s">
        <v>1140</v>
      </c>
      <c r="T6" t="s">
        <v>1140</v>
      </c>
      <c r="U6" t="s">
        <v>1140</v>
      </c>
      <c r="V6" t="s">
        <v>1140</v>
      </c>
      <c r="W6" t="s">
        <v>1140</v>
      </c>
      <c r="X6" t="s">
        <v>1140</v>
      </c>
      <c r="Y6" t="s">
        <v>1140</v>
      </c>
      <c r="Z6">
        <v>0</v>
      </c>
      <c r="AA6">
        <v>0</v>
      </c>
      <c r="AB6">
        <v>0</v>
      </c>
      <c r="AC6">
        <v>0</v>
      </c>
      <c r="AD6">
        <v>0</v>
      </c>
      <c r="AE6">
        <v>0</v>
      </c>
      <c r="AF6">
        <v>27</v>
      </c>
      <c r="AG6">
        <v>0</v>
      </c>
      <c r="AH6">
        <v>0</v>
      </c>
      <c r="AI6">
        <v>0</v>
      </c>
      <c r="AJ6">
        <v>0</v>
      </c>
      <c r="AK6">
        <v>0</v>
      </c>
      <c r="AL6">
        <v>2021</v>
      </c>
    </row>
    <row r="7" spans="1:38" x14ac:dyDescent="0.3">
      <c r="A7" t="s">
        <v>27</v>
      </c>
      <c r="B7" t="s">
        <v>20</v>
      </c>
      <c r="C7" t="s">
        <v>14</v>
      </c>
      <c r="D7">
        <v>32</v>
      </c>
      <c r="E7">
        <v>7</v>
      </c>
      <c r="F7">
        <v>25</v>
      </c>
      <c r="G7">
        <v>0.21875</v>
      </c>
      <c r="H7">
        <v>0.78125</v>
      </c>
      <c r="I7" t="s">
        <v>17953</v>
      </c>
      <c r="J7">
        <v>7</v>
      </c>
      <c r="K7">
        <v>5</v>
      </c>
      <c r="L7">
        <v>20</v>
      </c>
      <c r="M7">
        <v>0</v>
      </c>
      <c r="N7">
        <v>14</v>
      </c>
      <c r="O7" t="s">
        <v>17955</v>
      </c>
      <c r="P7" s="9">
        <v>0</v>
      </c>
      <c r="Q7" s="9">
        <v>2.8</v>
      </c>
      <c r="R7" s="9" t="s">
        <v>17955</v>
      </c>
      <c r="S7" t="s">
        <v>1140</v>
      </c>
      <c r="T7" t="s">
        <v>17957</v>
      </c>
      <c r="U7" t="s">
        <v>17957</v>
      </c>
      <c r="V7" t="s">
        <v>17957</v>
      </c>
      <c r="W7" t="s">
        <v>17957</v>
      </c>
      <c r="X7" t="s">
        <v>1140</v>
      </c>
      <c r="Y7" t="s">
        <v>17957</v>
      </c>
      <c r="Z7">
        <v>1</v>
      </c>
      <c r="AA7">
        <v>0</v>
      </c>
      <c r="AB7">
        <v>1</v>
      </c>
      <c r="AC7">
        <v>3</v>
      </c>
      <c r="AD7">
        <v>15</v>
      </c>
      <c r="AE7">
        <v>20</v>
      </c>
      <c r="AF7">
        <v>7</v>
      </c>
      <c r="AG7">
        <v>2</v>
      </c>
      <c r="AH7">
        <v>2</v>
      </c>
      <c r="AI7">
        <v>3</v>
      </c>
      <c r="AJ7">
        <v>0</v>
      </c>
      <c r="AK7">
        <v>0</v>
      </c>
      <c r="AL7">
        <v>2021</v>
      </c>
    </row>
    <row r="8" spans="1:38" x14ac:dyDescent="0.3">
      <c r="A8" t="s">
        <v>29</v>
      </c>
      <c r="B8" t="s">
        <v>20</v>
      </c>
      <c r="C8" t="s">
        <v>14</v>
      </c>
      <c r="D8">
        <v>170</v>
      </c>
      <c r="E8">
        <v>50</v>
      </c>
      <c r="F8">
        <v>120</v>
      </c>
      <c r="G8">
        <v>0.29411764705882354</v>
      </c>
      <c r="H8">
        <v>0.70588235294117641</v>
      </c>
      <c r="I8" t="s">
        <v>1191</v>
      </c>
      <c r="J8">
        <v>25</v>
      </c>
      <c r="K8">
        <v>2</v>
      </c>
      <c r="L8">
        <v>143</v>
      </c>
      <c r="M8">
        <v>1</v>
      </c>
      <c r="N8">
        <v>6</v>
      </c>
      <c r="O8">
        <v>43</v>
      </c>
      <c r="P8" s="9">
        <v>0.02</v>
      </c>
      <c r="Q8" s="9">
        <v>3</v>
      </c>
      <c r="R8" s="9">
        <v>0.30069930069930068</v>
      </c>
      <c r="S8" t="s">
        <v>1140</v>
      </c>
      <c r="T8" t="s">
        <v>1140</v>
      </c>
      <c r="U8" t="s">
        <v>1140</v>
      </c>
      <c r="V8" t="s">
        <v>17957</v>
      </c>
      <c r="W8" t="s">
        <v>1140</v>
      </c>
      <c r="X8" t="s">
        <v>1140</v>
      </c>
      <c r="Y8" t="s">
        <v>17957</v>
      </c>
      <c r="Z8">
        <v>0</v>
      </c>
      <c r="AA8">
        <v>0</v>
      </c>
      <c r="AB8">
        <v>0</v>
      </c>
      <c r="AC8">
        <v>0</v>
      </c>
      <c r="AD8">
        <v>0</v>
      </c>
      <c r="AE8">
        <v>0</v>
      </c>
      <c r="AF8">
        <v>17</v>
      </c>
      <c r="AG8">
        <v>0</v>
      </c>
      <c r="AH8">
        <v>0</v>
      </c>
      <c r="AI8">
        <v>0</v>
      </c>
      <c r="AJ8">
        <v>0</v>
      </c>
      <c r="AK8">
        <v>0</v>
      </c>
      <c r="AL8">
        <v>2021</v>
      </c>
    </row>
    <row r="9" spans="1:38" x14ac:dyDescent="0.3">
      <c r="A9" t="s">
        <v>31</v>
      </c>
      <c r="B9" t="s">
        <v>20</v>
      </c>
      <c r="C9" t="s">
        <v>14</v>
      </c>
      <c r="D9" t="s">
        <v>17955</v>
      </c>
      <c r="E9" t="s">
        <v>17955</v>
      </c>
      <c r="F9" t="s">
        <v>17955</v>
      </c>
      <c r="G9" t="s">
        <v>17955</v>
      </c>
      <c r="H9" t="s">
        <v>17955</v>
      </c>
      <c r="I9" t="s">
        <v>17954</v>
      </c>
      <c r="J9" t="s">
        <v>17955</v>
      </c>
      <c r="K9" t="s">
        <v>17955</v>
      </c>
      <c r="L9" t="s">
        <v>17955</v>
      </c>
      <c r="M9">
        <v>0</v>
      </c>
      <c r="N9">
        <v>0</v>
      </c>
      <c r="O9" t="s">
        <v>17955</v>
      </c>
      <c r="P9" s="9" t="s">
        <v>17955</v>
      </c>
      <c r="Q9" s="9" t="s">
        <v>17955</v>
      </c>
      <c r="R9" s="9" t="s">
        <v>17955</v>
      </c>
      <c r="S9" t="s">
        <v>17957</v>
      </c>
      <c r="T9" t="s">
        <v>17957</v>
      </c>
      <c r="U9" t="s">
        <v>17957</v>
      </c>
      <c r="V9" t="s">
        <v>1140</v>
      </c>
      <c r="W9" t="s">
        <v>1140</v>
      </c>
      <c r="X9" t="s">
        <v>1140</v>
      </c>
      <c r="Y9" t="s">
        <v>17957</v>
      </c>
      <c r="Z9" t="s">
        <v>17955</v>
      </c>
      <c r="AA9" t="s">
        <v>17955</v>
      </c>
      <c r="AB9" t="s">
        <v>17955</v>
      </c>
      <c r="AC9" t="s">
        <v>17955</v>
      </c>
      <c r="AD9" t="s">
        <v>17955</v>
      </c>
      <c r="AE9">
        <v>0</v>
      </c>
      <c r="AF9">
        <v>0</v>
      </c>
      <c r="AG9">
        <v>0</v>
      </c>
      <c r="AH9">
        <v>0</v>
      </c>
      <c r="AI9">
        <v>0</v>
      </c>
      <c r="AJ9">
        <v>0</v>
      </c>
      <c r="AK9">
        <v>0</v>
      </c>
      <c r="AL9">
        <v>2021</v>
      </c>
    </row>
    <row r="10" spans="1:38" x14ac:dyDescent="0.3">
      <c r="A10" t="s">
        <v>33</v>
      </c>
      <c r="B10" t="s">
        <v>20</v>
      </c>
      <c r="C10" t="s">
        <v>14</v>
      </c>
      <c r="D10" t="s">
        <v>17955</v>
      </c>
      <c r="E10" t="s">
        <v>17955</v>
      </c>
      <c r="F10" t="s">
        <v>17955</v>
      </c>
      <c r="G10" t="s">
        <v>17955</v>
      </c>
      <c r="H10" t="s">
        <v>17955</v>
      </c>
      <c r="I10" t="s">
        <v>17954</v>
      </c>
      <c r="J10" t="s">
        <v>17955</v>
      </c>
      <c r="K10" t="s">
        <v>17955</v>
      </c>
      <c r="L10" t="s">
        <v>17955</v>
      </c>
      <c r="M10">
        <v>0</v>
      </c>
      <c r="N10">
        <v>0</v>
      </c>
      <c r="O10" t="s">
        <v>17955</v>
      </c>
      <c r="P10" s="9" t="s">
        <v>17955</v>
      </c>
      <c r="Q10" s="9" t="s">
        <v>17955</v>
      </c>
      <c r="R10" s="9" t="s">
        <v>17955</v>
      </c>
      <c r="S10" t="s">
        <v>17957</v>
      </c>
      <c r="T10" t="s">
        <v>17957</v>
      </c>
      <c r="U10" t="s">
        <v>17957</v>
      </c>
      <c r="V10" t="s">
        <v>1140</v>
      </c>
      <c r="W10" t="s">
        <v>1140</v>
      </c>
      <c r="X10" t="s">
        <v>1140</v>
      </c>
      <c r="Y10" t="s">
        <v>17957</v>
      </c>
      <c r="Z10" t="s">
        <v>17955</v>
      </c>
      <c r="AA10" t="s">
        <v>17955</v>
      </c>
      <c r="AB10" t="s">
        <v>17955</v>
      </c>
      <c r="AC10" t="s">
        <v>17955</v>
      </c>
      <c r="AD10" t="s">
        <v>17955</v>
      </c>
      <c r="AE10">
        <v>0</v>
      </c>
      <c r="AF10">
        <v>0</v>
      </c>
      <c r="AG10">
        <v>0</v>
      </c>
      <c r="AH10">
        <v>0</v>
      </c>
      <c r="AI10">
        <v>0</v>
      </c>
      <c r="AJ10">
        <v>0</v>
      </c>
      <c r="AK10">
        <v>0</v>
      </c>
      <c r="AL10">
        <v>2021</v>
      </c>
    </row>
    <row r="11" spans="1:38" x14ac:dyDescent="0.3">
      <c r="A11" t="s">
        <v>35</v>
      </c>
      <c r="B11" t="s">
        <v>20</v>
      </c>
      <c r="C11" t="s">
        <v>14</v>
      </c>
      <c r="D11">
        <v>40</v>
      </c>
      <c r="E11">
        <v>6</v>
      </c>
      <c r="F11">
        <v>34</v>
      </c>
      <c r="G11">
        <v>0.15</v>
      </c>
      <c r="H11">
        <v>0.85</v>
      </c>
      <c r="I11" t="s">
        <v>17953</v>
      </c>
      <c r="J11">
        <v>14</v>
      </c>
      <c r="K11">
        <v>3</v>
      </c>
      <c r="L11">
        <v>23</v>
      </c>
      <c r="M11">
        <v>0</v>
      </c>
      <c r="N11">
        <v>0</v>
      </c>
      <c r="O11">
        <v>6</v>
      </c>
      <c r="P11" s="9">
        <v>0</v>
      </c>
      <c r="Q11" s="9">
        <v>0</v>
      </c>
      <c r="R11" s="9">
        <v>0.2608695652173913</v>
      </c>
      <c r="S11" t="s">
        <v>1140</v>
      </c>
      <c r="T11" t="s">
        <v>1140</v>
      </c>
      <c r="U11" t="s">
        <v>1140</v>
      </c>
      <c r="V11" t="s">
        <v>1140</v>
      </c>
      <c r="W11" t="s">
        <v>1140</v>
      </c>
      <c r="X11" t="s">
        <v>1140</v>
      </c>
      <c r="Y11" t="s">
        <v>1140</v>
      </c>
      <c r="Z11">
        <v>2</v>
      </c>
      <c r="AA11">
        <v>2</v>
      </c>
      <c r="AB11">
        <v>2</v>
      </c>
      <c r="AC11">
        <v>3</v>
      </c>
      <c r="AD11">
        <v>16</v>
      </c>
      <c r="AE11">
        <v>25</v>
      </c>
      <c r="AF11">
        <v>6</v>
      </c>
      <c r="AG11">
        <v>0</v>
      </c>
      <c r="AH11">
        <v>0</v>
      </c>
      <c r="AI11">
        <v>4</v>
      </c>
      <c r="AJ11">
        <v>2</v>
      </c>
      <c r="AK11">
        <v>0</v>
      </c>
      <c r="AL11">
        <v>2021</v>
      </c>
    </row>
    <row r="12" spans="1:38" x14ac:dyDescent="0.3">
      <c r="A12" t="s">
        <v>37</v>
      </c>
      <c r="B12" t="s">
        <v>20</v>
      </c>
      <c r="C12" t="s">
        <v>14</v>
      </c>
      <c r="D12">
        <v>245</v>
      </c>
      <c r="E12">
        <v>75</v>
      </c>
      <c r="F12">
        <v>170</v>
      </c>
      <c r="G12">
        <v>0.30612244897959184</v>
      </c>
      <c r="H12">
        <v>0.69387755102040816</v>
      </c>
      <c r="I12" t="s">
        <v>1191</v>
      </c>
      <c r="J12">
        <v>1</v>
      </c>
      <c r="K12">
        <v>4</v>
      </c>
      <c r="L12">
        <v>240</v>
      </c>
      <c r="M12">
        <v>1</v>
      </c>
      <c r="N12">
        <v>3</v>
      </c>
      <c r="O12">
        <v>71</v>
      </c>
      <c r="P12" s="9">
        <v>1.3333333333333334E-2</v>
      </c>
      <c r="Q12" s="9">
        <v>0.75</v>
      </c>
      <c r="R12" s="9">
        <v>0.29583333333333334</v>
      </c>
      <c r="S12" t="s">
        <v>1140</v>
      </c>
      <c r="T12" t="s">
        <v>1140</v>
      </c>
      <c r="U12" t="s">
        <v>1140</v>
      </c>
      <c r="V12" t="s">
        <v>1140</v>
      </c>
      <c r="W12" t="s">
        <v>1140</v>
      </c>
      <c r="X12" t="s">
        <v>1140</v>
      </c>
      <c r="Y12" t="s">
        <v>1140</v>
      </c>
      <c r="Z12">
        <v>22</v>
      </c>
      <c r="AA12">
        <v>25</v>
      </c>
      <c r="AB12">
        <v>38</v>
      </c>
      <c r="AC12">
        <v>19</v>
      </c>
      <c r="AD12">
        <v>42</v>
      </c>
      <c r="AE12">
        <v>146</v>
      </c>
      <c r="AF12">
        <v>17</v>
      </c>
      <c r="AG12">
        <v>4</v>
      </c>
      <c r="AH12">
        <v>2</v>
      </c>
      <c r="AI12">
        <v>6</v>
      </c>
      <c r="AJ12">
        <v>5</v>
      </c>
      <c r="AK12">
        <v>0</v>
      </c>
      <c r="AL12">
        <v>2021</v>
      </c>
    </row>
    <row r="13" spans="1:38" x14ac:dyDescent="0.3">
      <c r="A13" t="s">
        <v>39</v>
      </c>
      <c r="B13" t="s">
        <v>20</v>
      </c>
      <c r="C13" t="s">
        <v>14</v>
      </c>
      <c r="D13" t="s">
        <v>17955</v>
      </c>
      <c r="E13" t="s">
        <v>17955</v>
      </c>
      <c r="F13" t="s">
        <v>17955</v>
      </c>
      <c r="G13" t="s">
        <v>17955</v>
      </c>
      <c r="H13" t="s">
        <v>17955</v>
      </c>
      <c r="I13" t="s">
        <v>17954</v>
      </c>
      <c r="J13" t="s">
        <v>17955</v>
      </c>
      <c r="K13" t="s">
        <v>17955</v>
      </c>
      <c r="L13" t="s">
        <v>17955</v>
      </c>
      <c r="M13">
        <v>0</v>
      </c>
      <c r="N13">
        <v>0</v>
      </c>
      <c r="O13" t="s">
        <v>17955</v>
      </c>
      <c r="P13" s="9" t="s">
        <v>17955</v>
      </c>
      <c r="Q13" s="9" t="s">
        <v>17955</v>
      </c>
      <c r="R13" s="9" t="s">
        <v>17955</v>
      </c>
      <c r="S13" t="s">
        <v>17957</v>
      </c>
      <c r="T13" t="s">
        <v>17957</v>
      </c>
      <c r="U13" t="s">
        <v>17957</v>
      </c>
      <c r="V13" t="s">
        <v>1140</v>
      </c>
      <c r="W13" t="s">
        <v>1140</v>
      </c>
      <c r="X13" t="s">
        <v>1140</v>
      </c>
      <c r="Y13" t="s">
        <v>17957</v>
      </c>
      <c r="Z13" t="s">
        <v>17955</v>
      </c>
      <c r="AA13" t="s">
        <v>17955</v>
      </c>
      <c r="AB13" t="s">
        <v>17955</v>
      </c>
      <c r="AC13" t="s">
        <v>17955</v>
      </c>
      <c r="AD13" t="s">
        <v>17955</v>
      </c>
      <c r="AE13">
        <v>0</v>
      </c>
      <c r="AF13">
        <v>0</v>
      </c>
      <c r="AG13">
        <v>0</v>
      </c>
      <c r="AH13">
        <v>0</v>
      </c>
      <c r="AI13">
        <v>0</v>
      </c>
      <c r="AJ13">
        <v>0</v>
      </c>
      <c r="AK13">
        <v>0</v>
      </c>
      <c r="AL13">
        <v>2021</v>
      </c>
    </row>
    <row r="14" spans="1:38" x14ac:dyDescent="0.3">
      <c r="A14" t="s">
        <v>41</v>
      </c>
      <c r="B14" t="s">
        <v>20</v>
      </c>
      <c r="C14" t="s">
        <v>14</v>
      </c>
      <c r="D14">
        <v>337</v>
      </c>
      <c r="E14">
        <v>20</v>
      </c>
      <c r="F14">
        <v>317</v>
      </c>
      <c r="G14">
        <v>5.9347181008902079E-2</v>
      </c>
      <c r="H14">
        <v>0.94065281899109787</v>
      </c>
      <c r="I14" t="s">
        <v>1191</v>
      </c>
      <c r="J14">
        <v>120</v>
      </c>
      <c r="K14">
        <v>3</v>
      </c>
      <c r="L14">
        <v>214</v>
      </c>
      <c r="M14">
        <v>0</v>
      </c>
      <c r="N14">
        <v>1</v>
      </c>
      <c r="O14">
        <v>19</v>
      </c>
      <c r="P14" s="9">
        <v>0</v>
      </c>
      <c r="Q14" s="9">
        <v>0.33333333333333331</v>
      </c>
      <c r="R14" s="9">
        <v>8.8785046728971959E-2</v>
      </c>
      <c r="S14" t="s">
        <v>1140</v>
      </c>
      <c r="T14" t="s">
        <v>1140</v>
      </c>
      <c r="U14" t="s">
        <v>1140</v>
      </c>
      <c r="V14" t="s">
        <v>1140</v>
      </c>
      <c r="W14" t="s">
        <v>1140</v>
      </c>
      <c r="X14" t="s">
        <v>1140</v>
      </c>
      <c r="Y14" t="s">
        <v>1140</v>
      </c>
      <c r="Z14">
        <v>0</v>
      </c>
      <c r="AA14">
        <v>0</v>
      </c>
      <c r="AB14">
        <v>0</v>
      </c>
      <c r="AC14">
        <v>0</v>
      </c>
      <c r="AD14">
        <v>0</v>
      </c>
      <c r="AE14">
        <v>0</v>
      </c>
      <c r="AF14">
        <v>37</v>
      </c>
      <c r="AG14">
        <v>0</v>
      </c>
      <c r="AH14">
        <v>0</v>
      </c>
      <c r="AI14">
        <v>0</v>
      </c>
      <c r="AJ14">
        <v>0</v>
      </c>
      <c r="AK14">
        <v>0</v>
      </c>
      <c r="AL14">
        <v>2021</v>
      </c>
    </row>
    <row r="15" spans="1:38" x14ac:dyDescent="0.3">
      <c r="A15" t="s">
        <v>43</v>
      </c>
      <c r="B15" t="s">
        <v>20</v>
      </c>
      <c r="C15" t="s">
        <v>14</v>
      </c>
      <c r="D15">
        <v>64</v>
      </c>
      <c r="E15">
        <v>25</v>
      </c>
      <c r="F15">
        <v>39</v>
      </c>
      <c r="G15">
        <v>0.390625</v>
      </c>
      <c r="H15">
        <v>0.609375</v>
      </c>
      <c r="I15" t="s">
        <v>1197</v>
      </c>
      <c r="J15">
        <v>20</v>
      </c>
      <c r="K15">
        <v>11</v>
      </c>
      <c r="L15">
        <v>33</v>
      </c>
      <c r="M15">
        <v>3</v>
      </c>
      <c r="N15">
        <v>5</v>
      </c>
      <c r="O15">
        <v>17</v>
      </c>
      <c r="P15" s="9">
        <v>0.12</v>
      </c>
      <c r="Q15" s="9">
        <v>0.45454545454545453</v>
      </c>
      <c r="R15" s="9">
        <v>0.51515151515151514</v>
      </c>
      <c r="S15" t="s">
        <v>1140</v>
      </c>
      <c r="T15" t="s">
        <v>1140</v>
      </c>
      <c r="U15" t="s">
        <v>1140</v>
      </c>
      <c r="V15" t="s">
        <v>1140</v>
      </c>
      <c r="W15" t="s">
        <v>1140</v>
      </c>
      <c r="X15" t="s">
        <v>1140</v>
      </c>
      <c r="Y15" t="s">
        <v>1140</v>
      </c>
      <c r="Z15" t="s">
        <v>17955</v>
      </c>
      <c r="AA15" t="s">
        <v>17955</v>
      </c>
      <c r="AB15" t="s">
        <v>17955</v>
      </c>
      <c r="AC15" t="s">
        <v>17955</v>
      </c>
      <c r="AD15" t="s">
        <v>17955</v>
      </c>
      <c r="AE15">
        <v>0</v>
      </c>
      <c r="AF15">
        <v>0</v>
      </c>
      <c r="AG15">
        <v>0</v>
      </c>
      <c r="AH15">
        <v>0</v>
      </c>
      <c r="AI15">
        <v>0</v>
      </c>
      <c r="AJ15">
        <v>0</v>
      </c>
      <c r="AK15">
        <v>0</v>
      </c>
      <c r="AL15">
        <v>2021</v>
      </c>
    </row>
    <row r="16" spans="1:38" x14ac:dyDescent="0.3">
      <c r="A16" t="s">
        <v>45</v>
      </c>
      <c r="B16" t="s">
        <v>20</v>
      </c>
      <c r="C16" t="s">
        <v>14</v>
      </c>
      <c r="D16" t="s">
        <v>17955</v>
      </c>
      <c r="E16" t="s">
        <v>17955</v>
      </c>
      <c r="F16" t="s">
        <v>17955</v>
      </c>
      <c r="G16" t="s">
        <v>17955</v>
      </c>
      <c r="H16" t="s">
        <v>17955</v>
      </c>
      <c r="I16" t="s">
        <v>17954</v>
      </c>
      <c r="J16" t="s">
        <v>17955</v>
      </c>
      <c r="K16" t="s">
        <v>17955</v>
      </c>
      <c r="L16" t="s">
        <v>17955</v>
      </c>
      <c r="M16">
        <v>0</v>
      </c>
      <c r="N16">
        <v>0</v>
      </c>
      <c r="O16" t="s">
        <v>17955</v>
      </c>
      <c r="P16" s="9" t="s">
        <v>17955</v>
      </c>
      <c r="Q16" s="9" t="s">
        <v>17955</v>
      </c>
      <c r="R16" s="9" t="s">
        <v>17955</v>
      </c>
      <c r="S16" t="s">
        <v>17957</v>
      </c>
      <c r="T16" t="s">
        <v>17957</v>
      </c>
      <c r="U16" t="s">
        <v>17957</v>
      </c>
      <c r="V16" t="s">
        <v>1140</v>
      </c>
      <c r="W16" t="s">
        <v>1140</v>
      </c>
      <c r="X16" t="s">
        <v>1140</v>
      </c>
      <c r="Y16" t="s">
        <v>17957</v>
      </c>
      <c r="Z16" t="s">
        <v>17955</v>
      </c>
      <c r="AA16" t="s">
        <v>17955</v>
      </c>
      <c r="AB16" t="s">
        <v>17955</v>
      </c>
      <c r="AC16" t="s">
        <v>17955</v>
      </c>
      <c r="AD16" t="s">
        <v>17955</v>
      </c>
      <c r="AE16">
        <v>0</v>
      </c>
      <c r="AF16">
        <v>0</v>
      </c>
      <c r="AG16">
        <v>0</v>
      </c>
      <c r="AH16">
        <v>0</v>
      </c>
      <c r="AI16">
        <v>0</v>
      </c>
      <c r="AJ16">
        <v>0</v>
      </c>
      <c r="AK16">
        <v>0</v>
      </c>
      <c r="AL16">
        <v>2021</v>
      </c>
    </row>
    <row r="17" spans="1:38" x14ac:dyDescent="0.3">
      <c r="A17" t="s">
        <v>47</v>
      </c>
      <c r="B17" t="s">
        <v>20</v>
      </c>
      <c r="C17" t="s">
        <v>14</v>
      </c>
      <c r="D17">
        <v>62</v>
      </c>
      <c r="E17">
        <v>0</v>
      </c>
      <c r="F17">
        <v>62</v>
      </c>
      <c r="G17">
        <v>0</v>
      </c>
      <c r="H17">
        <v>1</v>
      </c>
      <c r="I17" t="s">
        <v>1197</v>
      </c>
      <c r="J17">
        <v>25</v>
      </c>
      <c r="K17">
        <v>3</v>
      </c>
      <c r="L17">
        <v>34</v>
      </c>
      <c r="M17">
        <v>0</v>
      </c>
      <c r="N17">
        <v>4</v>
      </c>
      <c r="O17" t="s">
        <v>17955</v>
      </c>
      <c r="P17" s="9" t="s">
        <v>17955</v>
      </c>
      <c r="Q17" s="9">
        <v>1.3333333333333333</v>
      </c>
      <c r="R17" s="9" t="s">
        <v>17955</v>
      </c>
      <c r="S17" t="s">
        <v>1140</v>
      </c>
      <c r="T17" t="s">
        <v>17957</v>
      </c>
      <c r="U17" t="s">
        <v>17957</v>
      </c>
      <c r="V17" t="s">
        <v>17957</v>
      </c>
      <c r="W17" t="s">
        <v>17957</v>
      </c>
      <c r="X17" t="s">
        <v>1140</v>
      </c>
      <c r="Y17" t="s">
        <v>17957</v>
      </c>
      <c r="Z17">
        <v>7</v>
      </c>
      <c r="AA17">
        <v>11</v>
      </c>
      <c r="AB17">
        <v>22</v>
      </c>
      <c r="AC17">
        <v>9</v>
      </c>
      <c r="AD17">
        <v>0</v>
      </c>
      <c r="AE17">
        <v>49</v>
      </c>
      <c r="AF17">
        <v>13</v>
      </c>
      <c r="AG17">
        <v>0</v>
      </c>
      <c r="AH17">
        <v>4</v>
      </c>
      <c r="AI17">
        <v>9</v>
      </c>
      <c r="AJ17">
        <v>0</v>
      </c>
      <c r="AK17">
        <v>0</v>
      </c>
      <c r="AL17">
        <v>2021</v>
      </c>
    </row>
    <row r="18" spans="1:38" x14ac:dyDescent="0.3">
      <c r="A18" t="s">
        <v>49</v>
      </c>
      <c r="B18" t="s">
        <v>20</v>
      </c>
      <c r="C18" t="s">
        <v>14</v>
      </c>
      <c r="D18">
        <v>56</v>
      </c>
      <c r="E18">
        <v>2</v>
      </c>
      <c r="F18">
        <v>54</v>
      </c>
      <c r="G18">
        <v>3.5714285714285712E-2</v>
      </c>
      <c r="H18">
        <v>0.9642857142857143</v>
      </c>
      <c r="I18" t="s">
        <v>1197</v>
      </c>
      <c r="J18">
        <v>25</v>
      </c>
      <c r="K18">
        <v>0</v>
      </c>
      <c r="L18">
        <v>31</v>
      </c>
      <c r="M18">
        <v>0</v>
      </c>
      <c r="N18">
        <v>0</v>
      </c>
      <c r="O18">
        <v>2</v>
      </c>
      <c r="P18" s="9">
        <v>0</v>
      </c>
      <c r="Q18" s="9" t="s">
        <v>17955</v>
      </c>
      <c r="R18" s="9">
        <v>6.4516129032258063E-2</v>
      </c>
      <c r="S18" t="s">
        <v>1140</v>
      </c>
      <c r="T18" t="s">
        <v>1140</v>
      </c>
      <c r="U18" t="s">
        <v>1140</v>
      </c>
      <c r="V18" t="s">
        <v>1140</v>
      </c>
      <c r="W18" t="s">
        <v>1140</v>
      </c>
      <c r="X18" t="s">
        <v>1140</v>
      </c>
      <c r="Y18" t="s">
        <v>1140</v>
      </c>
      <c r="Z18">
        <v>3</v>
      </c>
      <c r="AA18">
        <v>7</v>
      </c>
      <c r="AB18">
        <v>7</v>
      </c>
      <c r="AC18">
        <v>6</v>
      </c>
      <c r="AD18">
        <v>5</v>
      </c>
      <c r="AE18">
        <v>28</v>
      </c>
      <c r="AF18">
        <v>10</v>
      </c>
      <c r="AG18">
        <v>4</v>
      </c>
      <c r="AH18">
        <v>1</v>
      </c>
      <c r="AI18">
        <v>3</v>
      </c>
      <c r="AJ18">
        <v>1</v>
      </c>
      <c r="AK18">
        <v>1</v>
      </c>
      <c r="AL18">
        <v>2021</v>
      </c>
    </row>
    <row r="19" spans="1:38" x14ac:dyDescent="0.3">
      <c r="A19" t="s">
        <v>51</v>
      </c>
      <c r="B19" t="s">
        <v>20</v>
      </c>
      <c r="C19" t="s">
        <v>14</v>
      </c>
      <c r="D19">
        <v>70</v>
      </c>
      <c r="E19">
        <v>30</v>
      </c>
      <c r="F19">
        <v>40</v>
      </c>
      <c r="G19">
        <v>0.42857142857142855</v>
      </c>
      <c r="H19">
        <v>0.5714285714285714</v>
      </c>
      <c r="I19" t="s">
        <v>1197</v>
      </c>
      <c r="J19">
        <v>20</v>
      </c>
      <c r="K19">
        <v>10</v>
      </c>
      <c r="L19">
        <v>40</v>
      </c>
      <c r="M19">
        <v>5</v>
      </c>
      <c r="N19">
        <v>3</v>
      </c>
      <c r="O19">
        <v>22</v>
      </c>
      <c r="P19" s="9">
        <v>0.16666666666666666</v>
      </c>
      <c r="Q19" s="9">
        <v>0.3</v>
      </c>
      <c r="R19" s="9">
        <v>0.55000000000000004</v>
      </c>
      <c r="S19" t="s">
        <v>1140</v>
      </c>
      <c r="T19" t="s">
        <v>1140</v>
      </c>
      <c r="U19" t="s">
        <v>1140</v>
      </c>
      <c r="V19" t="s">
        <v>1140</v>
      </c>
      <c r="W19" t="s">
        <v>1140</v>
      </c>
      <c r="X19" t="s">
        <v>1140</v>
      </c>
      <c r="Y19" t="s">
        <v>1140</v>
      </c>
      <c r="Z19">
        <v>2</v>
      </c>
      <c r="AA19">
        <v>2</v>
      </c>
      <c r="AB19">
        <v>4</v>
      </c>
      <c r="AC19">
        <v>2</v>
      </c>
      <c r="AD19">
        <v>5</v>
      </c>
      <c r="AE19">
        <v>15</v>
      </c>
      <c r="AF19">
        <v>4</v>
      </c>
      <c r="AG19">
        <v>3</v>
      </c>
      <c r="AH19">
        <v>0</v>
      </c>
      <c r="AI19">
        <v>1</v>
      </c>
      <c r="AJ19">
        <v>0</v>
      </c>
      <c r="AK19">
        <v>0</v>
      </c>
      <c r="AL19">
        <v>2021</v>
      </c>
    </row>
    <row r="20" spans="1:38" x14ac:dyDescent="0.3">
      <c r="A20" t="s">
        <v>53</v>
      </c>
      <c r="B20" t="s">
        <v>20</v>
      </c>
      <c r="C20" t="s">
        <v>14</v>
      </c>
      <c r="D20">
        <v>41</v>
      </c>
      <c r="E20">
        <v>5</v>
      </c>
      <c r="F20">
        <v>36</v>
      </c>
      <c r="G20">
        <v>0.12195121951219512</v>
      </c>
      <c r="H20">
        <v>0.87804878048780488</v>
      </c>
      <c r="I20" t="s">
        <v>17953</v>
      </c>
      <c r="J20">
        <v>11</v>
      </c>
      <c r="K20">
        <v>1</v>
      </c>
      <c r="L20">
        <v>29</v>
      </c>
      <c r="M20">
        <v>0</v>
      </c>
      <c r="N20">
        <v>1</v>
      </c>
      <c r="O20">
        <v>4</v>
      </c>
      <c r="P20" s="9">
        <v>0</v>
      </c>
      <c r="Q20" s="9">
        <v>1</v>
      </c>
      <c r="R20" s="9">
        <v>0.13793103448275862</v>
      </c>
      <c r="S20" t="s">
        <v>1140</v>
      </c>
      <c r="T20" t="s">
        <v>1140</v>
      </c>
      <c r="U20" t="s">
        <v>1140</v>
      </c>
      <c r="V20" t="s">
        <v>1140</v>
      </c>
      <c r="W20" t="s">
        <v>1140</v>
      </c>
      <c r="X20" t="s">
        <v>1140</v>
      </c>
      <c r="Y20" t="s">
        <v>1140</v>
      </c>
      <c r="Z20">
        <v>0</v>
      </c>
      <c r="AA20">
        <v>0</v>
      </c>
      <c r="AB20">
        <v>8</v>
      </c>
      <c r="AC20">
        <v>1</v>
      </c>
      <c r="AD20">
        <v>2</v>
      </c>
      <c r="AE20">
        <v>11</v>
      </c>
      <c r="AF20">
        <v>4</v>
      </c>
      <c r="AG20">
        <v>2</v>
      </c>
      <c r="AH20">
        <v>1</v>
      </c>
      <c r="AI20">
        <v>1</v>
      </c>
      <c r="AJ20">
        <v>0</v>
      </c>
      <c r="AK20">
        <v>0</v>
      </c>
      <c r="AL20">
        <v>2021</v>
      </c>
    </row>
    <row r="21" spans="1:38" x14ac:dyDescent="0.3">
      <c r="A21" t="s">
        <v>55</v>
      </c>
      <c r="B21" t="s">
        <v>20</v>
      </c>
      <c r="C21" t="s">
        <v>14</v>
      </c>
      <c r="D21">
        <v>65</v>
      </c>
      <c r="E21">
        <v>20</v>
      </c>
      <c r="F21">
        <v>45</v>
      </c>
      <c r="G21">
        <v>0.30769230769230771</v>
      </c>
      <c r="H21">
        <v>0.69230769230769229</v>
      </c>
      <c r="I21" t="s">
        <v>1197</v>
      </c>
      <c r="J21">
        <v>18</v>
      </c>
      <c r="K21">
        <v>3</v>
      </c>
      <c r="L21">
        <v>44</v>
      </c>
      <c r="M21">
        <v>1</v>
      </c>
      <c r="N21">
        <v>1</v>
      </c>
      <c r="O21">
        <v>18</v>
      </c>
      <c r="P21" s="9">
        <v>0.05</v>
      </c>
      <c r="Q21" s="9">
        <v>0.33333333333333331</v>
      </c>
      <c r="R21" s="9">
        <v>0.40909090909090912</v>
      </c>
      <c r="S21" t="s">
        <v>1140</v>
      </c>
      <c r="T21" t="s">
        <v>1140</v>
      </c>
      <c r="U21" t="s">
        <v>1140</v>
      </c>
      <c r="V21" t="s">
        <v>1140</v>
      </c>
      <c r="W21" t="s">
        <v>1140</v>
      </c>
      <c r="X21" t="s">
        <v>1140</v>
      </c>
      <c r="Y21" t="s">
        <v>1140</v>
      </c>
      <c r="Z21">
        <v>0</v>
      </c>
      <c r="AA21">
        <v>6</v>
      </c>
      <c r="AB21">
        <v>12</v>
      </c>
      <c r="AC21">
        <v>4</v>
      </c>
      <c r="AD21">
        <v>9</v>
      </c>
      <c r="AE21">
        <v>31</v>
      </c>
      <c r="AF21">
        <v>12</v>
      </c>
      <c r="AG21">
        <v>4</v>
      </c>
      <c r="AH21">
        <v>4</v>
      </c>
      <c r="AI21">
        <v>3</v>
      </c>
      <c r="AJ21">
        <v>1</v>
      </c>
      <c r="AK21">
        <v>0</v>
      </c>
      <c r="AL21">
        <v>2021</v>
      </c>
    </row>
    <row r="22" spans="1:38" x14ac:dyDescent="0.3">
      <c r="A22" t="s">
        <v>57</v>
      </c>
      <c r="B22" t="s">
        <v>20</v>
      </c>
      <c r="C22" t="s">
        <v>14</v>
      </c>
      <c r="D22" t="s">
        <v>17955</v>
      </c>
      <c r="E22" t="s">
        <v>17955</v>
      </c>
      <c r="F22" t="s">
        <v>17955</v>
      </c>
      <c r="G22" t="s">
        <v>17955</v>
      </c>
      <c r="H22" t="s">
        <v>17955</v>
      </c>
      <c r="I22" t="s">
        <v>17954</v>
      </c>
      <c r="J22" t="s">
        <v>17955</v>
      </c>
      <c r="K22" t="s">
        <v>17955</v>
      </c>
      <c r="L22" t="s">
        <v>17955</v>
      </c>
      <c r="M22">
        <v>0</v>
      </c>
      <c r="N22">
        <v>0</v>
      </c>
      <c r="O22" t="s">
        <v>17955</v>
      </c>
      <c r="P22" s="9" t="s">
        <v>17955</v>
      </c>
      <c r="Q22" s="9" t="s">
        <v>17955</v>
      </c>
      <c r="R22" s="9" t="s">
        <v>17955</v>
      </c>
      <c r="S22" t="s">
        <v>17957</v>
      </c>
      <c r="T22" t="s">
        <v>17957</v>
      </c>
      <c r="U22" t="s">
        <v>17957</v>
      </c>
      <c r="V22" t="s">
        <v>1140</v>
      </c>
      <c r="W22" t="s">
        <v>1140</v>
      </c>
      <c r="X22" t="s">
        <v>1140</v>
      </c>
      <c r="Y22" t="s">
        <v>17957</v>
      </c>
      <c r="Z22" t="s">
        <v>17955</v>
      </c>
      <c r="AA22" t="s">
        <v>17955</v>
      </c>
      <c r="AB22" t="s">
        <v>17955</v>
      </c>
      <c r="AC22" t="s">
        <v>17955</v>
      </c>
      <c r="AD22" t="s">
        <v>17955</v>
      </c>
      <c r="AE22">
        <v>0</v>
      </c>
      <c r="AF22">
        <v>0</v>
      </c>
      <c r="AG22">
        <v>0</v>
      </c>
      <c r="AH22">
        <v>0</v>
      </c>
      <c r="AI22">
        <v>0</v>
      </c>
      <c r="AJ22">
        <v>0</v>
      </c>
      <c r="AK22">
        <v>0</v>
      </c>
      <c r="AL22">
        <v>2021</v>
      </c>
    </row>
    <row r="23" spans="1:38" x14ac:dyDescent="0.3">
      <c r="A23" t="s">
        <v>59</v>
      </c>
      <c r="B23" t="s">
        <v>20</v>
      </c>
      <c r="C23" t="s">
        <v>14</v>
      </c>
      <c r="D23" t="s">
        <v>17955</v>
      </c>
      <c r="E23" t="s">
        <v>17955</v>
      </c>
      <c r="F23" t="s">
        <v>17955</v>
      </c>
      <c r="G23" t="s">
        <v>17955</v>
      </c>
      <c r="H23" t="s">
        <v>17955</v>
      </c>
      <c r="I23" t="s">
        <v>17954</v>
      </c>
      <c r="J23" t="s">
        <v>17955</v>
      </c>
      <c r="K23" t="s">
        <v>17955</v>
      </c>
      <c r="L23" t="s">
        <v>17955</v>
      </c>
      <c r="M23">
        <v>0</v>
      </c>
      <c r="N23">
        <v>0</v>
      </c>
      <c r="O23" t="s">
        <v>17955</v>
      </c>
      <c r="P23" s="9" t="s">
        <v>17955</v>
      </c>
      <c r="Q23" s="9" t="s">
        <v>17955</v>
      </c>
      <c r="R23" s="9" t="s">
        <v>17955</v>
      </c>
      <c r="S23" t="s">
        <v>17957</v>
      </c>
      <c r="T23" t="s">
        <v>17957</v>
      </c>
      <c r="U23" t="s">
        <v>17957</v>
      </c>
      <c r="V23" t="s">
        <v>1140</v>
      </c>
      <c r="W23" t="s">
        <v>1140</v>
      </c>
      <c r="X23" t="s">
        <v>1140</v>
      </c>
      <c r="Y23" t="s">
        <v>17957</v>
      </c>
      <c r="Z23" t="s">
        <v>17955</v>
      </c>
      <c r="AA23" t="s">
        <v>17955</v>
      </c>
      <c r="AB23" t="s">
        <v>17955</v>
      </c>
      <c r="AC23" t="s">
        <v>17955</v>
      </c>
      <c r="AD23" t="s">
        <v>17955</v>
      </c>
      <c r="AE23">
        <v>0</v>
      </c>
      <c r="AF23">
        <v>0</v>
      </c>
      <c r="AG23">
        <v>0</v>
      </c>
      <c r="AH23">
        <v>0</v>
      </c>
      <c r="AI23">
        <v>0</v>
      </c>
      <c r="AJ23">
        <v>0</v>
      </c>
      <c r="AK23">
        <v>0</v>
      </c>
      <c r="AL23">
        <v>2021</v>
      </c>
    </row>
    <row r="24" spans="1:38" x14ac:dyDescent="0.3">
      <c r="A24" t="s">
        <v>61</v>
      </c>
      <c r="B24" t="s">
        <v>20</v>
      </c>
      <c r="C24" t="s">
        <v>14</v>
      </c>
      <c r="D24">
        <v>56</v>
      </c>
      <c r="E24">
        <v>4</v>
      </c>
      <c r="F24">
        <v>52</v>
      </c>
      <c r="G24">
        <v>7.1428571428571425E-2</v>
      </c>
      <c r="H24">
        <v>0.9285714285714286</v>
      </c>
      <c r="I24" t="s">
        <v>1197</v>
      </c>
      <c r="J24">
        <v>32</v>
      </c>
      <c r="K24">
        <v>0</v>
      </c>
      <c r="L24">
        <v>24</v>
      </c>
      <c r="M24">
        <v>0</v>
      </c>
      <c r="N24">
        <v>0</v>
      </c>
      <c r="O24">
        <v>4</v>
      </c>
      <c r="P24" s="9">
        <v>0</v>
      </c>
      <c r="Q24" s="9" t="s">
        <v>17955</v>
      </c>
      <c r="R24" s="9">
        <v>0.16666666666666666</v>
      </c>
      <c r="S24" t="s">
        <v>1140</v>
      </c>
      <c r="T24" t="s">
        <v>1140</v>
      </c>
      <c r="U24" t="s">
        <v>1140</v>
      </c>
      <c r="V24" t="s">
        <v>1140</v>
      </c>
      <c r="W24" t="s">
        <v>1140</v>
      </c>
      <c r="X24" t="s">
        <v>1140</v>
      </c>
      <c r="Y24" t="s">
        <v>1140</v>
      </c>
      <c r="Z24">
        <v>4</v>
      </c>
      <c r="AA24">
        <v>4</v>
      </c>
      <c r="AB24">
        <v>6</v>
      </c>
      <c r="AC24">
        <v>5</v>
      </c>
      <c r="AD24">
        <v>12</v>
      </c>
      <c r="AE24">
        <v>31</v>
      </c>
      <c r="AF24">
        <v>12</v>
      </c>
      <c r="AG24">
        <v>0</v>
      </c>
      <c r="AH24">
        <v>1</v>
      </c>
      <c r="AI24">
        <v>6</v>
      </c>
      <c r="AJ24">
        <v>4</v>
      </c>
      <c r="AK24">
        <v>1</v>
      </c>
      <c r="AL24">
        <v>2021</v>
      </c>
    </row>
    <row r="25" spans="1:38" x14ac:dyDescent="0.3">
      <c r="A25" t="s">
        <v>63</v>
      </c>
      <c r="B25" t="s">
        <v>20</v>
      </c>
      <c r="C25" t="s">
        <v>14</v>
      </c>
      <c r="D25">
        <v>41</v>
      </c>
      <c r="E25">
        <v>5</v>
      </c>
      <c r="F25">
        <v>36</v>
      </c>
      <c r="G25">
        <v>0.12195121951219512</v>
      </c>
      <c r="H25">
        <v>0.87804878048780488</v>
      </c>
      <c r="I25" t="s">
        <v>17953</v>
      </c>
      <c r="J25">
        <v>12</v>
      </c>
      <c r="K25">
        <v>7</v>
      </c>
      <c r="L25">
        <v>22</v>
      </c>
      <c r="M25">
        <v>1</v>
      </c>
      <c r="N25">
        <v>0</v>
      </c>
      <c r="O25">
        <v>4</v>
      </c>
      <c r="P25" s="9">
        <v>0.2</v>
      </c>
      <c r="Q25" s="9">
        <v>0</v>
      </c>
      <c r="R25" s="9">
        <v>0.18181818181818182</v>
      </c>
      <c r="S25" t="s">
        <v>1140</v>
      </c>
      <c r="T25" t="s">
        <v>1140</v>
      </c>
      <c r="U25" t="s">
        <v>1140</v>
      </c>
      <c r="V25" t="s">
        <v>1140</v>
      </c>
      <c r="W25" t="s">
        <v>1140</v>
      </c>
      <c r="X25" t="s">
        <v>1140</v>
      </c>
      <c r="Y25" t="s">
        <v>1140</v>
      </c>
      <c r="Z25">
        <v>0</v>
      </c>
      <c r="AA25">
        <v>0</v>
      </c>
      <c r="AB25">
        <v>0</v>
      </c>
      <c r="AC25">
        <v>0</v>
      </c>
      <c r="AD25">
        <v>0</v>
      </c>
      <c r="AE25">
        <v>0</v>
      </c>
      <c r="AF25">
        <v>7</v>
      </c>
      <c r="AG25">
        <v>0</v>
      </c>
      <c r="AH25">
        <v>0</v>
      </c>
      <c r="AI25">
        <v>0</v>
      </c>
      <c r="AJ25">
        <v>0</v>
      </c>
      <c r="AK25">
        <v>0</v>
      </c>
      <c r="AL25">
        <v>2021</v>
      </c>
    </row>
    <row r="26" spans="1:38" x14ac:dyDescent="0.3">
      <c r="A26" t="s">
        <v>65</v>
      </c>
      <c r="B26" t="s">
        <v>20</v>
      </c>
      <c r="C26" t="s">
        <v>14</v>
      </c>
      <c r="D26" t="s">
        <v>17955</v>
      </c>
      <c r="E26" t="s">
        <v>17955</v>
      </c>
      <c r="F26" t="s">
        <v>17955</v>
      </c>
      <c r="G26" t="s">
        <v>17955</v>
      </c>
      <c r="H26" t="s">
        <v>17955</v>
      </c>
      <c r="I26" t="s">
        <v>17954</v>
      </c>
      <c r="J26" t="s">
        <v>17955</v>
      </c>
      <c r="K26" t="s">
        <v>17955</v>
      </c>
      <c r="L26" t="s">
        <v>17955</v>
      </c>
      <c r="M26">
        <v>0</v>
      </c>
      <c r="N26">
        <v>0</v>
      </c>
      <c r="O26" t="s">
        <v>17955</v>
      </c>
      <c r="P26" s="9" t="s">
        <v>17955</v>
      </c>
      <c r="Q26" s="9" t="s">
        <v>17955</v>
      </c>
      <c r="R26" s="9" t="s">
        <v>17955</v>
      </c>
      <c r="S26" t="s">
        <v>17957</v>
      </c>
      <c r="T26" t="s">
        <v>17957</v>
      </c>
      <c r="U26" t="s">
        <v>17957</v>
      </c>
      <c r="V26" t="s">
        <v>1140</v>
      </c>
      <c r="W26" t="s">
        <v>1140</v>
      </c>
      <c r="X26" t="s">
        <v>1140</v>
      </c>
      <c r="Y26" t="s">
        <v>17957</v>
      </c>
      <c r="Z26" t="s">
        <v>17955</v>
      </c>
      <c r="AA26" t="s">
        <v>17955</v>
      </c>
      <c r="AB26" t="s">
        <v>17955</v>
      </c>
      <c r="AC26" t="s">
        <v>17955</v>
      </c>
      <c r="AD26" t="s">
        <v>17955</v>
      </c>
      <c r="AE26">
        <v>0</v>
      </c>
      <c r="AF26">
        <v>0</v>
      </c>
      <c r="AG26">
        <v>0</v>
      </c>
      <c r="AH26">
        <v>0</v>
      </c>
      <c r="AI26">
        <v>0</v>
      </c>
      <c r="AJ26">
        <v>0</v>
      </c>
      <c r="AK26">
        <v>0</v>
      </c>
      <c r="AL26">
        <v>2021</v>
      </c>
    </row>
    <row r="27" spans="1:38" x14ac:dyDescent="0.3">
      <c r="A27" t="s">
        <v>67</v>
      </c>
      <c r="C27" t="s">
        <v>14</v>
      </c>
      <c r="D27" t="s">
        <v>17955</v>
      </c>
      <c r="E27" t="s">
        <v>17955</v>
      </c>
      <c r="F27" t="s">
        <v>17955</v>
      </c>
      <c r="G27" t="s">
        <v>17955</v>
      </c>
      <c r="H27" t="s">
        <v>17955</v>
      </c>
      <c r="I27" t="s">
        <v>17954</v>
      </c>
      <c r="J27" t="s">
        <v>17955</v>
      </c>
      <c r="K27" t="s">
        <v>17955</v>
      </c>
      <c r="L27" t="s">
        <v>17955</v>
      </c>
      <c r="M27">
        <v>0</v>
      </c>
      <c r="N27">
        <v>0</v>
      </c>
      <c r="O27" t="s">
        <v>17955</v>
      </c>
      <c r="P27" s="9" t="s">
        <v>17955</v>
      </c>
      <c r="Q27" s="9" t="s">
        <v>17955</v>
      </c>
      <c r="R27" s="9" t="s">
        <v>17955</v>
      </c>
      <c r="S27" t="s">
        <v>17957</v>
      </c>
      <c r="T27" t="s">
        <v>17957</v>
      </c>
      <c r="U27" t="s">
        <v>17957</v>
      </c>
      <c r="V27" t="s">
        <v>1140</v>
      </c>
      <c r="W27" t="s">
        <v>1140</v>
      </c>
      <c r="X27" t="s">
        <v>1140</v>
      </c>
      <c r="Y27" t="s">
        <v>17957</v>
      </c>
      <c r="Z27" t="s">
        <v>17955</v>
      </c>
      <c r="AA27" t="s">
        <v>17955</v>
      </c>
      <c r="AB27" t="s">
        <v>17955</v>
      </c>
      <c r="AC27" t="s">
        <v>17955</v>
      </c>
      <c r="AD27" t="s">
        <v>17955</v>
      </c>
      <c r="AE27">
        <v>0</v>
      </c>
      <c r="AF27">
        <v>0</v>
      </c>
      <c r="AG27">
        <v>0</v>
      </c>
      <c r="AH27">
        <v>0</v>
      </c>
      <c r="AI27">
        <v>0</v>
      </c>
      <c r="AJ27">
        <v>0</v>
      </c>
      <c r="AK27">
        <v>0</v>
      </c>
      <c r="AL27">
        <v>2021</v>
      </c>
    </row>
    <row r="28" spans="1:38" x14ac:dyDescent="0.3">
      <c r="A28" t="s">
        <v>69</v>
      </c>
      <c r="B28" t="s">
        <v>20</v>
      </c>
      <c r="C28" t="s">
        <v>14</v>
      </c>
      <c r="D28" t="s">
        <v>17955</v>
      </c>
      <c r="E28" t="s">
        <v>17955</v>
      </c>
      <c r="F28" t="s">
        <v>17955</v>
      </c>
      <c r="G28" t="s">
        <v>17955</v>
      </c>
      <c r="H28" t="s">
        <v>17955</v>
      </c>
      <c r="I28" t="s">
        <v>17954</v>
      </c>
      <c r="J28" t="s">
        <v>17955</v>
      </c>
      <c r="K28" t="s">
        <v>17955</v>
      </c>
      <c r="L28" t="s">
        <v>17955</v>
      </c>
      <c r="M28">
        <v>0</v>
      </c>
      <c r="N28">
        <v>0</v>
      </c>
      <c r="O28" t="s">
        <v>17955</v>
      </c>
      <c r="P28" s="9" t="s">
        <v>17955</v>
      </c>
      <c r="Q28" s="9" t="s">
        <v>17955</v>
      </c>
      <c r="R28" s="9" t="s">
        <v>17955</v>
      </c>
      <c r="S28" t="s">
        <v>17957</v>
      </c>
      <c r="T28" t="s">
        <v>17957</v>
      </c>
      <c r="U28" t="s">
        <v>17957</v>
      </c>
      <c r="V28" t="s">
        <v>1140</v>
      </c>
      <c r="W28" t="s">
        <v>1140</v>
      </c>
      <c r="X28" t="s">
        <v>1140</v>
      </c>
      <c r="Y28" t="s">
        <v>17957</v>
      </c>
      <c r="Z28" t="s">
        <v>17955</v>
      </c>
      <c r="AA28" t="s">
        <v>17955</v>
      </c>
      <c r="AB28" t="s">
        <v>17955</v>
      </c>
      <c r="AC28" t="s">
        <v>17955</v>
      </c>
      <c r="AD28" t="s">
        <v>17955</v>
      </c>
      <c r="AE28">
        <v>0</v>
      </c>
      <c r="AF28">
        <v>0</v>
      </c>
      <c r="AG28">
        <v>0</v>
      </c>
      <c r="AH28">
        <v>0</v>
      </c>
      <c r="AI28">
        <v>0</v>
      </c>
      <c r="AJ28">
        <v>0</v>
      </c>
      <c r="AK28">
        <v>0</v>
      </c>
      <c r="AL28">
        <v>2021</v>
      </c>
    </row>
    <row r="29" spans="1:38" x14ac:dyDescent="0.3">
      <c r="A29" t="s">
        <v>71</v>
      </c>
      <c r="B29" t="s">
        <v>20</v>
      </c>
      <c r="C29" t="s">
        <v>14</v>
      </c>
      <c r="D29">
        <v>210</v>
      </c>
      <c r="E29">
        <v>60</v>
      </c>
      <c r="F29">
        <v>150</v>
      </c>
      <c r="G29">
        <v>0.2857142857142857</v>
      </c>
      <c r="H29">
        <v>0.7142857142857143</v>
      </c>
      <c r="I29" t="s">
        <v>1191</v>
      </c>
      <c r="J29">
        <v>43</v>
      </c>
      <c r="K29">
        <v>10</v>
      </c>
      <c r="L29">
        <v>157</v>
      </c>
      <c r="M29">
        <v>4</v>
      </c>
      <c r="N29">
        <v>10</v>
      </c>
      <c r="O29">
        <v>46</v>
      </c>
      <c r="P29" s="9">
        <v>6.6666666666666666E-2</v>
      </c>
      <c r="Q29" s="9">
        <v>1</v>
      </c>
      <c r="R29" s="9">
        <v>0.2929936305732484</v>
      </c>
      <c r="S29" t="s">
        <v>1140</v>
      </c>
      <c r="T29" t="s">
        <v>1140</v>
      </c>
      <c r="U29" t="s">
        <v>1140</v>
      </c>
      <c r="V29" t="s">
        <v>1140</v>
      </c>
      <c r="W29" t="s">
        <v>1140</v>
      </c>
      <c r="X29" t="s">
        <v>1140</v>
      </c>
      <c r="Y29" t="s">
        <v>1140</v>
      </c>
      <c r="Z29">
        <v>7</v>
      </c>
      <c r="AA29">
        <v>7</v>
      </c>
      <c r="AB29">
        <v>19</v>
      </c>
      <c r="AC29">
        <v>7</v>
      </c>
      <c r="AD29">
        <v>24</v>
      </c>
      <c r="AE29">
        <v>64</v>
      </c>
      <c r="AF29">
        <v>11</v>
      </c>
      <c r="AG29">
        <v>4</v>
      </c>
      <c r="AH29">
        <v>5</v>
      </c>
      <c r="AI29">
        <v>2</v>
      </c>
      <c r="AJ29">
        <v>0</v>
      </c>
      <c r="AK29">
        <v>0</v>
      </c>
      <c r="AL29">
        <v>2021</v>
      </c>
    </row>
    <row r="30" spans="1:38" x14ac:dyDescent="0.3">
      <c r="A30" t="s">
        <v>73</v>
      </c>
      <c r="B30" t="s">
        <v>20</v>
      </c>
      <c r="C30" t="s">
        <v>14</v>
      </c>
      <c r="D30">
        <v>109</v>
      </c>
      <c r="E30">
        <v>6</v>
      </c>
      <c r="F30">
        <v>103</v>
      </c>
      <c r="G30">
        <v>5.5045871559633031E-2</v>
      </c>
      <c r="H30">
        <v>0.94495412844036697</v>
      </c>
      <c r="I30" t="s">
        <v>1191</v>
      </c>
      <c r="J30">
        <v>22</v>
      </c>
      <c r="K30">
        <v>2</v>
      </c>
      <c r="L30">
        <v>85</v>
      </c>
      <c r="M30">
        <v>0</v>
      </c>
      <c r="N30">
        <v>10</v>
      </c>
      <c r="O30" t="s">
        <v>17955</v>
      </c>
      <c r="P30" s="9">
        <v>0</v>
      </c>
      <c r="Q30" s="9">
        <v>5</v>
      </c>
      <c r="R30" s="9" t="s">
        <v>17955</v>
      </c>
      <c r="S30" t="s">
        <v>1140</v>
      </c>
      <c r="T30" t="s">
        <v>17957</v>
      </c>
      <c r="U30" t="s">
        <v>17957</v>
      </c>
      <c r="V30" t="s">
        <v>17957</v>
      </c>
      <c r="W30" t="s">
        <v>17957</v>
      </c>
      <c r="X30" t="s">
        <v>1140</v>
      </c>
      <c r="Y30" t="s">
        <v>17957</v>
      </c>
      <c r="Z30">
        <v>3</v>
      </c>
      <c r="AA30">
        <v>2</v>
      </c>
      <c r="AB30">
        <v>1</v>
      </c>
      <c r="AC30">
        <v>3</v>
      </c>
      <c r="AD30">
        <v>10</v>
      </c>
      <c r="AE30">
        <v>19</v>
      </c>
      <c r="AF30">
        <v>8</v>
      </c>
      <c r="AG30">
        <v>2</v>
      </c>
      <c r="AH30">
        <v>0</v>
      </c>
      <c r="AI30">
        <v>5</v>
      </c>
      <c r="AJ30">
        <v>0</v>
      </c>
      <c r="AK30">
        <v>1</v>
      </c>
      <c r="AL30">
        <v>2021</v>
      </c>
    </row>
    <row r="31" spans="1:38" x14ac:dyDescent="0.3">
      <c r="A31" t="s">
        <v>75</v>
      </c>
      <c r="B31" t="s">
        <v>20</v>
      </c>
      <c r="C31" t="s">
        <v>14</v>
      </c>
      <c r="D31">
        <v>430</v>
      </c>
      <c r="E31">
        <v>100</v>
      </c>
      <c r="F31">
        <v>330</v>
      </c>
      <c r="G31">
        <v>0.23255813953488372</v>
      </c>
      <c r="H31">
        <v>0.76744186046511631</v>
      </c>
      <c r="I31" t="s">
        <v>17952</v>
      </c>
      <c r="J31">
        <v>30</v>
      </c>
      <c r="K31">
        <v>30</v>
      </c>
      <c r="L31">
        <v>370</v>
      </c>
      <c r="M31">
        <v>0</v>
      </c>
      <c r="N31">
        <v>3</v>
      </c>
      <c r="O31">
        <v>97</v>
      </c>
      <c r="P31" s="9">
        <v>0</v>
      </c>
      <c r="Q31" s="9">
        <v>0.1</v>
      </c>
      <c r="R31" s="9">
        <v>0.26216216216216215</v>
      </c>
      <c r="S31" t="s">
        <v>1140</v>
      </c>
      <c r="T31" t="s">
        <v>1140</v>
      </c>
      <c r="U31" t="s">
        <v>1140</v>
      </c>
      <c r="V31" t="s">
        <v>1140</v>
      </c>
      <c r="W31" t="s">
        <v>1140</v>
      </c>
      <c r="X31" t="s">
        <v>1140</v>
      </c>
      <c r="Y31" t="s">
        <v>1140</v>
      </c>
      <c r="Z31">
        <v>4</v>
      </c>
      <c r="AA31">
        <v>6</v>
      </c>
      <c r="AB31">
        <v>12</v>
      </c>
      <c r="AC31">
        <v>6</v>
      </c>
      <c r="AD31">
        <v>1</v>
      </c>
      <c r="AE31">
        <v>29</v>
      </c>
      <c r="AF31">
        <v>13</v>
      </c>
      <c r="AG31">
        <v>6</v>
      </c>
      <c r="AH31">
        <v>6</v>
      </c>
      <c r="AI31">
        <v>1</v>
      </c>
      <c r="AJ31">
        <v>0</v>
      </c>
      <c r="AK31">
        <v>0</v>
      </c>
      <c r="AL31">
        <v>2021</v>
      </c>
    </row>
    <row r="32" spans="1:38" x14ac:dyDescent="0.3">
      <c r="A32" t="s">
        <v>77</v>
      </c>
      <c r="B32" t="s">
        <v>20</v>
      </c>
      <c r="C32" t="s">
        <v>14</v>
      </c>
      <c r="D32">
        <v>420</v>
      </c>
      <c r="E32">
        <v>100</v>
      </c>
      <c r="F32">
        <v>320</v>
      </c>
      <c r="G32">
        <v>0.23809523809523808</v>
      </c>
      <c r="H32">
        <v>0.76190476190476186</v>
      </c>
      <c r="I32" t="s">
        <v>17952</v>
      </c>
      <c r="J32">
        <v>100</v>
      </c>
      <c r="K32" t="s">
        <v>17955</v>
      </c>
      <c r="L32" t="s">
        <v>17955</v>
      </c>
      <c r="M32">
        <v>0</v>
      </c>
      <c r="N32">
        <v>0</v>
      </c>
      <c r="O32">
        <v>100</v>
      </c>
      <c r="P32" s="9">
        <v>0</v>
      </c>
      <c r="Q32" s="9" t="s">
        <v>17955</v>
      </c>
      <c r="R32" s="9" t="s">
        <v>17955</v>
      </c>
      <c r="S32" t="s">
        <v>17957</v>
      </c>
      <c r="T32" t="s">
        <v>1140</v>
      </c>
      <c r="U32" t="s">
        <v>1140</v>
      </c>
      <c r="V32" t="s">
        <v>1140</v>
      </c>
      <c r="W32" t="s">
        <v>1140</v>
      </c>
      <c r="X32" t="s">
        <v>1140</v>
      </c>
      <c r="Y32" t="s">
        <v>17957</v>
      </c>
      <c r="Z32">
        <v>12</v>
      </c>
      <c r="AA32">
        <v>11</v>
      </c>
      <c r="AB32">
        <v>12</v>
      </c>
      <c r="AC32">
        <v>13</v>
      </c>
      <c r="AD32">
        <v>8</v>
      </c>
      <c r="AE32">
        <v>56</v>
      </c>
      <c r="AF32">
        <v>19</v>
      </c>
      <c r="AG32">
        <v>0</v>
      </c>
      <c r="AH32">
        <v>4</v>
      </c>
      <c r="AI32">
        <v>14</v>
      </c>
      <c r="AJ32">
        <v>1</v>
      </c>
      <c r="AK32">
        <v>0</v>
      </c>
      <c r="AL32">
        <v>2021</v>
      </c>
    </row>
    <row r="33" spans="1:38" x14ac:dyDescent="0.3">
      <c r="A33" t="s">
        <v>79</v>
      </c>
      <c r="B33" t="s">
        <v>20</v>
      </c>
      <c r="C33" t="s">
        <v>14</v>
      </c>
      <c r="D33">
        <v>278</v>
      </c>
      <c r="E33">
        <v>90</v>
      </c>
      <c r="F33">
        <v>188</v>
      </c>
      <c r="G33">
        <v>0.32374100719424459</v>
      </c>
      <c r="H33">
        <v>0.67625899280575541</v>
      </c>
      <c r="I33" t="s">
        <v>1191</v>
      </c>
      <c r="J33">
        <v>81</v>
      </c>
      <c r="K33">
        <v>7</v>
      </c>
      <c r="L33">
        <v>190</v>
      </c>
      <c r="M33">
        <v>2</v>
      </c>
      <c r="N33">
        <v>6</v>
      </c>
      <c r="O33">
        <v>82</v>
      </c>
      <c r="P33" s="9">
        <v>2.2222222222222223E-2</v>
      </c>
      <c r="Q33" s="9">
        <v>0.8571428571428571</v>
      </c>
      <c r="R33" s="9">
        <v>0.43157894736842106</v>
      </c>
      <c r="S33" t="s">
        <v>1140</v>
      </c>
      <c r="T33" t="s">
        <v>1140</v>
      </c>
      <c r="U33" t="s">
        <v>1140</v>
      </c>
      <c r="V33" t="s">
        <v>1140</v>
      </c>
      <c r="W33" t="s">
        <v>1140</v>
      </c>
      <c r="X33" t="s">
        <v>1140</v>
      </c>
      <c r="Y33" t="s">
        <v>1140</v>
      </c>
      <c r="Z33">
        <v>1</v>
      </c>
      <c r="AA33">
        <v>2</v>
      </c>
      <c r="AB33">
        <v>1</v>
      </c>
      <c r="AC33">
        <v>1</v>
      </c>
      <c r="AD33">
        <v>0</v>
      </c>
      <c r="AE33">
        <v>5</v>
      </c>
      <c r="AF33">
        <v>22</v>
      </c>
      <c r="AG33">
        <v>1</v>
      </c>
      <c r="AH33">
        <v>7</v>
      </c>
      <c r="AI33">
        <v>12</v>
      </c>
      <c r="AJ33">
        <v>2</v>
      </c>
      <c r="AK33">
        <v>0</v>
      </c>
      <c r="AL33">
        <v>2021</v>
      </c>
    </row>
    <row r="34" spans="1:38" x14ac:dyDescent="0.3">
      <c r="A34" t="s">
        <v>81</v>
      </c>
      <c r="B34" t="s">
        <v>20</v>
      </c>
      <c r="C34" t="s">
        <v>14</v>
      </c>
      <c r="D34" t="s">
        <v>17955</v>
      </c>
      <c r="E34" t="s">
        <v>17955</v>
      </c>
      <c r="F34" t="s">
        <v>17955</v>
      </c>
      <c r="G34" t="s">
        <v>17955</v>
      </c>
      <c r="H34" t="s">
        <v>17955</v>
      </c>
      <c r="I34" t="s">
        <v>17954</v>
      </c>
      <c r="J34" t="s">
        <v>17955</v>
      </c>
      <c r="K34" t="s">
        <v>17955</v>
      </c>
      <c r="L34" t="s">
        <v>17955</v>
      </c>
      <c r="M34">
        <v>0</v>
      </c>
      <c r="N34">
        <v>0</v>
      </c>
      <c r="O34" t="s">
        <v>17955</v>
      </c>
      <c r="P34" s="9" t="s">
        <v>17955</v>
      </c>
      <c r="Q34" s="9" t="s">
        <v>17955</v>
      </c>
      <c r="R34" s="9" t="s">
        <v>17955</v>
      </c>
      <c r="S34" t="s">
        <v>17957</v>
      </c>
      <c r="T34" t="s">
        <v>17957</v>
      </c>
      <c r="U34" t="s">
        <v>17957</v>
      </c>
      <c r="V34" t="s">
        <v>1140</v>
      </c>
      <c r="W34" t="s">
        <v>1140</v>
      </c>
      <c r="X34" t="s">
        <v>1140</v>
      </c>
      <c r="Y34" t="s">
        <v>17957</v>
      </c>
      <c r="Z34" t="s">
        <v>17955</v>
      </c>
      <c r="AA34" t="s">
        <v>17955</v>
      </c>
      <c r="AB34" t="s">
        <v>17955</v>
      </c>
      <c r="AC34" t="s">
        <v>17955</v>
      </c>
      <c r="AD34" t="s">
        <v>17955</v>
      </c>
      <c r="AE34">
        <v>0</v>
      </c>
      <c r="AF34">
        <v>0</v>
      </c>
      <c r="AG34">
        <v>0</v>
      </c>
      <c r="AH34">
        <v>0</v>
      </c>
      <c r="AI34">
        <v>0</v>
      </c>
      <c r="AJ34">
        <v>0</v>
      </c>
      <c r="AK34">
        <v>0</v>
      </c>
      <c r="AL34">
        <v>2021</v>
      </c>
    </row>
    <row r="35" spans="1:38" x14ac:dyDescent="0.3">
      <c r="A35" t="s">
        <v>83</v>
      </c>
      <c r="B35" t="s">
        <v>17</v>
      </c>
      <c r="C35" t="s">
        <v>14</v>
      </c>
      <c r="D35">
        <v>41</v>
      </c>
      <c r="E35">
        <v>10</v>
      </c>
      <c r="F35">
        <v>31</v>
      </c>
      <c r="G35">
        <v>0.24390243902439024</v>
      </c>
      <c r="H35">
        <v>0.75609756097560976</v>
      </c>
      <c r="I35" t="s">
        <v>17953</v>
      </c>
      <c r="J35">
        <v>20</v>
      </c>
      <c r="K35">
        <v>0</v>
      </c>
      <c r="L35">
        <v>21</v>
      </c>
      <c r="M35">
        <v>0</v>
      </c>
      <c r="N35">
        <v>1</v>
      </c>
      <c r="O35">
        <v>9</v>
      </c>
      <c r="P35" s="9">
        <v>0</v>
      </c>
      <c r="Q35" s="9" t="s">
        <v>17955</v>
      </c>
      <c r="R35" s="9">
        <v>0.42857142857142855</v>
      </c>
      <c r="S35" t="s">
        <v>1140</v>
      </c>
      <c r="T35" t="s">
        <v>1140</v>
      </c>
      <c r="U35" t="s">
        <v>1140</v>
      </c>
      <c r="V35" t="s">
        <v>17957</v>
      </c>
      <c r="W35" t="s">
        <v>1140</v>
      </c>
      <c r="X35" t="s">
        <v>1140</v>
      </c>
      <c r="Y35" t="s">
        <v>17957</v>
      </c>
      <c r="Z35">
        <v>0</v>
      </c>
      <c r="AA35">
        <v>0</v>
      </c>
      <c r="AB35">
        <v>1</v>
      </c>
      <c r="AC35">
        <v>1</v>
      </c>
      <c r="AD35">
        <v>1</v>
      </c>
      <c r="AE35">
        <v>3</v>
      </c>
      <c r="AF35">
        <v>7</v>
      </c>
      <c r="AG35">
        <v>1</v>
      </c>
      <c r="AH35">
        <v>0</v>
      </c>
      <c r="AI35">
        <v>1</v>
      </c>
      <c r="AJ35">
        <v>0</v>
      </c>
      <c r="AK35">
        <v>0</v>
      </c>
      <c r="AL35">
        <v>2021</v>
      </c>
    </row>
    <row r="36" spans="1:38" x14ac:dyDescent="0.3">
      <c r="A36" t="s">
        <v>85</v>
      </c>
      <c r="B36" t="s">
        <v>20</v>
      </c>
      <c r="C36" t="s">
        <v>14</v>
      </c>
      <c r="D36" t="s">
        <v>17955</v>
      </c>
      <c r="E36" t="s">
        <v>17955</v>
      </c>
      <c r="F36" t="s">
        <v>17955</v>
      </c>
      <c r="G36" t="s">
        <v>17955</v>
      </c>
      <c r="H36" t="s">
        <v>17955</v>
      </c>
      <c r="I36" t="s">
        <v>17954</v>
      </c>
      <c r="J36" t="s">
        <v>17955</v>
      </c>
      <c r="K36" t="s">
        <v>17955</v>
      </c>
      <c r="L36" t="s">
        <v>17955</v>
      </c>
      <c r="M36">
        <v>0</v>
      </c>
      <c r="N36">
        <v>0</v>
      </c>
      <c r="O36" t="s">
        <v>17955</v>
      </c>
      <c r="P36" s="9" t="s">
        <v>17955</v>
      </c>
      <c r="Q36" s="9" t="s">
        <v>17955</v>
      </c>
      <c r="R36" s="9" t="s">
        <v>17955</v>
      </c>
      <c r="S36" t="s">
        <v>17957</v>
      </c>
      <c r="T36" t="s">
        <v>17957</v>
      </c>
      <c r="U36" t="s">
        <v>17957</v>
      </c>
      <c r="V36" t="s">
        <v>1140</v>
      </c>
      <c r="W36" t="s">
        <v>1140</v>
      </c>
      <c r="X36" t="s">
        <v>1140</v>
      </c>
      <c r="Y36" t="s">
        <v>17957</v>
      </c>
      <c r="Z36" t="s">
        <v>17955</v>
      </c>
      <c r="AA36" t="s">
        <v>17955</v>
      </c>
      <c r="AB36" t="s">
        <v>17955</v>
      </c>
      <c r="AC36" t="s">
        <v>17955</v>
      </c>
      <c r="AD36" t="s">
        <v>17955</v>
      </c>
      <c r="AE36">
        <v>0</v>
      </c>
      <c r="AF36">
        <v>0</v>
      </c>
      <c r="AG36">
        <v>0</v>
      </c>
      <c r="AH36">
        <v>0</v>
      </c>
      <c r="AI36">
        <v>0</v>
      </c>
      <c r="AJ36">
        <v>0</v>
      </c>
      <c r="AK36">
        <v>0</v>
      </c>
      <c r="AL36">
        <v>2021</v>
      </c>
    </row>
    <row r="37" spans="1:38" x14ac:dyDescent="0.3">
      <c r="A37" t="s">
        <v>87</v>
      </c>
      <c r="B37" t="s">
        <v>20</v>
      </c>
      <c r="C37" t="s">
        <v>14</v>
      </c>
      <c r="D37" t="s">
        <v>17955</v>
      </c>
      <c r="E37" t="s">
        <v>17955</v>
      </c>
      <c r="F37" t="s">
        <v>17955</v>
      </c>
      <c r="G37" t="s">
        <v>17955</v>
      </c>
      <c r="H37" t="s">
        <v>17955</v>
      </c>
      <c r="I37" t="s">
        <v>17954</v>
      </c>
      <c r="J37" t="s">
        <v>17955</v>
      </c>
      <c r="K37" t="s">
        <v>17955</v>
      </c>
      <c r="L37" t="s">
        <v>17955</v>
      </c>
      <c r="M37">
        <v>0</v>
      </c>
      <c r="N37">
        <v>0</v>
      </c>
      <c r="O37" t="s">
        <v>17955</v>
      </c>
      <c r="P37" s="9" t="s">
        <v>17955</v>
      </c>
      <c r="Q37" s="9" t="s">
        <v>17955</v>
      </c>
      <c r="R37" s="9" t="s">
        <v>17955</v>
      </c>
      <c r="S37" t="s">
        <v>17957</v>
      </c>
      <c r="T37" t="s">
        <v>17957</v>
      </c>
      <c r="U37" t="s">
        <v>17957</v>
      </c>
      <c r="V37" t="s">
        <v>1140</v>
      </c>
      <c r="W37" t="s">
        <v>1140</v>
      </c>
      <c r="X37" t="s">
        <v>1140</v>
      </c>
      <c r="Y37" t="s">
        <v>17957</v>
      </c>
      <c r="Z37" t="s">
        <v>17955</v>
      </c>
      <c r="AA37" t="s">
        <v>17955</v>
      </c>
      <c r="AB37" t="s">
        <v>17955</v>
      </c>
      <c r="AC37" t="s">
        <v>17955</v>
      </c>
      <c r="AD37" t="s">
        <v>17955</v>
      </c>
      <c r="AE37">
        <v>0</v>
      </c>
      <c r="AF37">
        <v>0</v>
      </c>
      <c r="AG37">
        <v>0</v>
      </c>
      <c r="AH37">
        <v>0</v>
      </c>
      <c r="AI37">
        <v>0</v>
      </c>
      <c r="AJ37">
        <v>0</v>
      </c>
      <c r="AK37">
        <v>0</v>
      </c>
      <c r="AL37">
        <v>2021</v>
      </c>
    </row>
    <row r="38" spans="1:38" x14ac:dyDescent="0.3">
      <c r="A38" t="s">
        <v>89</v>
      </c>
      <c r="B38" t="s">
        <v>20</v>
      </c>
      <c r="C38" t="s">
        <v>14</v>
      </c>
      <c r="D38" t="s">
        <v>17955</v>
      </c>
      <c r="E38" t="s">
        <v>17955</v>
      </c>
      <c r="F38" t="s">
        <v>17955</v>
      </c>
      <c r="G38" t="s">
        <v>17955</v>
      </c>
      <c r="H38" t="s">
        <v>17955</v>
      </c>
      <c r="I38" t="s">
        <v>17954</v>
      </c>
      <c r="J38" t="s">
        <v>17955</v>
      </c>
      <c r="K38" t="s">
        <v>17955</v>
      </c>
      <c r="L38" t="s">
        <v>17955</v>
      </c>
      <c r="M38">
        <v>0</v>
      </c>
      <c r="N38">
        <v>0</v>
      </c>
      <c r="O38" t="s">
        <v>17955</v>
      </c>
      <c r="P38" s="9" t="s">
        <v>17955</v>
      </c>
      <c r="Q38" s="9" t="s">
        <v>17955</v>
      </c>
      <c r="R38" s="9" t="s">
        <v>17955</v>
      </c>
      <c r="S38" t="s">
        <v>17957</v>
      </c>
      <c r="T38" t="s">
        <v>17957</v>
      </c>
      <c r="U38" t="s">
        <v>17957</v>
      </c>
      <c r="V38" t="s">
        <v>1140</v>
      </c>
      <c r="W38" t="s">
        <v>1140</v>
      </c>
      <c r="X38" t="s">
        <v>1140</v>
      </c>
      <c r="Y38" t="s">
        <v>17957</v>
      </c>
      <c r="Z38" t="s">
        <v>17955</v>
      </c>
      <c r="AA38" t="s">
        <v>17955</v>
      </c>
      <c r="AB38" t="s">
        <v>17955</v>
      </c>
      <c r="AC38" t="s">
        <v>17955</v>
      </c>
      <c r="AD38" t="s">
        <v>17955</v>
      </c>
      <c r="AE38">
        <v>0</v>
      </c>
      <c r="AF38">
        <v>0</v>
      </c>
      <c r="AG38">
        <v>0</v>
      </c>
      <c r="AH38">
        <v>0</v>
      </c>
      <c r="AI38">
        <v>0</v>
      </c>
      <c r="AJ38">
        <v>0</v>
      </c>
      <c r="AK38">
        <v>0</v>
      </c>
      <c r="AL38">
        <v>2021</v>
      </c>
    </row>
    <row r="39" spans="1:38" x14ac:dyDescent="0.3">
      <c r="A39" t="s">
        <v>91</v>
      </c>
      <c r="B39" t="s">
        <v>1117</v>
      </c>
      <c r="C39" t="s">
        <v>14</v>
      </c>
      <c r="D39" t="s">
        <v>17955</v>
      </c>
      <c r="E39" t="s">
        <v>17955</v>
      </c>
      <c r="F39" t="s">
        <v>17955</v>
      </c>
      <c r="G39" t="s">
        <v>17955</v>
      </c>
      <c r="H39" t="s">
        <v>17955</v>
      </c>
      <c r="I39" t="s">
        <v>17954</v>
      </c>
      <c r="J39" t="s">
        <v>17955</v>
      </c>
      <c r="K39" t="s">
        <v>17955</v>
      </c>
      <c r="L39" t="s">
        <v>17955</v>
      </c>
      <c r="M39">
        <v>0</v>
      </c>
      <c r="N39">
        <v>0</v>
      </c>
      <c r="O39" t="s">
        <v>17955</v>
      </c>
      <c r="P39" s="9" t="s">
        <v>17955</v>
      </c>
      <c r="Q39" s="9" t="s">
        <v>17955</v>
      </c>
      <c r="R39" s="9" t="s">
        <v>17955</v>
      </c>
      <c r="S39" t="s">
        <v>17957</v>
      </c>
      <c r="T39" t="s">
        <v>17957</v>
      </c>
      <c r="U39" t="s">
        <v>17957</v>
      </c>
      <c r="V39" t="s">
        <v>1140</v>
      </c>
      <c r="W39" t="s">
        <v>1140</v>
      </c>
      <c r="X39" t="s">
        <v>1140</v>
      </c>
      <c r="Y39" t="s">
        <v>17957</v>
      </c>
      <c r="Z39" t="s">
        <v>17955</v>
      </c>
      <c r="AA39" t="s">
        <v>17955</v>
      </c>
      <c r="AB39" t="s">
        <v>17955</v>
      </c>
      <c r="AC39" t="s">
        <v>17955</v>
      </c>
      <c r="AD39" t="s">
        <v>17955</v>
      </c>
      <c r="AE39">
        <v>0</v>
      </c>
      <c r="AF39">
        <v>0</v>
      </c>
      <c r="AG39">
        <v>0</v>
      </c>
      <c r="AH39">
        <v>0</v>
      </c>
      <c r="AI39">
        <v>0</v>
      </c>
      <c r="AJ39">
        <v>0</v>
      </c>
      <c r="AK39">
        <v>0</v>
      </c>
      <c r="AL39">
        <v>2021</v>
      </c>
    </row>
    <row r="40" spans="1:38" x14ac:dyDescent="0.3">
      <c r="A40" t="s">
        <v>93</v>
      </c>
      <c r="B40" t="s">
        <v>20</v>
      </c>
      <c r="C40" t="s">
        <v>14</v>
      </c>
      <c r="D40" t="s">
        <v>17955</v>
      </c>
      <c r="E40" t="s">
        <v>17955</v>
      </c>
      <c r="F40" t="s">
        <v>17955</v>
      </c>
      <c r="G40" t="s">
        <v>17955</v>
      </c>
      <c r="H40" t="s">
        <v>17955</v>
      </c>
      <c r="I40" t="s">
        <v>17954</v>
      </c>
      <c r="J40" t="s">
        <v>17955</v>
      </c>
      <c r="K40" t="s">
        <v>17955</v>
      </c>
      <c r="L40" t="s">
        <v>17955</v>
      </c>
      <c r="M40">
        <v>0</v>
      </c>
      <c r="N40">
        <v>0</v>
      </c>
      <c r="O40" t="s">
        <v>17955</v>
      </c>
      <c r="P40" s="9" t="s">
        <v>17955</v>
      </c>
      <c r="Q40" s="9" t="s">
        <v>17955</v>
      </c>
      <c r="R40" s="9" t="s">
        <v>17955</v>
      </c>
      <c r="S40" t="s">
        <v>17957</v>
      </c>
      <c r="T40" t="s">
        <v>17957</v>
      </c>
      <c r="U40" t="s">
        <v>17957</v>
      </c>
      <c r="V40" t="s">
        <v>1140</v>
      </c>
      <c r="W40" t="s">
        <v>1140</v>
      </c>
      <c r="X40" t="s">
        <v>1140</v>
      </c>
      <c r="Y40" t="s">
        <v>17957</v>
      </c>
      <c r="Z40" t="s">
        <v>17955</v>
      </c>
      <c r="AA40" t="s">
        <v>17955</v>
      </c>
      <c r="AB40" t="s">
        <v>17955</v>
      </c>
      <c r="AC40" t="s">
        <v>17955</v>
      </c>
      <c r="AD40" t="s">
        <v>17955</v>
      </c>
      <c r="AE40">
        <v>0</v>
      </c>
      <c r="AF40">
        <v>0</v>
      </c>
      <c r="AG40">
        <v>0</v>
      </c>
      <c r="AH40">
        <v>0</v>
      </c>
      <c r="AI40">
        <v>0</v>
      </c>
      <c r="AJ40">
        <v>0</v>
      </c>
      <c r="AK40">
        <v>0</v>
      </c>
      <c r="AL40">
        <v>2021</v>
      </c>
    </row>
    <row r="41" spans="1:38" x14ac:dyDescent="0.3">
      <c r="A41" t="s">
        <v>95</v>
      </c>
      <c r="B41" t="s">
        <v>20</v>
      </c>
      <c r="C41" t="s">
        <v>14</v>
      </c>
      <c r="D41" t="s">
        <v>17955</v>
      </c>
      <c r="E41" t="s">
        <v>17955</v>
      </c>
      <c r="F41" t="s">
        <v>17955</v>
      </c>
      <c r="G41" t="s">
        <v>17955</v>
      </c>
      <c r="H41" t="s">
        <v>17955</v>
      </c>
      <c r="I41" t="s">
        <v>17954</v>
      </c>
      <c r="J41" t="s">
        <v>17955</v>
      </c>
      <c r="K41" t="s">
        <v>17955</v>
      </c>
      <c r="L41" t="s">
        <v>17955</v>
      </c>
      <c r="M41">
        <v>0</v>
      </c>
      <c r="N41">
        <v>0</v>
      </c>
      <c r="O41" t="s">
        <v>17955</v>
      </c>
      <c r="P41" s="9" t="s">
        <v>17955</v>
      </c>
      <c r="Q41" s="9" t="s">
        <v>17955</v>
      </c>
      <c r="R41" s="9" t="s">
        <v>17955</v>
      </c>
      <c r="S41" t="s">
        <v>17957</v>
      </c>
      <c r="T41" t="s">
        <v>17957</v>
      </c>
      <c r="U41" t="s">
        <v>17957</v>
      </c>
      <c r="V41" t="s">
        <v>1140</v>
      </c>
      <c r="W41" t="s">
        <v>1140</v>
      </c>
      <c r="X41" t="s">
        <v>1140</v>
      </c>
      <c r="Y41" t="s">
        <v>17957</v>
      </c>
      <c r="Z41" t="s">
        <v>17955</v>
      </c>
      <c r="AA41" t="s">
        <v>17955</v>
      </c>
      <c r="AB41" t="s">
        <v>17955</v>
      </c>
      <c r="AC41" t="s">
        <v>17955</v>
      </c>
      <c r="AD41" t="s">
        <v>17955</v>
      </c>
      <c r="AE41">
        <v>0</v>
      </c>
      <c r="AF41">
        <v>0</v>
      </c>
      <c r="AG41">
        <v>0</v>
      </c>
      <c r="AH41">
        <v>0</v>
      </c>
      <c r="AI41">
        <v>0</v>
      </c>
      <c r="AJ41">
        <v>0</v>
      </c>
      <c r="AK41">
        <v>0</v>
      </c>
      <c r="AL41">
        <v>2021</v>
      </c>
    </row>
    <row r="42" spans="1:38" x14ac:dyDescent="0.3">
      <c r="A42" t="s">
        <v>97</v>
      </c>
      <c r="B42" t="s">
        <v>20</v>
      </c>
      <c r="C42" t="s">
        <v>14</v>
      </c>
      <c r="D42" t="s">
        <v>17955</v>
      </c>
      <c r="E42" t="s">
        <v>17955</v>
      </c>
      <c r="F42" t="s">
        <v>17955</v>
      </c>
      <c r="G42" t="s">
        <v>17955</v>
      </c>
      <c r="H42" t="s">
        <v>17955</v>
      </c>
      <c r="I42" t="s">
        <v>17954</v>
      </c>
      <c r="J42" t="s">
        <v>17955</v>
      </c>
      <c r="K42" t="s">
        <v>17955</v>
      </c>
      <c r="L42" t="s">
        <v>17955</v>
      </c>
      <c r="M42">
        <v>0</v>
      </c>
      <c r="N42">
        <v>0</v>
      </c>
      <c r="O42" t="s">
        <v>17955</v>
      </c>
      <c r="P42" s="9" t="s">
        <v>17955</v>
      </c>
      <c r="Q42" s="9" t="s">
        <v>17955</v>
      </c>
      <c r="R42" s="9" t="s">
        <v>17955</v>
      </c>
      <c r="S42" t="s">
        <v>17957</v>
      </c>
      <c r="T42" t="s">
        <v>17957</v>
      </c>
      <c r="U42" t="s">
        <v>17957</v>
      </c>
      <c r="V42" t="s">
        <v>1140</v>
      </c>
      <c r="W42" t="s">
        <v>1140</v>
      </c>
      <c r="X42" t="s">
        <v>1140</v>
      </c>
      <c r="Y42" t="s">
        <v>17957</v>
      </c>
      <c r="Z42" t="s">
        <v>17955</v>
      </c>
      <c r="AA42" t="s">
        <v>17955</v>
      </c>
      <c r="AB42" t="s">
        <v>17955</v>
      </c>
      <c r="AC42" t="s">
        <v>17955</v>
      </c>
      <c r="AD42" t="s">
        <v>17955</v>
      </c>
      <c r="AE42">
        <v>0</v>
      </c>
      <c r="AF42">
        <v>0</v>
      </c>
      <c r="AG42">
        <v>0</v>
      </c>
      <c r="AH42">
        <v>0</v>
      </c>
      <c r="AI42">
        <v>0</v>
      </c>
      <c r="AJ42">
        <v>0</v>
      </c>
      <c r="AK42">
        <v>0</v>
      </c>
      <c r="AL42">
        <v>2021</v>
      </c>
    </row>
    <row r="43" spans="1:38" x14ac:dyDescent="0.3">
      <c r="A43" t="s">
        <v>99</v>
      </c>
      <c r="B43" t="s">
        <v>17</v>
      </c>
      <c r="C43" t="s">
        <v>14</v>
      </c>
      <c r="D43" t="s">
        <v>17955</v>
      </c>
      <c r="E43" t="s">
        <v>17955</v>
      </c>
      <c r="F43" t="s">
        <v>17955</v>
      </c>
      <c r="G43" t="s">
        <v>17955</v>
      </c>
      <c r="H43" t="s">
        <v>17955</v>
      </c>
      <c r="I43" t="s">
        <v>17954</v>
      </c>
      <c r="J43" t="s">
        <v>17955</v>
      </c>
      <c r="K43" t="s">
        <v>17955</v>
      </c>
      <c r="L43" t="s">
        <v>17955</v>
      </c>
      <c r="M43">
        <v>0</v>
      </c>
      <c r="N43">
        <v>0</v>
      </c>
      <c r="O43" t="s">
        <v>17955</v>
      </c>
      <c r="P43" s="9" t="s">
        <v>17955</v>
      </c>
      <c r="Q43" s="9" t="s">
        <v>17955</v>
      </c>
      <c r="R43" s="9" t="s">
        <v>17955</v>
      </c>
      <c r="S43" t="s">
        <v>17957</v>
      </c>
      <c r="T43" t="s">
        <v>17957</v>
      </c>
      <c r="U43" t="s">
        <v>17957</v>
      </c>
      <c r="V43" t="s">
        <v>1140</v>
      </c>
      <c r="W43" t="s">
        <v>1140</v>
      </c>
      <c r="X43" t="s">
        <v>1140</v>
      </c>
      <c r="Y43" t="s">
        <v>17957</v>
      </c>
      <c r="Z43" t="s">
        <v>17955</v>
      </c>
      <c r="AA43" t="s">
        <v>17955</v>
      </c>
      <c r="AB43" t="s">
        <v>17955</v>
      </c>
      <c r="AC43" t="s">
        <v>17955</v>
      </c>
      <c r="AD43" t="s">
        <v>17955</v>
      </c>
      <c r="AE43">
        <v>0</v>
      </c>
      <c r="AF43">
        <v>0</v>
      </c>
      <c r="AG43">
        <v>0</v>
      </c>
      <c r="AH43">
        <v>0</v>
      </c>
      <c r="AI43">
        <v>0</v>
      </c>
      <c r="AJ43">
        <v>0</v>
      </c>
      <c r="AK43">
        <v>0</v>
      </c>
      <c r="AL43">
        <v>2021</v>
      </c>
    </row>
    <row r="44" spans="1:38" x14ac:dyDescent="0.3">
      <c r="A44" t="s">
        <v>101</v>
      </c>
      <c r="B44" t="s">
        <v>17</v>
      </c>
      <c r="C44" t="s">
        <v>14</v>
      </c>
      <c r="D44" t="s">
        <v>17955</v>
      </c>
      <c r="E44" t="s">
        <v>17955</v>
      </c>
      <c r="F44" t="s">
        <v>17955</v>
      </c>
      <c r="G44" t="s">
        <v>17955</v>
      </c>
      <c r="H44" t="s">
        <v>17955</v>
      </c>
      <c r="I44" t="s">
        <v>17954</v>
      </c>
      <c r="J44" t="s">
        <v>17955</v>
      </c>
      <c r="K44" t="s">
        <v>17955</v>
      </c>
      <c r="L44" t="s">
        <v>17955</v>
      </c>
      <c r="M44">
        <v>0</v>
      </c>
      <c r="N44">
        <v>0</v>
      </c>
      <c r="O44" t="s">
        <v>17955</v>
      </c>
      <c r="P44" s="9" t="s">
        <v>17955</v>
      </c>
      <c r="Q44" s="9" t="s">
        <v>17955</v>
      </c>
      <c r="R44" s="9" t="s">
        <v>17955</v>
      </c>
      <c r="S44" t="s">
        <v>17957</v>
      </c>
      <c r="T44" t="s">
        <v>17957</v>
      </c>
      <c r="U44" t="s">
        <v>17957</v>
      </c>
      <c r="V44" t="s">
        <v>1140</v>
      </c>
      <c r="W44" t="s">
        <v>1140</v>
      </c>
      <c r="X44" t="s">
        <v>1140</v>
      </c>
      <c r="Y44" t="s">
        <v>17957</v>
      </c>
      <c r="Z44" t="s">
        <v>17955</v>
      </c>
      <c r="AA44" t="s">
        <v>17955</v>
      </c>
      <c r="AB44" t="s">
        <v>17955</v>
      </c>
      <c r="AC44" t="s">
        <v>17955</v>
      </c>
      <c r="AD44" t="s">
        <v>17955</v>
      </c>
      <c r="AE44">
        <v>0</v>
      </c>
      <c r="AF44">
        <v>0</v>
      </c>
      <c r="AG44">
        <v>0</v>
      </c>
      <c r="AH44">
        <v>0</v>
      </c>
      <c r="AI44">
        <v>0</v>
      </c>
      <c r="AJ44">
        <v>0</v>
      </c>
      <c r="AK44">
        <v>0</v>
      </c>
      <c r="AL44">
        <v>2021</v>
      </c>
    </row>
    <row r="45" spans="1:38" x14ac:dyDescent="0.3">
      <c r="A45" t="s">
        <v>103</v>
      </c>
      <c r="B45" t="s">
        <v>17</v>
      </c>
      <c r="C45" t="s">
        <v>14</v>
      </c>
      <c r="D45">
        <v>28</v>
      </c>
      <c r="E45">
        <v>6</v>
      </c>
      <c r="F45">
        <v>22</v>
      </c>
      <c r="G45">
        <v>0.21428571428571427</v>
      </c>
      <c r="H45">
        <v>0.7857142857142857</v>
      </c>
      <c r="I45" t="s">
        <v>17953</v>
      </c>
      <c r="J45">
        <v>6</v>
      </c>
      <c r="K45">
        <v>4</v>
      </c>
      <c r="L45">
        <v>18</v>
      </c>
      <c r="M45">
        <v>1</v>
      </c>
      <c r="N45">
        <v>3</v>
      </c>
      <c r="O45">
        <v>2</v>
      </c>
      <c r="P45" s="9">
        <v>0.16666666666666666</v>
      </c>
      <c r="Q45" s="9">
        <v>0.75</v>
      </c>
      <c r="R45" s="9">
        <v>0.1111111111111111</v>
      </c>
      <c r="S45" t="s">
        <v>1140</v>
      </c>
      <c r="T45" t="s">
        <v>1140</v>
      </c>
      <c r="U45" t="s">
        <v>1140</v>
      </c>
      <c r="V45" t="s">
        <v>1140</v>
      </c>
      <c r="W45" t="s">
        <v>1140</v>
      </c>
      <c r="X45" t="s">
        <v>1140</v>
      </c>
      <c r="Y45" t="s">
        <v>1140</v>
      </c>
      <c r="Z45">
        <v>0</v>
      </c>
      <c r="AA45">
        <v>0</v>
      </c>
      <c r="AB45">
        <v>5</v>
      </c>
      <c r="AC45">
        <v>4</v>
      </c>
      <c r="AD45">
        <v>2</v>
      </c>
      <c r="AE45">
        <v>11</v>
      </c>
      <c r="AF45">
        <v>3</v>
      </c>
      <c r="AG45">
        <v>0</v>
      </c>
      <c r="AH45">
        <v>1</v>
      </c>
      <c r="AI45">
        <v>1</v>
      </c>
      <c r="AJ45">
        <v>1</v>
      </c>
      <c r="AK45">
        <v>0</v>
      </c>
      <c r="AL45">
        <v>2021</v>
      </c>
    </row>
    <row r="46" spans="1:38" x14ac:dyDescent="0.3">
      <c r="A46" t="s">
        <v>105</v>
      </c>
      <c r="B46" t="s">
        <v>17</v>
      </c>
      <c r="C46" t="s">
        <v>14</v>
      </c>
      <c r="D46" t="s">
        <v>17955</v>
      </c>
      <c r="E46" t="s">
        <v>17955</v>
      </c>
      <c r="F46" t="s">
        <v>17955</v>
      </c>
      <c r="G46" t="s">
        <v>17955</v>
      </c>
      <c r="H46" t="s">
        <v>17955</v>
      </c>
      <c r="I46" t="s">
        <v>17954</v>
      </c>
      <c r="J46" t="s">
        <v>17955</v>
      </c>
      <c r="K46" t="s">
        <v>17955</v>
      </c>
      <c r="L46" t="s">
        <v>17955</v>
      </c>
      <c r="M46">
        <v>0</v>
      </c>
      <c r="N46">
        <v>0</v>
      </c>
      <c r="O46" t="s">
        <v>17955</v>
      </c>
      <c r="P46" s="9" t="s">
        <v>17955</v>
      </c>
      <c r="Q46" s="9" t="s">
        <v>17955</v>
      </c>
      <c r="R46" s="9" t="s">
        <v>17955</v>
      </c>
      <c r="S46" t="s">
        <v>17957</v>
      </c>
      <c r="T46" t="s">
        <v>17957</v>
      </c>
      <c r="U46" t="s">
        <v>17957</v>
      </c>
      <c r="V46" t="s">
        <v>1140</v>
      </c>
      <c r="W46" t="s">
        <v>1140</v>
      </c>
      <c r="X46" t="s">
        <v>1140</v>
      </c>
      <c r="Y46" t="s">
        <v>17957</v>
      </c>
      <c r="Z46" t="s">
        <v>17955</v>
      </c>
      <c r="AA46" t="s">
        <v>17955</v>
      </c>
      <c r="AB46" t="s">
        <v>17955</v>
      </c>
      <c r="AC46" t="s">
        <v>17955</v>
      </c>
      <c r="AD46" t="s">
        <v>17955</v>
      </c>
      <c r="AE46">
        <v>0</v>
      </c>
      <c r="AF46">
        <v>0</v>
      </c>
      <c r="AG46">
        <v>0</v>
      </c>
      <c r="AH46">
        <v>0</v>
      </c>
      <c r="AI46">
        <v>0</v>
      </c>
      <c r="AJ46">
        <v>0</v>
      </c>
      <c r="AK46">
        <v>0</v>
      </c>
      <c r="AL46">
        <v>2021</v>
      </c>
    </row>
    <row r="47" spans="1:38" x14ac:dyDescent="0.3">
      <c r="A47" t="s">
        <v>107</v>
      </c>
      <c r="B47" t="s">
        <v>17</v>
      </c>
      <c r="C47" t="s">
        <v>14</v>
      </c>
      <c r="D47" t="s">
        <v>17955</v>
      </c>
      <c r="E47" t="s">
        <v>17955</v>
      </c>
      <c r="F47" t="s">
        <v>17955</v>
      </c>
      <c r="G47" t="s">
        <v>17955</v>
      </c>
      <c r="H47" t="s">
        <v>17955</v>
      </c>
      <c r="I47" t="s">
        <v>17954</v>
      </c>
      <c r="J47" t="s">
        <v>17955</v>
      </c>
      <c r="K47" t="s">
        <v>17955</v>
      </c>
      <c r="L47" t="s">
        <v>17955</v>
      </c>
      <c r="M47">
        <v>0</v>
      </c>
      <c r="N47">
        <v>0</v>
      </c>
      <c r="O47" t="s">
        <v>17955</v>
      </c>
      <c r="P47" s="9" t="s">
        <v>17955</v>
      </c>
      <c r="Q47" s="9" t="s">
        <v>17955</v>
      </c>
      <c r="R47" s="9" t="s">
        <v>17955</v>
      </c>
      <c r="S47" t="s">
        <v>17957</v>
      </c>
      <c r="T47" t="s">
        <v>17957</v>
      </c>
      <c r="U47" t="s">
        <v>17957</v>
      </c>
      <c r="V47" t="s">
        <v>1140</v>
      </c>
      <c r="W47" t="s">
        <v>1140</v>
      </c>
      <c r="X47" t="s">
        <v>1140</v>
      </c>
      <c r="Y47" t="s">
        <v>17957</v>
      </c>
      <c r="Z47" t="s">
        <v>17955</v>
      </c>
      <c r="AA47" t="s">
        <v>17955</v>
      </c>
      <c r="AB47" t="s">
        <v>17955</v>
      </c>
      <c r="AC47" t="s">
        <v>17955</v>
      </c>
      <c r="AD47" t="s">
        <v>17955</v>
      </c>
      <c r="AE47">
        <v>0</v>
      </c>
      <c r="AF47">
        <v>0</v>
      </c>
      <c r="AG47">
        <v>0</v>
      </c>
      <c r="AH47">
        <v>0</v>
      </c>
      <c r="AI47">
        <v>0</v>
      </c>
      <c r="AJ47">
        <v>0</v>
      </c>
      <c r="AK47">
        <v>0</v>
      </c>
      <c r="AL47">
        <v>2021</v>
      </c>
    </row>
    <row r="48" spans="1:38" x14ac:dyDescent="0.3">
      <c r="A48" t="s">
        <v>109</v>
      </c>
      <c r="B48" t="s">
        <v>17</v>
      </c>
      <c r="C48" t="s">
        <v>14</v>
      </c>
      <c r="D48">
        <v>32</v>
      </c>
      <c r="E48">
        <v>5</v>
      </c>
      <c r="F48">
        <v>27</v>
      </c>
      <c r="G48">
        <v>0.15625</v>
      </c>
      <c r="H48">
        <v>0.84375</v>
      </c>
      <c r="I48" t="s">
        <v>17953</v>
      </c>
      <c r="J48">
        <v>10</v>
      </c>
      <c r="K48">
        <v>1</v>
      </c>
      <c r="L48">
        <v>21</v>
      </c>
      <c r="M48">
        <v>1</v>
      </c>
      <c r="N48">
        <v>2</v>
      </c>
      <c r="O48">
        <v>2</v>
      </c>
      <c r="P48" s="9">
        <v>0.2</v>
      </c>
      <c r="Q48" s="9">
        <v>2</v>
      </c>
      <c r="R48" s="9">
        <v>9.5238095238095233E-2</v>
      </c>
      <c r="S48" t="s">
        <v>1140</v>
      </c>
      <c r="T48" t="s">
        <v>1140</v>
      </c>
      <c r="U48" t="s">
        <v>1140</v>
      </c>
      <c r="V48" t="s">
        <v>17957</v>
      </c>
      <c r="W48" t="s">
        <v>1140</v>
      </c>
      <c r="X48" t="s">
        <v>1140</v>
      </c>
      <c r="Y48" t="s">
        <v>17957</v>
      </c>
      <c r="Z48">
        <v>0</v>
      </c>
      <c r="AA48">
        <v>6</v>
      </c>
      <c r="AB48">
        <v>14</v>
      </c>
      <c r="AC48">
        <v>10</v>
      </c>
      <c r="AD48">
        <v>3</v>
      </c>
      <c r="AE48">
        <v>33</v>
      </c>
      <c r="AF48">
        <v>12</v>
      </c>
      <c r="AG48">
        <v>8</v>
      </c>
      <c r="AH48">
        <v>0</v>
      </c>
      <c r="AI48">
        <v>2</v>
      </c>
      <c r="AJ48">
        <v>1</v>
      </c>
      <c r="AK48">
        <v>1</v>
      </c>
      <c r="AL48">
        <v>2021</v>
      </c>
    </row>
    <row r="49" spans="1:38" x14ac:dyDescent="0.3">
      <c r="A49" t="s">
        <v>111</v>
      </c>
      <c r="B49" t="s">
        <v>17</v>
      </c>
      <c r="C49" t="s">
        <v>14</v>
      </c>
      <c r="D49">
        <v>28</v>
      </c>
      <c r="E49">
        <v>4</v>
      </c>
      <c r="F49">
        <v>24</v>
      </c>
      <c r="G49">
        <v>0.14285714285714285</v>
      </c>
      <c r="H49">
        <v>0.85714285714285721</v>
      </c>
      <c r="I49" t="s">
        <v>17953</v>
      </c>
      <c r="J49">
        <v>15</v>
      </c>
      <c r="K49">
        <v>2</v>
      </c>
      <c r="L49">
        <v>11</v>
      </c>
      <c r="M49">
        <v>0</v>
      </c>
      <c r="N49">
        <v>1</v>
      </c>
      <c r="O49">
        <v>3</v>
      </c>
      <c r="P49" s="9">
        <v>0</v>
      </c>
      <c r="Q49" s="9">
        <v>0.5</v>
      </c>
      <c r="R49" s="9">
        <v>0.27272727272727271</v>
      </c>
      <c r="S49" t="s">
        <v>1140</v>
      </c>
      <c r="T49" t="s">
        <v>1140</v>
      </c>
      <c r="U49" t="s">
        <v>1140</v>
      </c>
      <c r="V49" t="s">
        <v>1140</v>
      </c>
      <c r="W49" t="s">
        <v>1140</v>
      </c>
      <c r="X49" t="s">
        <v>1140</v>
      </c>
      <c r="Y49" t="s">
        <v>1140</v>
      </c>
      <c r="Z49">
        <v>2</v>
      </c>
      <c r="AA49">
        <v>7</v>
      </c>
      <c r="AB49">
        <v>15</v>
      </c>
      <c r="AC49">
        <v>6</v>
      </c>
      <c r="AD49">
        <v>14</v>
      </c>
      <c r="AE49">
        <v>44</v>
      </c>
      <c r="AF49">
        <v>12</v>
      </c>
      <c r="AG49">
        <v>0</v>
      </c>
      <c r="AH49">
        <v>4</v>
      </c>
      <c r="AI49">
        <v>4</v>
      </c>
      <c r="AJ49">
        <v>2</v>
      </c>
      <c r="AK49">
        <v>2</v>
      </c>
      <c r="AL49">
        <v>2021</v>
      </c>
    </row>
    <row r="50" spans="1:38" x14ac:dyDescent="0.3">
      <c r="A50" t="s">
        <v>113</v>
      </c>
      <c r="B50" t="s">
        <v>17</v>
      </c>
      <c r="C50" t="s">
        <v>14</v>
      </c>
      <c r="D50" t="s">
        <v>17955</v>
      </c>
      <c r="E50" t="s">
        <v>17955</v>
      </c>
      <c r="F50" t="s">
        <v>17955</v>
      </c>
      <c r="G50" t="s">
        <v>17955</v>
      </c>
      <c r="H50" t="s">
        <v>17955</v>
      </c>
      <c r="I50" t="s">
        <v>17954</v>
      </c>
      <c r="J50" t="s">
        <v>17955</v>
      </c>
      <c r="K50" t="s">
        <v>17955</v>
      </c>
      <c r="L50" t="s">
        <v>17955</v>
      </c>
      <c r="M50">
        <v>0</v>
      </c>
      <c r="N50">
        <v>0</v>
      </c>
      <c r="O50" t="s">
        <v>17955</v>
      </c>
      <c r="P50" s="9" t="s">
        <v>17955</v>
      </c>
      <c r="Q50" s="9" t="s">
        <v>17955</v>
      </c>
      <c r="R50" s="9" t="s">
        <v>17955</v>
      </c>
      <c r="S50" t="s">
        <v>17957</v>
      </c>
      <c r="T50" t="s">
        <v>17957</v>
      </c>
      <c r="U50" t="s">
        <v>17957</v>
      </c>
      <c r="V50" t="s">
        <v>1140</v>
      </c>
      <c r="W50" t="s">
        <v>1140</v>
      </c>
      <c r="X50" t="s">
        <v>1140</v>
      </c>
      <c r="Y50" t="s">
        <v>17957</v>
      </c>
      <c r="Z50" t="s">
        <v>17955</v>
      </c>
      <c r="AA50" t="s">
        <v>17955</v>
      </c>
      <c r="AB50" t="s">
        <v>17955</v>
      </c>
      <c r="AC50" t="s">
        <v>17955</v>
      </c>
      <c r="AD50" t="s">
        <v>17955</v>
      </c>
      <c r="AE50">
        <v>0</v>
      </c>
      <c r="AF50">
        <v>0</v>
      </c>
      <c r="AG50">
        <v>0</v>
      </c>
      <c r="AH50">
        <v>0</v>
      </c>
      <c r="AI50">
        <v>0</v>
      </c>
      <c r="AJ50">
        <v>0</v>
      </c>
      <c r="AK50">
        <v>0</v>
      </c>
      <c r="AL50">
        <v>2021</v>
      </c>
    </row>
    <row r="51" spans="1:38" x14ac:dyDescent="0.3">
      <c r="A51" t="s">
        <v>115</v>
      </c>
      <c r="B51" t="s">
        <v>17</v>
      </c>
      <c r="C51" t="s">
        <v>14</v>
      </c>
      <c r="D51">
        <v>70</v>
      </c>
      <c r="E51">
        <v>10</v>
      </c>
      <c r="F51">
        <v>60</v>
      </c>
      <c r="G51">
        <v>0.14285714285714285</v>
      </c>
      <c r="H51">
        <v>0.85714285714285721</v>
      </c>
      <c r="I51" t="s">
        <v>1197</v>
      </c>
      <c r="J51">
        <v>28</v>
      </c>
      <c r="K51">
        <v>0</v>
      </c>
      <c r="L51">
        <v>42</v>
      </c>
      <c r="M51">
        <v>0</v>
      </c>
      <c r="N51">
        <v>8</v>
      </c>
      <c r="O51">
        <v>2</v>
      </c>
      <c r="P51" s="9">
        <v>0</v>
      </c>
      <c r="Q51" s="9" t="s">
        <v>17955</v>
      </c>
      <c r="R51" s="9">
        <v>4.7619047619047616E-2</v>
      </c>
      <c r="S51" t="s">
        <v>1140</v>
      </c>
      <c r="T51" t="s">
        <v>1140</v>
      </c>
      <c r="U51" t="s">
        <v>1140</v>
      </c>
      <c r="V51" t="s">
        <v>17957</v>
      </c>
      <c r="W51" t="s">
        <v>1140</v>
      </c>
      <c r="X51" t="s">
        <v>1140</v>
      </c>
      <c r="Y51" t="s">
        <v>17957</v>
      </c>
      <c r="Z51">
        <v>0</v>
      </c>
      <c r="AA51">
        <v>0</v>
      </c>
      <c r="AB51">
        <v>0</v>
      </c>
      <c r="AC51">
        <v>0</v>
      </c>
      <c r="AD51">
        <v>0</v>
      </c>
      <c r="AE51">
        <v>0</v>
      </c>
      <c r="AF51">
        <v>17</v>
      </c>
      <c r="AG51">
        <v>3</v>
      </c>
      <c r="AH51">
        <v>5</v>
      </c>
      <c r="AI51">
        <v>8</v>
      </c>
      <c r="AJ51">
        <v>1</v>
      </c>
      <c r="AK51">
        <v>0</v>
      </c>
      <c r="AL51">
        <v>2021</v>
      </c>
    </row>
    <row r="52" spans="1:38" x14ac:dyDescent="0.3">
      <c r="A52" t="s">
        <v>117</v>
      </c>
      <c r="B52" t="s">
        <v>17</v>
      </c>
      <c r="C52" t="s">
        <v>14</v>
      </c>
      <c r="D52">
        <v>39</v>
      </c>
      <c r="E52">
        <v>5</v>
      </c>
      <c r="F52">
        <v>34</v>
      </c>
      <c r="G52">
        <v>0.12820512820512819</v>
      </c>
      <c r="H52">
        <v>0.87179487179487181</v>
      </c>
      <c r="I52" t="s">
        <v>17953</v>
      </c>
      <c r="J52">
        <v>10</v>
      </c>
      <c r="K52">
        <v>4</v>
      </c>
      <c r="L52">
        <v>25</v>
      </c>
      <c r="M52">
        <v>0</v>
      </c>
      <c r="N52">
        <v>2</v>
      </c>
      <c r="O52">
        <v>3</v>
      </c>
      <c r="P52" s="9">
        <v>0</v>
      </c>
      <c r="Q52" s="9">
        <v>0.5</v>
      </c>
      <c r="R52" s="9">
        <v>0.12</v>
      </c>
      <c r="S52" t="s">
        <v>1140</v>
      </c>
      <c r="T52" t="s">
        <v>1140</v>
      </c>
      <c r="U52" t="s">
        <v>1140</v>
      </c>
      <c r="V52" t="s">
        <v>1140</v>
      </c>
      <c r="W52" t="s">
        <v>1140</v>
      </c>
      <c r="X52" t="s">
        <v>1140</v>
      </c>
      <c r="Y52" t="s">
        <v>1140</v>
      </c>
      <c r="Z52">
        <v>0</v>
      </c>
      <c r="AA52">
        <v>2</v>
      </c>
      <c r="AB52">
        <v>1</v>
      </c>
      <c r="AC52">
        <v>0</v>
      </c>
      <c r="AD52">
        <v>16</v>
      </c>
      <c r="AE52">
        <v>19</v>
      </c>
      <c r="AF52">
        <v>10</v>
      </c>
      <c r="AG52">
        <v>3</v>
      </c>
      <c r="AH52">
        <v>1</v>
      </c>
      <c r="AI52">
        <v>4</v>
      </c>
      <c r="AJ52">
        <v>2</v>
      </c>
      <c r="AK52">
        <v>0</v>
      </c>
      <c r="AL52">
        <v>2021</v>
      </c>
    </row>
    <row r="53" spans="1:38" x14ac:dyDescent="0.3">
      <c r="A53" t="s">
        <v>119</v>
      </c>
      <c r="B53" t="s">
        <v>17</v>
      </c>
      <c r="C53" t="s">
        <v>14</v>
      </c>
      <c r="D53">
        <v>48</v>
      </c>
      <c r="E53">
        <v>10</v>
      </c>
      <c r="F53">
        <v>38</v>
      </c>
      <c r="G53">
        <v>0.20833333333333334</v>
      </c>
      <c r="H53">
        <v>0.79166666666666663</v>
      </c>
      <c r="I53" t="s">
        <v>17953</v>
      </c>
      <c r="J53">
        <v>25</v>
      </c>
      <c r="K53">
        <v>6</v>
      </c>
      <c r="L53">
        <v>17</v>
      </c>
      <c r="M53">
        <v>2</v>
      </c>
      <c r="N53">
        <v>4</v>
      </c>
      <c r="O53">
        <v>4</v>
      </c>
      <c r="P53" s="9">
        <v>0.2</v>
      </c>
      <c r="Q53" s="9">
        <v>0.66666666666666663</v>
      </c>
      <c r="R53" s="9">
        <v>0.23529411764705882</v>
      </c>
      <c r="S53" t="s">
        <v>1140</v>
      </c>
      <c r="T53" t="s">
        <v>1140</v>
      </c>
      <c r="U53" t="s">
        <v>1140</v>
      </c>
      <c r="V53" t="s">
        <v>1140</v>
      </c>
      <c r="W53" t="s">
        <v>1140</v>
      </c>
      <c r="X53" t="s">
        <v>1140</v>
      </c>
      <c r="Y53" t="s">
        <v>1140</v>
      </c>
      <c r="Z53">
        <v>0</v>
      </c>
      <c r="AA53">
        <v>0</v>
      </c>
      <c r="AB53">
        <v>0</v>
      </c>
      <c r="AC53">
        <v>0</v>
      </c>
      <c r="AD53">
        <v>0</v>
      </c>
      <c r="AE53">
        <v>0</v>
      </c>
      <c r="AF53">
        <v>9</v>
      </c>
      <c r="AG53">
        <v>0</v>
      </c>
      <c r="AH53">
        <v>0</v>
      </c>
      <c r="AI53">
        <v>0</v>
      </c>
      <c r="AJ53">
        <v>0</v>
      </c>
      <c r="AK53">
        <v>0</v>
      </c>
      <c r="AL53">
        <v>2021</v>
      </c>
    </row>
    <row r="54" spans="1:38" x14ac:dyDescent="0.3">
      <c r="A54" t="s">
        <v>121</v>
      </c>
      <c r="B54" t="s">
        <v>17</v>
      </c>
      <c r="C54" t="s">
        <v>14</v>
      </c>
      <c r="D54" t="s">
        <v>17955</v>
      </c>
      <c r="E54" t="s">
        <v>17955</v>
      </c>
      <c r="F54" t="s">
        <v>17955</v>
      </c>
      <c r="G54" t="s">
        <v>17955</v>
      </c>
      <c r="H54" t="s">
        <v>17955</v>
      </c>
      <c r="I54" t="s">
        <v>17954</v>
      </c>
      <c r="J54" t="s">
        <v>17955</v>
      </c>
      <c r="K54" t="s">
        <v>17955</v>
      </c>
      <c r="L54" t="s">
        <v>17955</v>
      </c>
      <c r="M54">
        <v>0</v>
      </c>
      <c r="N54">
        <v>0</v>
      </c>
      <c r="O54" t="s">
        <v>17955</v>
      </c>
      <c r="P54" s="9" t="s">
        <v>17955</v>
      </c>
      <c r="Q54" s="9" t="s">
        <v>17955</v>
      </c>
      <c r="R54" s="9" t="s">
        <v>17955</v>
      </c>
      <c r="S54" t="s">
        <v>17957</v>
      </c>
      <c r="T54" t="s">
        <v>17957</v>
      </c>
      <c r="U54" t="s">
        <v>17957</v>
      </c>
      <c r="V54" t="s">
        <v>1140</v>
      </c>
      <c r="W54" t="s">
        <v>1140</v>
      </c>
      <c r="X54" t="s">
        <v>1140</v>
      </c>
      <c r="Y54" t="s">
        <v>17957</v>
      </c>
      <c r="Z54" t="s">
        <v>17955</v>
      </c>
      <c r="AA54" t="s">
        <v>17955</v>
      </c>
      <c r="AB54" t="s">
        <v>17955</v>
      </c>
      <c r="AC54" t="s">
        <v>17955</v>
      </c>
      <c r="AD54" t="s">
        <v>17955</v>
      </c>
      <c r="AE54">
        <v>0</v>
      </c>
      <c r="AF54">
        <v>0</v>
      </c>
      <c r="AG54">
        <v>0</v>
      </c>
      <c r="AH54">
        <v>0</v>
      </c>
      <c r="AI54">
        <v>0</v>
      </c>
      <c r="AJ54">
        <v>0</v>
      </c>
      <c r="AK54">
        <v>0</v>
      </c>
      <c r="AL54">
        <v>2021</v>
      </c>
    </row>
    <row r="55" spans="1:38" x14ac:dyDescent="0.3">
      <c r="A55" t="s">
        <v>123</v>
      </c>
      <c r="B55" t="s">
        <v>17</v>
      </c>
      <c r="C55" t="s">
        <v>14</v>
      </c>
      <c r="D55" t="s">
        <v>17955</v>
      </c>
      <c r="E55" t="s">
        <v>17955</v>
      </c>
      <c r="F55" t="s">
        <v>17955</v>
      </c>
      <c r="G55" t="s">
        <v>17955</v>
      </c>
      <c r="H55" t="s">
        <v>17955</v>
      </c>
      <c r="I55" t="s">
        <v>17954</v>
      </c>
      <c r="J55" t="s">
        <v>17955</v>
      </c>
      <c r="K55" t="s">
        <v>17955</v>
      </c>
      <c r="L55" t="s">
        <v>17955</v>
      </c>
      <c r="M55">
        <v>0</v>
      </c>
      <c r="N55">
        <v>0</v>
      </c>
      <c r="O55" t="s">
        <v>17955</v>
      </c>
      <c r="P55" s="9" t="s">
        <v>17955</v>
      </c>
      <c r="Q55" s="9" t="s">
        <v>17955</v>
      </c>
      <c r="R55" s="9" t="s">
        <v>17955</v>
      </c>
      <c r="S55" t="s">
        <v>17957</v>
      </c>
      <c r="T55" t="s">
        <v>17957</v>
      </c>
      <c r="U55" t="s">
        <v>17957</v>
      </c>
      <c r="V55" t="s">
        <v>1140</v>
      </c>
      <c r="W55" t="s">
        <v>1140</v>
      </c>
      <c r="X55" t="s">
        <v>1140</v>
      </c>
      <c r="Y55" t="s">
        <v>17957</v>
      </c>
      <c r="Z55" t="s">
        <v>17955</v>
      </c>
      <c r="AA55" t="s">
        <v>17955</v>
      </c>
      <c r="AB55" t="s">
        <v>17955</v>
      </c>
      <c r="AC55" t="s">
        <v>17955</v>
      </c>
      <c r="AD55" t="s">
        <v>17955</v>
      </c>
      <c r="AE55">
        <v>0</v>
      </c>
      <c r="AF55">
        <v>0</v>
      </c>
      <c r="AG55">
        <v>0</v>
      </c>
      <c r="AH55">
        <v>0</v>
      </c>
      <c r="AI55">
        <v>0</v>
      </c>
      <c r="AJ55">
        <v>0</v>
      </c>
      <c r="AK55">
        <v>0</v>
      </c>
      <c r="AL55">
        <v>2021</v>
      </c>
    </row>
    <row r="56" spans="1:38" x14ac:dyDescent="0.3">
      <c r="A56" t="s">
        <v>125</v>
      </c>
      <c r="B56" t="s">
        <v>17</v>
      </c>
      <c r="C56" t="s">
        <v>126</v>
      </c>
      <c r="D56">
        <v>50</v>
      </c>
      <c r="E56">
        <v>0</v>
      </c>
      <c r="F56">
        <v>50</v>
      </c>
      <c r="G56">
        <v>0</v>
      </c>
      <c r="H56">
        <v>1</v>
      </c>
      <c r="I56" t="s">
        <v>1197</v>
      </c>
      <c r="J56">
        <v>0</v>
      </c>
      <c r="K56">
        <v>2</v>
      </c>
      <c r="L56">
        <v>48</v>
      </c>
      <c r="M56">
        <v>0</v>
      </c>
      <c r="N56">
        <v>0</v>
      </c>
      <c r="O56" t="s">
        <v>17955</v>
      </c>
      <c r="P56" s="9" t="s">
        <v>17955</v>
      </c>
      <c r="Q56" s="9">
        <v>0</v>
      </c>
      <c r="R56" s="9" t="s">
        <v>17955</v>
      </c>
      <c r="S56" t="s">
        <v>1140</v>
      </c>
      <c r="T56" t="s">
        <v>17957</v>
      </c>
      <c r="U56" t="s">
        <v>17957</v>
      </c>
      <c r="V56" t="s">
        <v>1140</v>
      </c>
      <c r="W56" t="s">
        <v>17957</v>
      </c>
      <c r="X56" t="s">
        <v>1140</v>
      </c>
      <c r="Y56" t="s">
        <v>17957</v>
      </c>
      <c r="Z56">
        <v>2</v>
      </c>
      <c r="AA56">
        <v>0</v>
      </c>
      <c r="AB56">
        <v>7</v>
      </c>
      <c r="AC56">
        <v>8</v>
      </c>
      <c r="AD56">
        <v>13</v>
      </c>
      <c r="AE56">
        <v>30</v>
      </c>
      <c r="AF56">
        <v>7</v>
      </c>
      <c r="AG56">
        <v>0</v>
      </c>
      <c r="AH56">
        <v>2</v>
      </c>
      <c r="AI56">
        <v>5</v>
      </c>
      <c r="AJ56">
        <v>0</v>
      </c>
      <c r="AK56">
        <v>0</v>
      </c>
      <c r="AL56">
        <v>2021</v>
      </c>
    </row>
    <row r="57" spans="1:38" x14ac:dyDescent="0.3">
      <c r="A57" t="s">
        <v>128</v>
      </c>
      <c r="B57" t="s">
        <v>17</v>
      </c>
      <c r="C57" t="s">
        <v>14</v>
      </c>
      <c r="D57" t="s">
        <v>17955</v>
      </c>
      <c r="E57" t="s">
        <v>17955</v>
      </c>
      <c r="F57" t="s">
        <v>17955</v>
      </c>
      <c r="G57" t="s">
        <v>17955</v>
      </c>
      <c r="H57" t="s">
        <v>17955</v>
      </c>
      <c r="I57" t="s">
        <v>17954</v>
      </c>
      <c r="J57" t="s">
        <v>17955</v>
      </c>
      <c r="K57" t="s">
        <v>17955</v>
      </c>
      <c r="L57" t="s">
        <v>17955</v>
      </c>
      <c r="M57">
        <v>0</v>
      </c>
      <c r="N57">
        <v>0</v>
      </c>
      <c r="O57" t="s">
        <v>17955</v>
      </c>
      <c r="P57" s="9" t="s">
        <v>17955</v>
      </c>
      <c r="Q57" s="9" t="s">
        <v>17955</v>
      </c>
      <c r="R57" s="9" t="s">
        <v>17955</v>
      </c>
      <c r="S57" t="s">
        <v>17957</v>
      </c>
      <c r="T57" t="s">
        <v>17957</v>
      </c>
      <c r="U57" t="s">
        <v>17957</v>
      </c>
      <c r="V57" t="s">
        <v>1140</v>
      </c>
      <c r="W57" t="s">
        <v>1140</v>
      </c>
      <c r="X57" t="s">
        <v>1140</v>
      </c>
      <c r="Y57" t="s">
        <v>17957</v>
      </c>
      <c r="Z57" t="s">
        <v>17955</v>
      </c>
      <c r="AA57" t="s">
        <v>17955</v>
      </c>
      <c r="AB57" t="s">
        <v>17955</v>
      </c>
      <c r="AC57" t="s">
        <v>17955</v>
      </c>
      <c r="AD57" t="s">
        <v>17955</v>
      </c>
      <c r="AE57">
        <v>0</v>
      </c>
      <c r="AF57">
        <v>0</v>
      </c>
      <c r="AG57">
        <v>0</v>
      </c>
      <c r="AH57">
        <v>0</v>
      </c>
      <c r="AI57">
        <v>0</v>
      </c>
      <c r="AJ57">
        <v>0</v>
      </c>
      <c r="AK57">
        <v>0</v>
      </c>
      <c r="AL57">
        <v>2021</v>
      </c>
    </row>
    <row r="58" spans="1:38" x14ac:dyDescent="0.3">
      <c r="A58" t="s">
        <v>130</v>
      </c>
      <c r="B58" t="s">
        <v>132</v>
      </c>
      <c r="C58" t="s">
        <v>14</v>
      </c>
      <c r="D58">
        <v>441</v>
      </c>
      <c r="E58">
        <v>15</v>
      </c>
      <c r="F58">
        <v>426</v>
      </c>
      <c r="G58">
        <v>3.4013605442176874E-2</v>
      </c>
      <c r="H58">
        <v>0.96598639455782309</v>
      </c>
      <c r="I58" t="s">
        <v>17952</v>
      </c>
      <c r="J58">
        <v>85</v>
      </c>
      <c r="K58">
        <v>10</v>
      </c>
      <c r="L58">
        <v>346</v>
      </c>
      <c r="M58">
        <v>2</v>
      </c>
      <c r="N58">
        <v>2</v>
      </c>
      <c r="O58">
        <v>11</v>
      </c>
      <c r="P58" s="9">
        <v>0.13333333333333333</v>
      </c>
      <c r="Q58" s="9">
        <v>0.2</v>
      </c>
      <c r="R58" s="9">
        <v>3.1791907514450865E-2</v>
      </c>
      <c r="S58" t="s">
        <v>1140</v>
      </c>
      <c r="T58" t="s">
        <v>1140</v>
      </c>
      <c r="U58" t="s">
        <v>1140</v>
      </c>
      <c r="V58" t="s">
        <v>1140</v>
      </c>
      <c r="W58" t="s">
        <v>1140</v>
      </c>
      <c r="X58" t="s">
        <v>1140</v>
      </c>
      <c r="Y58" t="s">
        <v>1140</v>
      </c>
      <c r="Z58">
        <v>11</v>
      </c>
      <c r="AA58">
        <v>23</v>
      </c>
      <c r="AB58">
        <v>46</v>
      </c>
      <c r="AC58">
        <v>24</v>
      </c>
      <c r="AD58">
        <v>14</v>
      </c>
      <c r="AE58">
        <v>118</v>
      </c>
      <c r="AF58">
        <v>20</v>
      </c>
      <c r="AG58">
        <v>6</v>
      </c>
      <c r="AH58">
        <v>4</v>
      </c>
      <c r="AI58">
        <v>9</v>
      </c>
      <c r="AJ58">
        <v>0</v>
      </c>
      <c r="AK58">
        <v>1</v>
      </c>
      <c r="AL58">
        <v>2021</v>
      </c>
    </row>
    <row r="59" spans="1:38" x14ac:dyDescent="0.3">
      <c r="A59" t="s">
        <v>133</v>
      </c>
      <c r="B59" t="s">
        <v>132</v>
      </c>
      <c r="C59" t="s">
        <v>14</v>
      </c>
      <c r="D59">
        <v>857</v>
      </c>
      <c r="E59">
        <v>50</v>
      </c>
      <c r="F59">
        <v>807</v>
      </c>
      <c r="G59">
        <v>5.8343057176196034E-2</v>
      </c>
      <c r="H59">
        <v>0.94165694282380397</v>
      </c>
      <c r="I59" t="s">
        <v>17952</v>
      </c>
      <c r="J59">
        <v>218</v>
      </c>
      <c r="K59">
        <v>20</v>
      </c>
      <c r="L59">
        <v>619</v>
      </c>
      <c r="M59">
        <v>5</v>
      </c>
      <c r="N59">
        <v>15</v>
      </c>
      <c r="O59">
        <v>30</v>
      </c>
      <c r="P59" s="9">
        <v>0.1</v>
      </c>
      <c r="Q59" s="9">
        <v>0.75</v>
      </c>
      <c r="R59" s="9">
        <v>4.8465266558966075E-2</v>
      </c>
      <c r="S59" t="s">
        <v>1140</v>
      </c>
      <c r="T59" t="s">
        <v>1140</v>
      </c>
      <c r="U59" t="s">
        <v>1140</v>
      </c>
      <c r="V59" t="s">
        <v>1140</v>
      </c>
      <c r="W59" t="s">
        <v>1140</v>
      </c>
      <c r="X59" t="s">
        <v>1140</v>
      </c>
      <c r="Y59" t="s">
        <v>1140</v>
      </c>
      <c r="Z59">
        <v>24</v>
      </c>
      <c r="AA59">
        <v>47</v>
      </c>
      <c r="AB59">
        <v>58</v>
      </c>
      <c r="AC59">
        <v>31</v>
      </c>
      <c r="AD59">
        <v>30</v>
      </c>
      <c r="AE59">
        <v>190</v>
      </c>
      <c r="AF59">
        <v>28</v>
      </c>
      <c r="AG59">
        <v>4</v>
      </c>
      <c r="AH59">
        <v>10</v>
      </c>
      <c r="AI59">
        <v>13</v>
      </c>
      <c r="AJ59">
        <v>1</v>
      </c>
      <c r="AK59">
        <v>0</v>
      </c>
      <c r="AL59">
        <v>2021</v>
      </c>
    </row>
    <row r="60" spans="1:38" x14ac:dyDescent="0.3">
      <c r="A60" t="s">
        <v>135</v>
      </c>
      <c r="B60" t="s">
        <v>132</v>
      </c>
      <c r="C60" t="s">
        <v>14</v>
      </c>
      <c r="D60">
        <v>564</v>
      </c>
      <c r="E60">
        <v>10</v>
      </c>
      <c r="F60">
        <v>554</v>
      </c>
      <c r="G60">
        <v>1.7730496453900711E-2</v>
      </c>
      <c r="H60">
        <v>0.98226950354609932</v>
      </c>
      <c r="I60" t="s">
        <v>17952</v>
      </c>
      <c r="J60">
        <v>146</v>
      </c>
      <c r="K60">
        <v>1</v>
      </c>
      <c r="L60">
        <v>417</v>
      </c>
      <c r="M60">
        <v>0</v>
      </c>
      <c r="N60">
        <v>0</v>
      </c>
      <c r="O60">
        <v>10</v>
      </c>
      <c r="P60" s="9">
        <v>0</v>
      </c>
      <c r="Q60" s="9">
        <v>0</v>
      </c>
      <c r="R60" s="9">
        <v>2.3980815347721823E-2</v>
      </c>
      <c r="S60" t="s">
        <v>1140</v>
      </c>
      <c r="T60" t="s">
        <v>1140</v>
      </c>
      <c r="U60" t="s">
        <v>1140</v>
      </c>
      <c r="V60" t="s">
        <v>1140</v>
      </c>
      <c r="W60" t="s">
        <v>1140</v>
      </c>
      <c r="X60" t="s">
        <v>1140</v>
      </c>
      <c r="Y60" t="s">
        <v>1140</v>
      </c>
      <c r="Z60">
        <v>10</v>
      </c>
      <c r="AA60">
        <v>5</v>
      </c>
      <c r="AB60">
        <v>0</v>
      </c>
      <c r="AC60">
        <v>3</v>
      </c>
      <c r="AD60">
        <v>0</v>
      </c>
      <c r="AE60">
        <v>18</v>
      </c>
      <c r="AF60">
        <v>47</v>
      </c>
      <c r="AG60">
        <v>17</v>
      </c>
      <c r="AH60">
        <v>0</v>
      </c>
      <c r="AI60">
        <v>8</v>
      </c>
      <c r="AJ60">
        <v>4</v>
      </c>
      <c r="AK60">
        <v>17</v>
      </c>
      <c r="AL60">
        <v>2021</v>
      </c>
    </row>
    <row r="61" spans="1:38" x14ac:dyDescent="0.3">
      <c r="A61" t="s">
        <v>137</v>
      </c>
      <c r="B61" t="s">
        <v>132</v>
      </c>
      <c r="C61" t="s">
        <v>14</v>
      </c>
      <c r="D61">
        <v>442</v>
      </c>
      <c r="E61">
        <v>0</v>
      </c>
      <c r="F61">
        <v>442</v>
      </c>
      <c r="G61">
        <v>0</v>
      </c>
      <c r="H61">
        <v>1</v>
      </c>
      <c r="I61" t="s">
        <v>17952</v>
      </c>
      <c r="J61">
        <v>108</v>
      </c>
      <c r="K61">
        <v>36</v>
      </c>
      <c r="L61">
        <v>298</v>
      </c>
      <c r="M61">
        <v>5</v>
      </c>
      <c r="N61">
        <v>10</v>
      </c>
      <c r="O61" t="s">
        <v>17955</v>
      </c>
      <c r="P61" s="9" t="s">
        <v>17955</v>
      </c>
      <c r="Q61" s="9">
        <v>0.27777777777777779</v>
      </c>
      <c r="R61" s="9" t="s">
        <v>17955</v>
      </c>
      <c r="S61" t="s">
        <v>1140</v>
      </c>
      <c r="T61" t="s">
        <v>17957</v>
      </c>
      <c r="U61" t="s">
        <v>17957</v>
      </c>
      <c r="V61" t="s">
        <v>1140</v>
      </c>
      <c r="W61" t="s">
        <v>17957</v>
      </c>
      <c r="X61" t="s">
        <v>1140</v>
      </c>
      <c r="Y61" t="s">
        <v>17957</v>
      </c>
      <c r="Z61">
        <v>39</v>
      </c>
      <c r="AA61">
        <v>48</v>
      </c>
      <c r="AB61">
        <v>72</v>
      </c>
      <c r="AC61">
        <v>39</v>
      </c>
      <c r="AD61">
        <v>14</v>
      </c>
      <c r="AE61">
        <v>212</v>
      </c>
      <c r="AF61">
        <v>27</v>
      </c>
      <c r="AG61">
        <v>9</v>
      </c>
      <c r="AH61">
        <v>8</v>
      </c>
      <c r="AI61">
        <v>5</v>
      </c>
      <c r="AJ61">
        <v>4</v>
      </c>
      <c r="AK61">
        <v>1</v>
      </c>
      <c r="AL61">
        <v>2021</v>
      </c>
    </row>
    <row r="62" spans="1:38" x14ac:dyDescent="0.3">
      <c r="A62" t="s">
        <v>139</v>
      </c>
      <c r="B62" t="s">
        <v>132</v>
      </c>
      <c r="C62" t="s">
        <v>14</v>
      </c>
      <c r="D62">
        <v>344</v>
      </c>
      <c r="E62">
        <v>5</v>
      </c>
      <c r="F62">
        <v>339</v>
      </c>
      <c r="G62">
        <v>1.4534883720930232E-2</v>
      </c>
      <c r="H62">
        <v>0.98546511627906974</v>
      </c>
      <c r="I62" t="s">
        <v>1191</v>
      </c>
      <c r="J62">
        <v>70</v>
      </c>
      <c r="K62">
        <v>50</v>
      </c>
      <c r="L62">
        <v>224</v>
      </c>
      <c r="M62">
        <v>8</v>
      </c>
      <c r="N62">
        <v>9</v>
      </c>
      <c r="O62" t="s">
        <v>17955</v>
      </c>
      <c r="P62" s="9">
        <v>1.6</v>
      </c>
      <c r="Q62" s="9">
        <v>0.18</v>
      </c>
      <c r="R62" s="9" t="s">
        <v>17955</v>
      </c>
      <c r="S62" t="s">
        <v>1140</v>
      </c>
      <c r="T62" t="s">
        <v>17957</v>
      </c>
      <c r="U62" t="s">
        <v>17957</v>
      </c>
      <c r="V62" t="s">
        <v>1140</v>
      </c>
      <c r="W62" t="s">
        <v>17957</v>
      </c>
      <c r="X62" t="s">
        <v>1140</v>
      </c>
      <c r="Y62" t="s">
        <v>17957</v>
      </c>
      <c r="Z62">
        <v>60</v>
      </c>
      <c r="AA62">
        <v>43</v>
      </c>
      <c r="AB62">
        <v>21</v>
      </c>
      <c r="AC62">
        <v>6</v>
      </c>
      <c r="AD62">
        <v>0</v>
      </c>
      <c r="AE62">
        <v>130</v>
      </c>
      <c r="AF62">
        <v>24</v>
      </c>
      <c r="AG62">
        <v>8</v>
      </c>
      <c r="AH62">
        <v>6</v>
      </c>
      <c r="AI62">
        <v>7</v>
      </c>
      <c r="AJ62">
        <v>3</v>
      </c>
      <c r="AK62">
        <v>0</v>
      </c>
      <c r="AL62">
        <v>2021</v>
      </c>
    </row>
    <row r="63" spans="1:38" x14ac:dyDescent="0.3">
      <c r="A63" t="s">
        <v>141</v>
      </c>
      <c r="B63" t="s">
        <v>132</v>
      </c>
      <c r="C63" t="s">
        <v>14</v>
      </c>
      <c r="D63">
        <v>351</v>
      </c>
      <c r="E63">
        <v>50</v>
      </c>
      <c r="F63">
        <v>301</v>
      </c>
      <c r="G63">
        <v>0.14245014245014245</v>
      </c>
      <c r="H63">
        <v>0.85754985754985757</v>
      </c>
      <c r="I63" t="s">
        <v>1191</v>
      </c>
      <c r="J63">
        <v>46</v>
      </c>
      <c r="K63">
        <v>30</v>
      </c>
      <c r="L63">
        <v>275</v>
      </c>
      <c r="M63">
        <v>0</v>
      </c>
      <c r="N63">
        <v>23</v>
      </c>
      <c r="O63">
        <v>27</v>
      </c>
      <c r="P63" s="9">
        <v>0</v>
      </c>
      <c r="Q63" s="9">
        <v>0.76666666666666672</v>
      </c>
      <c r="R63" s="9">
        <v>9.8181818181818176E-2</v>
      </c>
      <c r="S63" t="s">
        <v>1140</v>
      </c>
      <c r="T63" t="s">
        <v>1140</v>
      </c>
      <c r="U63" t="s">
        <v>1140</v>
      </c>
      <c r="V63" t="s">
        <v>1140</v>
      </c>
      <c r="W63" t="s">
        <v>1140</v>
      </c>
      <c r="X63" t="s">
        <v>1140</v>
      </c>
      <c r="Y63" t="s">
        <v>1140</v>
      </c>
      <c r="Z63">
        <v>16</v>
      </c>
      <c r="AA63">
        <v>19</v>
      </c>
      <c r="AB63">
        <v>6</v>
      </c>
      <c r="AC63">
        <v>12</v>
      </c>
      <c r="AD63">
        <v>1</v>
      </c>
      <c r="AE63">
        <v>54</v>
      </c>
      <c r="AF63">
        <v>17</v>
      </c>
      <c r="AG63">
        <v>7</v>
      </c>
      <c r="AH63">
        <v>1</v>
      </c>
      <c r="AI63">
        <v>1</v>
      </c>
      <c r="AJ63">
        <v>5</v>
      </c>
      <c r="AK63">
        <v>3</v>
      </c>
      <c r="AL63">
        <v>2021</v>
      </c>
    </row>
    <row r="64" spans="1:38" x14ac:dyDescent="0.3">
      <c r="A64" t="s">
        <v>143</v>
      </c>
      <c r="B64" t="s">
        <v>132</v>
      </c>
      <c r="C64" t="s">
        <v>14</v>
      </c>
      <c r="D64" t="s">
        <v>17955</v>
      </c>
      <c r="E64" t="s">
        <v>17955</v>
      </c>
      <c r="F64" t="s">
        <v>17955</v>
      </c>
      <c r="G64" t="s">
        <v>17955</v>
      </c>
      <c r="H64" t="s">
        <v>17955</v>
      </c>
      <c r="I64" t="s">
        <v>17954</v>
      </c>
      <c r="J64" t="s">
        <v>17955</v>
      </c>
      <c r="K64" t="s">
        <v>17955</v>
      </c>
      <c r="L64" t="s">
        <v>17955</v>
      </c>
      <c r="M64">
        <v>0</v>
      </c>
      <c r="N64">
        <v>0</v>
      </c>
      <c r="O64" t="s">
        <v>17955</v>
      </c>
      <c r="P64" s="9" t="s">
        <v>17955</v>
      </c>
      <c r="Q64" s="9" t="s">
        <v>17955</v>
      </c>
      <c r="R64" s="9" t="s">
        <v>17955</v>
      </c>
      <c r="S64" t="s">
        <v>17957</v>
      </c>
      <c r="T64" t="s">
        <v>17957</v>
      </c>
      <c r="U64" t="s">
        <v>17957</v>
      </c>
      <c r="V64" t="s">
        <v>1140</v>
      </c>
      <c r="W64" t="s">
        <v>1140</v>
      </c>
      <c r="X64" t="s">
        <v>1140</v>
      </c>
      <c r="Y64" t="s">
        <v>17957</v>
      </c>
      <c r="Z64" t="s">
        <v>17955</v>
      </c>
      <c r="AA64" t="s">
        <v>17955</v>
      </c>
      <c r="AB64" t="s">
        <v>17955</v>
      </c>
      <c r="AC64" t="s">
        <v>17955</v>
      </c>
      <c r="AD64" t="s">
        <v>17955</v>
      </c>
      <c r="AE64">
        <v>0</v>
      </c>
      <c r="AF64">
        <v>0</v>
      </c>
      <c r="AG64">
        <v>0</v>
      </c>
      <c r="AH64">
        <v>0</v>
      </c>
      <c r="AI64">
        <v>0</v>
      </c>
      <c r="AJ64">
        <v>0</v>
      </c>
      <c r="AK64">
        <v>0</v>
      </c>
      <c r="AL64">
        <v>2021</v>
      </c>
    </row>
    <row r="65" spans="1:38" x14ac:dyDescent="0.3">
      <c r="A65" t="s">
        <v>145</v>
      </c>
      <c r="B65" t="s">
        <v>132</v>
      </c>
      <c r="C65" t="s">
        <v>14</v>
      </c>
      <c r="D65">
        <v>770</v>
      </c>
      <c r="E65">
        <v>400</v>
      </c>
      <c r="F65">
        <v>370</v>
      </c>
      <c r="G65">
        <v>0.51948051948051943</v>
      </c>
      <c r="H65">
        <v>0.48051948051948057</v>
      </c>
      <c r="I65" t="s">
        <v>17952</v>
      </c>
      <c r="J65">
        <v>160</v>
      </c>
      <c r="K65">
        <v>45</v>
      </c>
      <c r="L65">
        <v>565</v>
      </c>
      <c r="M65">
        <v>5</v>
      </c>
      <c r="N65">
        <v>10</v>
      </c>
      <c r="O65">
        <v>385</v>
      </c>
      <c r="P65" s="9">
        <v>1.2500000000000001E-2</v>
      </c>
      <c r="Q65" s="9">
        <v>0.22222222222222221</v>
      </c>
      <c r="R65" s="9">
        <v>0.68141592920353977</v>
      </c>
      <c r="S65" t="s">
        <v>1140</v>
      </c>
      <c r="T65" t="s">
        <v>1140</v>
      </c>
      <c r="U65" t="s">
        <v>1140</v>
      </c>
      <c r="V65" t="s">
        <v>1140</v>
      </c>
      <c r="W65" t="s">
        <v>1140</v>
      </c>
      <c r="X65" t="s">
        <v>1140</v>
      </c>
      <c r="Y65" t="s">
        <v>1140</v>
      </c>
      <c r="Z65">
        <v>0</v>
      </c>
      <c r="AA65">
        <v>0</v>
      </c>
      <c r="AB65">
        <v>0</v>
      </c>
      <c r="AC65">
        <v>0</v>
      </c>
      <c r="AD65">
        <v>0</v>
      </c>
      <c r="AE65">
        <v>0</v>
      </c>
      <c r="AF65">
        <v>24</v>
      </c>
      <c r="AG65">
        <v>0</v>
      </c>
      <c r="AH65">
        <v>0</v>
      </c>
      <c r="AI65">
        <v>0</v>
      </c>
      <c r="AJ65">
        <v>0</v>
      </c>
      <c r="AK65">
        <v>0</v>
      </c>
      <c r="AL65">
        <v>2021</v>
      </c>
    </row>
    <row r="66" spans="1:38" x14ac:dyDescent="0.3">
      <c r="A66" t="s">
        <v>147</v>
      </c>
      <c r="B66" t="s">
        <v>132</v>
      </c>
      <c r="C66" t="s">
        <v>14</v>
      </c>
      <c r="D66">
        <v>999</v>
      </c>
      <c r="E66">
        <v>200</v>
      </c>
      <c r="F66">
        <v>799</v>
      </c>
      <c r="G66">
        <v>0.20020020020020021</v>
      </c>
      <c r="H66">
        <v>0.79979979979979976</v>
      </c>
      <c r="I66" t="s">
        <v>17952</v>
      </c>
      <c r="J66">
        <v>60</v>
      </c>
      <c r="K66">
        <v>100</v>
      </c>
      <c r="L66">
        <v>839</v>
      </c>
      <c r="M66">
        <v>0</v>
      </c>
      <c r="N66">
        <v>35</v>
      </c>
      <c r="O66">
        <v>165</v>
      </c>
      <c r="P66" s="9">
        <v>0</v>
      </c>
      <c r="Q66" s="9">
        <v>0.35</v>
      </c>
      <c r="R66" s="9">
        <v>0.19666269368295591</v>
      </c>
      <c r="S66" t="s">
        <v>1140</v>
      </c>
      <c r="T66" t="s">
        <v>1140</v>
      </c>
      <c r="U66" t="s">
        <v>1140</v>
      </c>
      <c r="V66" t="s">
        <v>1140</v>
      </c>
      <c r="W66" t="s">
        <v>1140</v>
      </c>
      <c r="X66" t="s">
        <v>1140</v>
      </c>
      <c r="Y66" t="s">
        <v>1140</v>
      </c>
      <c r="Z66">
        <v>22</v>
      </c>
      <c r="AA66">
        <v>33</v>
      </c>
      <c r="AB66">
        <v>21</v>
      </c>
      <c r="AC66">
        <v>20</v>
      </c>
      <c r="AD66">
        <v>9</v>
      </c>
      <c r="AE66">
        <v>105</v>
      </c>
      <c r="AF66">
        <v>20</v>
      </c>
      <c r="AG66">
        <v>3</v>
      </c>
      <c r="AH66">
        <v>4</v>
      </c>
      <c r="AI66">
        <v>10</v>
      </c>
      <c r="AJ66">
        <v>3</v>
      </c>
      <c r="AK66">
        <v>0</v>
      </c>
      <c r="AL66">
        <v>2021</v>
      </c>
    </row>
    <row r="67" spans="1:38" x14ac:dyDescent="0.3">
      <c r="A67" t="s">
        <v>149</v>
      </c>
      <c r="B67" t="s">
        <v>132</v>
      </c>
      <c r="C67" t="s">
        <v>14</v>
      </c>
      <c r="D67" t="s">
        <v>17955</v>
      </c>
      <c r="E67" t="s">
        <v>17955</v>
      </c>
      <c r="F67" t="s">
        <v>17955</v>
      </c>
      <c r="G67" t="s">
        <v>17955</v>
      </c>
      <c r="H67" t="s">
        <v>17955</v>
      </c>
      <c r="I67" t="s">
        <v>17954</v>
      </c>
      <c r="J67" t="s">
        <v>17955</v>
      </c>
      <c r="K67" t="s">
        <v>17955</v>
      </c>
      <c r="L67" t="s">
        <v>17955</v>
      </c>
      <c r="M67">
        <v>0</v>
      </c>
      <c r="N67">
        <v>0</v>
      </c>
      <c r="O67" t="s">
        <v>17955</v>
      </c>
      <c r="P67" s="9" t="s">
        <v>17955</v>
      </c>
      <c r="Q67" s="9" t="s">
        <v>17955</v>
      </c>
      <c r="R67" s="9" t="s">
        <v>17955</v>
      </c>
      <c r="S67" t="s">
        <v>17957</v>
      </c>
      <c r="T67" t="s">
        <v>17957</v>
      </c>
      <c r="U67" t="s">
        <v>17957</v>
      </c>
      <c r="V67" t="s">
        <v>1140</v>
      </c>
      <c r="W67" t="s">
        <v>1140</v>
      </c>
      <c r="X67" t="s">
        <v>1140</v>
      </c>
      <c r="Y67" t="s">
        <v>17957</v>
      </c>
      <c r="Z67" t="s">
        <v>17955</v>
      </c>
      <c r="AA67" t="s">
        <v>17955</v>
      </c>
      <c r="AB67" t="s">
        <v>17955</v>
      </c>
      <c r="AC67" t="s">
        <v>17955</v>
      </c>
      <c r="AD67" t="s">
        <v>17955</v>
      </c>
      <c r="AE67">
        <v>0</v>
      </c>
      <c r="AF67">
        <v>0</v>
      </c>
      <c r="AG67">
        <v>0</v>
      </c>
      <c r="AH67">
        <v>0</v>
      </c>
      <c r="AI67">
        <v>0</v>
      </c>
      <c r="AJ67">
        <v>0</v>
      </c>
      <c r="AK67">
        <v>0</v>
      </c>
      <c r="AL67">
        <v>2021</v>
      </c>
    </row>
    <row r="68" spans="1:38" x14ac:dyDescent="0.3">
      <c r="A68" t="s">
        <v>151</v>
      </c>
      <c r="B68" t="s">
        <v>132</v>
      </c>
      <c r="C68" t="s">
        <v>14</v>
      </c>
      <c r="D68">
        <v>1300</v>
      </c>
      <c r="E68">
        <v>300</v>
      </c>
      <c r="F68">
        <v>1000</v>
      </c>
      <c r="G68">
        <v>0.23076923076923078</v>
      </c>
      <c r="H68">
        <v>0.76923076923076916</v>
      </c>
      <c r="I68" t="s">
        <v>17954</v>
      </c>
      <c r="J68">
        <v>160</v>
      </c>
      <c r="K68">
        <v>120</v>
      </c>
      <c r="L68">
        <v>1020</v>
      </c>
      <c r="M68">
        <v>7</v>
      </c>
      <c r="N68">
        <v>7</v>
      </c>
      <c r="O68">
        <v>286</v>
      </c>
      <c r="P68" s="9">
        <v>2.3333333333333334E-2</v>
      </c>
      <c r="Q68" s="9">
        <v>5.8333333333333334E-2</v>
      </c>
      <c r="R68" s="9">
        <v>0.2803921568627451</v>
      </c>
      <c r="S68" t="s">
        <v>1140</v>
      </c>
      <c r="T68" t="s">
        <v>1140</v>
      </c>
      <c r="U68" t="s">
        <v>1140</v>
      </c>
      <c r="V68" t="s">
        <v>1140</v>
      </c>
      <c r="W68" t="s">
        <v>1140</v>
      </c>
      <c r="X68" t="s">
        <v>1140</v>
      </c>
      <c r="Y68" t="s">
        <v>1140</v>
      </c>
      <c r="Z68">
        <v>37</v>
      </c>
      <c r="AA68">
        <v>74</v>
      </c>
      <c r="AB68">
        <v>113</v>
      </c>
      <c r="AC68">
        <v>67</v>
      </c>
      <c r="AD68">
        <v>20</v>
      </c>
      <c r="AE68">
        <v>311</v>
      </c>
      <c r="AF68">
        <v>40</v>
      </c>
      <c r="AG68">
        <v>15</v>
      </c>
      <c r="AH68">
        <v>3</v>
      </c>
      <c r="AI68">
        <v>13</v>
      </c>
      <c r="AJ68">
        <v>8</v>
      </c>
      <c r="AK68">
        <v>1</v>
      </c>
      <c r="AL68">
        <v>2021</v>
      </c>
    </row>
    <row r="69" spans="1:38" x14ac:dyDescent="0.3">
      <c r="A69" t="s">
        <v>153</v>
      </c>
      <c r="B69" t="s">
        <v>132</v>
      </c>
      <c r="C69" t="s">
        <v>14</v>
      </c>
      <c r="D69">
        <v>1241</v>
      </c>
      <c r="E69">
        <v>400</v>
      </c>
      <c r="F69">
        <v>841</v>
      </c>
      <c r="G69">
        <v>0.32232070910556004</v>
      </c>
      <c r="H69">
        <v>0.67767929089444001</v>
      </c>
      <c r="I69" t="s">
        <v>17954</v>
      </c>
      <c r="J69">
        <v>120</v>
      </c>
      <c r="K69">
        <v>150</v>
      </c>
      <c r="L69">
        <v>971</v>
      </c>
      <c r="M69">
        <v>7</v>
      </c>
      <c r="N69">
        <v>7</v>
      </c>
      <c r="O69">
        <v>386</v>
      </c>
      <c r="P69" s="9">
        <v>1.7500000000000002E-2</v>
      </c>
      <c r="Q69" s="9">
        <v>4.6666666666666669E-2</v>
      </c>
      <c r="R69" s="9">
        <v>0.39752832131822863</v>
      </c>
      <c r="S69" t="s">
        <v>1140</v>
      </c>
      <c r="T69" t="s">
        <v>1140</v>
      </c>
      <c r="U69" t="s">
        <v>1140</v>
      </c>
      <c r="V69" t="s">
        <v>1140</v>
      </c>
      <c r="W69" t="s">
        <v>1140</v>
      </c>
      <c r="X69" t="s">
        <v>1140</v>
      </c>
      <c r="Y69" t="s">
        <v>1140</v>
      </c>
      <c r="Z69">
        <v>13</v>
      </c>
      <c r="AA69">
        <v>59</v>
      </c>
      <c r="AB69">
        <v>47</v>
      </c>
      <c r="AC69">
        <v>38</v>
      </c>
      <c r="AD69">
        <v>33</v>
      </c>
      <c r="AE69">
        <v>190</v>
      </c>
      <c r="AF69">
        <v>28</v>
      </c>
      <c r="AG69">
        <v>4</v>
      </c>
      <c r="AH69">
        <v>11</v>
      </c>
      <c r="AI69">
        <v>13</v>
      </c>
      <c r="AJ69">
        <v>0</v>
      </c>
      <c r="AK69">
        <v>0</v>
      </c>
      <c r="AL69">
        <v>2021</v>
      </c>
    </row>
    <row r="70" spans="1:38" x14ac:dyDescent="0.3">
      <c r="A70" t="s">
        <v>155</v>
      </c>
      <c r="B70" t="s">
        <v>132</v>
      </c>
      <c r="C70" t="s">
        <v>14</v>
      </c>
      <c r="D70">
        <v>185</v>
      </c>
      <c r="E70">
        <v>40</v>
      </c>
      <c r="F70">
        <v>145</v>
      </c>
      <c r="G70">
        <v>0.21621621621621623</v>
      </c>
      <c r="H70">
        <v>0.78378378378378377</v>
      </c>
      <c r="I70" t="s">
        <v>1191</v>
      </c>
      <c r="J70">
        <v>10</v>
      </c>
      <c r="K70">
        <v>85</v>
      </c>
      <c r="L70">
        <v>90</v>
      </c>
      <c r="M70">
        <v>7</v>
      </c>
      <c r="N70">
        <v>3</v>
      </c>
      <c r="O70">
        <v>30</v>
      </c>
      <c r="P70" s="9">
        <v>0.17499999999999999</v>
      </c>
      <c r="Q70" s="9">
        <v>3.5294117647058823E-2</v>
      </c>
      <c r="R70" s="9">
        <v>0.33333333333333331</v>
      </c>
      <c r="S70" t="s">
        <v>1140</v>
      </c>
      <c r="T70" t="s">
        <v>1140</v>
      </c>
      <c r="U70" t="s">
        <v>1140</v>
      </c>
      <c r="V70" t="s">
        <v>1140</v>
      </c>
      <c r="W70" t="s">
        <v>1140</v>
      </c>
      <c r="X70" t="s">
        <v>1140</v>
      </c>
      <c r="Y70" t="s">
        <v>1140</v>
      </c>
      <c r="Z70">
        <v>0</v>
      </c>
      <c r="AA70">
        <v>0</v>
      </c>
      <c r="AB70">
        <v>0</v>
      </c>
      <c r="AC70">
        <v>4</v>
      </c>
      <c r="AD70">
        <v>0</v>
      </c>
      <c r="AE70">
        <v>4</v>
      </c>
      <c r="AF70">
        <v>4</v>
      </c>
      <c r="AG70">
        <v>1</v>
      </c>
      <c r="AH70">
        <v>3</v>
      </c>
      <c r="AI70">
        <v>0</v>
      </c>
      <c r="AJ70">
        <v>0</v>
      </c>
      <c r="AK70">
        <v>0</v>
      </c>
      <c r="AL70">
        <v>2021</v>
      </c>
    </row>
    <row r="71" spans="1:38" x14ac:dyDescent="0.3">
      <c r="A71" t="s">
        <v>157</v>
      </c>
      <c r="B71" t="s">
        <v>132</v>
      </c>
      <c r="C71" t="s">
        <v>14</v>
      </c>
      <c r="D71" t="s">
        <v>17955</v>
      </c>
      <c r="E71" t="s">
        <v>17955</v>
      </c>
      <c r="F71" t="s">
        <v>17955</v>
      </c>
      <c r="G71" t="s">
        <v>17955</v>
      </c>
      <c r="H71" t="s">
        <v>17955</v>
      </c>
      <c r="I71" t="s">
        <v>17954</v>
      </c>
      <c r="J71" t="s">
        <v>17955</v>
      </c>
      <c r="K71" t="s">
        <v>17955</v>
      </c>
      <c r="L71" t="s">
        <v>17955</v>
      </c>
      <c r="M71">
        <v>0</v>
      </c>
      <c r="N71">
        <v>0</v>
      </c>
      <c r="O71" t="s">
        <v>17955</v>
      </c>
      <c r="P71" s="9" t="s">
        <v>17955</v>
      </c>
      <c r="Q71" s="9" t="s">
        <v>17955</v>
      </c>
      <c r="R71" s="9" t="s">
        <v>17955</v>
      </c>
      <c r="S71" t="s">
        <v>17957</v>
      </c>
      <c r="T71" t="s">
        <v>17957</v>
      </c>
      <c r="U71" t="s">
        <v>17957</v>
      </c>
      <c r="V71" t="s">
        <v>1140</v>
      </c>
      <c r="W71" t="s">
        <v>1140</v>
      </c>
      <c r="X71" t="s">
        <v>1140</v>
      </c>
      <c r="Y71" t="s">
        <v>17957</v>
      </c>
      <c r="Z71" t="s">
        <v>17955</v>
      </c>
      <c r="AA71" t="s">
        <v>17955</v>
      </c>
      <c r="AB71" t="s">
        <v>17955</v>
      </c>
      <c r="AC71" t="s">
        <v>17955</v>
      </c>
      <c r="AD71" t="s">
        <v>17955</v>
      </c>
      <c r="AE71">
        <v>0</v>
      </c>
      <c r="AF71">
        <v>0</v>
      </c>
      <c r="AG71">
        <v>0</v>
      </c>
      <c r="AH71">
        <v>0</v>
      </c>
      <c r="AI71">
        <v>0</v>
      </c>
      <c r="AJ71">
        <v>0</v>
      </c>
      <c r="AK71">
        <v>0</v>
      </c>
      <c r="AL71">
        <v>2021</v>
      </c>
    </row>
    <row r="72" spans="1:38" x14ac:dyDescent="0.3">
      <c r="A72" t="s">
        <v>159</v>
      </c>
      <c r="B72" t="s">
        <v>132</v>
      </c>
      <c r="C72" t="s">
        <v>14</v>
      </c>
      <c r="D72">
        <v>450</v>
      </c>
      <c r="E72">
        <v>100</v>
      </c>
      <c r="F72">
        <v>350</v>
      </c>
      <c r="G72">
        <v>0.22222222222222221</v>
      </c>
      <c r="H72">
        <v>0.77777777777777779</v>
      </c>
      <c r="I72" t="s">
        <v>17952</v>
      </c>
      <c r="J72">
        <v>116</v>
      </c>
      <c r="K72">
        <v>60</v>
      </c>
      <c r="L72">
        <v>274</v>
      </c>
      <c r="M72">
        <v>5</v>
      </c>
      <c r="N72">
        <v>10</v>
      </c>
      <c r="O72">
        <v>85</v>
      </c>
      <c r="P72" s="9">
        <v>0.05</v>
      </c>
      <c r="Q72" s="9">
        <v>0.16666666666666666</v>
      </c>
      <c r="R72" s="9">
        <v>0.31021897810218979</v>
      </c>
      <c r="S72" t="s">
        <v>1140</v>
      </c>
      <c r="T72" t="s">
        <v>1140</v>
      </c>
      <c r="U72" t="s">
        <v>1140</v>
      </c>
      <c r="V72" t="s">
        <v>1140</v>
      </c>
      <c r="W72" t="s">
        <v>1140</v>
      </c>
      <c r="X72" t="s">
        <v>1140</v>
      </c>
      <c r="Y72" t="s">
        <v>1140</v>
      </c>
      <c r="Z72">
        <v>16</v>
      </c>
      <c r="AA72">
        <v>62</v>
      </c>
      <c r="AB72">
        <v>67</v>
      </c>
      <c r="AC72">
        <v>47</v>
      </c>
      <c r="AD72">
        <v>45</v>
      </c>
      <c r="AE72">
        <v>237</v>
      </c>
      <c r="AF72">
        <v>36</v>
      </c>
      <c r="AG72">
        <v>15</v>
      </c>
      <c r="AH72">
        <v>9</v>
      </c>
      <c r="AI72">
        <v>5</v>
      </c>
      <c r="AJ72">
        <v>6</v>
      </c>
      <c r="AK72">
        <v>1</v>
      </c>
      <c r="AL72">
        <v>2021</v>
      </c>
    </row>
    <row r="73" spans="1:38" x14ac:dyDescent="0.3">
      <c r="A73" t="s">
        <v>161</v>
      </c>
      <c r="B73" t="s">
        <v>132</v>
      </c>
      <c r="C73" t="s">
        <v>14</v>
      </c>
      <c r="D73">
        <v>665</v>
      </c>
      <c r="E73">
        <v>50</v>
      </c>
      <c r="F73">
        <v>615</v>
      </c>
      <c r="G73">
        <v>7.5187969924812026E-2</v>
      </c>
      <c r="H73">
        <v>0.92481203007518797</v>
      </c>
      <c r="I73" t="s">
        <v>17952</v>
      </c>
      <c r="J73">
        <v>140</v>
      </c>
      <c r="K73">
        <v>200</v>
      </c>
      <c r="L73">
        <v>325</v>
      </c>
      <c r="M73">
        <v>5</v>
      </c>
      <c r="N73">
        <v>5</v>
      </c>
      <c r="O73">
        <v>40</v>
      </c>
      <c r="P73" s="9">
        <v>0.1</v>
      </c>
      <c r="Q73" s="9">
        <v>2.5000000000000001E-2</v>
      </c>
      <c r="R73" s="9">
        <v>0.12307692307692308</v>
      </c>
      <c r="S73" t="s">
        <v>1140</v>
      </c>
      <c r="T73" t="s">
        <v>1140</v>
      </c>
      <c r="U73" t="s">
        <v>1140</v>
      </c>
      <c r="V73" t="s">
        <v>1140</v>
      </c>
      <c r="W73" t="s">
        <v>1140</v>
      </c>
      <c r="X73" t="s">
        <v>1140</v>
      </c>
      <c r="Y73" t="s">
        <v>1140</v>
      </c>
      <c r="Z73">
        <v>14</v>
      </c>
      <c r="AA73">
        <v>14</v>
      </c>
      <c r="AB73">
        <v>63</v>
      </c>
      <c r="AC73">
        <v>63</v>
      </c>
      <c r="AD73">
        <v>60</v>
      </c>
      <c r="AE73">
        <v>214</v>
      </c>
      <c r="AF73">
        <v>27</v>
      </c>
      <c r="AG73">
        <v>5</v>
      </c>
      <c r="AH73">
        <v>7</v>
      </c>
      <c r="AI73">
        <v>10</v>
      </c>
      <c r="AJ73">
        <v>5</v>
      </c>
      <c r="AK73">
        <v>0</v>
      </c>
      <c r="AL73">
        <v>2021</v>
      </c>
    </row>
    <row r="74" spans="1:38" x14ac:dyDescent="0.3">
      <c r="A74" t="s">
        <v>163</v>
      </c>
      <c r="B74" t="s">
        <v>132</v>
      </c>
      <c r="C74" t="s">
        <v>14</v>
      </c>
      <c r="D74">
        <v>713</v>
      </c>
      <c r="E74">
        <v>0</v>
      </c>
      <c r="F74">
        <v>713</v>
      </c>
      <c r="G74">
        <v>0</v>
      </c>
      <c r="H74">
        <v>1</v>
      </c>
      <c r="I74" t="s">
        <v>17952</v>
      </c>
      <c r="J74">
        <v>87</v>
      </c>
      <c r="K74">
        <v>0</v>
      </c>
      <c r="L74">
        <v>626</v>
      </c>
      <c r="M74">
        <v>0</v>
      </c>
      <c r="N74">
        <v>5</v>
      </c>
      <c r="O74" t="s">
        <v>17955</v>
      </c>
      <c r="P74" s="9" t="s">
        <v>17955</v>
      </c>
      <c r="Q74" s="9" t="s">
        <v>17955</v>
      </c>
      <c r="R74" s="9" t="s">
        <v>17955</v>
      </c>
      <c r="S74" t="s">
        <v>1140</v>
      </c>
      <c r="T74" t="s">
        <v>17957</v>
      </c>
      <c r="U74" t="s">
        <v>17957</v>
      </c>
      <c r="V74" t="s">
        <v>17957</v>
      </c>
      <c r="W74" t="s">
        <v>17957</v>
      </c>
      <c r="X74" t="s">
        <v>1140</v>
      </c>
      <c r="Y74" t="s">
        <v>17957</v>
      </c>
      <c r="Z74">
        <v>29</v>
      </c>
      <c r="AA74">
        <v>53</v>
      </c>
      <c r="AB74">
        <v>12</v>
      </c>
      <c r="AC74">
        <v>15</v>
      </c>
      <c r="AD74">
        <v>0</v>
      </c>
      <c r="AE74">
        <v>109</v>
      </c>
      <c r="AF74">
        <v>22</v>
      </c>
      <c r="AG74">
        <v>4</v>
      </c>
      <c r="AH74">
        <v>3</v>
      </c>
      <c r="AI74">
        <v>9</v>
      </c>
      <c r="AJ74">
        <v>6</v>
      </c>
      <c r="AK74">
        <v>0</v>
      </c>
      <c r="AL74">
        <v>2021</v>
      </c>
    </row>
    <row r="75" spans="1:38" x14ac:dyDescent="0.3">
      <c r="A75" t="s">
        <v>165</v>
      </c>
      <c r="B75" t="s">
        <v>132</v>
      </c>
      <c r="C75" t="s">
        <v>14</v>
      </c>
      <c r="D75">
        <v>1900</v>
      </c>
      <c r="E75">
        <v>800</v>
      </c>
      <c r="F75">
        <v>1100</v>
      </c>
      <c r="G75">
        <v>0.42105263157894735</v>
      </c>
      <c r="H75">
        <v>0.57894736842105265</v>
      </c>
      <c r="I75" t="s">
        <v>17954</v>
      </c>
      <c r="J75">
        <v>130</v>
      </c>
      <c r="K75">
        <v>500</v>
      </c>
      <c r="L75">
        <v>1270</v>
      </c>
      <c r="M75">
        <v>7</v>
      </c>
      <c r="N75">
        <v>30</v>
      </c>
      <c r="O75">
        <v>763</v>
      </c>
      <c r="P75" s="9">
        <v>8.7500000000000008E-3</v>
      </c>
      <c r="Q75" s="9">
        <v>0.06</v>
      </c>
      <c r="R75" s="9">
        <v>0.60078740157480315</v>
      </c>
      <c r="S75" t="s">
        <v>1140</v>
      </c>
      <c r="T75" t="s">
        <v>1140</v>
      </c>
      <c r="U75" t="s">
        <v>1140</v>
      </c>
      <c r="V75" t="s">
        <v>1140</v>
      </c>
      <c r="W75" t="s">
        <v>1140</v>
      </c>
      <c r="X75" t="s">
        <v>1140</v>
      </c>
      <c r="Y75" t="s">
        <v>1140</v>
      </c>
      <c r="Z75" t="s">
        <v>17955</v>
      </c>
      <c r="AA75" t="s">
        <v>17955</v>
      </c>
      <c r="AB75" t="s">
        <v>17955</v>
      </c>
      <c r="AC75" t="s">
        <v>17955</v>
      </c>
      <c r="AD75" t="s">
        <v>17955</v>
      </c>
      <c r="AE75">
        <v>0</v>
      </c>
      <c r="AF75">
        <v>0</v>
      </c>
      <c r="AG75">
        <v>0</v>
      </c>
      <c r="AH75">
        <v>0</v>
      </c>
      <c r="AI75">
        <v>0</v>
      </c>
      <c r="AJ75">
        <v>0</v>
      </c>
      <c r="AK75">
        <v>0</v>
      </c>
      <c r="AL75">
        <v>2021</v>
      </c>
    </row>
    <row r="76" spans="1:38" x14ac:dyDescent="0.3">
      <c r="A76" t="s">
        <v>167</v>
      </c>
      <c r="B76" t="s">
        <v>132</v>
      </c>
      <c r="C76" t="s">
        <v>14</v>
      </c>
      <c r="D76">
        <v>200</v>
      </c>
      <c r="E76">
        <v>72</v>
      </c>
      <c r="F76">
        <v>128</v>
      </c>
      <c r="G76">
        <v>0.36</v>
      </c>
      <c r="H76">
        <v>0.64</v>
      </c>
      <c r="I76" t="s">
        <v>1191</v>
      </c>
      <c r="J76">
        <v>20</v>
      </c>
      <c r="K76">
        <v>0</v>
      </c>
      <c r="L76">
        <v>180</v>
      </c>
      <c r="M76">
        <v>0</v>
      </c>
      <c r="N76">
        <v>0</v>
      </c>
      <c r="O76">
        <v>72</v>
      </c>
      <c r="P76" s="9">
        <v>0</v>
      </c>
      <c r="Q76" s="9" t="s">
        <v>17955</v>
      </c>
      <c r="R76" s="9">
        <v>0.4</v>
      </c>
      <c r="S76" t="s">
        <v>1140</v>
      </c>
      <c r="T76" t="s">
        <v>1140</v>
      </c>
      <c r="U76" t="s">
        <v>1140</v>
      </c>
      <c r="V76" t="s">
        <v>1140</v>
      </c>
      <c r="W76" t="s">
        <v>1140</v>
      </c>
      <c r="X76" t="s">
        <v>1140</v>
      </c>
      <c r="Y76" t="s">
        <v>1140</v>
      </c>
      <c r="Z76">
        <v>0</v>
      </c>
      <c r="AA76">
        <v>0</v>
      </c>
      <c r="AB76">
        <v>0</v>
      </c>
      <c r="AC76">
        <v>3</v>
      </c>
      <c r="AD76">
        <v>3</v>
      </c>
      <c r="AE76">
        <v>6</v>
      </c>
      <c r="AF76">
        <v>2</v>
      </c>
      <c r="AG76">
        <v>1</v>
      </c>
      <c r="AH76">
        <v>0</v>
      </c>
      <c r="AI76">
        <v>1</v>
      </c>
      <c r="AJ76">
        <v>0</v>
      </c>
      <c r="AK76">
        <v>0</v>
      </c>
      <c r="AL76">
        <v>2021</v>
      </c>
    </row>
    <row r="77" spans="1:38" x14ac:dyDescent="0.3">
      <c r="A77" t="s">
        <v>169</v>
      </c>
      <c r="B77" t="s">
        <v>132</v>
      </c>
      <c r="C77" t="s">
        <v>14</v>
      </c>
      <c r="D77" t="s">
        <v>17955</v>
      </c>
      <c r="E77" t="s">
        <v>17955</v>
      </c>
      <c r="F77" t="s">
        <v>17955</v>
      </c>
      <c r="G77" t="s">
        <v>17955</v>
      </c>
      <c r="H77" t="s">
        <v>17955</v>
      </c>
      <c r="I77" t="s">
        <v>17954</v>
      </c>
      <c r="J77" t="s">
        <v>17955</v>
      </c>
      <c r="K77" t="s">
        <v>17955</v>
      </c>
      <c r="L77" t="s">
        <v>17955</v>
      </c>
      <c r="M77">
        <v>0</v>
      </c>
      <c r="N77">
        <v>0</v>
      </c>
      <c r="O77" t="s">
        <v>17955</v>
      </c>
      <c r="P77" s="9" t="s">
        <v>17955</v>
      </c>
      <c r="Q77" s="9" t="s">
        <v>17955</v>
      </c>
      <c r="R77" s="9" t="s">
        <v>17955</v>
      </c>
      <c r="S77" t="s">
        <v>17957</v>
      </c>
      <c r="T77" t="s">
        <v>17957</v>
      </c>
      <c r="U77" t="s">
        <v>17957</v>
      </c>
      <c r="V77" t="s">
        <v>1140</v>
      </c>
      <c r="W77" t="s">
        <v>1140</v>
      </c>
      <c r="X77" t="s">
        <v>1140</v>
      </c>
      <c r="Y77" t="s">
        <v>17957</v>
      </c>
      <c r="Z77" t="s">
        <v>17955</v>
      </c>
      <c r="AA77" t="s">
        <v>17955</v>
      </c>
      <c r="AB77" t="s">
        <v>17955</v>
      </c>
      <c r="AC77" t="s">
        <v>17955</v>
      </c>
      <c r="AD77" t="s">
        <v>17955</v>
      </c>
      <c r="AE77">
        <v>0</v>
      </c>
      <c r="AF77">
        <v>0</v>
      </c>
      <c r="AG77">
        <v>0</v>
      </c>
      <c r="AH77">
        <v>0</v>
      </c>
      <c r="AI77">
        <v>0</v>
      </c>
      <c r="AJ77">
        <v>0</v>
      </c>
      <c r="AK77">
        <v>0</v>
      </c>
      <c r="AL77">
        <v>2021</v>
      </c>
    </row>
    <row r="78" spans="1:38" x14ac:dyDescent="0.3">
      <c r="A78" t="s">
        <v>171</v>
      </c>
      <c r="B78" t="s">
        <v>132</v>
      </c>
      <c r="C78" t="s">
        <v>14</v>
      </c>
      <c r="D78" t="s">
        <v>17955</v>
      </c>
      <c r="E78" t="s">
        <v>17955</v>
      </c>
      <c r="F78" t="s">
        <v>17955</v>
      </c>
      <c r="G78" t="s">
        <v>17955</v>
      </c>
      <c r="H78" t="s">
        <v>17955</v>
      </c>
      <c r="I78" t="s">
        <v>17954</v>
      </c>
      <c r="J78" t="s">
        <v>17955</v>
      </c>
      <c r="K78" t="s">
        <v>17955</v>
      </c>
      <c r="L78" t="s">
        <v>17955</v>
      </c>
      <c r="M78">
        <v>0</v>
      </c>
      <c r="N78">
        <v>0</v>
      </c>
      <c r="O78" t="s">
        <v>17955</v>
      </c>
      <c r="P78" s="9" t="s">
        <v>17955</v>
      </c>
      <c r="Q78" s="9" t="s">
        <v>17955</v>
      </c>
      <c r="R78" s="9" t="s">
        <v>17955</v>
      </c>
      <c r="S78" t="s">
        <v>17957</v>
      </c>
      <c r="T78" t="s">
        <v>17957</v>
      </c>
      <c r="U78" t="s">
        <v>17957</v>
      </c>
      <c r="V78" t="s">
        <v>1140</v>
      </c>
      <c r="W78" t="s">
        <v>1140</v>
      </c>
      <c r="X78" t="s">
        <v>1140</v>
      </c>
      <c r="Y78" t="s">
        <v>17957</v>
      </c>
      <c r="Z78" t="s">
        <v>17955</v>
      </c>
      <c r="AA78" t="s">
        <v>17955</v>
      </c>
      <c r="AB78" t="s">
        <v>17955</v>
      </c>
      <c r="AC78" t="s">
        <v>17955</v>
      </c>
      <c r="AD78" t="s">
        <v>17955</v>
      </c>
      <c r="AE78">
        <v>0</v>
      </c>
      <c r="AF78">
        <v>0</v>
      </c>
      <c r="AG78">
        <v>0</v>
      </c>
      <c r="AH78">
        <v>0</v>
      </c>
      <c r="AI78">
        <v>0</v>
      </c>
      <c r="AJ78">
        <v>0</v>
      </c>
      <c r="AK78">
        <v>0</v>
      </c>
      <c r="AL78">
        <v>2021</v>
      </c>
    </row>
    <row r="79" spans="1:38" x14ac:dyDescent="0.3">
      <c r="A79" t="s">
        <v>173</v>
      </c>
      <c r="B79" t="s">
        <v>175</v>
      </c>
      <c r="C79" t="s">
        <v>14</v>
      </c>
      <c r="D79">
        <v>280</v>
      </c>
      <c r="E79">
        <v>60</v>
      </c>
      <c r="F79">
        <v>220</v>
      </c>
      <c r="G79">
        <v>0.21428571428571427</v>
      </c>
      <c r="H79">
        <v>0.7857142857142857</v>
      </c>
      <c r="I79" t="s">
        <v>1191</v>
      </c>
      <c r="J79">
        <v>95</v>
      </c>
      <c r="K79">
        <v>2</v>
      </c>
      <c r="L79">
        <v>183</v>
      </c>
      <c r="M79">
        <v>0</v>
      </c>
      <c r="N79">
        <v>3</v>
      </c>
      <c r="O79">
        <v>57</v>
      </c>
      <c r="P79" s="9">
        <v>0</v>
      </c>
      <c r="Q79" s="9">
        <v>1.5</v>
      </c>
      <c r="R79" s="9">
        <v>0.31147540983606559</v>
      </c>
      <c r="S79" t="s">
        <v>1140</v>
      </c>
      <c r="T79" t="s">
        <v>1140</v>
      </c>
      <c r="U79" t="s">
        <v>1140</v>
      </c>
      <c r="V79" t="s">
        <v>17957</v>
      </c>
      <c r="W79" t="s">
        <v>1140</v>
      </c>
      <c r="X79" t="s">
        <v>1140</v>
      </c>
      <c r="Y79" t="s">
        <v>17957</v>
      </c>
      <c r="Z79">
        <v>24</v>
      </c>
      <c r="AA79">
        <v>21</v>
      </c>
      <c r="AB79">
        <v>50</v>
      </c>
      <c r="AC79">
        <v>65</v>
      </c>
      <c r="AD79">
        <v>24</v>
      </c>
      <c r="AE79">
        <v>184</v>
      </c>
      <c r="AF79">
        <v>26</v>
      </c>
      <c r="AG79">
        <v>2</v>
      </c>
      <c r="AH79">
        <v>6</v>
      </c>
      <c r="AI79">
        <v>9</v>
      </c>
      <c r="AJ79">
        <v>7</v>
      </c>
      <c r="AK79">
        <v>2</v>
      </c>
      <c r="AL79">
        <v>2021</v>
      </c>
    </row>
    <row r="80" spans="1:38" x14ac:dyDescent="0.3">
      <c r="A80" t="s">
        <v>176</v>
      </c>
      <c r="B80" t="s">
        <v>175</v>
      </c>
      <c r="C80" t="s">
        <v>14</v>
      </c>
      <c r="D80">
        <v>562</v>
      </c>
      <c r="E80">
        <v>163</v>
      </c>
      <c r="F80">
        <v>399</v>
      </c>
      <c r="G80">
        <v>0.29003558718861211</v>
      </c>
      <c r="H80">
        <v>0.70996441281138789</v>
      </c>
      <c r="I80" t="s">
        <v>17952</v>
      </c>
      <c r="J80">
        <v>4</v>
      </c>
      <c r="K80">
        <v>4</v>
      </c>
      <c r="L80">
        <v>554</v>
      </c>
      <c r="M80">
        <v>4</v>
      </c>
      <c r="N80">
        <v>4</v>
      </c>
      <c r="O80">
        <v>155</v>
      </c>
      <c r="P80" s="9">
        <v>2.4539877300613498E-2</v>
      </c>
      <c r="Q80" s="9">
        <v>1</v>
      </c>
      <c r="R80" s="9">
        <v>0.27978339350180503</v>
      </c>
      <c r="S80" t="s">
        <v>1140</v>
      </c>
      <c r="T80" t="s">
        <v>1140</v>
      </c>
      <c r="U80" t="s">
        <v>1140</v>
      </c>
      <c r="V80" t="s">
        <v>1140</v>
      </c>
      <c r="W80" t="s">
        <v>1140</v>
      </c>
      <c r="X80" t="s">
        <v>1140</v>
      </c>
      <c r="Y80" t="s">
        <v>1140</v>
      </c>
      <c r="Z80">
        <v>42</v>
      </c>
      <c r="AA80">
        <v>85</v>
      </c>
      <c r="AB80">
        <v>69</v>
      </c>
      <c r="AC80">
        <v>31</v>
      </c>
      <c r="AD80">
        <v>9</v>
      </c>
      <c r="AE80">
        <v>236</v>
      </c>
      <c r="AF80">
        <v>29</v>
      </c>
      <c r="AG80">
        <v>4</v>
      </c>
      <c r="AH80">
        <v>2</v>
      </c>
      <c r="AI80">
        <v>18</v>
      </c>
      <c r="AJ80">
        <v>2</v>
      </c>
      <c r="AK80">
        <v>3</v>
      </c>
      <c r="AL80">
        <v>2021</v>
      </c>
    </row>
    <row r="81" spans="1:38" x14ac:dyDescent="0.3">
      <c r="A81" t="s">
        <v>178</v>
      </c>
      <c r="B81" t="s">
        <v>175</v>
      </c>
      <c r="C81" t="s">
        <v>14</v>
      </c>
      <c r="D81" t="s">
        <v>17955</v>
      </c>
      <c r="E81" t="s">
        <v>17955</v>
      </c>
      <c r="F81" t="s">
        <v>17955</v>
      </c>
      <c r="G81" t="s">
        <v>17955</v>
      </c>
      <c r="H81" t="s">
        <v>17955</v>
      </c>
      <c r="I81" t="s">
        <v>17954</v>
      </c>
      <c r="J81" t="s">
        <v>17955</v>
      </c>
      <c r="K81" t="s">
        <v>17955</v>
      </c>
      <c r="L81" t="s">
        <v>17955</v>
      </c>
      <c r="M81">
        <v>0</v>
      </c>
      <c r="N81">
        <v>0</v>
      </c>
      <c r="O81" t="s">
        <v>17955</v>
      </c>
      <c r="P81" s="9" t="s">
        <v>17955</v>
      </c>
      <c r="Q81" s="9" t="s">
        <v>17955</v>
      </c>
      <c r="R81" s="9" t="s">
        <v>17955</v>
      </c>
      <c r="S81" t="s">
        <v>17957</v>
      </c>
      <c r="T81" t="s">
        <v>17957</v>
      </c>
      <c r="U81" t="s">
        <v>17957</v>
      </c>
      <c r="V81" t="s">
        <v>1140</v>
      </c>
      <c r="W81" t="s">
        <v>1140</v>
      </c>
      <c r="X81" t="s">
        <v>1140</v>
      </c>
      <c r="Y81" t="s">
        <v>17957</v>
      </c>
      <c r="Z81" t="s">
        <v>17955</v>
      </c>
      <c r="AA81" t="s">
        <v>17955</v>
      </c>
      <c r="AB81" t="s">
        <v>17955</v>
      </c>
      <c r="AC81" t="s">
        <v>17955</v>
      </c>
      <c r="AD81" t="s">
        <v>17955</v>
      </c>
      <c r="AE81">
        <v>0</v>
      </c>
      <c r="AF81">
        <v>0</v>
      </c>
      <c r="AG81">
        <v>0</v>
      </c>
      <c r="AH81">
        <v>0</v>
      </c>
      <c r="AI81">
        <v>0</v>
      </c>
      <c r="AJ81">
        <v>0</v>
      </c>
      <c r="AK81">
        <v>0</v>
      </c>
      <c r="AL81">
        <v>2021</v>
      </c>
    </row>
    <row r="82" spans="1:38" x14ac:dyDescent="0.3">
      <c r="A82" t="s">
        <v>180</v>
      </c>
      <c r="B82" t="s">
        <v>175</v>
      </c>
      <c r="C82" t="s">
        <v>14</v>
      </c>
      <c r="D82">
        <v>104</v>
      </c>
      <c r="E82">
        <v>4</v>
      </c>
      <c r="F82">
        <v>100</v>
      </c>
      <c r="G82">
        <v>3.8461538461538464E-2</v>
      </c>
      <c r="H82">
        <v>0.96153846153846156</v>
      </c>
      <c r="I82" t="s">
        <v>1191</v>
      </c>
      <c r="J82">
        <v>87</v>
      </c>
      <c r="K82">
        <v>0</v>
      </c>
      <c r="L82">
        <v>17</v>
      </c>
      <c r="M82">
        <v>0</v>
      </c>
      <c r="N82">
        <v>0</v>
      </c>
      <c r="O82">
        <v>4</v>
      </c>
      <c r="P82" s="9">
        <v>0</v>
      </c>
      <c r="Q82" s="9" t="s">
        <v>17955</v>
      </c>
      <c r="R82" s="9">
        <v>0.23529411764705882</v>
      </c>
      <c r="S82" t="s">
        <v>1140</v>
      </c>
      <c r="T82" t="s">
        <v>1140</v>
      </c>
      <c r="U82" t="s">
        <v>1140</v>
      </c>
      <c r="V82" t="s">
        <v>1140</v>
      </c>
      <c r="W82" t="s">
        <v>1140</v>
      </c>
      <c r="X82" t="s">
        <v>1140</v>
      </c>
      <c r="Y82" t="s">
        <v>1140</v>
      </c>
      <c r="Z82">
        <v>30</v>
      </c>
      <c r="AA82">
        <v>25</v>
      </c>
      <c r="AB82">
        <v>35</v>
      </c>
      <c r="AC82">
        <v>22</v>
      </c>
      <c r="AD82">
        <v>19</v>
      </c>
      <c r="AE82">
        <v>131</v>
      </c>
      <c r="AF82">
        <v>32</v>
      </c>
      <c r="AG82">
        <v>4</v>
      </c>
      <c r="AH82">
        <v>4</v>
      </c>
      <c r="AI82">
        <v>23</v>
      </c>
      <c r="AJ82">
        <v>1</v>
      </c>
      <c r="AK82">
        <v>0</v>
      </c>
      <c r="AL82">
        <v>2021</v>
      </c>
    </row>
    <row r="83" spans="1:38" x14ac:dyDescent="0.3">
      <c r="A83" t="s">
        <v>182</v>
      </c>
      <c r="B83" t="s">
        <v>175</v>
      </c>
      <c r="C83" t="s">
        <v>14</v>
      </c>
      <c r="D83" t="s">
        <v>17955</v>
      </c>
      <c r="E83" t="s">
        <v>17955</v>
      </c>
      <c r="F83" t="s">
        <v>17955</v>
      </c>
      <c r="G83" t="s">
        <v>17955</v>
      </c>
      <c r="H83" t="s">
        <v>17955</v>
      </c>
      <c r="I83" t="s">
        <v>17954</v>
      </c>
      <c r="J83" t="s">
        <v>17955</v>
      </c>
      <c r="K83" t="s">
        <v>17955</v>
      </c>
      <c r="L83" t="s">
        <v>17955</v>
      </c>
      <c r="M83">
        <v>0</v>
      </c>
      <c r="N83">
        <v>0</v>
      </c>
      <c r="O83" t="s">
        <v>17955</v>
      </c>
      <c r="P83" s="9" t="s">
        <v>17955</v>
      </c>
      <c r="Q83" s="9" t="s">
        <v>17955</v>
      </c>
      <c r="R83" s="9" t="s">
        <v>17955</v>
      </c>
      <c r="S83" t="s">
        <v>17957</v>
      </c>
      <c r="T83" t="s">
        <v>17957</v>
      </c>
      <c r="U83" t="s">
        <v>17957</v>
      </c>
      <c r="V83" t="s">
        <v>1140</v>
      </c>
      <c r="W83" t="s">
        <v>1140</v>
      </c>
      <c r="X83" t="s">
        <v>1140</v>
      </c>
      <c r="Y83" t="s">
        <v>17957</v>
      </c>
      <c r="Z83" t="s">
        <v>17955</v>
      </c>
      <c r="AA83" t="s">
        <v>17955</v>
      </c>
      <c r="AB83" t="s">
        <v>17955</v>
      </c>
      <c r="AC83" t="s">
        <v>17955</v>
      </c>
      <c r="AD83" t="s">
        <v>17955</v>
      </c>
      <c r="AE83">
        <v>0</v>
      </c>
      <c r="AF83">
        <v>0</v>
      </c>
      <c r="AG83">
        <v>0</v>
      </c>
      <c r="AH83">
        <v>0</v>
      </c>
      <c r="AI83">
        <v>0</v>
      </c>
      <c r="AJ83">
        <v>0</v>
      </c>
      <c r="AK83">
        <v>0</v>
      </c>
      <c r="AL83">
        <v>2021</v>
      </c>
    </row>
    <row r="84" spans="1:38" x14ac:dyDescent="0.3">
      <c r="A84" t="s">
        <v>184</v>
      </c>
      <c r="B84" t="s">
        <v>175</v>
      </c>
      <c r="C84" t="s">
        <v>14</v>
      </c>
      <c r="D84" t="s">
        <v>17955</v>
      </c>
      <c r="E84" t="s">
        <v>17955</v>
      </c>
      <c r="F84" t="s">
        <v>17955</v>
      </c>
      <c r="G84" t="s">
        <v>17955</v>
      </c>
      <c r="H84" t="s">
        <v>17955</v>
      </c>
      <c r="I84" t="s">
        <v>17954</v>
      </c>
      <c r="J84" t="s">
        <v>17955</v>
      </c>
      <c r="K84" t="s">
        <v>17955</v>
      </c>
      <c r="L84" t="s">
        <v>17955</v>
      </c>
      <c r="M84">
        <v>0</v>
      </c>
      <c r="N84">
        <v>0</v>
      </c>
      <c r="O84" t="s">
        <v>17955</v>
      </c>
      <c r="P84" s="9" t="s">
        <v>17955</v>
      </c>
      <c r="Q84" s="9" t="s">
        <v>17955</v>
      </c>
      <c r="R84" s="9" t="s">
        <v>17955</v>
      </c>
      <c r="S84" t="s">
        <v>17957</v>
      </c>
      <c r="T84" t="s">
        <v>17957</v>
      </c>
      <c r="U84" t="s">
        <v>17957</v>
      </c>
      <c r="V84" t="s">
        <v>1140</v>
      </c>
      <c r="W84" t="s">
        <v>1140</v>
      </c>
      <c r="X84" t="s">
        <v>1140</v>
      </c>
      <c r="Y84" t="s">
        <v>17957</v>
      </c>
      <c r="Z84" t="s">
        <v>17955</v>
      </c>
      <c r="AA84" t="s">
        <v>17955</v>
      </c>
      <c r="AB84" t="s">
        <v>17955</v>
      </c>
      <c r="AC84" t="s">
        <v>17955</v>
      </c>
      <c r="AD84" t="s">
        <v>17955</v>
      </c>
      <c r="AE84">
        <v>0</v>
      </c>
      <c r="AF84">
        <v>0</v>
      </c>
      <c r="AG84">
        <v>0</v>
      </c>
      <c r="AH84">
        <v>0</v>
      </c>
      <c r="AI84">
        <v>0</v>
      </c>
      <c r="AJ84">
        <v>0</v>
      </c>
      <c r="AK84">
        <v>0</v>
      </c>
      <c r="AL84">
        <v>2021</v>
      </c>
    </row>
    <row r="85" spans="1:38" x14ac:dyDescent="0.3">
      <c r="A85" t="s">
        <v>186</v>
      </c>
      <c r="B85" t="s">
        <v>175</v>
      </c>
      <c r="C85" t="s">
        <v>14</v>
      </c>
      <c r="D85">
        <v>109</v>
      </c>
      <c r="E85">
        <v>7</v>
      </c>
      <c r="F85">
        <v>102</v>
      </c>
      <c r="G85">
        <v>6.4220183486238536E-2</v>
      </c>
      <c r="H85">
        <v>0.93577981651376141</v>
      </c>
      <c r="I85" t="s">
        <v>1191</v>
      </c>
      <c r="J85">
        <v>85</v>
      </c>
      <c r="K85">
        <v>0</v>
      </c>
      <c r="L85">
        <v>24</v>
      </c>
      <c r="M85">
        <v>0</v>
      </c>
      <c r="N85">
        <v>0</v>
      </c>
      <c r="O85">
        <v>7</v>
      </c>
      <c r="P85" s="9">
        <v>0</v>
      </c>
      <c r="Q85" s="9" t="s">
        <v>17955</v>
      </c>
      <c r="R85" s="9">
        <v>0.29166666666666669</v>
      </c>
      <c r="S85" t="s">
        <v>1140</v>
      </c>
      <c r="T85" t="s">
        <v>1140</v>
      </c>
      <c r="U85" t="s">
        <v>1140</v>
      </c>
      <c r="V85" t="s">
        <v>1140</v>
      </c>
      <c r="W85" t="s">
        <v>1140</v>
      </c>
      <c r="X85" t="s">
        <v>1140</v>
      </c>
      <c r="Y85" t="s">
        <v>1140</v>
      </c>
      <c r="Z85">
        <v>0</v>
      </c>
      <c r="AA85">
        <v>0</v>
      </c>
      <c r="AB85">
        <v>0</v>
      </c>
      <c r="AC85">
        <v>0</v>
      </c>
      <c r="AD85">
        <v>0</v>
      </c>
      <c r="AE85">
        <v>0</v>
      </c>
      <c r="AF85">
        <v>4</v>
      </c>
      <c r="AG85">
        <v>0</v>
      </c>
      <c r="AH85">
        <v>0</v>
      </c>
      <c r="AI85">
        <v>0</v>
      </c>
      <c r="AJ85">
        <v>0</v>
      </c>
      <c r="AK85">
        <v>0</v>
      </c>
      <c r="AL85">
        <v>2021</v>
      </c>
    </row>
    <row r="86" spans="1:38" x14ac:dyDescent="0.3">
      <c r="A86" t="s">
        <v>188</v>
      </c>
      <c r="B86" t="s">
        <v>175</v>
      </c>
      <c r="C86" t="s">
        <v>14</v>
      </c>
      <c r="D86" t="s">
        <v>17955</v>
      </c>
      <c r="E86" t="s">
        <v>17955</v>
      </c>
      <c r="F86" t="s">
        <v>17955</v>
      </c>
      <c r="G86" t="s">
        <v>17955</v>
      </c>
      <c r="H86" t="s">
        <v>17955</v>
      </c>
      <c r="I86" t="s">
        <v>17954</v>
      </c>
      <c r="J86" t="s">
        <v>17955</v>
      </c>
      <c r="K86" t="s">
        <v>17955</v>
      </c>
      <c r="L86" t="s">
        <v>17955</v>
      </c>
      <c r="M86">
        <v>0</v>
      </c>
      <c r="N86">
        <v>0</v>
      </c>
      <c r="O86" t="s">
        <v>17955</v>
      </c>
      <c r="P86" s="9" t="s">
        <v>17955</v>
      </c>
      <c r="Q86" s="9" t="s">
        <v>17955</v>
      </c>
      <c r="R86" s="9" t="s">
        <v>17955</v>
      </c>
      <c r="S86" t="s">
        <v>17957</v>
      </c>
      <c r="T86" t="s">
        <v>17957</v>
      </c>
      <c r="U86" t="s">
        <v>17957</v>
      </c>
      <c r="V86" t="s">
        <v>1140</v>
      </c>
      <c r="W86" t="s">
        <v>1140</v>
      </c>
      <c r="X86" t="s">
        <v>1140</v>
      </c>
      <c r="Y86" t="s">
        <v>17957</v>
      </c>
      <c r="Z86" t="s">
        <v>17955</v>
      </c>
      <c r="AA86" t="s">
        <v>17955</v>
      </c>
      <c r="AB86" t="s">
        <v>17955</v>
      </c>
      <c r="AC86" t="s">
        <v>17955</v>
      </c>
      <c r="AD86" t="s">
        <v>17955</v>
      </c>
      <c r="AE86">
        <v>0</v>
      </c>
      <c r="AF86">
        <v>0</v>
      </c>
      <c r="AG86">
        <v>0</v>
      </c>
      <c r="AH86">
        <v>0</v>
      </c>
      <c r="AI86">
        <v>0</v>
      </c>
      <c r="AJ86">
        <v>0</v>
      </c>
      <c r="AK86">
        <v>0</v>
      </c>
      <c r="AL86">
        <v>2021</v>
      </c>
    </row>
    <row r="87" spans="1:38" x14ac:dyDescent="0.3">
      <c r="A87" t="s">
        <v>190</v>
      </c>
      <c r="B87" t="s">
        <v>199</v>
      </c>
      <c r="C87" t="s">
        <v>14</v>
      </c>
      <c r="D87" t="s">
        <v>17955</v>
      </c>
      <c r="E87" t="s">
        <v>17955</v>
      </c>
      <c r="F87" t="s">
        <v>17955</v>
      </c>
      <c r="G87" t="s">
        <v>17955</v>
      </c>
      <c r="H87" t="s">
        <v>17955</v>
      </c>
      <c r="I87" t="s">
        <v>17954</v>
      </c>
      <c r="J87" t="s">
        <v>17955</v>
      </c>
      <c r="K87" t="s">
        <v>17955</v>
      </c>
      <c r="L87" t="s">
        <v>17955</v>
      </c>
      <c r="M87">
        <v>0</v>
      </c>
      <c r="N87">
        <v>0</v>
      </c>
      <c r="O87" t="s">
        <v>17955</v>
      </c>
      <c r="P87" s="9" t="s">
        <v>17955</v>
      </c>
      <c r="Q87" s="9" t="s">
        <v>17955</v>
      </c>
      <c r="R87" s="9" t="s">
        <v>17955</v>
      </c>
      <c r="S87" t="s">
        <v>17957</v>
      </c>
      <c r="T87" t="s">
        <v>17957</v>
      </c>
      <c r="U87" t="s">
        <v>17957</v>
      </c>
      <c r="V87" t="s">
        <v>1140</v>
      </c>
      <c r="W87" t="s">
        <v>1140</v>
      </c>
      <c r="X87" t="s">
        <v>1140</v>
      </c>
      <c r="Y87" t="s">
        <v>17957</v>
      </c>
      <c r="Z87" t="s">
        <v>17955</v>
      </c>
      <c r="AA87" t="s">
        <v>17955</v>
      </c>
      <c r="AB87" t="s">
        <v>17955</v>
      </c>
      <c r="AC87" t="s">
        <v>17955</v>
      </c>
      <c r="AD87" t="s">
        <v>17955</v>
      </c>
      <c r="AE87">
        <v>0</v>
      </c>
      <c r="AF87">
        <v>0</v>
      </c>
      <c r="AG87">
        <v>0</v>
      </c>
      <c r="AH87">
        <v>0</v>
      </c>
      <c r="AI87">
        <v>0</v>
      </c>
      <c r="AJ87">
        <v>0</v>
      </c>
      <c r="AK87">
        <v>0</v>
      </c>
      <c r="AL87">
        <v>2021</v>
      </c>
    </row>
    <row r="88" spans="1:38" x14ac:dyDescent="0.3">
      <c r="A88" t="s">
        <v>192</v>
      </c>
      <c r="B88" t="s">
        <v>194</v>
      </c>
      <c r="C88" t="s">
        <v>126</v>
      </c>
      <c r="D88">
        <v>32</v>
      </c>
      <c r="E88">
        <v>0</v>
      </c>
      <c r="F88">
        <v>32</v>
      </c>
      <c r="G88">
        <v>0</v>
      </c>
      <c r="H88">
        <v>1</v>
      </c>
      <c r="I88" t="s">
        <v>17953</v>
      </c>
      <c r="J88">
        <v>0</v>
      </c>
      <c r="K88">
        <v>6</v>
      </c>
      <c r="L88">
        <v>26</v>
      </c>
      <c r="M88">
        <v>0</v>
      </c>
      <c r="N88">
        <v>0</v>
      </c>
      <c r="O88" t="s">
        <v>17955</v>
      </c>
      <c r="P88" s="9" t="s">
        <v>17955</v>
      </c>
      <c r="Q88" s="9">
        <v>0</v>
      </c>
      <c r="R88" s="9" t="s">
        <v>17955</v>
      </c>
      <c r="S88" t="s">
        <v>1140</v>
      </c>
      <c r="T88" t="s">
        <v>17957</v>
      </c>
      <c r="U88" t="s">
        <v>17957</v>
      </c>
      <c r="V88" t="s">
        <v>1140</v>
      </c>
      <c r="W88" t="s">
        <v>17957</v>
      </c>
      <c r="X88" t="s">
        <v>1140</v>
      </c>
      <c r="Y88" t="s">
        <v>17957</v>
      </c>
      <c r="Z88">
        <v>0</v>
      </c>
      <c r="AA88">
        <v>5</v>
      </c>
      <c r="AB88">
        <v>12</v>
      </c>
      <c r="AC88">
        <v>8</v>
      </c>
      <c r="AD88">
        <v>1</v>
      </c>
      <c r="AE88">
        <v>26</v>
      </c>
      <c r="AF88">
        <v>5</v>
      </c>
      <c r="AG88">
        <v>0</v>
      </c>
      <c r="AH88">
        <v>0</v>
      </c>
      <c r="AI88">
        <v>2</v>
      </c>
      <c r="AJ88">
        <v>3</v>
      </c>
      <c r="AK88">
        <v>0</v>
      </c>
      <c r="AL88">
        <v>2021</v>
      </c>
    </row>
    <row r="89" spans="1:38" x14ac:dyDescent="0.3">
      <c r="A89" t="s">
        <v>195</v>
      </c>
      <c r="B89" t="s">
        <v>1119</v>
      </c>
      <c r="C89" t="s">
        <v>14</v>
      </c>
      <c r="D89" t="s">
        <v>17955</v>
      </c>
      <c r="E89" t="s">
        <v>17955</v>
      </c>
      <c r="F89" t="s">
        <v>17955</v>
      </c>
      <c r="G89" t="s">
        <v>17955</v>
      </c>
      <c r="H89" t="s">
        <v>17955</v>
      </c>
      <c r="I89" t="s">
        <v>17954</v>
      </c>
      <c r="J89" t="s">
        <v>17955</v>
      </c>
      <c r="K89" t="s">
        <v>17955</v>
      </c>
      <c r="L89" t="s">
        <v>17955</v>
      </c>
      <c r="M89">
        <v>0</v>
      </c>
      <c r="N89">
        <v>0</v>
      </c>
      <c r="O89" t="s">
        <v>17955</v>
      </c>
      <c r="P89" s="9" t="s">
        <v>17955</v>
      </c>
      <c r="Q89" s="9" t="s">
        <v>17955</v>
      </c>
      <c r="R89" s="9" t="s">
        <v>17955</v>
      </c>
      <c r="S89" t="s">
        <v>17957</v>
      </c>
      <c r="T89" t="s">
        <v>17957</v>
      </c>
      <c r="U89" t="s">
        <v>17957</v>
      </c>
      <c r="V89" t="s">
        <v>1140</v>
      </c>
      <c r="W89" t="s">
        <v>1140</v>
      </c>
      <c r="X89" t="s">
        <v>1140</v>
      </c>
      <c r="Y89" t="s">
        <v>17957</v>
      </c>
      <c r="Z89" t="s">
        <v>17955</v>
      </c>
      <c r="AA89" t="s">
        <v>17955</v>
      </c>
      <c r="AB89" t="s">
        <v>17955</v>
      </c>
      <c r="AC89" t="s">
        <v>17955</v>
      </c>
      <c r="AD89" t="s">
        <v>17955</v>
      </c>
      <c r="AE89">
        <v>0</v>
      </c>
      <c r="AF89">
        <v>0</v>
      </c>
      <c r="AG89">
        <v>0</v>
      </c>
      <c r="AH89">
        <v>0</v>
      </c>
      <c r="AI89">
        <v>0</v>
      </c>
      <c r="AJ89">
        <v>0</v>
      </c>
      <c r="AK89">
        <v>0</v>
      </c>
      <c r="AL89">
        <v>2021</v>
      </c>
    </row>
    <row r="90" spans="1:38" x14ac:dyDescent="0.3">
      <c r="A90" t="s">
        <v>197</v>
      </c>
      <c r="B90" t="s">
        <v>199</v>
      </c>
      <c r="C90" t="s">
        <v>126</v>
      </c>
      <c r="D90">
        <v>30</v>
      </c>
      <c r="E90">
        <v>0</v>
      </c>
      <c r="F90">
        <v>30</v>
      </c>
      <c r="G90">
        <v>0</v>
      </c>
      <c r="H90">
        <v>1</v>
      </c>
      <c r="I90" t="s">
        <v>17953</v>
      </c>
      <c r="J90">
        <v>0</v>
      </c>
      <c r="K90">
        <v>10</v>
      </c>
      <c r="L90">
        <v>20</v>
      </c>
      <c r="M90">
        <v>0</v>
      </c>
      <c r="N90">
        <v>0</v>
      </c>
      <c r="O90" t="s">
        <v>17955</v>
      </c>
      <c r="P90" s="9" t="s">
        <v>17955</v>
      </c>
      <c r="Q90" s="9">
        <v>0</v>
      </c>
      <c r="R90" s="9" t="s">
        <v>17955</v>
      </c>
      <c r="S90" t="s">
        <v>1140</v>
      </c>
      <c r="T90" t="s">
        <v>17957</v>
      </c>
      <c r="U90" t="s">
        <v>17957</v>
      </c>
      <c r="V90" t="s">
        <v>1140</v>
      </c>
      <c r="W90" t="s">
        <v>17957</v>
      </c>
      <c r="X90" t="s">
        <v>1140</v>
      </c>
      <c r="Y90" t="s">
        <v>17957</v>
      </c>
      <c r="Z90">
        <v>0</v>
      </c>
      <c r="AA90">
        <v>0</v>
      </c>
      <c r="AB90">
        <v>2</v>
      </c>
      <c r="AC90">
        <v>0</v>
      </c>
      <c r="AD90">
        <v>0</v>
      </c>
      <c r="AE90">
        <v>2</v>
      </c>
      <c r="AF90">
        <v>1</v>
      </c>
      <c r="AG90">
        <v>1</v>
      </c>
      <c r="AH90">
        <v>0</v>
      </c>
      <c r="AI90">
        <v>0</v>
      </c>
      <c r="AJ90">
        <v>0</v>
      </c>
      <c r="AK90">
        <v>0</v>
      </c>
      <c r="AL90">
        <v>2021</v>
      </c>
    </row>
    <row r="91" spans="1:38" x14ac:dyDescent="0.3">
      <c r="A91" t="s">
        <v>200</v>
      </c>
      <c r="B91" t="s">
        <v>199</v>
      </c>
      <c r="C91" t="s">
        <v>126</v>
      </c>
      <c r="D91">
        <v>100</v>
      </c>
      <c r="E91">
        <v>0</v>
      </c>
      <c r="F91">
        <v>100</v>
      </c>
      <c r="G91">
        <v>0</v>
      </c>
      <c r="H91">
        <v>1</v>
      </c>
      <c r="I91" t="s">
        <v>1191</v>
      </c>
      <c r="J91">
        <v>0</v>
      </c>
      <c r="K91">
        <v>30</v>
      </c>
      <c r="L91">
        <v>70</v>
      </c>
      <c r="M91">
        <v>0</v>
      </c>
      <c r="N91">
        <v>0</v>
      </c>
      <c r="O91" t="s">
        <v>17955</v>
      </c>
      <c r="P91" s="9" t="s">
        <v>17955</v>
      </c>
      <c r="Q91" s="9">
        <v>0</v>
      </c>
      <c r="R91" s="9" t="s">
        <v>17955</v>
      </c>
      <c r="S91" t="s">
        <v>1140</v>
      </c>
      <c r="T91" t="s">
        <v>17957</v>
      </c>
      <c r="U91" t="s">
        <v>17957</v>
      </c>
      <c r="V91" t="s">
        <v>1140</v>
      </c>
      <c r="W91" t="s">
        <v>17957</v>
      </c>
      <c r="X91" t="s">
        <v>1140</v>
      </c>
      <c r="Y91" t="s">
        <v>17957</v>
      </c>
      <c r="Z91">
        <v>5</v>
      </c>
      <c r="AA91">
        <v>2</v>
      </c>
      <c r="AB91">
        <v>1</v>
      </c>
      <c r="AC91">
        <v>0</v>
      </c>
      <c r="AD91">
        <v>10</v>
      </c>
      <c r="AE91">
        <v>18</v>
      </c>
      <c r="AF91">
        <v>11</v>
      </c>
      <c r="AG91">
        <v>2</v>
      </c>
      <c r="AH91">
        <v>3</v>
      </c>
      <c r="AI91">
        <v>2</v>
      </c>
      <c r="AJ91">
        <v>3</v>
      </c>
      <c r="AK91">
        <v>1</v>
      </c>
      <c r="AL91">
        <v>2021</v>
      </c>
    </row>
    <row r="92" spans="1:38" x14ac:dyDescent="0.3">
      <c r="A92" t="s">
        <v>202</v>
      </c>
      <c r="B92" t="s">
        <v>1119</v>
      </c>
      <c r="C92" t="s">
        <v>14</v>
      </c>
      <c r="D92" t="s">
        <v>17955</v>
      </c>
      <c r="E92" t="s">
        <v>17955</v>
      </c>
      <c r="F92" t="s">
        <v>17955</v>
      </c>
      <c r="G92" t="s">
        <v>17955</v>
      </c>
      <c r="H92" t="s">
        <v>17955</v>
      </c>
      <c r="I92" t="s">
        <v>17954</v>
      </c>
      <c r="J92" t="s">
        <v>17955</v>
      </c>
      <c r="K92" t="s">
        <v>17955</v>
      </c>
      <c r="L92" t="s">
        <v>17955</v>
      </c>
      <c r="M92">
        <v>0</v>
      </c>
      <c r="N92">
        <v>0</v>
      </c>
      <c r="O92" t="s">
        <v>17955</v>
      </c>
      <c r="P92" s="9" t="s">
        <v>17955</v>
      </c>
      <c r="Q92" s="9" t="s">
        <v>17955</v>
      </c>
      <c r="R92" s="9" t="s">
        <v>17955</v>
      </c>
      <c r="S92" t="s">
        <v>17957</v>
      </c>
      <c r="T92" t="s">
        <v>17957</v>
      </c>
      <c r="U92" t="s">
        <v>17957</v>
      </c>
      <c r="V92" t="s">
        <v>1140</v>
      </c>
      <c r="W92" t="s">
        <v>1140</v>
      </c>
      <c r="X92" t="s">
        <v>1140</v>
      </c>
      <c r="Y92" t="s">
        <v>17957</v>
      </c>
      <c r="Z92" t="s">
        <v>17955</v>
      </c>
      <c r="AA92" t="s">
        <v>17955</v>
      </c>
      <c r="AB92" t="s">
        <v>17955</v>
      </c>
      <c r="AC92" t="s">
        <v>17955</v>
      </c>
      <c r="AD92" t="s">
        <v>17955</v>
      </c>
      <c r="AE92">
        <v>0</v>
      </c>
      <c r="AF92">
        <v>0</v>
      </c>
      <c r="AG92">
        <v>0</v>
      </c>
      <c r="AH92">
        <v>0</v>
      </c>
      <c r="AI92">
        <v>0</v>
      </c>
      <c r="AJ92">
        <v>0</v>
      </c>
      <c r="AK92">
        <v>0</v>
      </c>
      <c r="AL92">
        <v>2021</v>
      </c>
    </row>
    <row r="93" spans="1:38" x14ac:dyDescent="0.3">
      <c r="A93" t="s">
        <v>204</v>
      </c>
      <c r="B93" t="s">
        <v>1119</v>
      </c>
      <c r="C93" t="s">
        <v>14</v>
      </c>
      <c r="D93" t="s">
        <v>17955</v>
      </c>
      <c r="E93" t="s">
        <v>17955</v>
      </c>
      <c r="F93" t="s">
        <v>17955</v>
      </c>
      <c r="G93" t="s">
        <v>17955</v>
      </c>
      <c r="H93" t="s">
        <v>17955</v>
      </c>
      <c r="I93" t="s">
        <v>17954</v>
      </c>
      <c r="J93" t="s">
        <v>17955</v>
      </c>
      <c r="K93" t="s">
        <v>17955</v>
      </c>
      <c r="L93" t="s">
        <v>17955</v>
      </c>
      <c r="M93">
        <v>0</v>
      </c>
      <c r="N93">
        <v>0</v>
      </c>
      <c r="O93" t="s">
        <v>17955</v>
      </c>
      <c r="P93" s="9" t="s">
        <v>17955</v>
      </c>
      <c r="Q93" s="9" t="s">
        <v>17955</v>
      </c>
      <c r="R93" s="9" t="s">
        <v>17955</v>
      </c>
      <c r="S93" t="s">
        <v>17957</v>
      </c>
      <c r="T93" t="s">
        <v>17957</v>
      </c>
      <c r="U93" t="s">
        <v>17957</v>
      </c>
      <c r="V93" t="s">
        <v>1140</v>
      </c>
      <c r="W93" t="s">
        <v>1140</v>
      </c>
      <c r="X93" t="s">
        <v>1140</v>
      </c>
      <c r="Y93" t="s">
        <v>17957</v>
      </c>
      <c r="Z93" t="s">
        <v>17955</v>
      </c>
      <c r="AA93" t="s">
        <v>17955</v>
      </c>
      <c r="AB93" t="s">
        <v>17955</v>
      </c>
      <c r="AC93" t="s">
        <v>17955</v>
      </c>
      <c r="AD93" t="s">
        <v>17955</v>
      </c>
      <c r="AE93">
        <v>0</v>
      </c>
      <c r="AF93">
        <v>0</v>
      </c>
      <c r="AG93">
        <v>0</v>
      </c>
      <c r="AH93">
        <v>0</v>
      </c>
      <c r="AI93">
        <v>0</v>
      </c>
      <c r="AJ93">
        <v>0</v>
      </c>
      <c r="AK93">
        <v>0</v>
      </c>
      <c r="AL93">
        <v>2021</v>
      </c>
    </row>
    <row r="94" spans="1:38" x14ac:dyDescent="0.3">
      <c r="A94" t="s">
        <v>206</v>
      </c>
      <c r="B94" t="s">
        <v>1119</v>
      </c>
      <c r="C94" t="s">
        <v>14</v>
      </c>
      <c r="D94" t="s">
        <v>17955</v>
      </c>
      <c r="E94" t="s">
        <v>17955</v>
      </c>
      <c r="F94" t="s">
        <v>17955</v>
      </c>
      <c r="G94" t="s">
        <v>17955</v>
      </c>
      <c r="H94" t="s">
        <v>17955</v>
      </c>
      <c r="I94" t="s">
        <v>17954</v>
      </c>
      <c r="J94" t="s">
        <v>17955</v>
      </c>
      <c r="K94" t="s">
        <v>17955</v>
      </c>
      <c r="L94" t="s">
        <v>17955</v>
      </c>
      <c r="M94">
        <v>0</v>
      </c>
      <c r="N94">
        <v>0</v>
      </c>
      <c r="O94" t="s">
        <v>17955</v>
      </c>
      <c r="P94" s="9" t="s">
        <v>17955</v>
      </c>
      <c r="Q94" s="9" t="s">
        <v>17955</v>
      </c>
      <c r="R94" s="9" t="s">
        <v>17955</v>
      </c>
      <c r="S94" t="s">
        <v>17957</v>
      </c>
      <c r="T94" t="s">
        <v>17957</v>
      </c>
      <c r="U94" t="s">
        <v>17957</v>
      </c>
      <c r="V94" t="s">
        <v>1140</v>
      </c>
      <c r="W94" t="s">
        <v>1140</v>
      </c>
      <c r="X94" t="s">
        <v>1140</v>
      </c>
      <c r="Y94" t="s">
        <v>17957</v>
      </c>
      <c r="Z94" t="s">
        <v>17955</v>
      </c>
      <c r="AA94" t="s">
        <v>17955</v>
      </c>
      <c r="AB94" t="s">
        <v>17955</v>
      </c>
      <c r="AC94" t="s">
        <v>17955</v>
      </c>
      <c r="AD94" t="s">
        <v>17955</v>
      </c>
      <c r="AE94">
        <v>0</v>
      </c>
      <c r="AF94">
        <v>0</v>
      </c>
      <c r="AG94">
        <v>0</v>
      </c>
      <c r="AH94">
        <v>0</v>
      </c>
      <c r="AI94">
        <v>0</v>
      </c>
      <c r="AJ94">
        <v>0</v>
      </c>
      <c r="AK94">
        <v>0</v>
      </c>
      <c r="AL94">
        <v>2021</v>
      </c>
    </row>
    <row r="95" spans="1:38" x14ac:dyDescent="0.3">
      <c r="A95" t="s">
        <v>208</v>
      </c>
      <c r="B95" t="s">
        <v>199</v>
      </c>
      <c r="C95" t="s">
        <v>14</v>
      </c>
      <c r="D95">
        <v>57</v>
      </c>
      <c r="E95">
        <v>5</v>
      </c>
      <c r="F95">
        <v>52</v>
      </c>
      <c r="G95">
        <v>8.771929824561403E-2</v>
      </c>
      <c r="H95">
        <v>0.91228070175438591</v>
      </c>
      <c r="I95" t="s">
        <v>1197</v>
      </c>
      <c r="J95">
        <v>15</v>
      </c>
      <c r="K95">
        <v>36</v>
      </c>
      <c r="L95">
        <v>6</v>
      </c>
      <c r="M95">
        <v>6</v>
      </c>
      <c r="N95">
        <v>1</v>
      </c>
      <c r="O95" t="s">
        <v>17955</v>
      </c>
      <c r="P95" s="9">
        <v>1.2</v>
      </c>
      <c r="Q95" s="9">
        <v>2.7777777777777776E-2</v>
      </c>
      <c r="R95" s="9" t="s">
        <v>17955</v>
      </c>
      <c r="S95" t="s">
        <v>1140</v>
      </c>
      <c r="T95" t="s">
        <v>17957</v>
      </c>
      <c r="U95" t="s">
        <v>17957</v>
      </c>
      <c r="V95" t="s">
        <v>1140</v>
      </c>
      <c r="W95" t="s">
        <v>17957</v>
      </c>
      <c r="X95" t="s">
        <v>1140</v>
      </c>
      <c r="Y95" t="s">
        <v>17957</v>
      </c>
      <c r="Z95">
        <v>8</v>
      </c>
      <c r="AA95">
        <v>2</v>
      </c>
      <c r="AB95">
        <v>0</v>
      </c>
      <c r="AC95">
        <v>0</v>
      </c>
      <c r="AD95">
        <v>3</v>
      </c>
      <c r="AE95">
        <v>13</v>
      </c>
      <c r="AF95">
        <v>4</v>
      </c>
      <c r="AG95">
        <v>1</v>
      </c>
      <c r="AH95">
        <v>1</v>
      </c>
      <c r="AI95">
        <v>0</v>
      </c>
      <c r="AJ95">
        <v>1</v>
      </c>
      <c r="AK95">
        <v>1</v>
      </c>
      <c r="AL95">
        <v>2021</v>
      </c>
    </row>
    <row r="96" spans="1:38" x14ac:dyDescent="0.3">
      <c r="A96" t="s">
        <v>210</v>
      </c>
      <c r="B96" t="s">
        <v>20</v>
      </c>
      <c r="C96" t="s">
        <v>126</v>
      </c>
      <c r="D96">
        <v>3</v>
      </c>
      <c r="E96">
        <v>0</v>
      </c>
      <c r="F96">
        <v>3</v>
      </c>
      <c r="G96">
        <v>0</v>
      </c>
      <c r="H96">
        <v>1</v>
      </c>
      <c r="I96" t="s">
        <v>17953</v>
      </c>
      <c r="J96">
        <v>0</v>
      </c>
      <c r="K96" t="s">
        <v>17955</v>
      </c>
      <c r="L96" t="s">
        <v>17955</v>
      </c>
      <c r="M96">
        <v>0</v>
      </c>
      <c r="N96">
        <v>0</v>
      </c>
      <c r="O96" t="s">
        <v>17955</v>
      </c>
      <c r="P96" s="9" t="s">
        <v>17955</v>
      </c>
      <c r="Q96" s="9" t="s">
        <v>17955</v>
      </c>
      <c r="R96" s="9" t="s">
        <v>17955</v>
      </c>
      <c r="S96" t="s">
        <v>17957</v>
      </c>
      <c r="T96" t="s">
        <v>17957</v>
      </c>
      <c r="U96" t="s">
        <v>17957</v>
      </c>
      <c r="V96" t="s">
        <v>1140</v>
      </c>
      <c r="W96" t="s">
        <v>1140</v>
      </c>
      <c r="X96" t="s">
        <v>1140</v>
      </c>
      <c r="Y96" t="s">
        <v>17957</v>
      </c>
      <c r="Z96">
        <v>0</v>
      </c>
      <c r="AA96">
        <v>1</v>
      </c>
      <c r="AB96">
        <v>3</v>
      </c>
      <c r="AC96">
        <v>8</v>
      </c>
      <c r="AD96">
        <v>2</v>
      </c>
      <c r="AE96">
        <v>14</v>
      </c>
      <c r="AF96">
        <v>3</v>
      </c>
      <c r="AG96">
        <v>0</v>
      </c>
      <c r="AH96">
        <v>1</v>
      </c>
      <c r="AI96">
        <v>2</v>
      </c>
      <c r="AJ96">
        <v>0</v>
      </c>
      <c r="AK96">
        <v>0</v>
      </c>
      <c r="AL96">
        <v>2021</v>
      </c>
    </row>
    <row r="97" spans="1:38" x14ac:dyDescent="0.3">
      <c r="A97" t="s">
        <v>212</v>
      </c>
      <c r="B97" t="s">
        <v>17</v>
      </c>
      <c r="C97" t="s">
        <v>126</v>
      </c>
      <c r="D97">
        <v>4</v>
      </c>
      <c r="E97">
        <v>0</v>
      </c>
      <c r="F97">
        <v>4</v>
      </c>
      <c r="G97">
        <v>0</v>
      </c>
      <c r="H97">
        <v>1</v>
      </c>
      <c r="I97" t="s">
        <v>17953</v>
      </c>
      <c r="J97">
        <v>0</v>
      </c>
      <c r="K97" t="s">
        <v>17955</v>
      </c>
      <c r="L97" t="s">
        <v>17955</v>
      </c>
      <c r="M97">
        <v>0</v>
      </c>
      <c r="N97">
        <v>0</v>
      </c>
      <c r="O97" t="s">
        <v>17955</v>
      </c>
      <c r="P97" s="9" t="s">
        <v>17955</v>
      </c>
      <c r="Q97" s="9" t="s">
        <v>17955</v>
      </c>
      <c r="R97" s="9" t="s">
        <v>17955</v>
      </c>
      <c r="S97" t="s">
        <v>17957</v>
      </c>
      <c r="T97" t="s">
        <v>17957</v>
      </c>
      <c r="U97" t="s">
        <v>17957</v>
      </c>
      <c r="V97" t="s">
        <v>1140</v>
      </c>
      <c r="W97" t="s">
        <v>1140</v>
      </c>
      <c r="X97" t="s">
        <v>1140</v>
      </c>
      <c r="Y97" t="s">
        <v>17957</v>
      </c>
      <c r="Z97">
        <v>1</v>
      </c>
      <c r="AA97">
        <v>5</v>
      </c>
      <c r="AB97">
        <v>11</v>
      </c>
      <c r="AC97">
        <v>11</v>
      </c>
      <c r="AD97">
        <v>6</v>
      </c>
      <c r="AE97">
        <v>34</v>
      </c>
      <c r="AF97">
        <v>13</v>
      </c>
      <c r="AG97">
        <v>1</v>
      </c>
      <c r="AH97">
        <v>0</v>
      </c>
      <c r="AI97">
        <v>11</v>
      </c>
      <c r="AJ97">
        <v>0</v>
      </c>
      <c r="AK97">
        <v>1</v>
      </c>
      <c r="AL97">
        <v>2021</v>
      </c>
    </row>
    <row r="98" spans="1:38" x14ac:dyDescent="0.3">
      <c r="A98" t="s">
        <v>214</v>
      </c>
      <c r="B98" t="s">
        <v>175</v>
      </c>
      <c r="C98" t="s">
        <v>126</v>
      </c>
      <c r="D98">
        <v>4</v>
      </c>
      <c r="E98">
        <v>0</v>
      </c>
      <c r="F98">
        <v>4</v>
      </c>
      <c r="G98">
        <v>0</v>
      </c>
      <c r="H98">
        <v>1</v>
      </c>
      <c r="I98" t="s">
        <v>17953</v>
      </c>
      <c r="J98">
        <v>0</v>
      </c>
      <c r="K98">
        <v>0</v>
      </c>
      <c r="L98">
        <v>4</v>
      </c>
      <c r="M98">
        <v>0</v>
      </c>
      <c r="N98">
        <v>0</v>
      </c>
      <c r="O98" t="s">
        <v>17955</v>
      </c>
      <c r="P98" s="9" t="s">
        <v>17955</v>
      </c>
      <c r="Q98" s="9" t="s">
        <v>17955</v>
      </c>
      <c r="R98" s="9" t="s">
        <v>17955</v>
      </c>
      <c r="S98" t="s">
        <v>1140</v>
      </c>
      <c r="T98" t="s">
        <v>17957</v>
      </c>
      <c r="U98" t="s">
        <v>17957</v>
      </c>
      <c r="V98" t="s">
        <v>1140</v>
      </c>
      <c r="W98" t="s">
        <v>17957</v>
      </c>
      <c r="X98" t="s">
        <v>1140</v>
      </c>
      <c r="Y98" t="s">
        <v>17957</v>
      </c>
      <c r="Z98">
        <v>1</v>
      </c>
      <c r="AA98">
        <v>4</v>
      </c>
      <c r="AB98">
        <v>4</v>
      </c>
      <c r="AC98">
        <v>3</v>
      </c>
      <c r="AD98">
        <v>6</v>
      </c>
      <c r="AE98">
        <v>18</v>
      </c>
      <c r="AF98">
        <v>3</v>
      </c>
      <c r="AG98">
        <v>1</v>
      </c>
      <c r="AH98">
        <v>0</v>
      </c>
      <c r="AI98">
        <v>1</v>
      </c>
      <c r="AJ98">
        <v>1</v>
      </c>
      <c r="AK98">
        <v>0</v>
      </c>
      <c r="AL98">
        <v>2021</v>
      </c>
    </row>
    <row r="99" spans="1:38" x14ac:dyDescent="0.3">
      <c r="A99" t="s">
        <v>216</v>
      </c>
      <c r="B99" t="s">
        <v>199</v>
      </c>
      <c r="C99" t="s">
        <v>126</v>
      </c>
      <c r="D99">
        <v>7</v>
      </c>
      <c r="E99">
        <v>0</v>
      </c>
      <c r="F99">
        <v>7</v>
      </c>
      <c r="G99">
        <v>0</v>
      </c>
      <c r="H99">
        <v>1</v>
      </c>
      <c r="I99" t="s">
        <v>17953</v>
      </c>
      <c r="J99">
        <v>0</v>
      </c>
      <c r="K99">
        <v>6</v>
      </c>
      <c r="L99">
        <v>1</v>
      </c>
      <c r="M99">
        <v>0</v>
      </c>
      <c r="N99">
        <v>0</v>
      </c>
      <c r="O99" t="s">
        <v>17955</v>
      </c>
      <c r="P99" s="9" t="s">
        <v>17955</v>
      </c>
      <c r="Q99" s="9">
        <v>0</v>
      </c>
      <c r="R99" s="9" t="s">
        <v>17955</v>
      </c>
      <c r="S99" t="s">
        <v>1140</v>
      </c>
      <c r="T99" t="s">
        <v>17957</v>
      </c>
      <c r="U99" t="s">
        <v>17957</v>
      </c>
      <c r="V99" t="s">
        <v>1140</v>
      </c>
      <c r="W99" t="s">
        <v>17957</v>
      </c>
      <c r="X99" t="s">
        <v>1140</v>
      </c>
      <c r="Y99" t="s">
        <v>17957</v>
      </c>
      <c r="Z99">
        <v>0</v>
      </c>
      <c r="AA99">
        <v>1</v>
      </c>
      <c r="AB99">
        <v>0</v>
      </c>
      <c r="AC99">
        <v>3</v>
      </c>
      <c r="AD99">
        <v>3</v>
      </c>
      <c r="AE99">
        <v>7</v>
      </c>
      <c r="AF99">
        <v>1</v>
      </c>
      <c r="AG99">
        <v>0</v>
      </c>
      <c r="AH99">
        <v>0</v>
      </c>
      <c r="AI99">
        <v>1</v>
      </c>
      <c r="AJ99">
        <v>0</v>
      </c>
      <c r="AK99">
        <v>0</v>
      </c>
      <c r="AL99">
        <v>2021</v>
      </c>
    </row>
    <row r="100" spans="1:38" x14ac:dyDescent="0.3">
      <c r="A100" t="s">
        <v>218</v>
      </c>
      <c r="B100" t="s">
        <v>194</v>
      </c>
      <c r="C100" t="s">
        <v>126</v>
      </c>
      <c r="D100">
        <v>9</v>
      </c>
      <c r="E100">
        <v>0</v>
      </c>
      <c r="F100">
        <v>9</v>
      </c>
      <c r="G100">
        <v>0</v>
      </c>
      <c r="H100">
        <v>1</v>
      </c>
      <c r="I100" t="s">
        <v>17953</v>
      </c>
      <c r="J100">
        <v>0</v>
      </c>
      <c r="K100">
        <v>1</v>
      </c>
      <c r="L100">
        <v>8</v>
      </c>
      <c r="M100">
        <v>0</v>
      </c>
      <c r="N100">
        <v>0</v>
      </c>
      <c r="O100" t="s">
        <v>17955</v>
      </c>
      <c r="P100" s="9" t="s">
        <v>17955</v>
      </c>
      <c r="Q100" s="9">
        <v>0</v>
      </c>
      <c r="R100" s="9" t="s">
        <v>17955</v>
      </c>
      <c r="S100" t="s">
        <v>1140</v>
      </c>
      <c r="T100" t="s">
        <v>17957</v>
      </c>
      <c r="U100" t="s">
        <v>17957</v>
      </c>
      <c r="V100" t="s">
        <v>1140</v>
      </c>
      <c r="W100" t="s">
        <v>17957</v>
      </c>
      <c r="X100" t="s">
        <v>1140</v>
      </c>
      <c r="Y100" t="s">
        <v>17957</v>
      </c>
      <c r="Z100">
        <v>0</v>
      </c>
      <c r="AA100">
        <v>1</v>
      </c>
      <c r="AB100">
        <v>3</v>
      </c>
      <c r="AC100">
        <v>5</v>
      </c>
      <c r="AD100">
        <v>0</v>
      </c>
      <c r="AE100">
        <v>9</v>
      </c>
      <c r="AF100">
        <v>3</v>
      </c>
      <c r="AG100">
        <v>0</v>
      </c>
      <c r="AH100">
        <v>1</v>
      </c>
      <c r="AI100">
        <v>2</v>
      </c>
      <c r="AJ100">
        <v>0</v>
      </c>
      <c r="AK100">
        <v>0</v>
      </c>
      <c r="AL100">
        <v>2021</v>
      </c>
    </row>
    <row r="101" spans="1:38" x14ac:dyDescent="0.3">
      <c r="A101" t="s">
        <v>220</v>
      </c>
      <c r="B101" t="s">
        <v>194</v>
      </c>
      <c r="C101" t="s">
        <v>126</v>
      </c>
      <c r="D101" t="s">
        <v>17955</v>
      </c>
      <c r="E101" t="s">
        <v>17955</v>
      </c>
      <c r="F101" t="s">
        <v>17955</v>
      </c>
      <c r="G101" t="s">
        <v>17955</v>
      </c>
      <c r="H101" t="s">
        <v>17955</v>
      </c>
      <c r="I101" t="s">
        <v>17954</v>
      </c>
      <c r="J101" t="s">
        <v>17955</v>
      </c>
      <c r="K101" t="s">
        <v>17955</v>
      </c>
      <c r="L101" t="s">
        <v>17955</v>
      </c>
      <c r="M101">
        <v>0</v>
      </c>
      <c r="N101">
        <v>0</v>
      </c>
      <c r="O101" t="s">
        <v>17955</v>
      </c>
      <c r="P101" s="9" t="s">
        <v>17955</v>
      </c>
      <c r="Q101" s="9" t="s">
        <v>17955</v>
      </c>
      <c r="R101" s="9" t="s">
        <v>17955</v>
      </c>
      <c r="S101" t="s">
        <v>17957</v>
      </c>
      <c r="T101" t="s">
        <v>17957</v>
      </c>
      <c r="U101" t="s">
        <v>17957</v>
      </c>
      <c r="V101" t="s">
        <v>1140</v>
      </c>
      <c r="W101" t="s">
        <v>1140</v>
      </c>
      <c r="X101" t="s">
        <v>1140</v>
      </c>
      <c r="Y101" t="s">
        <v>17957</v>
      </c>
      <c r="Z101" t="s">
        <v>17955</v>
      </c>
      <c r="AA101" t="s">
        <v>17955</v>
      </c>
      <c r="AB101" t="s">
        <v>17955</v>
      </c>
      <c r="AC101" t="s">
        <v>17955</v>
      </c>
      <c r="AD101" t="s">
        <v>17955</v>
      </c>
      <c r="AE101">
        <v>0</v>
      </c>
      <c r="AF101">
        <v>0</v>
      </c>
      <c r="AG101">
        <v>0</v>
      </c>
      <c r="AH101">
        <v>0</v>
      </c>
      <c r="AI101">
        <v>0</v>
      </c>
      <c r="AJ101">
        <v>0</v>
      </c>
      <c r="AK101">
        <v>0</v>
      </c>
      <c r="AL101">
        <v>2021</v>
      </c>
    </row>
    <row r="102" spans="1:38" x14ac:dyDescent="0.3">
      <c r="A102" t="s">
        <v>222</v>
      </c>
      <c r="B102" t="s">
        <v>194</v>
      </c>
      <c r="C102" t="s">
        <v>14</v>
      </c>
      <c r="D102" t="s">
        <v>17955</v>
      </c>
      <c r="E102" t="s">
        <v>17955</v>
      </c>
      <c r="F102" t="s">
        <v>17955</v>
      </c>
      <c r="G102" t="s">
        <v>17955</v>
      </c>
      <c r="H102" t="s">
        <v>17955</v>
      </c>
      <c r="I102" t="s">
        <v>17954</v>
      </c>
      <c r="J102" t="s">
        <v>17955</v>
      </c>
      <c r="K102" t="s">
        <v>17955</v>
      </c>
      <c r="L102" t="s">
        <v>17955</v>
      </c>
      <c r="M102">
        <v>0</v>
      </c>
      <c r="N102">
        <v>0</v>
      </c>
      <c r="O102" t="s">
        <v>17955</v>
      </c>
      <c r="P102" s="9" t="s">
        <v>17955</v>
      </c>
      <c r="Q102" s="9" t="s">
        <v>17955</v>
      </c>
      <c r="R102" s="9" t="s">
        <v>17955</v>
      </c>
      <c r="S102" t="s">
        <v>17957</v>
      </c>
      <c r="T102" t="s">
        <v>17957</v>
      </c>
      <c r="U102" t="s">
        <v>17957</v>
      </c>
      <c r="V102" t="s">
        <v>1140</v>
      </c>
      <c r="W102" t="s">
        <v>1140</v>
      </c>
      <c r="X102" t="s">
        <v>1140</v>
      </c>
      <c r="Y102" t="s">
        <v>17957</v>
      </c>
      <c r="Z102" t="s">
        <v>17955</v>
      </c>
      <c r="AA102" t="s">
        <v>17955</v>
      </c>
      <c r="AB102" t="s">
        <v>17955</v>
      </c>
      <c r="AC102" t="s">
        <v>17955</v>
      </c>
      <c r="AD102" t="s">
        <v>17955</v>
      </c>
      <c r="AE102">
        <v>0</v>
      </c>
      <c r="AF102">
        <v>0</v>
      </c>
      <c r="AG102">
        <v>0</v>
      </c>
      <c r="AH102">
        <v>0</v>
      </c>
      <c r="AI102">
        <v>0</v>
      </c>
      <c r="AJ102">
        <v>0</v>
      </c>
      <c r="AK102">
        <v>0</v>
      </c>
      <c r="AL102">
        <v>2021</v>
      </c>
    </row>
    <row r="103" spans="1:38" x14ac:dyDescent="0.3">
      <c r="A103" t="s">
        <v>224</v>
      </c>
      <c r="B103" t="s">
        <v>20</v>
      </c>
      <c r="C103" t="s">
        <v>126</v>
      </c>
      <c r="D103" t="s">
        <v>17955</v>
      </c>
      <c r="E103" t="s">
        <v>17955</v>
      </c>
      <c r="F103" t="s">
        <v>17955</v>
      </c>
      <c r="G103" t="s">
        <v>17955</v>
      </c>
      <c r="H103" t="s">
        <v>17955</v>
      </c>
      <c r="I103" t="s">
        <v>17954</v>
      </c>
      <c r="J103" t="s">
        <v>17955</v>
      </c>
      <c r="K103" t="s">
        <v>17955</v>
      </c>
      <c r="L103" t="s">
        <v>17955</v>
      </c>
      <c r="M103">
        <v>0</v>
      </c>
      <c r="N103">
        <v>0</v>
      </c>
      <c r="O103" t="s">
        <v>17955</v>
      </c>
      <c r="P103" s="9" t="s">
        <v>17955</v>
      </c>
      <c r="Q103" s="9" t="s">
        <v>17955</v>
      </c>
      <c r="R103" s="9" t="s">
        <v>17955</v>
      </c>
      <c r="S103" t="s">
        <v>17957</v>
      </c>
      <c r="T103" t="s">
        <v>17957</v>
      </c>
      <c r="U103" t="s">
        <v>17957</v>
      </c>
      <c r="V103" t="s">
        <v>1140</v>
      </c>
      <c r="W103" t="s">
        <v>1140</v>
      </c>
      <c r="X103" t="s">
        <v>1140</v>
      </c>
      <c r="Y103" t="s">
        <v>17957</v>
      </c>
      <c r="Z103" t="s">
        <v>17955</v>
      </c>
      <c r="AA103" t="s">
        <v>17955</v>
      </c>
      <c r="AB103" t="s">
        <v>17955</v>
      </c>
      <c r="AC103" t="s">
        <v>17955</v>
      </c>
      <c r="AD103" t="s">
        <v>17955</v>
      </c>
      <c r="AE103">
        <v>0</v>
      </c>
      <c r="AF103">
        <v>0</v>
      </c>
      <c r="AG103">
        <v>0</v>
      </c>
      <c r="AH103">
        <v>0</v>
      </c>
      <c r="AI103">
        <v>0</v>
      </c>
      <c r="AJ103">
        <v>0</v>
      </c>
      <c r="AK103">
        <v>0</v>
      </c>
      <c r="AL103">
        <v>2021</v>
      </c>
    </row>
    <row r="104" spans="1:38" x14ac:dyDescent="0.3">
      <c r="A104" t="s">
        <v>226</v>
      </c>
      <c r="B104" t="s">
        <v>194</v>
      </c>
      <c r="C104" t="s">
        <v>126</v>
      </c>
      <c r="D104">
        <v>8</v>
      </c>
      <c r="E104">
        <v>0</v>
      </c>
      <c r="F104">
        <v>8</v>
      </c>
      <c r="G104">
        <v>0</v>
      </c>
      <c r="H104">
        <v>1</v>
      </c>
      <c r="I104" t="s">
        <v>17953</v>
      </c>
      <c r="J104">
        <v>0</v>
      </c>
      <c r="K104" t="s">
        <v>17955</v>
      </c>
      <c r="L104" t="s">
        <v>17955</v>
      </c>
      <c r="M104">
        <v>0</v>
      </c>
      <c r="N104">
        <v>0</v>
      </c>
      <c r="O104" t="s">
        <v>17955</v>
      </c>
      <c r="P104" s="9" t="s">
        <v>17955</v>
      </c>
      <c r="Q104" s="9" t="s">
        <v>17955</v>
      </c>
      <c r="R104" s="9" t="s">
        <v>17955</v>
      </c>
      <c r="S104" t="s">
        <v>17957</v>
      </c>
      <c r="T104" t="s">
        <v>17957</v>
      </c>
      <c r="U104" t="s">
        <v>17957</v>
      </c>
      <c r="V104" t="s">
        <v>1140</v>
      </c>
      <c r="W104" t="s">
        <v>1140</v>
      </c>
      <c r="X104" t="s">
        <v>1140</v>
      </c>
      <c r="Y104" t="s">
        <v>17957</v>
      </c>
      <c r="Z104">
        <v>0</v>
      </c>
      <c r="AA104">
        <v>0</v>
      </c>
      <c r="AB104">
        <v>6</v>
      </c>
      <c r="AC104">
        <v>2</v>
      </c>
      <c r="AD104">
        <v>0</v>
      </c>
      <c r="AE104">
        <v>8</v>
      </c>
      <c r="AF104">
        <v>1</v>
      </c>
      <c r="AG104">
        <v>1</v>
      </c>
      <c r="AH104">
        <v>0</v>
      </c>
      <c r="AI104">
        <v>0</v>
      </c>
      <c r="AJ104">
        <v>0</v>
      </c>
      <c r="AK104">
        <v>0</v>
      </c>
      <c r="AL104">
        <v>2021</v>
      </c>
    </row>
    <row r="105" spans="1:38" x14ac:dyDescent="0.3">
      <c r="A105" t="s">
        <v>228</v>
      </c>
      <c r="B105" t="s">
        <v>194</v>
      </c>
      <c r="C105" t="s">
        <v>126</v>
      </c>
      <c r="D105">
        <v>17500</v>
      </c>
      <c r="E105">
        <v>0</v>
      </c>
      <c r="F105">
        <v>17500</v>
      </c>
      <c r="G105">
        <v>0</v>
      </c>
      <c r="H105">
        <v>1</v>
      </c>
      <c r="I105" t="s">
        <v>17954</v>
      </c>
      <c r="J105">
        <v>0</v>
      </c>
      <c r="K105">
        <v>0</v>
      </c>
      <c r="L105">
        <v>17500</v>
      </c>
      <c r="M105">
        <v>0</v>
      </c>
      <c r="N105">
        <v>0</v>
      </c>
      <c r="O105" t="s">
        <v>17955</v>
      </c>
      <c r="P105" s="9" t="s">
        <v>17955</v>
      </c>
      <c r="Q105" s="9" t="s">
        <v>17955</v>
      </c>
      <c r="R105" s="9" t="s">
        <v>17955</v>
      </c>
      <c r="S105" t="s">
        <v>1140</v>
      </c>
      <c r="T105" t="s">
        <v>17957</v>
      </c>
      <c r="U105" t="s">
        <v>17957</v>
      </c>
      <c r="V105" t="s">
        <v>1140</v>
      </c>
      <c r="W105" t="s">
        <v>17957</v>
      </c>
      <c r="X105" t="s">
        <v>1140</v>
      </c>
      <c r="Y105" t="s">
        <v>17957</v>
      </c>
      <c r="Z105">
        <v>0</v>
      </c>
      <c r="AA105">
        <v>0</v>
      </c>
      <c r="AB105">
        <v>0</v>
      </c>
      <c r="AC105">
        <v>0</v>
      </c>
      <c r="AD105">
        <v>0</v>
      </c>
      <c r="AE105">
        <v>0</v>
      </c>
      <c r="AF105">
        <v>1</v>
      </c>
      <c r="AG105">
        <v>0</v>
      </c>
      <c r="AH105">
        <v>0</v>
      </c>
      <c r="AI105">
        <v>1</v>
      </c>
      <c r="AJ105">
        <v>0</v>
      </c>
      <c r="AK105">
        <v>0</v>
      </c>
      <c r="AL105">
        <v>2021</v>
      </c>
    </row>
    <row r="106" spans="1:38" x14ac:dyDescent="0.3">
      <c r="A106" t="s">
        <v>230</v>
      </c>
      <c r="B106" t="s">
        <v>194</v>
      </c>
      <c r="C106" t="s">
        <v>126</v>
      </c>
      <c r="D106" t="s">
        <v>17955</v>
      </c>
      <c r="E106" t="s">
        <v>17955</v>
      </c>
      <c r="F106" t="s">
        <v>17955</v>
      </c>
      <c r="G106" t="s">
        <v>17955</v>
      </c>
      <c r="H106" t="s">
        <v>17955</v>
      </c>
      <c r="I106" t="s">
        <v>17954</v>
      </c>
      <c r="J106" t="s">
        <v>17955</v>
      </c>
      <c r="K106" t="s">
        <v>17955</v>
      </c>
      <c r="L106" t="s">
        <v>17955</v>
      </c>
      <c r="M106">
        <v>0</v>
      </c>
      <c r="N106">
        <v>0</v>
      </c>
      <c r="O106" t="s">
        <v>17955</v>
      </c>
      <c r="P106" s="9" t="s">
        <v>17955</v>
      </c>
      <c r="Q106" s="9" t="s">
        <v>17955</v>
      </c>
      <c r="R106" s="9" t="s">
        <v>17955</v>
      </c>
      <c r="S106" t="s">
        <v>17957</v>
      </c>
      <c r="T106" t="s">
        <v>17957</v>
      </c>
      <c r="U106" t="s">
        <v>17957</v>
      </c>
      <c r="V106" t="s">
        <v>1140</v>
      </c>
      <c r="W106" t="s">
        <v>1140</v>
      </c>
      <c r="X106" t="s">
        <v>1140</v>
      </c>
      <c r="Y106" t="s">
        <v>17957</v>
      </c>
      <c r="Z106" t="s">
        <v>17955</v>
      </c>
      <c r="AA106" t="s">
        <v>17955</v>
      </c>
      <c r="AB106" t="s">
        <v>17955</v>
      </c>
      <c r="AC106" t="s">
        <v>17955</v>
      </c>
      <c r="AD106" t="s">
        <v>17955</v>
      </c>
      <c r="AE106">
        <v>0</v>
      </c>
      <c r="AF106">
        <v>0</v>
      </c>
      <c r="AG106">
        <v>0</v>
      </c>
      <c r="AH106">
        <v>0</v>
      </c>
      <c r="AI106">
        <v>0</v>
      </c>
      <c r="AJ106">
        <v>0</v>
      </c>
      <c r="AK106">
        <v>0</v>
      </c>
      <c r="AL106">
        <v>2021</v>
      </c>
    </row>
    <row r="107" spans="1:38" x14ac:dyDescent="0.3">
      <c r="A107" t="s">
        <v>232</v>
      </c>
      <c r="B107" t="s">
        <v>194</v>
      </c>
      <c r="C107" t="s">
        <v>126</v>
      </c>
      <c r="D107" t="s">
        <v>17955</v>
      </c>
      <c r="E107" t="s">
        <v>17955</v>
      </c>
      <c r="F107" t="s">
        <v>17955</v>
      </c>
      <c r="G107" t="s">
        <v>17955</v>
      </c>
      <c r="H107" t="s">
        <v>17955</v>
      </c>
      <c r="I107" t="s">
        <v>17954</v>
      </c>
      <c r="J107" t="s">
        <v>17955</v>
      </c>
      <c r="K107" t="s">
        <v>17955</v>
      </c>
      <c r="L107" t="s">
        <v>17955</v>
      </c>
      <c r="M107">
        <v>0</v>
      </c>
      <c r="N107">
        <v>0</v>
      </c>
      <c r="O107" t="s">
        <v>17955</v>
      </c>
      <c r="P107" s="9" t="s">
        <v>17955</v>
      </c>
      <c r="Q107" s="9" t="s">
        <v>17955</v>
      </c>
      <c r="R107" s="9" t="s">
        <v>17955</v>
      </c>
      <c r="S107" t="s">
        <v>17957</v>
      </c>
      <c r="T107" t="s">
        <v>17957</v>
      </c>
      <c r="U107" t="s">
        <v>17957</v>
      </c>
      <c r="V107" t="s">
        <v>1140</v>
      </c>
      <c r="W107" t="s">
        <v>1140</v>
      </c>
      <c r="X107" t="s">
        <v>1140</v>
      </c>
      <c r="Y107" t="s">
        <v>17957</v>
      </c>
      <c r="Z107" t="s">
        <v>17955</v>
      </c>
      <c r="AA107" t="s">
        <v>17955</v>
      </c>
      <c r="AB107" t="s">
        <v>17955</v>
      </c>
      <c r="AC107" t="s">
        <v>17955</v>
      </c>
      <c r="AD107" t="s">
        <v>17955</v>
      </c>
      <c r="AE107">
        <v>0</v>
      </c>
      <c r="AF107">
        <v>0</v>
      </c>
      <c r="AG107">
        <v>0</v>
      </c>
      <c r="AH107">
        <v>0</v>
      </c>
      <c r="AI107">
        <v>0</v>
      </c>
      <c r="AJ107">
        <v>0</v>
      </c>
      <c r="AK107">
        <v>0</v>
      </c>
      <c r="AL107">
        <v>2021</v>
      </c>
    </row>
    <row r="108" spans="1:38" x14ac:dyDescent="0.3">
      <c r="A108" t="s">
        <v>234</v>
      </c>
      <c r="B108" t="s">
        <v>194</v>
      </c>
      <c r="C108" t="s">
        <v>126</v>
      </c>
      <c r="D108">
        <v>5</v>
      </c>
      <c r="E108">
        <v>0</v>
      </c>
      <c r="F108">
        <v>5</v>
      </c>
      <c r="G108">
        <v>0</v>
      </c>
      <c r="H108">
        <v>1</v>
      </c>
      <c r="I108" t="s">
        <v>17953</v>
      </c>
      <c r="J108">
        <v>0</v>
      </c>
      <c r="K108">
        <v>1</v>
      </c>
      <c r="L108">
        <v>4</v>
      </c>
      <c r="M108">
        <v>0</v>
      </c>
      <c r="N108">
        <v>0</v>
      </c>
      <c r="O108" t="s">
        <v>17955</v>
      </c>
      <c r="P108" s="9" t="s">
        <v>17955</v>
      </c>
      <c r="Q108" s="9">
        <v>0</v>
      </c>
      <c r="R108" s="9" t="s">
        <v>17955</v>
      </c>
      <c r="S108" t="s">
        <v>1140</v>
      </c>
      <c r="T108" t="s">
        <v>17957</v>
      </c>
      <c r="U108" t="s">
        <v>17957</v>
      </c>
      <c r="V108" t="s">
        <v>1140</v>
      </c>
      <c r="W108" t="s">
        <v>17957</v>
      </c>
      <c r="X108" t="s">
        <v>1140</v>
      </c>
      <c r="Y108" t="s">
        <v>17957</v>
      </c>
      <c r="Z108" t="s">
        <v>17955</v>
      </c>
      <c r="AA108" t="s">
        <v>17955</v>
      </c>
      <c r="AB108" t="s">
        <v>17955</v>
      </c>
      <c r="AC108" t="s">
        <v>17955</v>
      </c>
      <c r="AD108" t="s">
        <v>17955</v>
      </c>
      <c r="AE108">
        <v>0</v>
      </c>
      <c r="AF108">
        <v>0</v>
      </c>
      <c r="AG108">
        <v>0</v>
      </c>
      <c r="AH108">
        <v>0</v>
      </c>
      <c r="AI108">
        <v>0</v>
      </c>
      <c r="AJ108">
        <v>0</v>
      </c>
      <c r="AK108">
        <v>0</v>
      </c>
      <c r="AL108">
        <v>2021</v>
      </c>
    </row>
    <row r="109" spans="1:38" x14ac:dyDescent="0.3">
      <c r="A109" t="s">
        <v>236</v>
      </c>
      <c r="B109" t="s">
        <v>194</v>
      </c>
      <c r="C109" t="s">
        <v>126</v>
      </c>
      <c r="D109" t="s">
        <v>17955</v>
      </c>
      <c r="E109" t="s">
        <v>17955</v>
      </c>
      <c r="F109" t="s">
        <v>17955</v>
      </c>
      <c r="G109" t="s">
        <v>17955</v>
      </c>
      <c r="H109" t="s">
        <v>17955</v>
      </c>
      <c r="I109" t="s">
        <v>17954</v>
      </c>
      <c r="J109" t="s">
        <v>17955</v>
      </c>
      <c r="K109" t="s">
        <v>17955</v>
      </c>
      <c r="L109" t="s">
        <v>17955</v>
      </c>
      <c r="M109">
        <v>0</v>
      </c>
      <c r="N109">
        <v>0</v>
      </c>
      <c r="O109" t="s">
        <v>17955</v>
      </c>
      <c r="P109" s="9" t="s">
        <v>17955</v>
      </c>
      <c r="Q109" s="9" t="s">
        <v>17955</v>
      </c>
      <c r="R109" s="9" t="s">
        <v>17955</v>
      </c>
      <c r="S109" t="s">
        <v>17957</v>
      </c>
      <c r="T109" t="s">
        <v>17957</v>
      </c>
      <c r="U109" t="s">
        <v>17957</v>
      </c>
      <c r="V109" t="s">
        <v>1140</v>
      </c>
      <c r="W109" t="s">
        <v>1140</v>
      </c>
      <c r="X109" t="s">
        <v>1140</v>
      </c>
      <c r="Y109" t="s">
        <v>17957</v>
      </c>
      <c r="Z109" t="s">
        <v>17955</v>
      </c>
      <c r="AA109" t="s">
        <v>17955</v>
      </c>
      <c r="AB109" t="s">
        <v>17955</v>
      </c>
      <c r="AC109" t="s">
        <v>17955</v>
      </c>
      <c r="AD109" t="s">
        <v>17955</v>
      </c>
      <c r="AE109">
        <v>0</v>
      </c>
      <c r="AF109">
        <v>0</v>
      </c>
      <c r="AG109">
        <v>0</v>
      </c>
      <c r="AH109">
        <v>0</v>
      </c>
      <c r="AI109">
        <v>0</v>
      </c>
      <c r="AJ109">
        <v>0</v>
      </c>
      <c r="AK109">
        <v>0</v>
      </c>
      <c r="AL109">
        <v>2021</v>
      </c>
    </row>
    <row r="110" spans="1:38" x14ac:dyDescent="0.3">
      <c r="A110" t="s">
        <v>238</v>
      </c>
      <c r="B110" t="s">
        <v>194</v>
      </c>
      <c r="C110" t="s">
        <v>126</v>
      </c>
      <c r="D110">
        <v>92</v>
      </c>
      <c r="E110">
        <v>0</v>
      </c>
      <c r="F110">
        <v>92</v>
      </c>
      <c r="G110">
        <v>0</v>
      </c>
      <c r="H110">
        <v>1</v>
      </c>
      <c r="I110" t="s">
        <v>1197</v>
      </c>
      <c r="J110">
        <v>0</v>
      </c>
      <c r="K110">
        <v>0</v>
      </c>
      <c r="L110">
        <v>92</v>
      </c>
      <c r="M110">
        <v>0</v>
      </c>
      <c r="N110">
        <v>0</v>
      </c>
      <c r="O110" t="s">
        <v>17955</v>
      </c>
      <c r="P110" s="9" t="s">
        <v>17955</v>
      </c>
      <c r="Q110" s="9" t="s">
        <v>17955</v>
      </c>
      <c r="R110" s="9" t="s">
        <v>17955</v>
      </c>
      <c r="S110" t="s">
        <v>1140</v>
      </c>
      <c r="T110" t="s">
        <v>17957</v>
      </c>
      <c r="U110" t="s">
        <v>17957</v>
      </c>
      <c r="V110" t="s">
        <v>1140</v>
      </c>
      <c r="W110" t="s">
        <v>17957</v>
      </c>
      <c r="X110" t="s">
        <v>1140</v>
      </c>
      <c r="Y110" t="s">
        <v>17957</v>
      </c>
      <c r="Z110">
        <v>0</v>
      </c>
      <c r="AA110">
        <v>13</v>
      </c>
      <c r="AB110">
        <v>5</v>
      </c>
      <c r="AC110">
        <v>0</v>
      </c>
      <c r="AD110">
        <v>1</v>
      </c>
      <c r="AE110">
        <v>19</v>
      </c>
      <c r="AF110">
        <v>8</v>
      </c>
      <c r="AG110">
        <v>0</v>
      </c>
      <c r="AH110">
        <v>1</v>
      </c>
      <c r="AI110">
        <v>7</v>
      </c>
      <c r="AJ110">
        <v>0</v>
      </c>
      <c r="AK110">
        <v>0</v>
      </c>
      <c r="AL110">
        <v>2021</v>
      </c>
    </row>
    <row r="111" spans="1:38" x14ac:dyDescent="0.3">
      <c r="A111" t="s">
        <v>240</v>
      </c>
      <c r="B111" t="s">
        <v>175</v>
      </c>
      <c r="C111" t="s">
        <v>126</v>
      </c>
      <c r="D111">
        <v>17</v>
      </c>
      <c r="E111">
        <v>0</v>
      </c>
      <c r="F111">
        <v>17</v>
      </c>
      <c r="G111">
        <v>0</v>
      </c>
      <c r="H111">
        <v>1</v>
      </c>
      <c r="I111" t="s">
        <v>17953</v>
      </c>
      <c r="J111">
        <v>0</v>
      </c>
      <c r="K111">
        <v>0</v>
      </c>
      <c r="L111">
        <v>17</v>
      </c>
      <c r="M111">
        <v>0</v>
      </c>
      <c r="N111">
        <v>0</v>
      </c>
      <c r="O111" t="s">
        <v>17955</v>
      </c>
      <c r="P111" s="9" t="s">
        <v>17955</v>
      </c>
      <c r="Q111" s="9" t="s">
        <v>17955</v>
      </c>
      <c r="R111" s="9" t="s">
        <v>17955</v>
      </c>
      <c r="S111" t="s">
        <v>1140</v>
      </c>
      <c r="T111" t="s">
        <v>17957</v>
      </c>
      <c r="U111" t="s">
        <v>17957</v>
      </c>
      <c r="V111" t="s">
        <v>1140</v>
      </c>
      <c r="W111" t="s">
        <v>17957</v>
      </c>
      <c r="X111" t="s">
        <v>1140</v>
      </c>
      <c r="Y111" t="s">
        <v>17957</v>
      </c>
      <c r="Z111">
        <v>0</v>
      </c>
      <c r="AA111">
        <v>0</v>
      </c>
      <c r="AB111">
        <v>6</v>
      </c>
      <c r="AC111">
        <v>2</v>
      </c>
      <c r="AD111">
        <v>0</v>
      </c>
      <c r="AE111">
        <v>8</v>
      </c>
      <c r="AF111">
        <v>2</v>
      </c>
      <c r="AG111">
        <v>0</v>
      </c>
      <c r="AH111">
        <v>0</v>
      </c>
      <c r="AI111">
        <v>1</v>
      </c>
      <c r="AJ111">
        <v>0</v>
      </c>
      <c r="AK111">
        <v>1</v>
      </c>
      <c r="AL111">
        <v>2021</v>
      </c>
    </row>
    <row r="112" spans="1:38" x14ac:dyDescent="0.3">
      <c r="A112" t="s">
        <v>242</v>
      </c>
      <c r="B112" t="s">
        <v>194</v>
      </c>
      <c r="C112" t="s">
        <v>126</v>
      </c>
      <c r="D112">
        <v>110</v>
      </c>
      <c r="E112">
        <v>0</v>
      </c>
      <c r="F112">
        <v>110</v>
      </c>
      <c r="G112">
        <v>0</v>
      </c>
      <c r="H112">
        <v>1</v>
      </c>
      <c r="I112" t="s">
        <v>1191</v>
      </c>
      <c r="J112">
        <v>0</v>
      </c>
      <c r="K112">
        <v>0</v>
      </c>
      <c r="L112">
        <v>110</v>
      </c>
      <c r="M112">
        <v>0</v>
      </c>
      <c r="N112">
        <v>0</v>
      </c>
      <c r="O112" t="s">
        <v>17955</v>
      </c>
      <c r="P112" s="9" t="s">
        <v>17955</v>
      </c>
      <c r="Q112" s="9" t="s">
        <v>17955</v>
      </c>
      <c r="R112" s="9" t="s">
        <v>17955</v>
      </c>
      <c r="S112" t="s">
        <v>1140</v>
      </c>
      <c r="T112" t="s">
        <v>17957</v>
      </c>
      <c r="U112" t="s">
        <v>17957</v>
      </c>
      <c r="V112" t="s">
        <v>1140</v>
      </c>
      <c r="W112" t="s">
        <v>17957</v>
      </c>
      <c r="X112" t="s">
        <v>1140</v>
      </c>
      <c r="Y112" t="s">
        <v>17957</v>
      </c>
      <c r="Z112">
        <v>0</v>
      </c>
      <c r="AA112">
        <v>2</v>
      </c>
      <c r="AB112">
        <v>0</v>
      </c>
      <c r="AC112">
        <v>1</v>
      </c>
      <c r="AD112">
        <v>1</v>
      </c>
      <c r="AE112">
        <v>4</v>
      </c>
      <c r="AF112">
        <v>15</v>
      </c>
      <c r="AG112">
        <v>6</v>
      </c>
      <c r="AH112">
        <v>3</v>
      </c>
      <c r="AI112">
        <v>4</v>
      </c>
      <c r="AJ112">
        <v>2</v>
      </c>
      <c r="AK112">
        <v>0</v>
      </c>
      <c r="AL112">
        <v>2021</v>
      </c>
    </row>
    <row r="113" spans="1:38" x14ac:dyDescent="0.3">
      <c r="A113" t="s">
        <v>244</v>
      </c>
      <c r="B113" t="s">
        <v>194</v>
      </c>
      <c r="C113" t="s">
        <v>126</v>
      </c>
      <c r="D113">
        <v>19</v>
      </c>
      <c r="E113">
        <v>0</v>
      </c>
      <c r="F113">
        <v>19</v>
      </c>
      <c r="G113">
        <v>0</v>
      </c>
      <c r="H113">
        <v>1</v>
      </c>
      <c r="I113" t="s">
        <v>17953</v>
      </c>
      <c r="J113">
        <v>0</v>
      </c>
      <c r="K113" t="s">
        <v>17955</v>
      </c>
      <c r="L113" t="s">
        <v>17955</v>
      </c>
      <c r="M113">
        <v>0</v>
      </c>
      <c r="N113">
        <v>0</v>
      </c>
      <c r="O113" t="s">
        <v>17955</v>
      </c>
      <c r="P113" s="9" t="s">
        <v>17955</v>
      </c>
      <c r="Q113" s="9" t="s">
        <v>17955</v>
      </c>
      <c r="R113" s="9" t="s">
        <v>17955</v>
      </c>
      <c r="S113" t="s">
        <v>17957</v>
      </c>
      <c r="T113" t="s">
        <v>17957</v>
      </c>
      <c r="U113" t="s">
        <v>17957</v>
      </c>
      <c r="V113" t="s">
        <v>1140</v>
      </c>
      <c r="W113" t="s">
        <v>1140</v>
      </c>
      <c r="X113" t="s">
        <v>1140</v>
      </c>
      <c r="Y113" t="s">
        <v>17957</v>
      </c>
      <c r="Z113">
        <v>0</v>
      </c>
      <c r="AA113">
        <v>0</v>
      </c>
      <c r="AB113">
        <v>0</v>
      </c>
      <c r="AC113">
        <v>0</v>
      </c>
      <c r="AD113">
        <v>0</v>
      </c>
      <c r="AE113">
        <v>0</v>
      </c>
      <c r="AF113">
        <v>3</v>
      </c>
      <c r="AG113">
        <v>0</v>
      </c>
      <c r="AH113">
        <v>0</v>
      </c>
      <c r="AI113">
        <v>0</v>
      </c>
      <c r="AJ113">
        <v>0</v>
      </c>
      <c r="AK113">
        <v>0</v>
      </c>
      <c r="AL113">
        <v>2021</v>
      </c>
    </row>
    <row r="114" spans="1:38" x14ac:dyDescent="0.3">
      <c r="A114" t="s">
        <v>246</v>
      </c>
      <c r="B114" t="s">
        <v>194</v>
      </c>
      <c r="C114" t="s">
        <v>14</v>
      </c>
      <c r="D114" t="s">
        <v>17955</v>
      </c>
      <c r="E114" t="s">
        <v>17955</v>
      </c>
      <c r="F114" t="s">
        <v>17955</v>
      </c>
      <c r="G114" t="s">
        <v>17955</v>
      </c>
      <c r="H114" t="s">
        <v>17955</v>
      </c>
      <c r="I114" t="s">
        <v>17954</v>
      </c>
      <c r="J114" t="s">
        <v>17955</v>
      </c>
      <c r="K114" t="s">
        <v>17955</v>
      </c>
      <c r="L114" t="s">
        <v>17955</v>
      </c>
      <c r="M114">
        <v>0</v>
      </c>
      <c r="N114">
        <v>0</v>
      </c>
      <c r="O114" t="s">
        <v>17955</v>
      </c>
      <c r="P114" s="9" t="s">
        <v>17955</v>
      </c>
      <c r="Q114" s="9" t="s">
        <v>17955</v>
      </c>
      <c r="R114" s="9" t="s">
        <v>17955</v>
      </c>
      <c r="S114" t="s">
        <v>17957</v>
      </c>
      <c r="T114" t="s">
        <v>17957</v>
      </c>
      <c r="U114" t="s">
        <v>17957</v>
      </c>
      <c r="V114" t="s">
        <v>1140</v>
      </c>
      <c r="W114" t="s">
        <v>1140</v>
      </c>
      <c r="X114" t="s">
        <v>1140</v>
      </c>
      <c r="Y114" t="s">
        <v>17957</v>
      </c>
      <c r="Z114" t="s">
        <v>17955</v>
      </c>
      <c r="AA114" t="s">
        <v>17955</v>
      </c>
      <c r="AB114" t="s">
        <v>17955</v>
      </c>
      <c r="AC114" t="s">
        <v>17955</v>
      </c>
      <c r="AD114" t="s">
        <v>17955</v>
      </c>
      <c r="AE114">
        <v>0</v>
      </c>
      <c r="AF114">
        <v>0</v>
      </c>
      <c r="AG114">
        <v>0</v>
      </c>
      <c r="AH114">
        <v>0</v>
      </c>
      <c r="AI114">
        <v>0</v>
      </c>
      <c r="AJ114">
        <v>0</v>
      </c>
      <c r="AK114">
        <v>0</v>
      </c>
      <c r="AL114">
        <v>2021</v>
      </c>
    </row>
    <row r="115" spans="1:38" x14ac:dyDescent="0.3">
      <c r="A115" t="s">
        <v>248</v>
      </c>
      <c r="B115" t="s">
        <v>194</v>
      </c>
      <c r="C115" t="s">
        <v>14</v>
      </c>
      <c r="D115" t="s">
        <v>17955</v>
      </c>
      <c r="E115" t="s">
        <v>17955</v>
      </c>
      <c r="F115" t="s">
        <v>17955</v>
      </c>
      <c r="G115" t="s">
        <v>17955</v>
      </c>
      <c r="H115" t="s">
        <v>17955</v>
      </c>
      <c r="I115" t="s">
        <v>17954</v>
      </c>
      <c r="J115" t="s">
        <v>17955</v>
      </c>
      <c r="K115" t="s">
        <v>17955</v>
      </c>
      <c r="L115" t="s">
        <v>17955</v>
      </c>
      <c r="M115">
        <v>0</v>
      </c>
      <c r="N115">
        <v>0</v>
      </c>
      <c r="O115" t="s">
        <v>17955</v>
      </c>
      <c r="P115" s="9" t="s">
        <v>17955</v>
      </c>
      <c r="Q115" s="9" t="s">
        <v>17955</v>
      </c>
      <c r="R115" s="9" t="s">
        <v>17955</v>
      </c>
      <c r="S115" t="s">
        <v>17957</v>
      </c>
      <c r="T115" t="s">
        <v>17957</v>
      </c>
      <c r="U115" t="s">
        <v>17957</v>
      </c>
      <c r="V115" t="s">
        <v>1140</v>
      </c>
      <c r="W115" t="s">
        <v>1140</v>
      </c>
      <c r="X115" t="s">
        <v>1140</v>
      </c>
      <c r="Y115" t="s">
        <v>17957</v>
      </c>
      <c r="Z115" t="s">
        <v>17955</v>
      </c>
      <c r="AA115" t="s">
        <v>17955</v>
      </c>
      <c r="AB115" t="s">
        <v>17955</v>
      </c>
      <c r="AC115" t="s">
        <v>17955</v>
      </c>
      <c r="AD115" t="s">
        <v>17955</v>
      </c>
      <c r="AE115">
        <v>0</v>
      </c>
      <c r="AF115">
        <v>0</v>
      </c>
      <c r="AG115">
        <v>0</v>
      </c>
      <c r="AH115">
        <v>0</v>
      </c>
      <c r="AI115">
        <v>0</v>
      </c>
      <c r="AJ115">
        <v>0</v>
      </c>
      <c r="AK115">
        <v>0</v>
      </c>
      <c r="AL115">
        <v>2021</v>
      </c>
    </row>
    <row r="116" spans="1:38" x14ac:dyDescent="0.3">
      <c r="A116" t="s">
        <v>250</v>
      </c>
      <c r="B116" t="s">
        <v>194</v>
      </c>
      <c r="C116" t="s">
        <v>14</v>
      </c>
      <c r="D116" t="s">
        <v>17955</v>
      </c>
      <c r="E116" t="s">
        <v>17955</v>
      </c>
      <c r="F116" t="s">
        <v>17955</v>
      </c>
      <c r="G116" t="s">
        <v>17955</v>
      </c>
      <c r="H116" t="s">
        <v>17955</v>
      </c>
      <c r="I116" t="s">
        <v>17954</v>
      </c>
      <c r="J116" t="s">
        <v>17955</v>
      </c>
      <c r="K116" t="s">
        <v>17955</v>
      </c>
      <c r="L116" t="s">
        <v>17955</v>
      </c>
      <c r="M116">
        <v>0</v>
      </c>
      <c r="N116">
        <v>0</v>
      </c>
      <c r="O116" t="s">
        <v>17955</v>
      </c>
      <c r="P116" s="9" t="s">
        <v>17955</v>
      </c>
      <c r="Q116" s="9" t="s">
        <v>17955</v>
      </c>
      <c r="R116" s="9" t="s">
        <v>17955</v>
      </c>
      <c r="S116" t="s">
        <v>17957</v>
      </c>
      <c r="T116" t="s">
        <v>17957</v>
      </c>
      <c r="U116" t="s">
        <v>17957</v>
      </c>
      <c r="V116" t="s">
        <v>1140</v>
      </c>
      <c r="W116" t="s">
        <v>1140</v>
      </c>
      <c r="X116" t="s">
        <v>1140</v>
      </c>
      <c r="Y116" t="s">
        <v>17957</v>
      </c>
      <c r="Z116" t="s">
        <v>17955</v>
      </c>
      <c r="AA116" t="s">
        <v>17955</v>
      </c>
      <c r="AB116" t="s">
        <v>17955</v>
      </c>
      <c r="AC116" t="s">
        <v>17955</v>
      </c>
      <c r="AD116" t="s">
        <v>17955</v>
      </c>
      <c r="AE116">
        <v>0</v>
      </c>
      <c r="AF116">
        <v>0</v>
      </c>
      <c r="AG116">
        <v>0</v>
      </c>
      <c r="AH116">
        <v>0</v>
      </c>
      <c r="AI116">
        <v>0</v>
      </c>
      <c r="AJ116">
        <v>0</v>
      </c>
      <c r="AK116">
        <v>0</v>
      </c>
      <c r="AL116">
        <v>2021</v>
      </c>
    </row>
    <row r="117" spans="1:38" x14ac:dyDescent="0.3">
      <c r="A117" t="s">
        <v>252</v>
      </c>
      <c r="B117" t="s">
        <v>1118</v>
      </c>
      <c r="C117" t="s">
        <v>126</v>
      </c>
      <c r="D117" t="s">
        <v>17955</v>
      </c>
      <c r="E117" t="s">
        <v>17955</v>
      </c>
      <c r="F117" t="s">
        <v>17955</v>
      </c>
      <c r="G117" t="s">
        <v>17955</v>
      </c>
      <c r="H117" t="s">
        <v>17955</v>
      </c>
      <c r="I117" t="s">
        <v>17954</v>
      </c>
      <c r="J117" t="s">
        <v>17955</v>
      </c>
      <c r="K117" t="s">
        <v>17955</v>
      </c>
      <c r="L117" t="s">
        <v>17955</v>
      </c>
      <c r="M117">
        <v>0</v>
      </c>
      <c r="N117">
        <v>0</v>
      </c>
      <c r="O117" t="s">
        <v>17955</v>
      </c>
      <c r="P117" s="9" t="s">
        <v>17955</v>
      </c>
      <c r="Q117" s="9" t="s">
        <v>17955</v>
      </c>
      <c r="R117" s="9" t="s">
        <v>17955</v>
      </c>
      <c r="S117" t="s">
        <v>17957</v>
      </c>
      <c r="T117" t="s">
        <v>17957</v>
      </c>
      <c r="U117" t="s">
        <v>17957</v>
      </c>
      <c r="V117" t="s">
        <v>1140</v>
      </c>
      <c r="W117" t="s">
        <v>1140</v>
      </c>
      <c r="X117" t="s">
        <v>1140</v>
      </c>
      <c r="Y117" t="s">
        <v>17957</v>
      </c>
      <c r="Z117" t="s">
        <v>17955</v>
      </c>
      <c r="AA117" t="s">
        <v>17955</v>
      </c>
      <c r="AB117" t="s">
        <v>17955</v>
      </c>
      <c r="AC117" t="s">
        <v>17955</v>
      </c>
      <c r="AD117" t="s">
        <v>17955</v>
      </c>
      <c r="AE117">
        <v>0</v>
      </c>
      <c r="AF117">
        <v>0</v>
      </c>
      <c r="AG117">
        <v>0</v>
      </c>
      <c r="AH117">
        <v>0</v>
      </c>
      <c r="AI117">
        <v>0</v>
      </c>
      <c r="AJ117">
        <v>0</v>
      </c>
      <c r="AK117">
        <v>0</v>
      </c>
      <c r="AL117">
        <v>2021</v>
      </c>
    </row>
    <row r="118" spans="1:38" x14ac:dyDescent="0.3">
      <c r="A118" t="s">
        <v>254</v>
      </c>
      <c r="B118" t="s">
        <v>20</v>
      </c>
      <c r="C118" t="s">
        <v>14</v>
      </c>
      <c r="D118">
        <v>42</v>
      </c>
      <c r="E118">
        <v>2</v>
      </c>
      <c r="F118">
        <v>40</v>
      </c>
      <c r="G118">
        <v>4.7619047619047616E-2</v>
      </c>
      <c r="H118">
        <v>0.95238095238095233</v>
      </c>
      <c r="I118" t="s">
        <v>17953</v>
      </c>
      <c r="J118">
        <v>15</v>
      </c>
      <c r="K118">
        <v>0</v>
      </c>
      <c r="L118">
        <v>27</v>
      </c>
      <c r="M118">
        <v>0</v>
      </c>
      <c r="N118">
        <v>0</v>
      </c>
      <c r="O118">
        <v>2</v>
      </c>
      <c r="P118" s="9">
        <v>0</v>
      </c>
      <c r="Q118" s="9" t="s">
        <v>17955</v>
      </c>
      <c r="R118" s="9">
        <v>7.407407407407407E-2</v>
      </c>
      <c r="S118" t="s">
        <v>1140</v>
      </c>
      <c r="T118" t="s">
        <v>1140</v>
      </c>
      <c r="U118" t="s">
        <v>1140</v>
      </c>
      <c r="V118" t="s">
        <v>1140</v>
      </c>
      <c r="W118" t="s">
        <v>1140</v>
      </c>
      <c r="X118" t="s">
        <v>1140</v>
      </c>
      <c r="Y118" t="s">
        <v>1140</v>
      </c>
      <c r="Z118">
        <v>0</v>
      </c>
      <c r="AA118">
        <v>0</v>
      </c>
      <c r="AB118">
        <v>0</v>
      </c>
      <c r="AC118">
        <v>0</v>
      </c>
      <c r="AD118">
        <v>0</v>
      </c>
      <c r="AE118">
        <v>0</v>
      </c>
      <c r="AF118">
        <v>5</v>
      </c>
      <c r="AG118">
        <v>1</v>
      </c>
      <c r="AH118">
        <v>0</v>
      </c>
      <c r="AI118">
        <v>3</v>
      </c>
      <c r="AJ118">
        <v>1</v>
      </c>
      <c r="AK118">
        <v>0</v>
      </c>
      <c r="AL118">
        <v>2021</v>
      </c>
    </row>
    <row r="119" spans="1:38" x14ac:dyDescent="0.3">
      <c r="A119" t="s">
        <v>256</v>
      </c>
      <c r="B119" t="s">
        <v>1118</v>
      </c>
      <c r="C119" t="s">
        <v>126</v>
      </c>
      <c r="D119" t="s">
        <v>17955</v>
      </c>
      <c r="E119" t="s">
        <v>17955</v>
      </c>
      <c r="F119" t="s">
        <v>17955</v>
      </c>
      <c r="G119" t="s">
        <v>17955</v>
      </c>
      <c r="H119" t="s">
        <v>17955</v>
      </c>
      <c r="I119" t="s">
        <v>17954</v>
      </c>
      <c r="J119" t="s">
        <v>17955</v>
      </c>
      <c r="K119" t="s">
        <v>17955</v>
      </c>
      <c r="L119" t="s">
        <v>17955</v>
      </c>
      <c r="M119">
        <v>0</v>
      </c>
      <c r="N119">
        <v>0</v>
      </c>
      <c r="O119" t="s">
        <v>17955</v>
      </c>
      <c r="P119" s="9" t="s">
        <v>17955</v>
      </c>
      <c r="Q119" s="9" t="s">
        <v>17955</v>
      </c>
      <c r="R119" s="9" t="s">
        <v>17955</v>
      </c>
      <c r="S119" t="s">
        <v>17957</v>
      </c>
      <c r="T119" t="s">
        <v>17957</v>
      </c>
      <c r="U119" t="s">
        <v>17957</v>
      </c>
      <c r="V119" t="s">
        <v>1140</v>
      </c>
      <c r="W119" t="s">
        <v>1140</v>
      </c>
      <c r="X119" t="s">
        <v>1140</v>
      </c>
      <c r="Y119" t="s">
        <v>17957</v>
      </c>
      <c r="Z119" t="s">
        <v>17955</v>
      </c>
      <c r="AA119" t="s">
        <v>17955</v>
      </c>
      <c r="AB119" t="s">
        <v>17955</v>
      </c>
      <c r="AC119" t="s">
        <v>17955</v>
      </c>
      <c r="AD119" t="s">
        <v>17955</v>
      </c>
      <c r="AE119">
        <v>0</v>
      </c>
      <c r="AF119">
        <v>0</v>
      </c>
      <c r="AG119">
        <v>0</v>
      </c>
      <c r="AH119">
        <v>0</v>
      </c>
      <c r="AI119">
        <v>0</v>
      </c>
      <c r="AJ119">
        <v>0</v>
      </c>
      <c r="AK119">
        <v>0</v>
      </c>
      <c r="AL119">
        <v>2021</v>
      </c>
    </row>
    <row r="120" spans="1:38" x14ac:dyDescent="0.3">
      <c r="A120" t="s">
        <v>258</v>
      </c>
      <c r="B120" t="s">
        <v>20</v>
      </c>
      <c r="C120" t="s">
        <v>126</v>
      </c>
      <c r="D120" t="s">
        <v>17955</v>
      </c>
      <c r="E120" t="s">
        <v>17955</v>
      </c>
      <c r="F120" t="s">
        <v>17955</v>
      </c>
      <c r="G120" t="s">
        <v>17955</v>
      </c>
      <c r="H120" t="s">
        <v>17955</v>
      </c>
      <c r="I120" t="s">
        <v>17954</v>
      </c>
      <c r="J120" t="s">
        <v>17955</v>
      </c>
      <c r="K120" t="s">
        <v>17955</v>
      </c>
      <c r="L120" t="s">
        <v>17955</v>
      </c>
      <c r="M120">
        <v>0</v>
      </c>
      <c r="N120">
        <v>0</v>
      </c>
      <c r="O120" t="s">
        <v>17955</v>
      </c>
      <c r="P120" s="9" t="s">
        <v>17955</v>
      </c>
      <c r="Q120" s="9" t="s">
        <v>17955</v>
      </c>
      <c r="R120" s="9" t="s">
        <v>17955</v>
      </c>
      <c r="S120" t="s">
        <v>17957</v>
      </c>
      <c r="T120" t="s">
        <v>17957</v>
      </c>
      <c r="U120" t="s">
        <v>17957</v>
      </c>
      <c r="V120" t="s">
        <v>1140</v>
      </c>
      <c r="W120" t="s">
        <v>1140</v>
      </c>
      <c r="X120" t="s">
        <v>1140</v>
      </c>
      <c r="Y120" t="s">
        <v>17957</v>
      </c>
      <c r="Z120" t="s">
        <v>17955</v>
      </c>
      <c r="AA120" t="s">
        <v>17955</v>
      </c>
      <c r="AB120" t="s">
        <v>17955</v>
      </c>
      <c r="AC120" t="s">
        <v>17955</v>
      </c>
      <c r="AD120" t="s">
        <v>17955</v>
      </c>
      <c r="AE120">
        <v>0</v>
      </c>
      <c r="AF120">
        <v>0</v>
      </c>
      <c r="AG120">
        <v>0</v>
      </c>
      <c r="AH120">
        <v>0</v>
      </c>
      <c r="AI120">
        <v>0</v>
      </c>
      <c r="AJ120">
        <v>0</v>
      </c>
      <c r="AK120">
        <v>0</v>
      </c>
      <c r="AL120">
        <v>2021</v>
      </c>
    </row>
    <row r="121" spans="1:38" x14ac:dyDescent="0.3">
      <c r="A121" t="s">
        <v>260</v>
      </c>
      <c r="B121" t="s">
        <v>194</v>
      </c>
      <c r="C121" t="s">
        <v>126</v>
      </c>
      <c r="D121">
        <v>21</v>
      </c>
      <c r="E121">
        <v>0</v>
      </c>
      <c r="F121">
        <v>21</v>
      </c>
      <c r="G121">
        <v>0</v>
      </c>
      <c r="H121">
        <v>1</v>
      </c>
      <c r="I121" t="s">
        <v>17953</v>
      </c>
      <c r="J121">
        <v>0</v>
      </c>
      <c r="K121">
        <v>2</v>
      </c>
      <c r="L121">
        <v>19</v>
      </c>
      <c r="M121">
        <v>0</v>
      </c>
      <c r="N121">
        <v>0</v>
      </c>
      <c r="O121" t="s">
        <v>17955</v>
      </c>
      <c r="P121" s="9" t="s">
        <v>17955</v>
      </c>
      <c r="Q121" s="9">
        <v>0</v>
      </c>
      <c r="R121" s="9" t="s">
        <v>17955</v>
      </c>
      <c r="S121" t="s">
        <v>1140</v>
      </c>
      <c r="T121" t="s">
        <v>17957</v>
      </c>
      <c r="U121" t="s">
        <v>17957</v>
      </c>
      <c r="V121" t="s">
        <v>1140</v>
      </c>
      <c r="W121" t="s">
        <v>17957</v>
      </c>
      <c r="X121" t="s">
        <v>1140</v>
      </c>
      <c r="Y121" t="s">
        <v>17957</v>
      </c>
      <c r="Z121">
        <v>0</v>
      </c>
      <c r="AA121">
        <v>0</v>
      </c>
      <c r="AB121">
        <v>0</v>
      </c>
      <c r="AC121">
        <v>0</v>
      </c>
      <c r="AD121">
        <v>0</v>
      </c>
      <c r="AE121">
        <v>0</v>
      </c>
      <c r="AF121">
        <v>1</v>
      </c>
      <c r="AG121">
        <v>0</v>
      </c>
      <c r="AH121">
        <v>0</v>
      </c>
      <c r="AI121">
        <v>1</v>
      </c>
      <c r="AJ121">
        <v>0</v>
      </c>
      <c r="AK121">
        <v>0</v>
      </c>
      <c r="AL121">
        <v>2021</v>
      </c>
    </row>
    <row r="122" spans="1:38" x14ac:dyDescent="0.3">
      <c r="A122" t="s">
        <v>262</v>
      </c>
      <c r="B122" t="s">
        <v>1118</v>
      </c>
      <c r="C122" t="s">
        <v>126</v>
      </c>
      <c r="D122" t="s">
        <v>17955</v>
      </c>
      <c r="E122" t="s">
        <v>17955</v>
      </c>
      <c r="F122" t="s">
        <v>17955</v>
      </c>
      <c r="G122" t="s">
        <v>17955</v>
      </c>
      <c r="H122" t="s">
        <v>17955</v>
      </c>
      <c r="I122" t="s">
        <v>17954</v>
      </c>
      <c r="J122" t="s">
        <v>17955</v>
      </c>
      <c r="K122" t="s">
        <v>17955</v>
      </c>
      <c r="L122" t="s">
        <v>17955</v>
      </c>
      <c r="M122">
        <v>0</v>
      </c>
      <c r="N122">
        <v>0</v>
      </c>
      <c r="O122" t="s">
        <v>17955</v>
      </c>
      <c r="P122" s="9" t="s">
        <v>17955</v>
      </c>
      <c r="Q122" s="9" t="s">
        <v>17955</v>
      </c>
      <c r="R122" s="9" t="s">
        <v>17955</v>
      </c>
      <c r="S122" t="s">
        <v>17957</v>
      </c>
      <c r="T122" t="s">
        <v>17957</v>
      </c>
      <c r="U122" t="s">
        <v>17957</v>
      </c>
      <c r="V122" t="s">
        <v>1140</v>
      </c>
      <c r="W122" t="s">
        <v>1140</v>
      </c>
      <c r="X122" t="s">
        <v>1140</v>
      </c>
      <c r="Y122" t="s">
        <v>17957</v>
      </c>
      <c r="Z122" t="s">
        <v>17955</v>
      </c>
      <c r="AA122" t="s">
        <v>17955</v>
      </c>
      <c r="AB122" t="s">
        <v>17955</v>
      </c>
      <c r="AC122" t="s">
        <v>17955</v>
      </c>
      <c r="AD122" t="s">
        <v>17955</v>
      </c>
      <c r="AE122">
        <v>0</v>
      </c>
      <c r="AF122">
        <v>0</v>
      </c>
      <c r="AG122">
        <v>0</v>
      </c>
      <c r="AH122">
        <v>0</v>
      </c>
      <c r="AI122">
        <v>0</v>
      </c>
      <c r="AJ122">
        <v>0</v>
      </c>
      <c r="AK122">
        <v>0</v>
      </c>
      <c r="AL122">
        <v>2021</v>
      </c>
    </row>
    <row r="123" spans="1:38" x14ac:dyDescent="0.3">
      <c r="A123" t="s">
        <v>264</v>
      </c>
      <c r="B123" t="s">
        <v>194</v>
      </c>
      <c r="C123" t="s">
        <v>126</v>
      </c>
      <c r="D123" t="s">
        <v>17955</v>
      </c>
      <c r="E123" t="s">
        <v>17955</v>
      </c>
      <c r="F123" t="s">
        <v>17955</v>
      </c>
      <c r="G123" t="s">
        <v>17955</v>
      </c>
      <c r="H123" t="s">
        <v>17955</v>
      </c>
      <c r="I123" t="s">
        <v>17954</v>
      </c>
      <c r="J123" t="s">
        <v>17955</v>
      </c>
      <c r="K123" t="s">
        <v>17955</v>
      </c>
      <c r="L123" t="s">
        <v>17955</v>
      </c>
      <c r="M123">
        <v>0</v>
      </c>
      <c r="N123">
        <v>0</v>
      </c>
      <c r="O123" t="s">
        <v>17955</v>
      </c>
      <c r="P123" s="9" t="s">
        <v>17955</v>
      </c>
      <c r="Q123" s="9" t="s">
        <v>17955</v>
      </c>
      <c r="R123" s="9" t="s">
        <v>17955</v>
      </c>
      <c r="S123" t="s">
        <v>17957</v>
      </c>
      <c r="T123" t="s">
        <v>17957</v>
      </c>
      <c r="U123" t="s">
        <v>17957</v>
      </c>
      <c r="V123" t="s">
        <v>1140</v>
      </c>
      <c r="W123" t="s">
        <v>1140</v>
      </c>
      <c r="X123" t="s">
        <v>1140</v>
      </c>
      <c r="Y123" t="s">
        <v>17957</v>
      </c>
      <c r="Z123" t="s">
        <v>17955</v>
      </c>
      <c r="AA123" t="s">
        <v>17955</v>
      </c>
      <c r="AB123" t="s">
        <v>17955</v>
      </c>
      <c r="AC123" t="s">
        <v>17955</v>
      </c>
      <c r="AD123" t="s">
        <v>17955</v>
      </c>
      <c r="AE123">
        <v>0</v>
      </c>
      <c r="AF123">
        <v>0</v>
      </c>
      <c r="AG123">
        <v>0</v>
      </c>
      <c r="AH123">
        <v>0</v>
      </c>
      <c r="AI123">
        <v>0</v>
      </c>
      <c r="AJ123">
        <v>0</v>
      </c>
      <c r="AK123">
        <v>0</v>
      </c>
      <c r="AL123">
        <v>2021</v>
      </c>
    </row>
    <row r="124" spans="1:38" x14ac:dyDescent="0.3">
      <c r="A124" t="s">
        <v>266</v>
      </c>
      <c r="B124" t="s">
        <v>194</v>
      </c>
      <c r="C124" t="s">
        <v>126</v>
      </c>
      <c r="D124">
        <v>25</v>
      </c>
      <c r="E124">
        <v>0</v>
      </c>
      <c r="F124">
        <v>25</v>
      </c>
      <c r="G124">
        <v>0</v>
      </c>
      <c r="H124">
        <v>1</v>
      </c>
      <c r="I124" t="s">
        <v>17953</v>
      </c>
      <c r="J124">
        <v>0</v>
      </c>
      <c r="K124">
        <v>6</v>
      </c>
      <c r="L124">
        <v>19</v>
      </c>
      <c r="M124">
        <v>0</v>
      </c>
      <c r="N124">
        <v>0</v>
      </c>
      <c r="O124" t="s">
        <v>17955</v>
      </c>
      <c r="P124" s="9" t="s">
        <v>17955</v>
      </c>
      <c r="Q124" s="9">
        <v>0</v>
      </c>
      <c r="R124" s="9" t="s">
        <v>17955</v>
      </c>
      <c r="S124" t="s">
        <v>1140</v>
      </c>
      <c r="T124" t="s">
        <v>17957</v>
      </c>
      <c r="U124" t="s">
        <v>17957</v>
      </c>
      <c r="V124" t="s">
        <v>1140</v>
      </c>
      <c r="W124" t="s">
        <v>17957</v>
      </c>
      <c r="X124" t="s">
        <v>1140</v>
      </c>
      <c r="Y124" t="s">
        <v>17957</v>
      </c>
      <c r="Z124">
        <v>0</v>
      </c>
      <c r="AA124">
        <v>3</v>
      </c>
      <c r="AB124">
        <v>2</v>
      </c>
      <c r="AC124">
        <v>0</v>
      </c>
      <c r="AD124">
        <v>0</v>
      </c>
      <c r="AE124">
        <v>5</v>
      </c>
      <c r="AF124">
        <v>1</v>
      </c>
      <c r="AG124">
        <v>0</v>
      </c>
      <c r="AH124">
        <v>0</v>
      </c>
      <c r="AI124">
        <v>1</v>
      </c>
      <c r="AJ124">
        <v>0</v>
      </c>
      <c r="AK124">
        <v>0</v>
      </c>
      <c r="AL124">
        <v>2021</v>
      </c>
    </row>
    <row r="125" spans="1:38" x14ac:dyDescent="0.3">
      <c r="A125" t="s">
        <v>268</v>
      </c>
      <c r="B125" t="s">
        <v>194</v>
      </c>
      <c r="C125" t="s">
        <v>126</v>
      </c>
      <c r="D125">
        <v>10</v>
      </c>
      <c r="E125">
        <v>0</v>
      </c>
      <c r="F125">
        <v>10</v>
      </c>
      <c r="G125">
        <v>0</v>
      </c>
      <c r="H125">
        <v>1</v>
      </c>
      <c r="I125" t="s">
        <v>17953</v>
      </c>
      <c r="J125">
        <v>0</v>
      </c>
      <c r="K125">
        <v>6</v>
      </c>
      <c r="L125">
        <v>4</v>
      </c>
      <c r="M125">
        <v>0</v>
      </c>
      <c r="N125">
        <v>0</v>
      </c>
      <c r="O125" t="s">
        <v>17955</v>
      </c>
      <c r="P125" s="9" t="s">
        <v>17955</v>
      </c>
      <c r="Q125" s="9">
        <v>0</v>
      </c>
      <c r="R125" s="9" t="s">
        <v>17955</v>
      </c>
      <c r="S125" t="s">
        <v>1140</v>
      </c>
      <c r="T125" t="s">
        <v>17957</v>
      </c>
      <c r="U125" t="s">
        <v>17957</v>
      </c>
      <c r="V125" t="s">
        <v>1140</v>
      </c>
      <c r="W125" t="s">
        <v>17957</v>
      </c>
      <c r="X125" t="s">
        <v>1140</v>
      </c>
      <c r="Y125" t="s">
        <v>17957</v>
      </c>
      <c r="Z125">
        <v>2</v>
      </c>
      <c r="AA125">
        <v>3</v>
      </c>
      <c r="AB125">
        <v>3</v>
      </c>
      <c r="AC125">
        <v>0</v>
      </c>
      <c r="AD125">
        <v>2</v>
      </c>
      <c r="AE125">
        <v>10</v>
      </c>
      <c r="AF125">
        <v>2</v>
      </c>
      <c r="AG125">
        <v>0</v>
      </c>
      <c r="AH125">
        <v>0</v>
      </c>
      <c r="AI125">
        <v>0</v>
      </c>
      <c r="AJ125">
        <v>2</v>
      </c>
      <c r="AK125">
        <v>0</v>
      </c>
      <c r="AL125">
        <v>2021</v>
      </c>
    </row>
    <row r="126" spans="1:38" x14ac:dyDescent="0.3">
      <c r="A126" t="s">
        <v>270</v>
      </c>
      <c r="B126" t="s">
        <v>194</v>
      </c>
      <c r="C126" t="s">
        <v>14</v>
      </c>
      <c r="D126" t="s">
        <v>17955</v>
      </c>
      <c r="E126" t="s">
        <v>17955</v>
      </c>
      <c r="F126" t="s">
        <v>17955</v>
      </c>
      <c r="G126" t="s">
        <v>17955</v>
      </c>
      <c r="H126" t="s">
        <v>17955</v>
      </c>
      <c r="I126" t="s">
        <v>17954</v>
      </c>
      <c r="J126" t="s">
        <v>17955</v>
      </c>
      <c r="K126" t="s">
        <v>17955</v>
      </c>
      <c r="L126" t="s">
        <v>17955</v>
      </c>
      <c r="M126">
        <v>0</v>
      </c>
      <c r="N126">
        <v>0</v>
      </c>
      <c r="O126" t="s">
        <v>17955</v>
      </c>
      <c r="P126" s="9" t="s">
        <v>17955</v>
      </c>
      <c r="Q126" s="9" t="s">
        <v>17955</v>
      </c>
      <c r="R126" s="9" t="s">
        <v>17955</v>
      </c>
      <c r="S126" t="s">
        <v>17957</v>
      </c>
      <c r="T126" t="s">
        <v>17957</v>
      </c>
      <c r="U126" t="s">
        <v>17957</v>
      </c>
      <c r="V126" t="s">
        <v>1140</v>
      </c>
      <c r="W126" t="s">
        <v>1140</v>
      </c>
      <c r="X126" t="s">
        <v>1140</v>
      </c>
      <c r="Y126" t="s">
        <v>17957</v>
      </c>
      <c r="Z126" t="s">
        <v>17955</v>
      </c>
      <c r="AA126" t="s">
        <v>17955</v>
      </c>
      <c r="AB126" t="s">
        <v>17955</v>
      </c>
      <c r="AC126" t="s">
        <v>17955</v>
      </c>
      <c r="AD126" t="s">
        <v>17955</v>
      </c>
      <c r="AE126">
        <v>0</v>
      </c>
      <c r="AF126">
        <v>0</v>
      </c>
      <c r="AG126">
        <v>0</v>
      </c>
      <c r="AH126">
        <v>0</v>
      </c>
      <c r="AI126">
        <v>0</v>
      </c>
      <c r="AJ126">
        <v>0</v>
      </c>
      <c r="AK126">
        <v>0</v>
      </c>
      <c r="AL126">
        <v>2021</v>
      </c>
    </row>
    <row r="127" spans="1:38" x14ac:dyDescent="0.3">
      <c r="A127" t="s">
        <v>272</v>
      </c>
      <c r="B127" t="s">
        <v>194</v>
      </c>
      <c r="C127" t="s">
        <v>14</v>
      </c>
      <c r="D127" t="s">
        <v>17955</v>
      </c>
      <c r="E127" t="s">
        <v>17955</v>
      </c>
      <c r="F127" t="s">
        <v>17955</v>
      </c>
      <c r="G127" t="s">
        <v>17955</v>
      </c>
      <c r="H127" t="s">
        <v>17955</v>
      </c>
      <c r="I127" t="s">
        <v>17954</v>
      </c>
      <c r="J127" t="s">
        <v>17955</v>
      </c>
      <c r="K127" t="s">
        <v>17955</v>
      </c>
      <c r="L127" t="s">
        <v>17955</v>
      </c>
      <c r="M127">
        <v>0</v>
      </c>
      <c r="N127">
        <v>0</v>
      </c>
      <c r="O127" t="s">
        <v>17955</v>
      </c>
      <c r="P127" s="9" t="s">
        <v>17955</v>
      </c>
      <c r="Q127" s="9" t="s">
        <v>17955</v>
      </c>
      <c r="R127" s="9" t="s">
        <v>17955</v>
      </c>
      <c r="S127" t="s">
        <v>17957</v>
      </c>
      <c r="T127" t="s">
        <v>17957</v>
      </c>
      <c r="U127" t="s">
        <v>17957</v>
      </c>
      <c r="V127" t="s">
        <v>1140</v>
      </c>
      <c r="W127" t="s">
        <v>1140</v>
      </c>
      <c r="X127" t="s">
        <v>1140</v>
      </c>
      <c r="Y127" t="s">
        <v>17957</v>
      </c>
      <c r="Z127" t="s">
        <v>17955</v>
      </c>
      <c r="AA127" t="s">
        <v>17955</v>
      </c>
      <c r="AB127" t="s">
        <v>17955</v>
      </c>
      <c r="AC127" t="s">
        <v>17955</v>
      </c>
      <c r="AD127" t="s">
        <v>17955</v>
      </c>
      <c r="AE127">
        <v>0</v>
      </c>
      <c r="AF127">
        <v>0</v>
      </c>
      <c r="AG127">
        <v>0</v>
      </c>
      <c r="AH127">
        <v>0</v>
      </c>
      <c r="AI127">
        <v>0</v>
      </c>
      <c r="AJ127">
        <v>0</v>
      </c>
      <c r="AK127">
        <v>0</v>
      </c>
      <c r="AL127">
        <v>2021</v>
      </c>
    </row>
    <row r="128" spans="1:38" x14ac:dyDescent="0.3">
      <c r="A128" t="s">
        <v>274</v>
      </c>
      <c r="B128" t="s">
        <v>1118</v>
      </c>
      <c r="C128" t="s">
        <v>126</v>
      </c>
      <c r="D128" t="s">
        <v>17955</v>
      </c>
      <c r="E128" t="s">
        <v>17955</v>
      </c>
      <c r="F128" t="s">
        <v>17955</v>
      </c>
      <c r="G128" t="s">
        <v>17955</v>
      </c>
      <c r="H128" t="s">
        <v>17955</v>
      </c>
      <c r="I128" t="s">
        <v>17954</v>
      </c>
      <c r="J128" t="s">
        <v>17955</v>
      </c>
      <c r="K128" t="s">
        <v>17955</v>
      </c>
      <c r="L128" t="s">
        <v>17955</v>
      </c>
      <c r="M128">
        <v>0</v>
      </c>
      <c r="N128">
        <v>0</v>
      </c>
      <c r="O128" t="s">
        <v>17955</v>
      </c>
      <c r="P128" s="9" t="s">
        <v>17955</v>
      </c>
      <c r="Q128" s="9" t="s">
        <v>17955</v>
      </c>
      <c r="R128" s="9" t="s">
        <v>17955</v>
      </c>
      <c r="S128" t="s">
        <v>17957</v>
      </c>
      <c r="T128" t="s">
        <v>17957</v>
      </c>
      <c r="U128" t="s">
        <v>17957</v>
      </c>
      <c r="V128" t="s">
        <v>1140</v>
      </c>
      <c r="W128" t="s">
        <v>1140</v>
      </c>
      <c r="X128" t="s">
        <v>1140</v>
      </c>
      <c r="Y128" t="s">
        <v>17957</v>
      </c>
      <c r="Z128" t="s">
        <v>17955</v>
      </c>
      <c r="AA128" t="s">
        <v>17955</v>
      </c>
      <c r="AB128" t="s">
        <v>17955</v>
      </c>
      <c r="AC128" t="s">
        <v>17955</v>
      </c>
      <c r="AD128" t="s">
        <v>17955</v>
      </c>
      <c r="AE128">
        <v>0</v>
      </c>
      <c r="AF128">
        <v>0</v>
      </c>
      <c r="AG128">
        <v>0</v>
      </c>
      <c r="AH128">
        <v>0</v>
      </c>
      <c r="AI128">
        <v>0</v>
      </c>
      <c r="AJ128">
        <v>0</v>
      </c>
      <c r="AK128">
        <v>0</v>
      </c>
      <c r="AL128">
        <v>2021</v>
      </c>
    </row>
    <row r="129" spans="1:38" x14ac:dyDescent="0.3">
      <c r="A129" t="s">
        <v>276</v>
      </c>
      <c r="B129" t="s">
        <v>132</v>
      </c>
      <c r="C129" t="s">
        <v>14</v>
      </c>
      <c r="D129">
        <v>20</v>
      </c>
      <c r="E129">
        <v>0</v>
      </c>
      <c r="F129">
        <v>20</v>
      </c>
      <c r="G129">
        <v>0</v>
      </c>
      <c r="H129">
        <v>1</v>
      </c>
      <c r="I129" t="s">
        <v>17953</v>
      </c>
      <c r="J129">
        <v>0</v>
      </c>
      <c r="K129">
        <v>0</v>
      </c>
      <c r="L129">
        <v>20</v>
      </c>
      <c r="M129">
        <v>0</v>
      </c>
      <c r="N129">
        <v>0</v>
      </c>
      <c r="O129" t="s">
        <v>17955</v>
      </c>
      <c r="P129" s="9" t="s">
        <v>17955</v>
      </c>
      <c r="Q129" s="9" t="s">
        <v>17955</v>
      </c>
      <c r="R129" s="9" t="s">
        <v>17955</v>
      </c>
      <c r="S129" t="s">
        <v>1140</v>
      </c>
      <c r="T129" t="s">
        <v>17957</v>
      </c>
      <c r="U129" t="s">
        <v>17957</v>
      </c>
      <c r="V129" t="s">
        <v>1140</v>
      </c>
      <c r="W129" t="s">
        <v>17957</v>
      </c>
      <c r="X129" t="s">
        <v>1140</v>
      </c>
      <c r="Y129" t="s">
        <v>17957</v>
      </c>
      <c r="Z129">
        <v>0</v>
      </c>
      <c r="AA129">
        <v>0</v>
      </c>
      <c r="AB129">
        <v>14</v>
      </c>
      <c r="AC129">
        <v>6</v>
      </c>
      <c r="AD129">
        <v>0</v>
      </c>
      <c r="AE129">
        <v>20</v>
      </c>
      <c r="AF129">
        <v>7</v>
      </c>
      <c r="AG129">
        <v>2</v>
      </c>
      <c r="AH129">
        <v>0</v>
      </c>
      <c r="AI129">
        <v>2</v>
      </c>
      <c r="AJ129">
        <v>2</v>
      </c>
      <c r="AK129">
        <v>1</v>
      </c>
      <c r="AL129">
        <v>2021</v>
      </c>
    </row>
    <row r="130" spans="1:38" x14ac:dyDescent="0.3">
      <c r="A130" t="s">
        <v>278</v>
      </c>
      <c r="B130" t="s">
        <v>1118</v>
      </c>
      <c r="C130" t="s">
        <v>14</v>
      </c>
      <c r="D130" t="s">
        <v>17955</v>
      </c>
      <c r="E130" t="s">
        <v>17955</v>
      </c>
      <c r="F130" t="s">
        <v>17955</v>
      </c>
      <c r="G130" t="s">
        <v>17955</v>
      </c>
      <c r="H130" t="s">
        <v>17955</v>
      </c>
      <c r="I130" t="s">
        <v>17954</v>
      </c>
      <c r="J130" t="s">
        <v>17955</v>
      </c>
      <c r="K130" t="s">
        <v>17955</v>
      </c>
      <c r="L130" t="s">
        <v>17955</v>
      </c>
      <c r="M130">
        <v>0</v>
      </c>
      <c r="N130">
        <v>0</v>
      </c>
      <c r="O130" t="s">
        <v>17955</v>
      </c>
      <c r="P130" s="9" t="s">
        <v>17955</v>
      </c>
      <c r="Q130" s="9" t="s">
        <v>17955</v>
      </c>
      <c r="R130" s="9" t="s">
        <v>17955</v>
      </c>
      <c r="S130" t="s">
        <v>17957</v>
      </c>
      <c r="T130" t="s">
        <v>17957</v>
      </c>
      <c r="U130" t="s">
        <v>17957</v>
      </c>
      <c r="V130" t="s">
        <v>1140</v>
      </c>
      <c r="W130" t="s">
        <v>1140</v>
      </c>
      <c r="X130" t="s">
        <v>1140</v>
      </c>
      <c r="Y130" t="s">
        <v>17957</v>
      </c>
      <c r="Z130" t="s">
        <v>17955</v>
      </c>
      <c r="AA130" t="s">
        <v>17955</v>
      </c>
      <c r="AB130" t="s">
        <v>17955</v>
      </c>
      <c r="AC130" t="s">
        <v>17955</v>
      </c>
      <c r="AD130" t="s">
        <v>17955</v>
      </c>
      <c r="AE130">
        <v>0</v>
      </c>
      <c r="AF130">
        <v>0</v>
      </c>
      <c r="AG130">
        <v>0</v>
      </c>
      <c r="AH130">
        <v>0</v>
      </c>
      <c r="AI130">
        <v>0</v>
      </c>
      <c r="AJ130">
        <v>0</v>
      </c>
      <c r="AK130">
        <v>0</v>
      </c>
      <c r="AL130">
        <v>2021</v>
      </c>
    </row>
    <row r="131" spans="1:38" x14ac:dyDescent="0.3">
      <c r="A131" t="s">
        <v>280</v>
      </c>
      <c r="B131" t="s">
        <v>132</v>
      </c>
      <c r="C131" t="s">
        <v>126</v>
      </c>
      <c r="D131" t="s">
        <v>17955</v>
      </c>
      <c r="E131" t="s">
        <v>17955</v>
      </c>
      <c r="F131" t="s">
        <v>17955</v>
      </c>
      <c r="G131" t="s">
        <v>17955</v>
      </c>
      <c r="H131" t="s">
        <v>17955</v>
      </c>
      <c r="I131" t="s">
        <v>17954</v>
      </c>
      <c r="J131" t="s">
        <v>17955</v>
      </c>
      <c r="K131" t="s">
        <v>17955</v>
      </c>
      <c r="L131" t="s">
        <v>17955</v>
      </c>
      <c r="M131">
        <v>0</v>
      </c>
      <c r="N131">
        <v>0</v>
      </c>
      <c r="O131" t="s">
        <v>17955</v>
      </c>
      <c r="P131" s="9" t="s">
        <v>17955</v>
      </c>
      <c r="Q131" s="9" t="s">
        <v>17955</v>
      </c>
      <c r="R131" s="9" t="s">
        <v>17955</v>
      </c>
      <c r="S131" t="s">
        <v>17957</v>
      </c>
      <c r="T131" t="s">
        <v>17957</v>
      </c>
      <c r="U131" t="s">
        <v>17957</v>
      </c>
      <c r="V131" t="s">
        <v>1140</v>
      </c>
      <c r="W131" t="s">
        <v>1140</v>
      </c>
      <c r="X131" t="s">
        <v>1140</v>
      </c>
      <c r="Y131" t="s">
        <v>17957</v>
      </c>
      <c r="Z131" t="s">
        <v>17955</v>
      </c>
      <c r="AA131" t="s">
        <v>17955</v>
      </c>
      <c r="AB131" t="s">
        <v>17955</v>
      </c>
      <c r="AC131" t="s">
        <v>17955</v>
      </c>
      <c r="AD131" t="s">
        <v>17955</v>
      </c>
      <c r="AE131">
        <v>0</v>
      </c>
      <c r="AF131">
        <v>0</v>
      </c>
      <c r="AG131">
        <v>0</v>
      </c>
      <c r="AH131">
        <v>0</v>
      </c>
      <c r="AI131">
        <v>0</v>
      </c>
      <c r="AJ131">
        <v>0</v>
      </c>
      <c r="AK131">
        <v>0</v>
      </c>
      <c r="AL131">
        <v>2021</v>
      </c>
    </row>
    <row r="132" spans="1:38" x14ac:dyDescent="0.3">
      <c r="A132" t="s">
        <v>282</v>
      </c>
      <c r="B132" t="s">
        <v>1119</v>
      </c>
      <c r="C132" t="s">
        <v>126</v>
      </c>
      <c r="D132" t="s">
        <v>17955</v>
      </c>
      <c r="E132" t="s">
        <v>17955</v>
      </c>
      <c r="F132" t="s">
        <v>17955</v>
      </c>
      <c r="G132" t="s">
        <v>17955</v>
      </c>
      <c r="H132" t="s">
        <v>17955</v>
      </c>
      <c r="I132" t="s">
        <v>17954</v>
      </c>
      <c r="J132" t="s">
        <v>17955</v>
      </c>
      <c r="K132" t="s">
        <v>17955</v>
      </c>
      <c r="L132" t="s">
        <v>17955</v>
      </c>
      <c r="M132">
        <v>0</v>
      </c>
      <c r="N132">
        <v>0</v>
      </c>
      <c r="O132" t="s">
        <v>17955</v>
      </c>
      <c r="P132" s="9" t="s">
        <v>17955</v>
      </c>
      <c r="Q132" s="9" t="s">
        <v>17955</v>
      </c>
      <c r="R132" s="9" t="s">
        <v>17955</v>
      </c>
      <c r="S132" t="s">
        <v>17957</v>
      </c>
      <c r="T132" t="s">
        <v>17957</v>
      </c>
      <c r="U132" t="s">
        <v>17957</v>
      </c>
      <c r="V132" t="s">
        <v>1140</v>
      </c>
      <c r="W132" t="s">
        <v>1140</v>
      </c>
      <c r="X132" t="s">
        <v>1140</v>
      </c>
      <c r="Y132" t="s">
        <v>17957</v>
      </c>
      <c r="Z132" t="s">
        <v>17955</v>
      </c>
      <c r="AA132" t="s">
        <v>17955</v>
      </c>
      <c r="AB132" t="s">
        <v>17955</v>
      </c>
      <c r="AC132" t="s">
        <v>17955</v>
      </c>
      <c r="AD132" t="s">
        <v>17955</v>
      </c>
      <c r="AE132">
        <v>0</v>
      </c>
      <c r="AF132">
        <v>0</v>
      </c>
      <c r="AG132">
        <v>0</v>
      </c>
      <c r="AH132">
        <v>0</v>
      </c>
      <c r="AI132">
        <v>0</v>
      </c>
      <c r="AJ132">
        <v>0</v>
      </c>
      <c r="AK132">
        <v>0</v>
      </c>
      <c r="AL132">
        <v>2021</v>
      </c>
    </row>
    <row r="133" spans="1:38" x14ac:dyDescent="0.3">
      <c r="A133" t="s">
        <v>284</v>
      </c>
      <c r="B133" t="s">
        <v>1118</v>
      </c>
      <c r="C133" t="s">
        <v>126</v>
      </c>
      <c r="D133" t="s">
        <v>17955</v>
      </c>
      <c r="E133" t="s">
        <v>17955</v>
      </c>
      <c r="F133" t="s">
        <v>17955</v>
      </c>
      <c r="G133" t="s">
        <v>17955</v>
      </c>
      <c r="H133" t="s">
        <v>17955</v>
      </c>
      <c r="I133" t="s">
        <v>17954</v>
      </c>
      <c r="J133" t="s">
        <v>17955</v>
      </c>
      <c r="K133" t="s">
        <v>17955</v>
      </c>
      <c r="L133" t="s">
        <v>17955</v>
      </c>
      <c r="M133">
        <v>0</v>
      </c>
      <c r="N133">
        <v>0</v>
      </c>
      <c r="O133" t="s">
        <v>17955</v>
      </c>
      <c r="P133" s="9" t="s">
        <v>17955</v>
      </c>
      <c r="Q133" s="9" t="s">
        <v>17955</v>
      </c>
      <c r="R133" s="9" t="s">
        <v>17955</v>
      </c>
      <c r="S133" t="s">
        <v>17957</v>
      </c>
      <c r="T133" t="s">
        <v>17957</v>
      </c>
      <c r="U133" t="s">
        <v>17957</v>
      </c>
      <c r="V133" t="s">
        <v>1140</v>
      </c>
      <c r="W133" t="s">
        <v>1140</v>
      </c>
      <c r="X133" t="s">
        <v>1140</v>
      </c>
      <c r="Y133" t="s">
        <v>17957</v>
      </c>
      <c r="Z133" t="s">
        <v>17955</v>
      </c>
      <c r="AA133" t="s">
        <v>17955</v>
      </c>
      <c r="AB133" t="s">
        <v>17955</v>
      </c>
      <c r="AC133" t="s">
        <v>17955</v>
      </c>
      <c r="AD133" t="s">
        <v>17955</v>
      </c>
      <c r="AE133">
        <v>0</v>
      </c>
      <c r="AF133">
        <v>0</v>
      </c>
      <c r="AG133">
        <v>0</v>
      </c>
      <c r="AH133">
        <v>0</v>
      </c>
      <c r="AI133">
        <v>0</v>
      </c>
      <c r="AJ133">
        <v>0</v>
      </c>
      <c r="AK133">
        <v>0</v>
      </c>
      <c r="AL133">
        <v>2021</v>
      </c>
    </row>
    <row r="134" spans="1:38" x14ac:dyDescent="0.3">
      <c r="A134" t="s">
        <v>286</v>
      </c>
      <c r="B134" t="s">
        <v>1118</v>
      </c>
      <c r="C134" t="s">
        <v>126</v>
      </c>
      <c r="D134" t="s">
        <v>17955</v>
      </c>
      <c r="E134" t="s">
        <v>17955</v>
      </c>
      <c r="F134" t="s">
        <v>17955</v>
      </c>
      <c r="G134" t="s">
        <v>17955</v>
      </c>
      <c r="H134" t="s">
        <v>17955</v>
      </c>
      <c r="I134" t="s">
        <v>17954</v>
      </c>
      <c r="J134" t="s">
        <v>17955</v>
      </c>
      <c r="K134" t="s">
        <v>17955</v>
      </c>
      <c r="L134" t="s">
        <v>17955</v>
      </c>
      <c r="M134">
        <v>0</v>
      </c>
      <c r="N134">
        <v>0</v>
      </c>
      <c r="O134" t="s">
        <v>17955</v>
      </c>
      <c r="P134" s="9" t="s">
        <v>17955</v>
      </c>
      <c r="Q134" s="9" t="s">
        <v>17955</v>
      </c>
      <c r="R134" s="9" t="s">
        <v>17955</v>
      </c>
      <c r="S134" t="s">
        <v>17957</v>
      </c>
      <c r="T134" t="s">
        <v>17957</v>
      </c>
      <c r="U134" t="s">
        <v>17957</v>
      </c>
      <c r="V134" t="s">
        <v>1140</v>
      </c>
      <c r="W134" t="s">
        <v>1140</v>
      </c>
      <c r="X134" t="s">
        <v>1140</v>
      </c>
      <c r="Y134" t="s">
        <v>17957</v>
      </c>
      <c r="Z134" t="s">
        <v>17955</v>
      </c>
      <c r="AA134" t="s">
        <v>17955</v>
      </c>
      <c r="AB134" t="s">
        <v>17955</v>
      </c>
      <c r="AC134" t="s">
        <v>17955</v>
      </c>
      <c r="AD134" t="s">
        <v>17955</v>
      </c>
      <c r="AE134">
        <v>0</v>
      </c>
      <c r="AF134">
        <v>0</v>
      </c>
      <c r="AG134">
        <v>0</v>
      </c>
      <c r="AH134">
        <v>0</v>
      </c>
      <c r="AI134">
        <v>0</v>
      </c>
      <c r="AJ134">
        <v>0</v>
      </c>
      <c r="AK134">
        <v>0</v>
      </c>
      <c r="AL134">
        <v>2021</v>
      </c>
    </row>
    <row r="135" spans="1:38" x14ac:dyDescent="0.3">
      <c r="A135" t="s">
        <v>288</v>
      </c>
      <c r="B135" t="s">
        <v>1118</v>
      </c>
      <c r="C135" t="s">
        <v>126</v>
      </c>
      <c r="D135" t="s">
        <v>17955</v>
      </c>
      <c r="E135" t="s">
        <v>17955</v>
      </c>
      <c r="F135" t="s">
        <v>17955</v>
      </c>
      <c r="G135" t="s">
        <v>17955</v>
      </c>
      <c r="H135" t="s">
        <v>17955</v>
      </c>
      <c r="I135" t="s">
        <v>17954</v>
      </c>
      <c r="J135" t="s">
        <v>17955</v>
      </c>
      <c r="K135" t="s">
        <v>17955</v>
      </c>
      <c r="L135" t="s">
        <v>17955</v>
      </c>
      <c r="M135">
        <v>0</v>
      </c>
      <c r="N135">
        <v>0</v>
      </c>
      <c r="O135" t="s">
        <v>17955</v>
      </c>
      <c r="P135" s="9" t="s">
        <v>17955</v>
      </c>
      <c r="Q135" s="9" t="s">
        <v>17955</v>
      </c>
      <c r="R135" s="9" t="s">
        <v>17955</v>
      </c>
      <c r="S135" t="s">
        <v>17957</v>
      </c>
      <c r="T135" t="s">
        <v>17957</v>
      </c>
      <c r="U135" t="s">
        <v>17957</v>
      </c>
      <c r="V135" t="s">
        <v>1140</v>
      </c>
      <c r="W135" t="s">
        <v>1140</v>
      </c>
      <c r="X135" t="s">
        <v>1140</v>
      </c>
      <c r="Y135" t="s">
        <v>17957</v>
      </c>
      <c r="Z135" t="s">
        <v>17955</v>
      </c>
      <c r="AA135" t="s">
        <v>17955</v>
      </c>
      <c r="AB135" t="s">
        <v>17955</v>
      </c>
      <c r="AC135" t="s">
        <v>17955</v>
      </c>
      <c r="AD135" t="s">
        <v>17955</v>
      </c>
      <c r="AE135">
        <v>0</v>
      </c>
      <c r="AF135">
        <v>0</v>
      </c>
      <c r="AG135">
        <v>0</v>
      </c>
      <c r="AH135">
        <v>0</v>
      </c>
      <c r="AI135">
        <v>0</v>
      </c>
      <c r="AJ135">
        <v>0</v>
      </c>
      <c r="AK135">
        <v>0</v>
      </c>
      <c r="AL135">
        <v>2021</v>
      </c>
    </row>
    <row r="136" spans="1:38" x14ac:dyDescent="0.3">
      <c r="A136" t="s">
        <v>290</v>
      </c>
      <c r="B136" t="s">
        <v>1118</v>
      </c>
      <c r="C136" t="s">
        <v>14</v>
      </c>
      <c r="D136" t="s">
        <v>17955</v>
      </c>
      <c r="E136" t="s">
        <v>17955</v>
      </c>
      <c r="F136" t="s">
        <v>17955</v>
      </c>
      <c r="G136" t="s">
        <v>17955</v>
      </c>
      <c r="H136" t="s">
        <v>17955</v>
      </c>
      <c r="I136" t="s">
        <v>17954</v>
      </c>
      <c r="J136" t="s">
        <v>17955</v>
      </c>
      <c r="K136" t="s">
        <v>17955</v>
      </c>
      <c r="L136" t="s">
        <v>17955</v>
      </c>
      <c r="M136">
        <v>0</v>
      </c>
      <c r="N136">
        <v>0</v>
      </c>
      <c r="O136" t="s">
        <v>17955</v>
      </c>
      <c r="P136" s="9" t="s">
        <v>17955</v>
      </c>
      <c r="Q136" s="9" t="s">
        <v>17955</v>
      </c>
      <c r="R136" s="9" t="s">
        <v>17955</v>
      </c>
      <c r="S136" t="s">
        <v>17957</v>
      </c>
      <c r="T136" t="s">
        <v>17957</v>
      </c>
      <c r="U136" t="s">
        <v>17957</v>
      </c>
      <c r="V136" t="s">
        <v>1140</v>
      </c>
      <c r="W136" t="s">
        <v>1140</v>
      </c>
      <c r="X136" t="s">
        <v>1140</v>
      </c>
      <c r="Y136" t="s">
        <v>17957</v>
      </c>
      <c r="Z136" t="s">
        <v>17955</v>
      </c>
      <c r="AA136" t="s">
        <v>17955</v>
      </c>
      <c r="AB136" t="s">
        <v>17955</v>
      </c>
      <c r="AC136" t="s">
        <v>17955</v>
      </c>
      <c r="AD136" t="s">
        <v>17955</v>
      </c>
      <c r="AE136">
        <v>0</v>
      </c>
      <c r="AF136">
        <v>0</v>
      </c>
      <c r="AG136">
        <v>0</v>
      </c>
      <c r="AH136">
        <v>0</v>
      </c>
      <c r="AI136">
        <v>0</v>
      </c>
      <c r="AJ136">
        <v>0</v>
      </c>
      <c r="AK136">
        <v>0</v>
      </c>
      <c r="AL136">
        <v>2021</v>
      </c>
    </row>
    <row r="137" spans="1:38" x14ac:dyDescent="0.3">
      <c r="A137" t="s">
        <v>292</v>
      </c>
      <c r="B137" t="s">
        <v>194</v>
      </c>
      <c r="C137" t="s">
        <v>126</v>
      </c>
      <c r="D137">
        <v>10</v>
      </c>
      <c r="E137">
        <v>0</v>
      </c>
      <c r="F137">
        <v>10</v>
      </c>
      <c r="G137">
        <v>0</v>
      </c>
      <c r="H137">
        <v>1</v>
      </c>
      <c r="I137" t="s">
        <v>17953</v>
      </c>
      <c r="J137">
        <v>0</v>
      </c>
      <c r="K137">
        <v>0</v>
      </c>
      <c r="L137">
        <v>10</v>
      </c>
      <c r="M137">
        <v>0</v>
      </c>
      <c r="N137">
        <v>0</v>
      </c>
      <c r="O137" t="s">
        <v>17955</v>
      </c>
      <c r="P137" s="9" t="s">
        <v>17955</v>
      </c>
      <c r="Q137" s="9" t="s">
        <v>17955</v>
      </c>
      <c r="R137" s="9" t="s">
        <v>17955</v>
      </c>
      <c r="S137" t="s">
        <v>1140</v>
      </c>
      <c r="T137" t="s">
        <v>17957</v>
      </c>
      <c r="U137" t="s">
        <v>17957</v>
      </c>
      <c r="V137" t="s">
        <v>1140</v>
      </c>
      <c r="W137" t="s">
        <v>17957</v>
      </c>
      <c r="X137" t="s">
        <v>1140</v>
      </c>
      <c r="Y137" t="s">
        <v>17957</v>
      </c>
      <c r="Z137">
        <v>0</v>
      </c>
      <c r="AA137">
        <v>0</v>
      </c>
      <c r="AB137">
        <v>1</v>
      </c>
      <c r="AC137">
        <v>3</v>
      </c>
      <c r="AD137">
        <v>2</v>
      </c>
      <c r="AE137">
        <v>6</v>
      </c>
      <c r="AF137">
        <v>3</v>
      </c>
      <c r="AG137">
        <v>1</v>
      </c>
      <c r="AH137">
        <v>0</v>
      </c>
      <c r="AI137">
        <v>1</v>
      </c>
      <c r="AJ137">
        <v>1</v>
      </c>
      <c r="AK137">
        <v>0</v>
      </c>
      <c r="AL137">
        <v>2021</v>
      </c>
    </row>
    <row r="138" spans="1:38" x14ac:dyDescent="0.3">
      <c r="A138" t="s">
        <v>294</v>
      </c>
      <c r="B138" t="s">
        <v>175</v>
      </c>
      <c r="C138" t="s">
        <v>126</v>
      </c>
      <c r="D138" t="s">
        <v>17955</v>
      </c>
      <c r="E138" t="s">
        <v>17955</v>
      </c>
      <c r="F138" t="s">
        <v>17955</v>
      </c>
      <c r="G138" t="s">
        <v>17955</v>
      </c>
      <c r="H138" t="s">
        <v>17955</v>
      </c>
      <c r="I138" t="s">
        <v>17954</v>
      </c>
      <c r="J138" t="s">
        <v>17955</v>
      </c>
      <c r="K138" t="s">
        <v>17955</v>
      </c>
      <c r="L138" t="s">
        <v>17955</v>
      </c>
      <c r="M138">
        <v>0</v>
      </c>
      <c r="N138">
        <v>0</v>
      </c>
      <c r="O138" t="s">
        <v>17955</v>
      </c>
      <c r="P138" s="9" t="s">
        <v>17955</v>
      </c>
      <c r="Q138" s="9" t="s">
        <v>17955</v>
      </c>
      <c r="R138" s="9" t="s">
        <v>17955</v>
      </c>
      <c r="S138" t="s">
        <v>17957</v>
      </c>
      <c r="T138" t="s">
        <v>17957</v>
      </c>
      <c r="U138" t="s">
        <v>17957</v>
      </c>
      <c r="V138" t="s">
        <v>1140</v>
      </c>
      <c r="W138" t="s">
        <v>1140</v>
      </c>
      <c r="X138" t="s">
        <v>1140</v>
      </c>
      <c r="Y138" t="s">
        <v>17957</v>
      </c>
      <c r="Z138" t="s">
        <v>17955</v>
      </c>
      <c r="AA138" t="s">
        <v>17955</v>
      </c>
      <c r="AB138" t="s">
        <v>17955</v>
      </c>
      <c r="AC138" t="s">
        <v>17955</v>
      </c>
      <c r="AD138" t="s">
        <v>17955</v>
      </c>
      <c r="AE138">
        <v>0</v>
      </c>
      <c r="AF138">
        <v>0</v>
      </c>
      <c r="AG138">
        <v>0</v>
      </c>
      <c r="AH138">
        <v>0</v>
      </c>
      <c r="AI138">
        <v>0</v>
      </c>
      <c r="AJ138">
        <v>0</v>
      </c>
      <c r="AK138">
        <v>0</v>
      </c>
      <c r="AL138">
        <v>2021</v>
      </c>
    </row>
    <row r="139" spans="1:38" x14ac:dyDescent="0.3">
      <c r="A139" t="s">
        <v>296</v>
      </c>
      <c r="B139" t="s">
        <v>199</v>
      </c>
      <c r="C139" t="s">
        <v>14</v>
      </c>
      <c r="D139">
        <v>200</v>
      </c>
      <c r="E139">
        <v>15</v>
      </c>
      <c r="F139">
        <v>185</v>
      </c>
      <c r="G139">
        <v>7.4999999999999997E-2</v>
      </c>
      <c r="H139">
        <v>0.92500000000000004</v>
      </c>
      <c r="I139" t="s">
        <v>1191</v>
      </c>
      <c r="J139">
        <v>20</v>
      </c>
      <c r="K139">
        <v>200</v>
      </c>
      <c r="L139" t="s">
        <v>17955</v>
      </c>
      <c r="M139">
        <v>20</v>
      </c>
      <c r="N139">
        <v>5</v>
      </c>
      <c r="O139" t="s">
        <v>17955</v>
      </c>
      <c r="P139" s="9">
        <v>1.3333333333333333</v>
      </c>
      <c r="Q139" s="9">
        <v>2.5000000000000001E-2</v>
      </c>
      <c r="R139" s="9" t="s">
        <v>17955</v>
      </c>
      <c r="S139" t="s">
        <v>17957</v>
      </c>
      <c r="T139" t="s">
        <v>17957</v>
      </c>
      <c r="U139" t="s">
        <v>17957</v>
      </c>
      <c r="V139" t="s">
        <v>1140</v>
      </c>
      <c r="W139" t="s">
        <v>1140</v>
      </c>
      <c r="X139" t="s">
        <v>1140</v>
      </c>
      <c r="Z139">
        <v>5</v>
      </c>
      <c r="AA139">
        <v>1</v>
      </c>
      <c r="AB139">
        <v>2</v>
      </c>
      <c r="AC139">
        <v>0</v>
      </c>
      <c r="AD139">
        <v>0</v>
      </c>
      <c r="AE139">
        <v>8</v>
      </c>
      <c r="AF139">
        <v>3</v>
      </c>
      <c r="AG139">
        <v>0</v>
      </c>
      <c r="AH139">
        <v>0</v>
      </c>
      <c r="AI139">
        <v>3</v>
      </c>
      <c r="AJ139">
        <v>0</v>
      </c>
      <c r="AK139">
        <v>0</v>
      </c>
      <c r="AL139">
        <v>2021</v>
      </c>
    </row>
    <row r="140" spans="1:38" x14ac:dyDescent="0.3">
      <c r="A140" t="s">
        <v>298</v>
      </c>
      <c r="B140" t="s">
        <v>20</v>
      </c>
      <c r="C140" t="s">
        <v>14</v>
      </c>
      <c r="D140" t="s">
        <v>17955</v>
      </c>
      <c r="E140" t="s">
        <v>17955</v>
      </c>
      <c r="F140" t="s">
        <v>17955</v>
      </c>
      <c r="G140" t="s">
        <v>17955</v>
      </c>
      <c r="H140" t="s">
        <v>17955</v>
      </c>
      <c r="I140" t="s">
        <v>17954</v>
      </c>
      <c r="J140" t="s">
        <v>17955</v>
      </c>
      <c r="K140" t="s">
        <v>17955</v>
      </c>
      <c r="L140" t="s">
        <v>17955</v>
      </c>
      <c r="M140">
        <v>0</v>
      </c>
      <c r="N140">
        <v>0</v>
      </c>
      <c r="O140" t="s">
        <v>17955</v>
      </c>
      <c r="P140" s="9" t="s">
        <v>17955</v>
      </c>
      <c r="Q140" s="9" t="s">
        <v>17955</v>
      </c>
      <c r="R140" s="9" t="s">
        <v>17955</v>
      </c>
      <c r="S140" t="s">
        <v>17957</v>
      </c>
      <c r="T140" t="s">
        <v>17957</v>
      </c>
      <c r="U140" t="s">
        <v>17957</v>
      </c>
      <c r="V140" t="s">
        <v>1140</v>
      </c>
      <c r="W140" t="s">
        <v>1140</v>
      </c>
      <c r="X140" t="s">
        <v>1140</v>
      </c>
      <c r="Z140" t="s">
        <v>17955</v>
      </c>
      <c r="AA140" t="s">
        <v>17955</v>
      </c>
      <c r="AB140" t="s">
        <v>17955</v>
      </c>
      <c r="AC140" t="s">
        <v>17955</v>
      </c>
      <c r="AD140" t="s">
        <v>17955</v>
      </c>
      <c r="AE140">
        <v>0</v>
      </c>
      <c r="AF140">
        <v>0</v>
      </c>
      <c r="AG140">
        <v>0</v>
      </c>
      <c r="AH140">
        <v>0</v>
      </c>
      <c r="AI140">
        <v>0</v>
      </c>
      <c r="AJ140">
        <v>0</v>
      </c>
      <c r="AK140">
        <v>0</v>
      </c>
      <c r="AL140">
        <v>2021</v>
      </c>
    </row>
    <row r="141" spans="1:38" x14ac:dyDescent="0.3">
      <c r="A141" t="s">
        <v>13</v>
      </c>
      <c r="B141" t="s">
        <v>17</v>
      </c>
      <c r="C141" t="s">
        <v>14</v>
      </c>
      <c r="D141">
        <v>85</v>
      </c>
      <c r="E141">
        <v>10</v>
      </c>
      <c r="F141">
        <v>75</v>
      </c>
      <c r="G141">
        <v>0.11764705882352941</v>
      </c>
      <c r="H141">
        <v>0.88235294117647056</v>
      </c>
      <c r="I141" t="s">
        <v>1197</v>
      </c>
      <c r="J141">
        <v>20</v>
      </c>
      <c r="K141">
        <v>10</v>
      </c>
      <c r="L141">
        <v>55</v>
      </c>
      <c r="M141">
        <v>8</v>
      </c>
      <c r="N141">
        <v>12</v>
      </c>
      <c r="O141" t="s">
        <v>17955</v>
      </c>
      <c r="P141" s="9">
        <v>0.8</v>
      </c>
      <c r="Q141" s="9">
        <v>1.2</v>
      </c>
      <c r="R141" s="9" t="s">
        <v>17955</v>
      </c>
      <c r="S141" t="s">
        <v>1140</v>
      </c>
      <c r="T141" t="s">
        <v>17957</v>
      </c>
      <c r="U141" t="s">
        <v>17957</v>
      </c>
      <c r="V141" t="s">
        <v>17957</v>
      </c>
      <c r="W141" t="s">
        <v>17957</v>
      </c>
      <c r="X141" t="s">
        <v>1140</v>
      </c>
      <c r="Y141" t="s">
        <v>17957</v>
      </c>
      <c r="Z141">
        <v>0</v>
      </c>
      <c r="AA141">
        <v>0</v>
      </c>
      <c r="AB141">
        <v>0</v>
      </c>
      <c r="AC141">
        <v>0</v>
      </c>
      <c r="AD141">
        <v>0</v>
      </c>
      <c r="AE141">
        <v>0</v>
      </c>
      <c r="AF141">
        <v>7</v>
      </c>
      <c r="AL141">
        <v>2022</v>
      </c>
    </row>
    <row r="142" spans="1:38" x14ac:dyDescent="0.3">
      <c r="A142" t="s">
        <v>18</v>
      </c>
      <c r="B142" t="s">
        <v>20</v>
      </c>
      <c r="C142" t="s">
        <v>14</v>
      </c>
      <c r="D142">
        <v>99</v>
      </c>
      <c r="E142">
        <v>10</v>
      </c>
      <c r="F142">
        <v>89</v>
      </c>
      <c r="G142">
        <v>0.10101010101010101</v>
      </c>
      <c r="H142">
        <v>0.89898989898989901</v>
      </c>
      <c r="I142" t="s">
        <v>1197</v>
      </c>
      <c r="J142">
        <v>40</v>
      </c>
      <c r="K142">
        <v>1</v>
      </c>
      <c r="L142">
        <v>58</v>
      </c>
      <c r="M142">
        <v>1</v>
      </c>
      <c r="N142">
        <v>0</v>
      </c>
      <c r="O142">
        <v>9</v>
      </c>
      <c r="P142" s="9">
        <v>0.1</v>
      </c>
      <c r="Q142" s="9">
        <v>0</v>
      </c>
      <c r="R142" s="9">
        <v>0.15517241379310345</v>
      </c>
      <c r="S142" t="s">
        <v>1140</v>
      </c>
      <c r="T142" t="s">
        <v>1140</v>
      </c>
      <c r="U142" t="s">
        <v>1140</v>
      </c>
      <c r="V142" t="s">
        <v>1140</v>
      </c>
      <c r="W142" t="s">
        <v>1140</v>
      </c>
      <c r="X142" t="s">
        <v>1140</v>
      </c>
      <c r="Y142" t="s">
        <v>1140</v>
      </c>
      <c r="Z142">
        <v>14</v>
      </c>
      <c r="AA142">
        <v>16</v>
      </c>
      <c r="AB142">
        <v>18</v>
      </c>
      <c r="AC142">
        <v>7</v>
      </c>
      <c r="AD142">
        <v>13</v>
      </c>
      <c r="AE142">
        <v>68</v>
      </c>
      <c r="AF142">
        <v>0</v>
      </c>
      <c r="AL142">
        <v>2022</v>
      </c>
    </row>
    <row r="143" spans="1:38" x14ac:dyDescent="0.3">
      <c r="A143" t="s">
        <v>21</v>
      </c>
      <c r="B143" t="s">
        <v>20</v>
      </c>
      <c r="C143" t="s">
        <v>14</v>
      </c>
      <c r="D143">
        <v>5</v>
      </c>
      <c r="E143">
        <v>5</v>
      </c>
      <c r="F143">
        <v>0</v>
      </c>
      <c r="G143">
        <v>1</v>
      </c>
      <c r="H143">
        <v>0</v>
      </c>
      <c r="I143" t="s">
        <v>17953</v>
      </c>
      <c r="J143">
        <v>5</v>
      </c>
      <c r="K143">
        <v>5</v>
      </c>
      <c r="L143" t="s">
        <v>17955</v>
      </c>
      <c r="M143">
        <v>5</v>
      </c>
      <c r="N143">
        <v>5</v>
      </c>
      <c r="O143" t="s">
        <v>17955</v>
      </c>
      <c r="P143" s="9">
        <v>1</v>
      </c>
      <c r="Q143" s="9">
        <v>1</v>
      </c>
      <c r="R143" s="9" t="s">
        <v>17955</v>
      </c>
      <c r="S143" t="s">
        <v>17957</v>
      </c>
      <c r="T143" t="s">
        <v>17957</v>
      </c>
      <c r="U143" t="s">
        <v>17957</v>
      </c>
      <c r="V143" t="s">
        <v>1140</v>
      </c>
      <c r="W143" t="s">
        <v>1140</v>
      </c>
      <c r="X143" t="s">
        <v>1140</v>
      </c>
      <c r="Y143" t="s">
        <v>17957</v>
      </c>
      <c r="Z143" t="s">
        <v>17955</v>
      </c>
      <c r="AA143" t="s">
        <v>17955</v>
      </c>
      <c r="AB143" t="s">
        <v>17955</v>
      </c>
      <c r="AC143" t="s">
        <v>17955</v>
      </c>
      <c r="AD143" t="s">
        <v>17955</v>
      </c>
      <c r="AE143">
        <v>0</v>
      </c>
      <c r="AF143">
        <v>0</v>
      </c>
      <c r="AL143">
        <v>2022</v>
      </c>
    </row>
    <row r="144" spans="1:38" x14ac:dyDescent="0.3">
      <c r="A144" t="s">
        <v>23</v>
      </c>
      <c r="B144" t="s">
        <v>20</v>
      </c>
      <c r="C144" t="s">
        <v>14</v>
      </c>
      <c r="D144">
        <v>72</v>
      </c>
      <c r="E144">
        <v>10</v>
      </c>
      <c r="F144">
        <v>62</v>
      </c>
      <c r="G144">
        <v>0.1388888888888889</v>
      </c>
      <c r="H144">
        <v>0.86111111111111116</v>
      </c>
      <c r="I144" t="s">
        <v>1197</v>
      </c>
      <c r="J144">
        <v>29</v>
      </c>
      <c r="K144">
        <v>2</v>
      </c>
      <c r="L144">
        <v>41</v>
      </c>
      <c r="M144">
        <v>0</v>
      </c>
      <c r="N144">
        <v>2</v>
      </c>
      <c r="O144">
        <v>8</v>
      </c>
      <c r="P144" s="9">
        <v>0</v>
      </c>
      <c r="Q144" s="9">
        <v>1</v>
      </c>
      <c r="R144" s="9">
        <v>0.1951219512195122</v>
      </c>
      <c r="S144" t="s">
        <v>1140</v>
      </c>
      <c r="T144" t="s">
        <v>1140</v>
      </c>
      <c r="U144" t="s">
        <v>1140</v>
      </c>
      <c r="V144" t="s">
        <v>1140</v>
      </c>
      <c r="W144" t="s">
        <v>1140</v>
      </c>
      <c r="X144" t="s">
        <v>1140</v>
      </c>
      <c r="Y144" t="s">
        <v>1140</v>
      </c>
      <c r="Z144">
        <v>1</v>
      </c>
      <c r="AA144">
        <v>1</v>
      </c>
      <c r="AB144">
        <v>0</v>
      </c>
      <c r="AC144">
        <v>9</v>
      </c>
      <c r="AD144">
        <v>24</v>
      </c>
      <c r="AE144">
        <v>35</v>
      </c>
      <c r="AF144">
        <v>14</v>
      </c>
      <c r="AL144">
        <v>2022</v>
      </c>
    </row>
    <row r="145" spans="1:38" x14ac:dyDescent="0.3">
      <c r="A145" t="s">
        <v>25</v>
      </c>
      <c r="B145" t="s">
        <v>20</v>
      </c>
      <c r="C145" t="s">
        <v>14</v>
      </c>
      <c r="D145">
        <v>240</v>
      </c>
      <c r="E145">
        <v>75</v>
      </c>
      <c r="F145">
        <v>165</v>
      </c>
      <c r="G145">
        <v>0.3125</v>
      </c>
      <c r="H145">
        <v>0.6875</v>
      </c>
      <c r="I145" t="s">
        <v>1191</v>
      </c>
      <c r="J145">
        <v>75</v>
      </c>
      <c r="K145">
        <v>5</v>
      </c>
      <c r="L145">
        <v>160</v>
      </c>
      <c r="M145">
        <v>0</v>
      </c>
      <c r="N145">
        <v>1</v>
      </c>
      <c r="O145">
        <v>74</v>
      </c>
      <c r="P145" s="9">
        <v>0</v>
      </c>
      <c r="Q145" s="9">
        <v>0.2</v>
      </c>
      <c r="R145" s="9">
        <v>0.46250000000000002</v>
      </c>
      <c r="S145" t="s">
        <v>1140</v>
      </c>
      <c r="T145" t="s">
        <v>1140</v>
      </c>
      <c r="U145" t="s">
        <v>1140</v>
      </c>
      <c r="V145" t="s">
        <v>1140</v>
      </c>
      <c r="W145" t="s">
        <v>1140</v>
      </c>
      <c r="X145" t="s">
        <v>1140</v>
      </c>
      <c r="Y145" t="s">
        <v>1140</v>
      </c>
      <c r="Z145">
        <v>0</v>
      </c>
      <c r="AA145">
        <v>0</v>
      </c>
      <c r="AB145">
        <v>0</v>
      </c>
      <c r="AC145">
        <v>0</v>
      </c>
      <c r="AD145">
        <v>0</v>
      </c>
      <c r="AE145">
        <v>0</v>
      </c>
      <c r="AF145">
        <v>28</v>
      </c>
      <c r="AL145">
        <v>2022</v>
      </c>
    </row>
    <row r="146" spans="1:38" x14ac:dyDescent="0.3">
      <c r="A146" t="s">
        <v>27</v>
      </c>
      <c r="B146" t="s">
        <v>20</v>
      </c>
      <c r="C146" t="s">
        <v>14</v>
      </c>
      <c r="D146">
        <v>29</v>
      </c>
      <c r="E146">
        <v>5</v>
      </c>
      <c r="F146">
        <v>24</v>
      </c>
      <c r="G146">
        <v>0.17241379310344829</v>
      </c>
      <c r="H146">
        <v>0.82758620689655171</v>
      </c>
      <c r="I146" t="s">
        <v>17953</v>
      </c>
      <c r="J146">
        <v>10</v>
      </c>
      <c r="K146">
        <v>6</v>
      </c>
      <c r="L146">
        <v>13</v>
      </c>
      <c r="M146">
        <v>0</v>
      </c>
      <c r="N146">
        <v>12</v>
      </c>
      <c r="O146" t="s">
        <v>17955</v>
      </c>
      <c r="P146" s="9">
        <v>0</v>
      </c>
      <c r="Q146" s="9">
        <v>2</v>
      </c>
      <c r="R146" s="9" t="s">
        <v>17955</v>
      </c>
      <c r="S146" t="s">
        <v>1140</v>
      </c>
      <c r="T146" t="s">
        <v>17957</v>
      </c>
      <c r="U146" t="s">
        <v>17957</v>
      </c>
      <c r="V146" t="s">
        <v>17957</v>
      </c>
      <c r="W146" t="s">
        <v>17957</v>
      </c>
      <c r="X146" t="s">
        <v>1140</v>
      </c>
      <c r="Y146" t="s">
        <v>17957</v>
      </c>
      <c r="Z146">
        <v>1</v>
      </c>
      <c r="AA146">
        <v>0</v>
      </c>
      <c r="AB146">
        <v>1</v>
      </c>
      <c r="AC146">
        <v>3</v>
      </c>
      <c r="AD146">
        <v>15</v>
      </c>
      <c r="AE146">
        <v>20</v>
      </c>
      <c r="AF146">
        <v>6</v>
      </c>
      <c r="AL146">
        <v>2022</v>
      </c>
    </row>
    <row r="147" spans="1:38" x14ac:dyDescent="0.3">
      <c r="A147" t="s">
        <v>29</v>
      </c>
      <c r="B147" t="s">
        <v>20</v>
      </c>
      <c r="C147" t="s">
        <v>14</v>
      </c>
      <c r="D147">
        <v>170</v>
      </c>
      <c r="E147">
        <v>50</v>
      </c>
      <c r="F147">
        <v>120</v>
      </c>
      <c r="G147">
        <v>0.29411764705882354</v>
      </c>
      <c r="H147">
        <v>0.70588235294117641</v>
      </c>
      <c r="I147" t="s">
        <v>1191</v>
      </c>
      <c r="J147">
        <v>35</v>
      </c>
      <c r="K147">
        <v>4</v>
      </c>
      <c r="L147">
        <v>131</v>
      </c>
      <c r="M147">
        <v>3</v>
      </c>
      <c r="N147">
        <v>7</v>
      </c>
      <c r="O147">
        <v>40</v>
      </c>
      <c r="P147" s="9">
        <v>0.06</v>
      </c>
      <c r="Q147" s="9">
        <v>1.75</v>
      </c>
      <c r="R147" s="9">
        <v>0.30534351145038169</v>
      </c>
      <c r="S147" t="s">
        <v>1140</v>
      </c>
      <c r="T147" t="s">
        <v>1140</v>
      </c>
      <c r="U147" t="s">
        <v>1140</v>
      </c>
      <c r="V147" t="s">
        <v>17957</v>
      </c>
      <c r="W147" t="s">
        <v>1140</v>
      </c>
      <c r="X147" t="s">
        <v>1140</v>
      </c>
      <c r="Y147" t="s">
        <v>17957</v>
      </c>
      <c r="Z147">
        <v>0</v>
      </c>
      <c r="AA147">
        <v>0</v>
      </c>
      <c r="AB147">
        <v>0</v>
      </c>
      <c r="AC147">
        <v>0</v>
      </c>
      <c r="AD147">
        <v>0</v>
      </c>
      <c r="AE147">
        <v>0</v>
      </c>
      <c r="AF147">
        <v>18</v>
      </c>
      <c r="AL147">
        <v>2022</v>
      </c>
    </row>
    <row r="148" spans="1:38" x14ac:dyDescent="0.3">
      <c r="A148" t="s">
        <v>31</v>
      </c>
      <c r="B148" t="s">
        <v>20</v>
      </c>
      <c r="C148" t="s">
        <v>14</v>
      </c>
      <c r="D148">
        <v>85</v>
      </c>
      <c r="E148">
        <v>10</v>
      </c>
      <c r="F148">
        <v>75</v>
      </c>
      <c r="G148">
        <v>0.11764705882352941</v>
      </c>
      <c r="H148">
        <v>0.88235294117647056</v>
      </c>
      <c r="I148" t="s">
        <v>1197</v>
      </c>
      <c r="J148">
        <v>32</v>
      </c>
      <c r="K148">
        <v>0</v>
      </c>
      <c r="L148">
        <v>53</v>
      </c>
      <c r="M148">
        <v>0</v>
      </c>
      <c r="N148">
        <v>1</v>
      </c>
      <c r="O148">
        <v>9</v>
      </c>
      <c r="P148" s="9">
        <v>0</v>
      </c>
      <c r="Q148" s="9" t="s">
        <v>17955</v>
      </c>
      <c r="R148" s="9">
        <v>0.16981132075471697</v>
      </c>
      <c r="S148" t="s">
        <v>1140</v>
      </c>
      <c r="T148" t="s">
        <v>1140</v>
      </c>
      <c r="U148" t="s">
        <v>1140</v>
      </c>
      <c r="V148" t="s">
        <v>17957</v>
      </c>
      <c r="W148" t="s">
        <v>1140</v>
      </c>
      <c r="X148" t="s">
        <v>1140</v>
      </c>
      <c r="Y148" t="s">
        <v>17957</v>
      </c>
      <c r="Z148" t="s">
        <v>17955</v>
      </c>
      <c r="AA148" t="s">
        <v>17955</v>
      </c>
      <c r="AB148" t="s">
        <v>17955</v>
      </c>
      <c r="AC148" t="s">
        <v>17955</v>
      </c>
      <c r="AD148" t="s">
        <v>17955</v>
      </c>
      <c r="AE148">
        <v>0</v>
      </c>
      <c r="AF148">
        <v>14</v>
      </c>
      <c r="AL148">
        <v>2022</v>
      </c>
    </row>
    <row r="149" spans="1:38" x14ac:dyDescent="0.3">
      <c r="A149" t="s">
        <v>33</v>
      </c>
      <c r="B149" t="s">
        <v>20</v>
      </c>
      <c r="C149" t="s">
        <v>14</v>
      </c>
      <c r="D149" t="s">
        <v>17955</v>
      </c>
      <c r="E149" t="s">
        <v>17955</v>
      </c>
      <c r="F149" t="s">
        <v>17955</v>
      </c>
      <c r="G149" t="s">
        <v>17955</v>
      </c>
      <c r="H149" t="s">
        <v>17955</v>
      </c>
      <c r="I149" t="s">
        <v>17954</v>
      </c>
      <c r="J149" t="s">
        <v>17955</v>
      </c>
      <c r="K149" t="s">
        <v>17955</v>
      </c>
      <c r="L149" t="s">
        <v>17955</v>
      </c>
      <c r="M149">
        <v>0</v>
      </c>
      <c r="N149">
        <v>0</v>
      </c>
      <c r="O149" t="s">
        <v>17955</v>
      </c>
      <c r="P149" s="9" t="s">
        <v>17955</v>
      </c>
      <c r="Q149" s="9" t="s">
        <v>17955</v>
      </c>
      <c r="R149" s="9" t="s">
        <v>17955</v>
      </c>
      <c r="S149" t="s">
        <v>17957</v>
      </c>
      <c r="T149" t="s">
        <v>17957</v>
      </c>
      <c r="U149" t="s">
        <v>17957</v>
      </c>
      <c r="V149" t="s">
        <v>1140</v>
      </c>
      <c r="W149" t="s">
        <v>1140</v>
      </c>
      <c r="X149" t="s">
        <v>1140</v>
      </c>
      <c r="Y149" t="s">
        <v>17957</v>
      </c>
      <c r="Z149" t="s">
        <v>17955</v>
      </c>
      <c r="AA149" t="s">
        <v>17955</v>
      </c>
      <c r="AB149" t="s">
        <v>17955</v>
      </c>
      <c r="AC149" t="s">
        <v>17955</v>
      </c>
      <c r="AD149" t="s">
        <v>17955</v>
      </c>
      <c r="AE149">
        <v>0</v>
      </c>
      <c r="AF149">
        <v>0</v>
      </c>
      <c r="AL149">
        <v>2022</v>
      </c>
    </row>
    <row r="150" spans="1:38" x14ac:dyDescent="0.3">
      <c r="A150" t="s">
        <v>35</v>
      </c>
      <c r="B150" t="s">
        <v>20</v>
      </c>
      <c r="C150" t="s">
        <v>14</v>
      </c>
      <c r="D150">
        <v>42</v>
      </c>
      <c r="E150">
        <v>8</v>
      </c>
      <c r="F150">
        <v>34</v>
      </c>
      <c r="G150">
        <v>0.19047619047619047</v>
      </c>
      <c r="H150">
        <v>0.80952380952380953</v>
      </c>
      <c r="I150" t="s">
        <v>17953</v>
      </c>
      <c r="J150">
        <v>14</v>
      </c>
      <c r="K150">
        <v>0</v>
      </c>
      <c r="L150">
        <v>28</v>
      </c>
      <c r="M150">
        <v>0</v>
      </c>
      <c r="N150">
        <v>1</v>
      </c>
      <c r="O150">
        <v>7</v>
      </c>
      <c r="P150" s="9">
        <v>0</v>
      </c>
      <c r="Q150" s="9" t="s">
        <v>17955</v>
      </c>
      <c r="R150" s="9">
        <v>0.25</v>
      </c>
      <c r="S150" t="s">
        <v>1140</v>
      </c>
      <c r="T150" t="s">
        <v>1140</v>
      </c>
      <c r="U150" t="s">
        <v>1140</v>
      </c>
      <c r="V150" t="s">
        <v>17957</v>
      </c>
      <c r="W150" t="s">
        <v>1140</v>
      </c>
      <c r="X150" t="s">
        <v>1140</v>
      </c>
      <c r="Y150" t="s">
        <v>17957</v>
      </c>
      <c r="Z150">
        <v>2</v>
      </c>
      <c r="AA150">
        <v>2</v>
      </c>
      <c r="AB150">
        <v>2</v>
      </c>
      <c r="AC150">
        <v>3</v>
      </c>
      <c r="AD150">
        <v>16</v>
      </c>
      <c r="AE150">
        <v>25</v>
      </c>
      <c r="AF150">
        <v>6</v>
      </c>
      <c r="AL150">
        <v>2022</v>
      </c>
    </row>
    <row r="151" spans="1:38" x14ac:dyDescent="0.3">
      <c r="A151" t="s">
        <v>37</v>
      </c>
      <c r="B151" t="s">
        <v>20</v>
      </c>
      <c r="C151" t="s">
        <v>14</v>
      </c>
      <c r="D151">
        <v>290</v>
      </c>
      <c r="E151">
        <v>175</v>
      </c>
      <c r="F151">
        <v>115</v>
      </c>
      <c r="G151">
        <v>0.60344827586206895</v>
      </c>
      <c r="H151">
        <v>0.39655172413793105</v>
      </c>
      <c r="I151" t="s">
        <v>1191</v>
      </c>
      <c r="J151">
        <v>0</v>
      </c>
      <c r="K151">
        <v>1</v>
      </c>
      <c r="L151">
        <v>289</v>
      </c>
      <c r="M151">
        <v>0</v>
      </c>
      <c r="N151">
        <v>0</v>
      </c>
      <c r="O151">
        <v>175</v>
      </c>
      <c r="P151" s="9">
        <v>0</v>
      </c>
      <c r="Q151" s="9">
        <v>0</v>
      </c>
      <c r="R151" s="9">
        <v>0.60553633217993075</v>
      </c>
      <c r="S151" t="s">
        <v>1140</v>
      </c>
      <c r="T151" t="s">
        <v>1140</v>
      </c>
      <c r="U151" t="s">
        <v>1140</v>
      </c>
      <c r="V151" t="s">
        <v>1140</v>
      </c>
      <c r="W151" t="s">
        <v>1140</v>
      </c>
      <c r="X151" t="s">
        <v>1140</v>
      </c>
      <c r="Y151" t="s">
        <v>1140</v>
      </c>
      <c r="Z151">
        <v>22</v>
      </c>
      <c r="AA151">
        <v>25</v>
      </c>
      <c r="AB151">
        <v>38</v>
      </c>
      <c r="AC151">
        <v>19</v>
      </c>
      <c r="AD151">
        <v>42</v>
      </c>
      <c r="AE151">
        <v>146</v>
      </c>
      <c r="AF151">
        <v>18</v>
      </c>
      <c r="AL151">
        <v>2022</v>
      </c>
    </row>
    <row r="152" spans="1:38" x14ac:dyDescent="0.3">
      <c r="A152" t="s">
        <v>39</v>
      </c>
      <c r="B152" t="s">
        <v>20</v>
      </c>
      <c r="C152" t="s">
        <v>14</v>
      </c>
      <c r="D152" t="s">
        <v>17955</v>
      </c>
      <c r="E152" t="s">
        <v>17955</v>
      </c>
      <c r="F152" t="s">
        <v>17955</v>
      </c>
      <c r="G152" t="s">
        <v>17955</v>
      </c>
      <c r="H152" t="s">
        <v>17955</v>
      </c>
      <c r="I152" t="s">
        <v>17954</v>
      </c>
      <c r="J152" t="s">
        <v>17955</v>
      </c>
      <c r="K152" t="s">
        <v>17955</v>
      </c>
      <c r="L152" t="s">
        <v>17955</v>
      </c>
      <c r="M152">
        <v>0</v>
      </c>
      <c r="N152">
        <v>0</v>
      </c>
      <c r="O152" t="s">
        <v>17955</v>
      </c>
      <c r="P152" s="9" t="s">
        <v>17955</v>
      </c>
      <c r="Q152" s="9" t="s">
        <v>17955</v>
      </c>
      <c r="R152" s="9" t="s">
        <v>17955</v>
      </c>
      <c r="S152" t="s">
        <v>17957</v>
      </c>
      <c r="T152" t="s">
        <v>17957</v>
      </c>
      <c r="U152" t="s">
        <v>17957</v>
      </c>
      <c r="V152" t="s">
        <v>1140</v>
      </c>
      <c r="W152" t="s">
        <v>1140</v>
      </c>
      <c r="X152" t="s">
        <v>1140</v>
      </c>
      <c r="Y152" t="s">
        <v>17957</v>
      </c>
      <c r="Z152" t="s">
        <v>17955</v>
      </c>
      <c r="AA152" t="s">
        <v>17955</v>
      </c>
      <c r="AB152" t="s">
        <v>17955</v>
      </c>
      <c r="AC152" t="s">
        <v>17955</v>
      </c>
      <c r="AD152" t="s">
        <v>17955</v>
      </c>
      <c r="AE152">
        <v>0</v>
      </c>
      <c r="AF152">
        <v>0</v>
      </c>
      <c r="AL152">
        <v>2022</v>
      </c>
    </row>
    <row r="153" spans="1:38" x14ac:dyDescent="0.3">
      <c r="A153" t="s">
        <v>41</v>
      </c>
      <c r="B153" t="s">
        <v>20</v>
      </c>
      <c r="C153" t="s">
        <v>14</v>
      </c>
      <c r="D153">
        <v>390</v>
      </c>
      <c r="E153">
        <v>10</v>
      </c>
      <c r="F153">
        <v>380</v>
      </c>
      <c r="G153">
        <v>2.564102564102564E-2</v>
      </c>
      <c r="H153">
        <v>0.97435897435897434</v>
      </c>
      <c r="I153" t="s">
        <v>1191</v>
      </c>
      <c r="J153">
        <v>170</v>
      </c>
      <c r="K153">
        <v>0</v>
      </c>
      <c r="L153">
        <v>220</v>
      </c>
      <c r="M153">
        <v>0</v>
      </c>
      <c r="N153">
        <v>3</v>
      </c>
      <c r="O153">
        <v>7</v>
      </c>
      <c r="P153" s="9">
        <v>0</v>
      </c>
      <c r="Q153" s="9" t="s">
        <v>17955</v>
      </c>
      <c r="R153" s="9">
        <v>3.1818181818181815E-2</v>
      </c>
      <c r="S153" t="s">
        <v>1140</v>
      </c>
      <c r="T153" t="s">
        <v>1140</v>
      </c>
      <c r="U153" t="s">
        <v>1140</v>
      </c>
      <c r="V153" t="s">
        <v>17957</v>
      </c>
      <c r="W153" t="s">
        <v>1140</v>
      </c>
      <c r="X153" t="s">
        <v>1140</v>
      </c>
      <c r="Y153" t="s">
        <v>17957</v>
      </c>
      <c r="Z153">
        <v>0</v>
      </c>
      <c r="AA153">
        <v>0</v>
      </c>
      <c r="AB153">
        <v>0</v>
      </c>
      <c r="AC153">
        <v>0</v>
      </c>
      <c r="AD153">
        <v>0</v>
      </c>
      <c r="AE153">
        <v>0</v>
      </c>
      <c r="AF153">
        <v>39</v>
      </c>
      <c r="AL153">
        <v>2022</v>
      </c>
    </row>
    <row r="154" spans="1:38" x14ac:dyDescent="0.3">
      <c r="A154" t="s">
        <v>43</v>
      </c>
      <c r="B154" t="s">
        <v>20</v>
      </c>
      <c r="C154" t="s">
        <v>14</v>
      </c>
      <c r="D154">
        <v>65</v>
      </c>
      <c r="E154">
        <v>13</v>
      </c>
      <c r="F154">
        <v>52</v>
      </c>
      <c r="G154">
        <v>0.2</v>
      </c>
      <c r="H154">
        <v>0.8</v>
      </c>
      <c r="I154" t="s">
        <v>1197</v>
      </c>
      <c r="J154">
        <v>25</v>
      </c>
      <c r="K154">
        <v>7</v>
      </c>
      <c r="L154">
        <v>33</v>
      </c>
      <c r="M154">
        <v>5</v>
      </c>
      <c r="N154">
        <v>20</v>
      </c>
      <c r="O154" t="s">
        <v>17955</v>
      </c>
      <c r="P154" s="9">
        <v>0.38461538461538464</v>
      </c>
      <c r="Q154" s="9">
        <v>2.8571428571428572</v>
      </c>
      <c r="R154" s="9" t="s">
        <v>17955</v>
      </c>
      <c r="S154" t="s">
        <v>1140</v>
      </c>
      <c r="T154" t="s">
        <v>17957</v>
      </c>
      <c r="U154" t="s">
        <v>17957</v>
      </c>
      <c r="V154" t="s">
        <v>17957</v>
      </c>
      <c r="W154" t="s">
        <v>17957</v>
      </c>
      <c r="X154" t="s">
        <v>1140</v>
      </c>
      <c r="Y154" t="s">
        <v>17957</v>
      </c>
      <c r="Z154" t="s">
        <v>17955</v>
      </c>
      <c r="AA154" t="s">
        <v>17955</v>
      </c>
      <c r="AB154" t="s">
        <v>17955</v>
      </c>
      <c r="AC154" t="s">
        <v>17955</v>
      </c>
      <c r="AD154" t="s">
        <v>17955</v>
      </c>
      <c r="AE154">
        <v>0</v>
      </c>
      <c r="AF154">
        <v>8</v>
      </c>
      <c r="AL154">
        <v>2022</v>
      </c>
    </row>
    <row r="155" spans="1:38" x14ac:dyDescent="0.3">
      <c r="A155" t="s">
        <v>45</v>
      </c>
      <c r="B155" t="s">
        <v>20</v>
      </c>
      <c r="C155" t="s">
        <v>14</v>
      </c>
      <c r="D155">
        <v>77</v>
      </c>
      <c r="E155">
        <v>20</v>
      </c>
      <c r="F155">
        <v>57</v>
      </c>
      <c r="G155">
        <v>0.25974025974025972</v>
      </c>
      <c r="H155">
        <v>0.74025974025974028</v>
      </c>
      <c r="I155" t="s">
        <v>1197</v>
      </c>
      <c r="J155">
        <v>40</v>
      </c>
      <c r="K155">
        <v>0</v>
      </c>
      <c r="L155">
        <v>37</v>
      </c>
      <c r="M155">
        <v>0</v>
      </c>
      <c r="N155">
        <v>0</v>
      </c>
      <c r="O155">
        <v>20</v>
      </c>
      <c r="P155" s="9">
        <v>0</v>
      </c>
      <c r="Q155" s="9" t="s">
        <v>17955</v>
      </c>
      <c r="R155" s="9">
        <v>0.54054054054054057</v>
      </c>
      <c r="S155" t="s">
        <v>1140</v>
      </c>
      <c r="T155" t="s">
        <v>1140</v>
      </c>
      <c r="U155" t="s">
        <v>1140</v>
      </c>
      <c r="V155" t="s">
        <v>1140</v>
      </c>
      <c r="W155" t="s">
        <v>1140</v>
      </c>
      <c r="X155" t="s">
        <v>1140</v>
      </c>
      <c r="Y155" t="s">
        <v>1140</v>
      </c>
      <c r="Z155" t="s">
        <v>17955</v>
      </c>
      <c r="AA155" t="s">
        <v>17955</v>
      </c>
      <c r="AB155" t="s">
        <v>17955</v>
      </c>
      <c r="AC155" t="s">
        <v>17955</v>
      </c>
      <c r="AD155" t="s">
        <v>17955</v>
      </c>
      <c r="AE155">
        <v>0</v>
      </c>
      <c r="AF155">
        <v>16</v>
      </c>
      <c r="AL155">
        <v>2022</v>
      </c>
    </row>
    <row r="156" spans="1:38" x14ac:dyDescent="0.3">
      <c r="A156" t="s">
        <v>47</v>
      </c>
      <c r="B156" t="s">
        <v>20</v>
      </c>
      <c r="C156" t="s">
        <v>14</v>
      </c>
      <c r="D156">
        <v>70</v>
      </c>
      <c r="E156">
        <v>0</v>
      </c>
      <c r="F156">
        <v>70</v>
      </c>
      <c r="G156">
        <v>0</v>
      </c>
      <c r="H156">
        <v>1</v>
      </c>
      <c r="I156" t="s">
        <v>1197</v>
      </c>
      <c r="J156">
        <v>25</v>
      </c>
      <c r="K156">
        <v>3</v>
      </c>
      <c r="L156">
        <v>42</v>
      </c>
      <c r="M156">
        <v>0</v>
      </c>
      <c r="N156">
        <v>4</v>
      </c>
      <c r="O156" t="s">
        <v>17955</v>
      </c>
      <c r="P156" s="9" t="s">
        <v>17955</v>
      </c>
      <c r="Q156" s="9">
        <v>1.3333333333333333</v>
      </c>
      <c r="R156" s="9" t="s">
        <v>17955</v>
      </c>
      <c r="S156" t="s">
        <v>1140</v>
      </c>
      <c r="T156" t="s">
        <v>17957</v>
      </c>
      <c r="U156" t="s">
        <v>17957</v>
      </c>
      <c r="V156" t="s">
        <v>17957</v>
      </c>
      <c r="W156" t="s">
        <v>17957</v>
      </c>
      <c r="X156" t="s">
        <v>1140</v>
      </c>
      <c r="Y156" t="s">
        <v>17957</v>
      </c>
      <c r="Z156">
        <v>7</v>
      </c>
      <c r="AA156">
        <v>11</v>
      </c>
      <c r="AB156">
        <v>22</v>
      </c>
      <c r="AC156">
        <v>9</v>
      </c>
      <c r="AD156">
        <v>0</v>
      </c>
      <c r="AE156">
        <v>49</v>
      </c>
      <c r="AF156">
        <v>15</v>
      </c>
      <c r="AL156">
        <v>2022</v>
      </c>
    </row>
    <row r="157" spans="1:38" x14ac:dyDescent="0.3">
      <c r="A157" t="s">
        <v>49</v>
      </c>
      <c r="B157" t="s">
        <v>20</v>
      </c>
      <c r="C157" t="s">
        <v>14</v>
      </c>
      <c r="D157">
        <v>50</v>
      </c>
      <c r="E157">
        <v>10</v>
      </c>
      <c r="F157">
        <v>40</v>
      </c>
      <c r="G157">
        <v>0.2</v>
      </c>
      <c r="H157">
        <v>0.8</v>
      </c>
      <c r="I157" t="s">
        <v>1197</v>
      </c>
      <c r="J157">
        <v>25</v>
      </c>
      <c r="K157">
        <v>0</v>
      </c>
      <c r="L157">
        <v>25</v>
      </c>
      <c r="M157">
        <v>0</v>
      </c>
      <c r="N157">
        <v>4</v>
      </c>
      <c r="O157">
        <v>6</v>
      </c>
      <c r="P157" s="9">
        <v>0</v>
      </c>
      <c r="Q157" s="9" t="s">
        <v>17955</v>
      </c>
      <c r="R157" s="9">
        <v>0.24</v>
      </c>
      <c r="S157" t="s">
        <v>1140</v>
      </c>
      <c r="T157" t="s">
        <v>1140</v>
      </c>
      <c r="U157" t="s">
        <v>1140</v>
      </c>
      <c r="V157" t="s">
        <v>17957</v>
      </c>
      <c r="W157" t="s">
        <v>1140</v>
      </c>
      <c r="X157" t="s">
        <v>1140</v>
      </c>
      <c r="Y157" t="s">
        <v>17957</v>
      </c>
      <c r="Z157">
        <v>3</v>
      </c>
      <c r="AA157">
        <v>7</v>
      </c>
      <c r="AB157">
        <v>7</v>
      </c>
      <c r="AC157">
        <v>6</v>
      </c>
      <c r="AD157">
        <v>5</v>
      </c>
      <c r="AE157">
        <v>28</v>
      </c>
      <c r="AF157">
        <v>13</v>
      </c>
      <c r="AL157">
        <v>2022</v>
      </c>
    </row>
    <row r="158" spans="1:38" x14ac:dyDescent="0.3">
      <c r="A158" t="s">
        <v>51</v>
      </c>
      <c r="B158" t="s">
        <v>20</v>
      </c>
      <c r="C158" t="s">
        <v>14</v>
      </c>
      <c r="D158">
        <v>100</v>
      </c>
      <c r="E158">
        <v>30</v>
      </c>
      <c r="F158">
        <v>70</v>
      </c>
      <c r="G158">
        <v>0.3</v>
      </c>
      <c r="H158">
        <v>0.7</v>
      </c>
      <c r="I158" t="s">
        <v>1191</v>
      </c>
      <c r="J158">
        <v>15</v>
      </c>
      <c r="K158">
        <v>10</v>
      </c>
      <c r="L158">
        <v>75</v>
      </c>
      <c r="M158">
        <v>2</v>
      </c>
      <c r="N158">
        <v>8</v>
      </c>
      <c r="O158">
        <v>20</v>
      </c>
      <c r="P158" s="9">
        <v>6.6666666666666666E-2</v>
      </c>
      <c r="Q158" s="9">
        <v>0.8</v>
      </c>
      <c r="R158" s="9">
        <v>0.26666666666666666</v>
      </c>
      <c r="S158" t="s">
        <v>1140</v>
      </c>
      <c r="T158" t="s">
        <v>1140</v>
      </c>
      <c r="U158" t="s">
        <v>1140</v>
      </c>
      <c r="V158" t="s">
        <v>1140</v>
      </c>
      <c r="W158" t="s">
        <v>1140</v>
      </c>
      <c r="X158" t="s">
        <v>1140</v>
      </c>
      <c r="Y158" t="s">
        <v>1140</v>
      </c>
      <c r="Z158">
        <v>2</v>
      </c>
      <c r="AA158">
        <v>2</v>
      </c>
      <c r="AB158">
        <v>4</v>
      </c>
      <c r="AC158">
        <v>2</v>
      </c>
      <c r="AD158">
        <v>5</v>
      </c>
      <c r="AE158">
        <v>15</v>
      </c>
      <c r="AF158">
        <v>8</v>
      </c>
      <c r="AL158">
        <v>2022</v>
      </c>
    </row>
    <row r="159" spans="1:38" x14ac:dyDescent="0.3">
      <c r="A159" t="s">
        <v>53</v>
      </c>
      <c r="B159" t="s">
        <v>20</v>
      </c>
      <c r="C159" t="s">
        <v>14</v>
      </c>
      <c r="D159">
        <v>43</v>
      </c>
      <c r="E159">
        <v>3</v>
      </c>
      <c r="F159">
        <v>40</v>
      </c>
      <c r="G159">
        <v>6.9767441860465115E-2</v>
      </c>
      <c r="H159">
        <v>0.93023255813953487</v>
      </c>
      <c r="I159" t="s">
        <v>17953</v>
      </c>
      <c r="J159">
        <v>10</v>
      </c>
      <c r="K159">
        <v>2</v>
      </c>
      <c r="L159">
        <v>31</v>
      </c>
      <c r="M159">
        <v>0</v>
      </c>
      <c r="N159">
        <v>1</v>
      </c>
      <c r="O159">
        <v>2</v>
      </c>
      <c r="P159" s="9">
        <v>0</v>
      </c>
      <c r="Q159" s="9">
        <v>0.5</v>
      </c>
      <c r="R159" s="9">
        <v>6.4516129032258063E-2</v>
      </c>
      <c r="S159" t="s">
        <v>1140</v>
      </c>
      <c r="T159" t="s">
        <v>1140</v>
      </c>
      <c r="U159" t="s">
        <v>1140</v>
      </c>
      <c r="V159" t="s">
        <v>1140</v>
      </c>
      <c r="W159" t="s">
        <v>1140</v>
      </c>
      <c r="X159" t="s">
        <v>1140</v>
      </c>
      <c r="Y159" t="s">
        <v>1140</v>
      </c>
      <c r="Z159">
        <v>0</v>
      </c>
      <c r="AA159">
        <v>0</v>
      </c>
      <c r="AB159">
        <v>8</v>
      </c>
      <c r="AC159">
        <v>1</v>
      </c>
      <c r="AD159">
        <v>2</v>
      </c>
      <c r="AE159">
        <v>11</v>
      </c>
      <c r="AF159">
        <v>12</v>
      </c>
      <c r="AL159">
        <v>2022</v>
      </c>
    </row>
    <row r="160" spans="1:38" x14ac:dyDescent="0.3">
      <c r="A160" t="s">
        <v>55</v>
      </c>
      <c r="B160" t="s">
        <v>20</v>
      </c>
      <c r="C160" t="s">
        <v>14</v>
      </c>
      <c r="D160">
        <v>68</v>
      </c>
      <c r="E160">
        <v>5</v>
      </c>
      <c r="F160">
        <v>63</v>
      </c>
      <c r="G160">
        <v>7.3529411764705885E-2</v>
      </c>
      <c r="H160">
        <v>0.92647058823529416</v>
      </c>
      <c r="I160" t="s">
        <v>1197</v>
      </c>
      <c r="J160">
        <v>40</v>
      </c>
      <c r="K160">
        <v>1</v>
      </c>
      <c r="L160">
        <v>27</v>
      </c>
      <c r="M160">
        <v>1</v>
      </c>
      <c r="N160">
        <v>7</v>
      </c>
      <c r="O160" t="s">
        <v>17955</v>
      </c>
      <c r="P160" s="9">
        <v>0.2</v>
      </c>
      <c r="Q160" s="9">
        <v>7</v>
      </c>
      <c r="R160" s="9" t="s">
        <v>17955</v>
      </c>
      <c r="S160" t="s">
        <v>1140</v>
      </c>
      <c r="T160" t="s">
        <v>17957</v>
      </c>
      <c r="U160" t="s">
        <v>17957</v>
      </c>
      <c r="V160" t="s">
        <v>17957</v>
      </c>
      <c r="W160" t="s">
        <v>17957</v>
      </c>
      <c r="X160" t="s">
        <v>1140</v>
      </c>
      <c r="Y160" t="s">
        <v>17957</v>
      </c>
      <c r="Z160">
        <v>0</v>
      </c>
      <c r="AA160">
        <v>6</v>
      </c>
      <c r="AB160">
        <v>12</v>
      </c>
      <c r="AC160">
        <v>4</v>
      </c>
      <c r="AD160">
        <v>9</v>
      </c>
      <c r="AE160">
        <v>31</v>
      </c>
      <c r="AF160">
        <v>15</v>
      </c>
      <c r="AL160">
        <v>2022</v>
      </c>
    </row>
    <row r="161" spans="1:38" x14ac:dyDescent="0.3">
      <c r="A161" t="s">
        <v>57</v>
      </c>
      <c r="B161" t="s">
        <v>20</v>
      </c>
      <c r="C161" t="s">
        <v>14</v>
      </c>
      <c r="D161">
        <v>35</v>
      </c>
      <c r="E161">
        <v>5</v>
      </c>
      <c r="F161">
        <v>30</v>
      </c>
      <c r="G161">
        <v>0.14285714285714285</v>
      </c>
      <c r="H161">
        <v>0.85714285714285721</v>
      </c>
      <c r="I161" t="s">
        <v>17953</v>
      </c>
      <c r="J161">
        <v>17</v>
      </c>
      <c r="K161">
        <v>3</v>
      </c>
      <c r="L161">
        <v>15</v>
      </c>
      <c r="M161">
        <v>1</v>
      </c>
      <c r="N161">
        <v>4</v>
      </c>
      <c r="O161" t="s">
        <v>17955</v>
      </c>
      <c r="P161" s="9">
        <v>0.2</v>
      </c>
      <c r="Q161" s="9">
        <v>1.3333333333333333</v>
      </c>
      <c r="R161" s="9" t="s">
        <v>17955</v>
      </c>
      <c r="S161" t="s">
        <v>1140</v>
      </c>
      <c r="T161" t="s">
        <v>17957</v>
      </c>
      <c r="U161" t="s">
        <v>17957</v>
      </c>
      <c r="V161" t="s">
        <v>17957</v>
      </c>
      <c r="W161" t="s">
        <v>17957</v>
      </c>
      <c r="X161" t="s">
        <v>1140</v>
      </c>
      <c r="Y161" t="s">
        <v>17957</v>
      </c>
      <c r="Z161" t="s">
        <v>17955</v>
      </c>
      <c r="AA161" t="s">
        <v>17955</v>
      </c>
      <c r="AB161" t="s">
        <v>17955</v>
      </c>
      <c r="AC161" t="s">
        <v>17955</v>
      </c>
      <c r="AD161" t="s">
        <v>17955</v>
      </c>
      <c r="AE161">
        <v>0</v>
      </c>
      <c r="AF161">
        <v>6</v>
      </c>
      <c r="AL161">
        <v>2022</v>
      </c>
    </row>
    <row r="162" spans="1:38" x14ac:dyDescent="0.3">
      <c r="A162" t="s">
        <v>59</v>
      </c>
      <c r="B162" t="s">
        <v>20</v>
      </c>
      <c r="C162" t="s">
        <v>14</v>
      </c>
      <c r="D162">
        <v>74</v>
      </c>
      <c r="E162">
        <v>20</v>
      </c>
      <c r="F162">
        <v>54</v>
      </c>
      <c r="G162">
        <v>0.27027027027027029</v>
      </c>
      <c r="H162">
        <v>0.72972972972972971</v>
      </c>
      <c r="I162" t="s">
        <v>1197</v>
      </c>
      <c r="J162">
        <v>15</v>
      </c>
      <c r="K162">
        <v>1</v>
      </c>
      <c r="L162">
        <v>58</v>
      </c>
      <c r="M162">
        <v>0</v>
      </c>
      <c r="N162">
        <v>2</v>
      </c>
      <c r="O162">
        <v>18</v>
      </c>
      <c r="P162" s="9">
        <v>0</v>
      </c>
      <c r="Q162" s="9">
        <v>2</v>
      </c>
      <c r="R162" s="9">
        <v>0.31034482758620691</v>
      </c>
      <c r="S162" t="s">
        <v>1140</v>
      </c>
      <c r="T162" t="s">
        <v>1140</v>
      </c>
      <c r="U162" t="s">
        <v>1140</v>
      </c>
      <c r="V162" t="s">
        <v>17957</v>
      </c>
      <c r="W162" t="s">
        <v>1140</v>
      </c>
      <c r="X162" t="s">
        <v>1140</v>
      </c>
      <c r="Y162" t="s">
        <v>17957</v>
      </c>
      <c r="Z162" t="s">
        <v>17955</v>
      </c>
      <c r="AA162" t="s">
        <v>17955</v>
      </c>
      <c r="AB162" t="s">
        <v>17955</v>
      </c>
      <c r="AC162" t="s">
        <v>17955</v>
      </c>
      <c r="AD162" t="s">
        <v>17955</v>
      </c>
      <c r="AE162">
        <v>0</v>
      </c>
      <c r="AF162">
        <v>6</v>
      </c>
      <c r="AL162">
        <v>2022</v>
      </c>
    </row>
    <row r="163" spans="1:38" x14ac:dyDescent="0.3">
      <c r="A163" t="s">
        <v>61</v>
      </c>
      <c r="B163" t="s">
        <v>20</v>
      </c>
      <c r="C163" t="s">
        <v>14</v>
      </c>
      <c r="D163">
        <v>57</v>
      </c>
      <c r="E163">
        <v>5</v>
      </c>
      <c r="F163">
        <v>52</v>
      </c>
      <c r="G163">
        <v>8.771929824561403E-2</v>
      </c>
      <c r="H163">
        <v>0.91228070175438591</v>
      </c>
      <c r="I163" t="s">
        <v>1197</v>
      </c>
      <c r="J163">
        <v>40</v>
      </c>
      <c r="K163">
        <v>0</v>
      </c>
      <c r="L163">
        <v>17</v>
      </c>
      <c r="M163">
        <v>0</v>
      </c>
      <c r="N163">
        <v>0</v>
      </c>
      <c r="O163">
        <v>5</v>
      </c>
      <c r="P163" s="9">
        <v>0</v>
      </c>
      <c r="Q163" s="9" t="s">
        <v>17955</v>
      </c>
      <c r="R163" s="9">
        <v>0.29411764705882354</v>
      </c>
      <c r="S163" t="s">
        <v>1140</v>
      </c>
      <c r="T163" t="s">
        <v>1140</v>
      </c>
      <c r="U163" t="s">
        <v>1140</v>
      </c>
      <c r="V163" t="s">
        <v>1140</v>
      </c>
      <c r="W163" t="s">
        <v>1140</v>
      </c>
      <c r="X163" t="s">
        <v>1140</v>
      </c>
      <c r="Y163" t="s">
        <v>1140</v>
      </c>
      <c r="Z163">
        <v>4</v>
      </c>
      <c r="AA163">
        <v>4</v>
      </c>
      <c r="AB163">
        <v>6</v>
      </c>
      <c r="AC163">
        <v>5</v>
      </c>
      <c r="AD163">
        <v>12</v>
      </c>
      <c r="AE163">
        <v>31</v>
      </c>
      <c r="AF163">
        <v>16</v>
      </c>
      <c r="AL163">
        <v>2022</v>
      </c>
    </row>
    <row r="164" spans="1:38" x14ac:dyDescent="0.3">
      <c r="A164" t="s">
        <v>63</v>
      </c>
      <c r="B164" t="s">
        <v>20</v>
      </c>
      <c r="C164" t="s">
        <v>14</v>
      </c>
      <c r="D164">
        <v>51</v>
      </c>
      <c r="E164">
        <v>25</v>
      </c>
      <c r="F164">
        <v>26</v>
      </c>
      <c r="G164">
        <v>0.49019607843137253</v>
      </c>
      <c r="H164">
        <v>0.50980392156862742</v>
      </c>
      <c r="I164" t="s">
        <v>1197</v>
      </c>
      <c r="J164">
        <v>16</v>
      </c>
      <c r="K164">
        <v>16</v>
      </c>
      <c r="L164">
        <v>19</v>
      </c>
      <c r="M164">
        <v>1</v>
      </c>
      <c r="N164">
        <v>0</v>
      </c>
      <c r="O164">
        <v>24</v>
      </c>
      <c r="P164" s="9">
        <v>0.04</v>
      </c>
      <c r="Q164" s="9">
        <v>0</v>
      </c>
      <c r="R164" s="9">
        <v>1.263157894736842</v>
      </c>
      <c r="S164" t="s">
        <v>1140</v>
      </c>
      <c r="T164" t="s">
        <v>1140</v>
      </c>
      <c r="U164" t="s">
        <v>1140</v>
      </c>
      <c r="V164" t="s">
        <v>1140</v>
      </c>
      <c r="W164" t="s">
        <v>17957</v>
      </c>
      <c r="X164" t="s">
        <v>1140</v>
      </c>
      <c r="Y164" t="s">
        <v>17957</v>
      </c>
      <c r="Z164">
        <v>0</v>
      </c>
      <c r="AA164">
        <v>0</v>
      </c>
      <c r="AB164">
        <v>0</v>
      </c>
      <c r="AC164">
        <v>0</v>
      </c>
      <c r="AD164">
        <v>0</v>
      </c>
      <c r="AE164">
        <v>0</v>
      </c>
      <c r="AF164">
        <v>8</v>
      </c>
      <c r="AL164">
        <v>2022</v>
      </c>
    </row>
    <row r="165" spans="1:38" x14ac:dyDescent="0.3">
      <c r="A165" t="s">
        <v>65</v>
      </c>
      <c r="B165" t="s">
        <v>20</v>
      </c>
      <c r="C165" t="s">
        <v>14</v>
      </c>
      <c r="D165" t="s">
        <v>17955</v>
      </c>
      <c r="E165" t="s">
        <v>17955</v>
      </c>
      <c r="F165" t="s">
        <v>17955</v>
      </c>
      <c r="G165" t="s">
        <v>17955</v>
      </c>
      <c r="H165" t="s">
        <v>17955</v>
      </c>
      <c r="I165" t="s">
        <v>17954</v>
      </c>
      <c r="J165" t="s">
        <v>17955</v>
      </c>
      <c r="K165" t="s">
        <v>17955</v>
      </c>
      <c r="L165" t="s">
        <v>17955</v>
      </c>
      <c r="M165">
        <v>0</v>
      </c>
      <c r="N165">
        <v>0</v>
      </c>
      <c r="O165" t="s">
        <v>17955</v>
      </c>
      <c r="P165" s="9" t="s">
        <v>17955</v>
      </c>
      <c r="Q165" s="9" t="s">
        <v>17955</v>
      </c>
      <c r="R165" s="9" t="s">
        <v>17955</v>
      </c>
      <c r="S165" t="s">
        <v>17957</v>
      </c>
      <c r="T165" t="s">
        <v>17957</v>
      </c>
      <c r="U165" t="s">
        <v>17957</v>
      </c>
      <c r="V165" t="s">
        <v>1140</v>
      </c>
      <c r="W165" t="s">
        <v>1140</v>
      </c>
      <c r="X165" t="s">
        <v>1140</v>
      </c>
      <c r="Y165" t="s">
        <v>17957</v>
      </c>
      <c r="Z165" t="s">
        <v>17955</v>
      </c>
      <c r="AA165" t="s">
        <v>17955</v>
      </c>
      <c r="AB165" t="s">
        <v>17955</v>
      </c>
      <c r="AC165" t="s">
        <v>17955</v>
      </c>
      <c r="AD165" t="s">
        <v>17955</v>
      </c>
      <c r="AE165">
        <v>0</v>
      </c>
      <c r="AF165">
        <v>0</v>
      </c>
      <c r="AL165">
        <v>2022</v>
      </c>
    </row>
    <row r="166" spans="1:38" x14ac:dyDescent="0.3">
      <c r="A166" t="s">
        <v>1199</v>
      </c>
      <c r="B166" t="s">
        <v>20</v>
      </c>
      <c r="C166" t="s">
        <v>14</v>
      </c>
      <c r="D166">
        <v>55</v>
      </c>
      <c r="E166">
        <v>5</v>
      </c>
      <c r="F166">
        <v>50</v>
      </c>
      <c r="G166">
        <v>9.0909090909090912E-2</v>
      </c>
      <c r="H166">
        <v>0.90909090909090906</v>
      </c>
      <c r="I166" t="s">
        <v>1197</v>
      </c>
      <c r="J166">
        <v>10</v>
      </c>
      <c r="K166">
        <v>5</v>
      </c>
      <c r="L166">
        <v>40</v>
      </c>
      <c r="M166">
        <v>2</v>
      </c>
      <c r="N166">
        <v>2</v>
      </c>
      <c r="O166">
        <v>1</v>
      </c>
      <c r="P166" s="9">
        <v>0.4</v>
      </c>
      <c r="Q166" s="9">
        <v>0.4</v>
      </c>
      <c r="R166" s="9">
        <v>2.5000000000000001E-2</v>
      </c>
      <c r="S166" t="s">
        <v>1140</v>
      </c>
      <c r="T166" t="s">
        <v>1140</v>
      </c>
      <c r="U166" t="s">
        <v>1140</v>
      </c>
      <c r="V166" t="s">
        <v>1140</v>
      </c>
      <c r="W166" t="s">
        <v>1140</v>
      </c>
      <c r="X166" t="s">
        <v>1140</v>
      </c>
      <c r="Y166" t="s">
        <v>1140</v>
      </c>
      <c r="Z166" t="s">
        <v>17955</v>
      </c>
      <c r="AA166" t="s">
        <v>17955</v>
      </c>
      <c r="AB166" t="s">
        <v>17955</v>
      </c>
      <c r="AC166" t="s">
        <v>17955</v>
      </c>
      <c r="AD166" t="s">
        <v>17955</v>
      </c>
      <c r="AE166">
        <v>0</v>
      </c>
      <c r="AF166">
        <v>6</v>
      </c>
      <c r="AL166">
        <v>2022</v>
      </c>
    </row>
    <row r="167" spans="1:38" x14ac:dyDescent="0.3">
      <c r="A167" t="s">
        <v>69</v>
      </c>
      <c r="B167" t="s">
        <v>20</v>
      </c>
      <c r="C167" t="s">
        <v>14</v>
      </c>
      <c r="D167">
        <v>610</v>
      </c>
      <c r="E167">
        <v>250</v>
      </c>
      <c r="F167">
        <v>360</v>
      </c>
      <c r="G167">
        <v>0.4098360655737705</v>
      </c>
      <c r="H167">
        <v>0.5901639344262295</v>
      </c>
      <c r="I167" t="s">
        <v>17952</v>
      </c>
      <c r="J167">
        <v>120</v>
      </c>
      <c r="K167">
        <v>30</v>
      </c>
      <c r="L167">
        <v>460</v>
      </c>
      <c r="M167">
        <v>3</v>
      </c>
      <c r="N167">
        <v>10</v>
      </c>
      <c r="O167">
        <v>237</v>
      </c>
      <c r="P167" s="9">
        <v>1.2E-2</v>
      </c>
      <c r="Q167" s="9">
        <v>0.33333333333333331</v>
      </c>
      <c r="R167" s="9">
        <v>0.51521739130434785</v>
      </c>
      <c r="S167" t="s">
        <v>1140</v>
      </c>
      <c r="T167" t="s">
        <v>1140</v>
      </c>
      <c r="U167" t="s">
        <v>1140</v>
      </c>
      <c r="V167" t="s">
        <v>1140</v>
      </c>
      <c r="W167" t="s">
        <v>1140</v>
      </c>
      <c r="X167" t="s">
        <v>1140</v>
      </c>
      <c r="Y167" t="s">
        <v>1140</v>
      </c>
      <c r="Z167" t="s">
        <v>17955</v>
      </c>
      <c r="AA167" t="s">
        <v>17955</v>
      </c>
      <c r="AB167" t="s">
        <v>17955</v>
      </c>
      <c r="AC167" t="s">
        <v>17955</v>
      </c>
      <c r="AD167" t="s">
        <v>17955</v>
      </c>
      <c r="AE167">
        <v>0</v>
      </c>
      <c r="AF167">
        <v>22</v>
      </c>
      <c r="AL167">
        <v>2022</v>
      </c>
    </row>
    <row r="168" spans="1:38" x14ac:dyDescent="0.3">
      <c r="A168" t="s">
        <v>71</v>
      </c>
      <c r="B168" t="s">
        <v>20</v>
      </c>
      <c r="C168" t="s">
        <v>14</v>
      </c>
      <c r="D168">
        <v>175</v>
      </c>
      <c r="E168">
        <v>11</v>
      </c>
      <c r="F168">
        <v>164</v>
      </c>
      <c r="G168">
        <v>6.2857142857142861E-2</v>
      </c>
      <c r="H168">
        <v>0.93714285714285717</v>
      </c>
      <c r="I168" t="s">
        <v>1191</v>
      </c>
      <c r="J168">
        <v>40</v>
      </c>
      <c r="K168">
        <v>0</v>
      </c>
      <c r="L168">
        <v>135</v>
      </c>
      <c r="M168">
        <v>0</v>
      </c>
      <c r="N168">
        <v>0</v>
      </c>
      <c r="O168">
        <v>11</v>
      </c>
      <c r="P168" s="9">
        <v>0</v>
      </c>
      <c r="Q168" s="9" t="s">
        <v>17955</v>
      </c>
      <c r="R168" s="9">
        <v>8.1481481481481488E-2</v>
      </c>
      <c r="S168" t="s">
        <v>1140</v>
      </c>
      <c r="T168" t="s">
        <v>1140</v>
      </c>
      <c r="U168" t="s">
        <v>1140</v>
      </c>
      <c r="V168" t="s">
        <v>1140</v>
      </c>
      <c r="W168" t="s">
        <v>1140</v>
      </c>
      <c r="X168" t="s">
        <v>1140</v>
      </c>
      <c r="Y168" t="s">
        <v>1140</v>
      </c>
      <c r="Z168">
        <v>7</v>
      </c>
      <c r="AA168">
        <v>7</v>
      </c>
      <c r="AB168">
        <v>19</v>
      </c>
      <c r="AC168">
        <v>7</v>
      </c>
      <c r="AD168">
        <v>24</v>
      </c>
      <c r="AE168">
        <v>64</v>
      </c>
      <c r="AF168">
        <v>11</v>
      </c>
      <c r="AL168">
        <v>2022</v>
      </c>
    </row>
    <row r="169" spans="1:38" x14ac:dyDescent="0.3">
      <c r="A169" t="s">
        <v>73</v>
      </c>
      <c r="B169" t="s">
        <v>20</v>
      </c>
      <c r="C169" t="s">
        <v>14</v>
      </c>
      <c r="D169">
        <v>122</v>
      </c>
      <c r="E169">
        <v>20</v>
      </c>
      <c r="F169">
        <v>102</v>
      </c>
      <c r="G169">
        <v>0.16393442622950818</v>
      </c>
      <c r="H169">
        <v>0.83606557377049184</v>
      </c>
      <c r="I169" t="s">
        <v>1191</v>
      </c>
      <c r="J169">
        <v>30</v>
      </c>
      <c r="K169">
        <v>2</v>
      </c>
      <c r="L169">
        <v>90</v>
      </c>
      <c r="M169">
        <v>0</v>
      </c>
      <c r="N169">
        <v>10</v>
      </c>
      <c r="O169">
        <v>10</v>
      </c>
      <c r="P169" s="9">
        <v>0</v>
      </c>
      <c r="Q169" s="9">
        <v>5</v>
      </c>
      <c r="R169" s="9">
        <v>0.1111111111111111</v>
      </c>
      <c r="S169" t="s">
        <v>1140</v>
      </c>
      <c r="T169" t="s">
        <v>1140</v>
      </c>
      <c r="U169" t="s">
        <v>1140</v>
      </c>
      <c r="V169" t="s">
        <v>17957</v>
      </c>
      <c r="W169" t="s">
        <v>1140</v>
      </c>
      <c r="X169" t="s">
        <v>1140</v>
      </c>
      <c r="Y169" t="s">
        <v>17957</v>
      </c>
      <c r="Z169">
        <v>3</v>
      </c>
      <c r="AA169">
        <v>2</v>
      </c>
      <c r="AB169">
        <v>1</v>
      </c>
      <c r="AC169">
        <v>3</v>
      </c>
      <c r="AD169">
        <v>10</v>
      </c>
      <c r="AE169">
        <v>19</v>
      </c>
      <c r="AF169">
        <v>10</v>
      </c>
      <c r="AL169">
        <v>2022</v>
      </c>
    </row>
    <row r="170" spans="1:38" x14ac:dyDescent="0.3">
      <c r="A170" t="s">
        <v>75</v>
      </c>
      <c r="B170" t="s">
        <v>20</v>
      </c>
      <c r="C170" t="s">
        <v>14</v>
      </c>
      <c r="D170">
        <v>380</v>
      </c>
      <c r="E170">
        <v>100</v>
      </c>
      <c r="F170">
        <v>280</v>
      </c>
      <c r="G170">
        <v>0.26315789473684209</v>
      </c>
      <c r="H170">
        <v>0.73684210526315796</v>
      </c>
      <c r="I170" t="s">
        <v>1191</v>
      </c>
      <c r="J170">
        <v>50</v>
      </c>
      <c r="K170">
        <v>30</v>
      </c>
      <c r="L170">
        <v>300</v>
      </c>
      <c r="M170">
        <v>0</v>
      </c>
      <c r="N170">
        <v>10</v>
      </c>
      <c r="O170">
        <v>90</v>
      </c>
      <c r="P170" s="9">
        <v>0</v>
      </c>
      <c r="Q170" s="9">
        <v>0.33333333333333331</v>
      </c>
      <c r="R170" s="9">
        <v>0.3</v>
      </c>
      <c r="S170" t="s">
        <v>1140</v>
      </c>
      <c r="T170" t="s">
        <v>1140</v>
      </c>
      <c r="U170" t="s">
        <v>1140</v>
      </c>
      <c r="V170" t="s">
        <v>1140</v>
      </c>
      <c r="W170" t="s">
        <v>1140</v>
      </c>
      <c r="X170" t="s">
        <v>1140</v>
      </c>
      <c r="Y170" t="s">
        <v>1140</v>
      </c>
      <c r="Z170">
        <v>4</v>
      </c>
      <c r="AA170">
        <v>6</v>
      </c>
      <c r="AB170">
        <v>12</v>
      </c>
      <c r="AC170">
        <v>6</v>
      </c>
      <c r="AD170">
        <v>1</v>
      </c>
      <c r="AE170">
        <v>29</v>
      </c>
      <c r="AF170">
        <v>14</v>
      </c>
      <c r="AL170">
        <v>2022</v>
      </c>
    </row>
    <row r="171" spans="1:38" x14ac:dyDescent="0.3">
      <c r="A171" t="s">
        <v>77</v>
      </c>
      <c r="B171" t="s">
        <v>20</v>
      </c>
      <c r="C171" t="s">
        <v>14</v>
      </c>
      <c r="D171">
        <v>420</v>
      </c>
      <c r="E171">
        <v>100</v>
      </c>
      <c r="F171">
        <v>320</v>
      </c>
      <c r="G171">
        <v>0.23809523809523808</v>
      </c>
      <c r="H171">
        <v>0.76190476190476186</v>
      </c>
      <c r="I171" t="s">
        <v>17952</v>
      </c>
      <c r="J171">
        <v>100</v>
      </c>
      <c r="K171" t="s">
        <v>17955</v>
      </c>
      <c r="L171" t="s">
        <v>17955</v>
      </c>
      <c r="M171">
        <v>0</v>
      </c>
      <c r="N171">
        <v>0</v>
      </c>
      <c r="O171">
        <v>100</v>
      </c>
      <c r="P171" s="9">
        <v>0</v>
      </c>
      <c r="Q171" s="9" t="s">
        <v>17955</v>
      </c>
      <c r="R171" s="9" t="s">
        <v>17955</v>
      </c>
      <c r="S171" t="s">
        <v>17957</v>
      </c>
      <c r="T171" t="s">
        <v>1140</v>
      </c>
      <c r="U171" t="s">
        <v>1140</v>
      </c>
      <c r="V171" t="s">
        <v>1140</v>
      </c>
      <c r="W171" t="s">
        <v>1140</v>
      </c>
      <c r="X171" t="s">
        <v>1140</v>
      </c>
      <c r="Y171" t="s">
        <v>17957</v>
      </c>
      <c r="Z171">
        <v>12</v>
      </c>
      <c r="AA171">
        <v>11</v>
      </c>
      <c r="AB171">
        <v>12</v>
      </c>
      <c r="AC171">
        <v>13</v>
      </c>
      <c r="AD171">
        <v>8</v>
      </c>
      <c r="AE171">
        <v>56</v>
      </c>
      <c r="AF171">
        <v>0</v>
      </c>
      <c r="AL171">
        <v>2022</v>
      </c>
    </row>
    <row r="172" spans="1:38" x14ac:dyDescent="0.3">
      <c r="A172" t="s">
        <v>79</v>
      </c>
      <c r="B172" t="s">
        <v>20</v>
      </c>
      <c r="C172" t="s">
        <v>14</v>
      </c>
      <c r="D172">
        <v>250</v>
      </c>
      <c r="E172">
        <v>40</v>
      </c>
      <c r="F172">
        <v>210</v>
      </c>
      <c r="G172">
        <v>0.16</v>
      </c>
      <c r="H172">
        <v>0.84</v>
      </c>
      <c r="I172" t="s">
        <v>1191</v>
      </c>
      <c r="J172">
        <v>80</v>
      </c>
      <c r="K172">
        <v>0</v>
      </c>
      <c r="L172">
        <v>170</v>
      </c>
      <c r="M172">
        <v>0</v>
      </c>
      <c r="N172">
        <v>5</v>
      </c>
      <c r="O172">
        <v>35</v>
      </c>
      <c r="P172" s="9">
        <v>0</v>
      </c>
      <c r="Q172" s="9" t="s">
        <v>17955</v>
      </c>
      <c r="R172" s="9">
        <v>0.20588235294117646</v>
      </c>
      <c r="S172" t="s">
        <v>1140</v>
      </c>
      <c r="T172" t="s">
        <v>1140</v>
      </c>
      <c r="U172" t="s">
        <v>1140</v>
      </c>
      <c r="V172" t="s">
        <v>17957</v>
      </c>
      <c r="W172" t="s">
        <v>1140</v>
      </c>
      <c r="X172" t="s">
        <v>1140</v>
      </c>
      <c r="Y172" t="s">
        <v>17957</v>
      </c>
      <c r="Z172">
        <v>1</v>
      </c>
      <c r="AA172">
        <v>2</v>
      </c>
      <c r="AB172">
        <v>1</v>
      </c>
      <c r="AC172">
        <v>1</v>
      </c>
      <c r="AD172">
        <v>0</v>
      </c>
      <c r="AE172">
        <v>5</v>
      </c>
      <c r="AF172">
        <v>22</v>
      </c>
      <c r="AL172">
        <v>2022</v>
      </c>
    </row>
    <row r="173" spans="1:38" x14ac:dyDescent="0.3">
      <c r="A173" t="s">
        <v>81</v>
      </c>
      <c r="B173" t="s">
        <v>20</v>
      </c>
      <c r="C173" t="s">
        <v>14</v>
      </c>
      <c r="D173" t="s">
        <v>17955</v>
      </c>
      <c r="E173" t="s">
        <v>17955</v>
      </c>
      <c r="F173" t="s">
        <v>17955</v>
      </c>
      <c r="G173" t="s">
        <v>17955</v>
      </c>
      <c r="H173" t="s">
        <v>17955</v>
      </c>
      <c r="I173" t="s">
        <v>17954</v>
      </c>
      <c r="J173" t="s">
        <v>17955</v>
      </c>
      <c r="K173" t="s">
        <v>17955</v>
      </c>
      <c r="L173" t="s">
        <v>17955</v>
      </c>
      <c r="M173">
        <v>0</v>
      </c>
      <c r="N173">
        <v>0</v>
      </c>
      <c r="O173" t="s">
        <v>17955</v>
      </c>
      <c r="P173" s="9" t="s">
        <v>17955</v>
      </c>
      <c r="Q173" s="9" t="s">
        <v>17955</v>
      </c>
      <c r="R173" s="9" t="s">
        <v>17955</v>
      </c>
      <c r="S173" t="s">
        <v>17957</v>
      </c>
      <c r="T173" t="s">
        <v>17957</v>
      </c>
      <c r="U173" t="s">
        <v>17957</v>
      </c>
      <c r="V173" t="s">
        <v>1140</v>
      </c>
      <c r="W173" t="s">
        <v>1140</v>
      </c>
      <c r="X173" t="s">
        <v>1140</v>
      </c>
      <c r="Y173" t="s">
        <v>17957</v>
      </c>
      <c r="Z173" t="s">
        <v>17955</v>
      </c>
      <c r="AA173" t="s">
        <v>17955</v>
      </c>
      <c r="AB173" t="s">
        <v>17955</v>
      </c>
      <c r="AC173" t="s">
        <v>17955</v>
      </c>
      <c r="AD173" t="s">
        <v>17955</v>
      </c>
      <c r="AE173">
        <v>0</v>
      </c>
      <c r="AF173">
        <v>0</v>
      </c>
      <c r="AL173">
        <v>2022</v>
      </c>
    </row>
    <row r="174" spans="1:38" x14ac:dyDescent="0.3">
      <c r="A174" t="s">
        <v>83</v>
      </c>
      <c r="B174" t="s">
        <v>17</v>
      </c>
      <c r="C174" t="s">
        <v>14</v>
      </c>
      <c r="D174">
        <v>44</v>
      </c>
      <c r="E174">
        <v>20</v>
      </c>
      <c r="F174">
        <v>24</v>
      </c>
      <c r="G174">
        <v>0.45454545454545453</v>
      </c>
      <c r="H174">
        <v>0.54545454545454541</v>
      </c>
      <c r="I174" t="s">
        <v>17953</v>
      </c>
      <c r="J174">
        <v>15</v>
      </c>
      <c r="K174">
        <v>5</v>
      </c>
      <c r="L174">
        <v>24</v>
      </c>
      <c r="M174">
        <v>2</v>
      </c>
      <c r="N174">
        <v>13</v>
      </c>
      <c r="O174">
        <v>5</v>
      </c>
      <c r="P174" s="9">
        <v>0.1</v>
      </c>
      <c r="Q174" s="9">
        <v>2.6</v>
      </c>
      <c r="R174" s="9">
        <v>0.20833333333333334</v>
      </c>
      <c r="S174" t="s">
        <v>1140</v>
      </c>
      <c r="T174" t="s">
        <v>1140</v>
      </c>
      <c r="U174" t="s">
        <v>1140</v>
      </c>
      <c r="V174" t="s">
        <v>17957</v>
      </c>
      <c r="W174" t="s">
        <v>1140</v>
      </c>
      <c r="X174" t="s">
        <v>1140</v>
      </c>
      <c r="Y174" t="s">
        <v>17957</v>
      </c>
      <c r="Z174">
        <v>0</v>
      </c>
      <c r="AA174">
        <v>0</v>
      </c>
      <c r="AB174">
        <v>1</v>
      </c>
      <c r="AC174">
        <v>1</v>
      </c>
      <c r="AD174">
        <v>1</v>
      </c>
      <c r="AE174">
        <v>3</v>
      </c>
      <c r="AF174">
        <v>8</v>
      </c>
      <c r="AL174">
        <v>2022</v>
      </c>
    </row>
    <row r="175" spans="1:38" x14ac:dyDescent="0.3">
      <c r="A175" t="s">
        <v>85</v>
      </c>
      <c r="B175" t="s">
        <v>20</v>
      </c>
      <c r="C175" t="s">
        <v>14</v>
      </c>
      <c r="D175" t="s">
        <v>17955</v>
      </c>
      <c r="E175" t="s">
        <v>17955</v>
      </c>
      <c r="F175" t="s">
        <v>17955</v>
      </c>
      <c r="G175" t="s">
        <v>17955</v>
      </c>
      <c r="H175" t="s">
        <v>17955</v>
      </c>
      <c r="I175" t="s">
        <v>17954</v>
      </c>
      <c r="J175" t="s">
        <v>17955</v>
      </c>
      <c r="K175" t="s">
        <v>17955</v>
      </c>
      <c r="L175" t="s">
        <v>17955</v>
      </c>
      <c r="M175">
        <v>0</v>
      </c>
      <c r="N175">
        <v>0</v>
      </c>
      <c r="O175" t="s">
        <v>17955</v>
      </c>
      <c r="P175" s="9" t="s">
        <v>17955</v>
      </c>
      <c r="Q175" s="9" t="s">
        <v>17955</v>
      </c>
      <c r="R175" s="9" t="s">
        <v>17955</v>
      </c>
      <c r="S175" t="s">
        <v>17957</v>
      </c>
      <c r="T175" t="s">
        <v>17957</v>
      </c>
      <c r="U175" t="s">
        <v>17957</v>
      </c>
      <c r="V175" t="s">
        <v>1140</v>
      </c>
      <c r="W175" t="s">
        <v>1140</v>
      </c>
      <c r="X175" t="s">
        <v>1140</v>
      </c>
      <c r="Y175" t="s">
        <v>17957</v>
      </c>
      <c r="Z175" t="s">
        <v>17955</v>
      </c>
      <c r="AA175" t="s">
        <v>17955</v>
      </c>
      <c r="AB175" t="s">
        <v>17955</v>
      </c>
      <c r="AC175" t="s">
        <v>17955</v>
      </c>
      <c r="AD175" t="s">
        <v>17955</v>
      </c>
      <c r="AE175">
        <v>0</v>
      </c>
      <c r="AF175">
        <v>0</v>
      </c>
      <c r="AL175">
        <v>2022</v>
      </c>
    </row>
    <row r="176" spans="1:38" x14ac:dyDescent="0.3">
      <c r="A176" t="s">
        <v>87</v>
      </c>
      <c r="B176" t="s">
        <v>20</v>
      </c>
      <c r="C176" t="s">
        <v>14</v>
      </c>
      <c r="D176">
        <v>65</v>
      </c>
      <c r="E176">
        <v>0</v>
      </c>
      <c r="F176">
        <v>65</v>
      </c>
      <c r="G176">
        <v>0</v>
      </c>
      <c r="H176">
        <v>1</v>
      </c>
      <c r="I176" t="s">
        <v>1197</v>
      </c>
      <c r="J176">
        <v>10</v>
      </c>
      <c r="K176">
        <v>3</v>
      </c>
      <c r="L176">
        <v>52</v>
      </c>
      <c r="M176">
        <v>1</v>
      </c>
      <c r="N176">
        <v>9</v>
      </c>
      <c r="O176" t="s">
        <v>17955</v>
      </c>
      <c r="P176" s="9" t="s">
        <v>17955</v>
      </c>
      <c r="Q176" s="9">
        <v>3</v>
      </c>
      <c r="R176" s="9" t="s">
        <v>17955</v>
      </c>
      <c r="S176" t="s">
        <v>1140</v>
      </c>
      <c r="T176" t="s">
        <v>17957</v>
      </c>
      <c r="U176" t="s">
        <v>17957</v>
      </c>
      <c r="V176" t="s">
        <v>17957</v>
      </c>
      <c r="W176" t="s">
        <v>17957</v>
      </c>
      <c r="X176" t="s">
        <v>1140</v>
      </c>
      <c r="Y176" t="s">
        <v>17957</v>
      </c>
      <c r="Z176" t="s">
        <v>17955</v>
      </c>
      <c r="AA176" t="s">
        <v>17955</v>
      </c>
      <c r="AB176" t="s">
        <v>17955</v>
      </c>
      <c r="AC176" t="s">
        <v>17955</v>
      </c>
      <c r="AD176" t="s">
        <v>17955</v>
      </c>
      <c r="AE176">
        <v>0</v>
      </c>
      <c r="AF176">
        <v>3</v>
      </c>
      <c r="AL176">
        <v>2022</v>
      </c>
    </row>
    <row r="177" spans="1:38" x14ac:dyDescent="0.3">
      <c r="A177" t="s">
        <v>89</v>
      </c>
      <c r="B177" t="s">
        <v>20</v>
      </c>
      <c r="C177" t="s">
        <v>14</v>
      </c>
      <c r="D177" t="s">
        <v>17955</v>
      </c>
      <c r="E177" t="s">
        <v>17955</v>
      </c>
      <c r="F177" t="s">
        <v>17955</v>
      </c>
      <c r="G177" t="s">
        <v>17955</v>
      </c>
      <c r="H177" t="s">
        <v>17955</v>
      </c>
      <c r="I177" t="s">
        <v>17954</v>
      </c>
      <c r="J177" t="s">
        <v>17955</v>
      </c>
      <c r="K177" t="s">
        <v>17955</v>
      </c>
      <c r="L177" t="s">
        <v>17955</v>
      </c>
      <c r="M177">
        <v>0</v>
      </c>
      <c r="N177">
        <v>0</v>
      </c>
      <c r="O177" t="s">
        <v>17955</v>
      </c>
      <c r="P177" s="9" t="s">
        <v>17955</v>
      </c>
      <c r="Q177" s="9" t="s">
        <v>17955</v>
      </c>
      <c r="R177" s="9" t="s">
        <v>17955</v>
      </c>
      <c r="S177" t="s">
        <v>17957</v>
      </c>
      <c r="T177" t="s">
        <v>17957</v>
      </c>
      <c r="U177" t="s">
        <v>17957</v>
      </c>
      <c r="V177" t="s">
        <v>1140</v>
      </c>
      <c r="W177" t="s">
        <v>1140</v>
      </c>
      <c r="X177" t="s">
        <v>1140</v>
      </c>
      <c r="Y177" t="s">
        <v>17957</v>
      </c>
      <c r="Z177" t="s">
        <v>17955</v>
      </c>
      <c r="AA177" t="s">
        <v>17955</v>
      </c>
      <c r="AB177" t="s">
        <v>17955</v>
      </c>
      <c r="AC177" t="s">
        <v>17955</v>
      </c>
      <c r="AD177" t="s">
        <v>17955</v>
      </c>
      <c r="AE177">
        <v>0</v>
      </c>
      <c r="AF177">
        <v>0</v>
      </c>
      <c r="AL177">
        <v>2022</v>
      </c>
    </row>
    <row r="178" spans="1:38" x14ac:dyDescent="0.3">
      <c r="A178" t="s">
        <v>91</v>
      </c>
      <c r="B178" t="s">
        <v>1117</v>
      </c>
      <c r="C178" t="s">
        <v>14</v>
      </c>
      <c r="D178" t="s">
        <v>17955</v>
      </c>
      <c r="E178" t="s">
        <v>17955</v>
      </c>
      <c r="F178" t="s">
        <v>17955</v>
      </c>
      <c r="G178" t="s">
        <v>17955</v>
      </c>
      <c r="H178" t="s">
        <v>17955</v>
      </c>
      <c r="I178" t="s">
        <v>17954</v>
      </c>
      <c r="J178" t="s">
        <v>17955</v>
      </c>
      <c r="K178" t="s">
        <v>17955</v>
      </c>
      <c r="L178" t="s">
        <v>17955</v>
      </c>
      <c r="M178">
        <v>0</v>
      </c>
      <c r="N178">
        <v>0</v>
      </c>
      <c r="O178" t="s">
        <v>17955</v>
      </c>
      <c r="P178" s="9" t="s">
        <v>17955</v>
      </c>
      <c r="Q178" s="9" t="s">
        <v>17955</v>
      </c>
      <c r="R178" s="9" t="s">
        <v>17955</v>
      </c>
      <c r="S178" t="s">
        <v>17957</v>
      </c>
      <c r="T178" t="s">
        <v>17957</v>
      </c>
      <c r="U178" t="s">
        <v>17957</v>
      </c>
      <c r="V178" t="s">
        <v>1140</v>
      </c>
      <c r="W178" t="s">
        <v>1140</v>
      </c>
      <c r="X178" t="s">
        <v>1140</v>
      </c>
      <c r="Y178" t="s">
        <v>17957</v>
      </c>
      <c r="Z178" t="s">
        <v>17955</v>
      </c>
      <c r="AA178" t="s">
        <v>17955</v>
      </c>
      <c r="AB178" t="s">
        <v>17955</v>
      </c>
      <c r="AC178" t="s">
        <v>17955</v>
      </c>
      <c r="AD178" t="s">
        <v>17955</v>
      </c>
      <c r="AE178">
        <v>0</v>
      </c>
      <c r="AF178">
        <v>0</v>
      </c>
      <c r="AL178">
        <v>2022</v>
      </c>
    </row>
    <row r="179" spans="1:38" x14ac:dyDescent="0.3">
      <c r="A179" t="s">
        <v>93</v>
      </c>
      <c r="B179" t="s">
        <v>20</v>
      </c>
      <c r="C179" t="s">
        <v>14</v>
      </c>
      <c r="D179" t="s">
        <v>17955</v>
      </c>
      <c r="E179" t="s">
        <v>17955</v>
      </c>
      <c r="F179" t="s">
        <v>17955</v>
      </c>
      <c r="G179" t="s">
        <v>17955</v>
      </c>
      <c r="H179" t="s">
        <v>17955</v>
      </c>
      <c r="I179" t="s">
        <v>17954</v>
      </c>
      <c r="J179" t="s">
        <v>17955</v>
      </c>
      <c r="K179" t="s">
        <v>17955</v>
      </c>
      <c r="L179" t="s">
        <v>17955</v>
      </c>
      <c r="M179">
        <v>0</v>
      </c>
      <c r="N179">
        <v>0</v>
      </c>
      <c r="O179" t="s">
        <v>17955</v>
      </c>
      <c r="P179" s="9" t="s">
        <v>17955</v>
      </c>
      <c r="Q179" s="9" t="s">
        <v>17955</v>
      </c>
      <c r="R179" s="9" t="s">
        <v>17955</v>
      </c>
      <c r="S179" t="s">
        <v>17957</v>
      </c>
      <c r="T179" t="s">
        <v>17957</v>
      </c>
      <c r="U179" t="s">
        <v>17957</v>
      </c>
      <c r="V179" t="s">
        <v>1140</v>
      </c>
      <c r="W179" t="s">
        <v>1140</v>
      </c>
      <c r="X179" t="s">
        <v>1140</v>
      </c>
      <c r="Y179" t="s">
        <v>17957</v>
      </c>
      <c r="Z179" t="s">
        <v>17955</v>
      </c>
      <c r="AA179" t="s">
        <v>17955</v>
      </c>
      <c r="AB179" t="s">
        <v>17955</v>
      </c>
      <c r="AC179" t="s">
        <v>17955</v>
      </c>
      <c r="AD179" t="s">
        <v>17955</v>
      </c>
      <c r="AE179">
        <v>0</v>
      </c>
      <c r="AF179">
        <v>0</v>
      </c>
      <c r="AL179">
        <v>2022</v>
      </c>
    </row>
    <row r="180" spans="1:38" x14ac:dyDescent="0.3">
      <c r="A180" t="s">
        <v>95</v>
      </c>
      <c r="B180" t="s">
        <v>20</v>
      </c>
      <c r="C180" t="s">
        <v>14</v>
      </c>
      <c r="D180" t="s">
        <v>17955</v>
      </c>
      <c r="E180" t="s">
        <v>17955</v>
      </c>
      <c r="F180" t="s">
        <v>17955</v>
      </c>
      <c r="G180" t="s">
        <v>17955</v>
      </c>
      <c r="H180" t="s">
        <v>17955</v>
      </c>
      <c r="I180" t="s">
        <v>17954</v>
      </c>
      <c r="J180" t="s">
        <v>17955</v>
      </c>
      <c r="K180" t="s">
        <v>17955</v>
      </c>
      <c r="L180" t="s">
        <v>17955</v>
      </c>
      <c r="M180">
        <v>0</v>
      </c>
      <c r="N180">
        <v>0</v>
      </c>
      <c r="O180" t="s">
        <v>17955</v>
      </c>
      <c r="P180" s="9" t="s">
        <v>17955</v>
      </c>
      <c r="Q180" s="9" t="s">
        <v>17955</v>
      </c>
      <c r="R180" s="9" t="s">
        <v>17955</v>
      </c>
      <c r="S180" t="s">
        <v>17957</v>
      </c>
      <c r="T180" t="s">
        <v>17957</v>
      </c>
      <c r="U180" t="s">
        <v>17957</v>
      </c>
      <c r="V180" t="s">
        <v>1140</v>
      </c>
      <c r="W180" t="s">
        <v>1140</v>
      </c>
      <c r="X180" t="s">
        <v>1140</v>
      </c>
      <c r="Y180" t="s">
        <v>17957</v>
      </c>
      <c r="Z180" t="s">
        <v>17955</v>
      </c>
      <c r="AA180" t="s">
        <v>17955</v>
      </c>
      <c r="AB180" t="s">
        <v>17955</v>
      </c>
      <c r="AC180" t="s">
        <v>17955</v>
      </c>
      <c r="AD180" t="s">
        <v>17955</v>
      </c>
      <c r="AE180">
        <v>0</v>
      </c>
      <c r="AF180">
        <v>0</v>
      </c>
      <c r="AL180">
        <v>2022</v>
      </c>
    </row>
    <row r="181" spans="1:38" x14ac:dyDescent="0.3">
      <c r="A181" t="s">
        <v>97</v>
      </c>
      <c r="B181" t="s">
        <v>20</v>
      </c>
      <c r="C181" t="s">
        <v>14</v>
      </c>
      <c r="D181">
        <v>180</v>
      </c>
      <c r="E181">
        <v>30</v>
      </c>
      <c r="F181">
        <v>150</v>
      </c>
      <c r="G181">
        <v>0.16666666666666666</v>
      </c>
      <c r="H181">
        <v>0.83333333333333337</v>
      </c>
      <c r="I181" t="s">
        <v>1191</v>
      </c>
      <c r="J181">
        <v>60</v>
      </c>
      <c r="K181">
        <v>30</v>
      </c>
      <c r="L181">
        <v>90</v>
      </c>
      <c r="M181">
        <v>25</v>
      </c>
      <c r="N181">
        <v>25</v>
      </c>
      <c r="O181" t="s">
        <v>17955</v>
      </c>
      <c r="P181" s="9">
        <v>0.83333333333333337</v>
      </c>
      <c r="Q181" s="9">
        <v>0.83333333333333337</v>
      </c>
      <c r="R181" s="9" t="s">
        <v>17955</v>
      </c>
      <c r="S181" t="s">
        <v>1140</v>
      </c>
      <c r="T181" t="s">
        <v>17957</v>
      </c>
      <c r="U181" t="s">
        <v>17957</v>
      </c>
      <c r="V181" t="s">
        <v>1140</v>
      </c>
      <c r="W181" t="s">
        <v>17957</v>
      </c>
      <c r="X181" t="s">
        <v>1140</v>
      </c>
      <c r="Y181" t="s">
        <v>17957</v>
      </c>
      <c r="Z181" t="s">
        <v>17955</v>
      </c>
      <c r="AA181" t="s">
        <v>17955</v>
      </c>
      <c r="AB181" t="s">
        <v>17955</v>
      </c>
      <c r="AC181" t="s">
        <v>17955</v>
      </c>
      <c r="AD181" t="s">
        <v>17955</v>
      </c>
      <c r="AE181">
        <v>0</v>
      </c>
      <c r="AF181">
        <v>16</v>
      </c>
      <c r="AL181">
        <v>2022</v>
      </c>
    </row>
    <row r="182" spans="1:38" x14ac:dyDescent="0.3">
      <c r="A182" t="s">
        <v>99</v>
      </c>
      <c r="B182" t="s">
        <v>17</v>
      </c>
      <c r="C182" t="s">
        <v>14</v>
      </c>
      <c r="D182">
        <v>190</v>
      </c>
      <c r="E182">
        <v>0</v>
      </c>
      <c r="F182">
        <v>190</v>
      </c>
      <c r="G182">
        <v>0</v>
      </c>
      <c r="H182">
        <v>1</v>
      </c>
      <c r="I182" t="s">
        <v>1191</v>
      </c>
      <c r="J182">
        <v>40</v>
      </c>
      <c r="K182">
        <v>50</v>
      </c>
      <c r="L182">
        <v>100</v>
      </c>
      <c r="M182">
        <v>0</v>
      </c>
      <c r="N182">
        <v>0</v>
      </c>
      <c r="O182" t="s">
        <v>17955</v>
      </c>
      <c r="P182" s="9" t="s">
        <v>17955</v>
      </c>
      <c r="Q182" s="9">
        <v>0</v>
      </c>
      <c r="R182" s="9" t="s">
        <v>17955</v>
      </c>
      <c r="S182" t="s">
        <v>1140</v>
      </c>
      <c r="T182" t="s">
        <v>17957</v>
      </c>
      <c r="U182" t="s">
        <v>17957</v>
      </c>
      <c r="V182" t="s">
        <v>1140</v>
      </c>
      <c r="W182" t="s">
        <v>17957</v>
      </c>
      <c r="X182" t="s">
        <v>1140</v>
      </c>
      <c r="Y182" t="s">
        <v>17957</v>
      </c>
      <c r="Z182" t="s">
        <v>17955</v>
      </c>
      <c r="AA182" t="s">
        <v>17955</v>
      </c>
      <c r="AB182" t="s">
        <v>17955</v>
      </c>
      <c r="AC182" t="s">
        <v>17955</v>
      </c>
      <c r="AD182" t="s">
        <v>17955</v>
      </c>
      <c r="AE182">
        <v>0</v>
      </c>
      <c r="AF182">
        <v>17</v>
      </c>
      <c r="AL182">
        <v>2022</v>
      </c>
    </row>
    <row r="183" spans="1:38" x14ac:dyDescent="0.3">
      <c r="A183" t="s">
        <v>101</v>
      </c>
      <c r="B183" t="s">
        <v>17</v>
      </c>
      <c r="C183" t="s">
        <v>14</v>
      </c>
      <c r="D183" t="s">
        <v>17955</v>
      </c>
      <c r="E183" t="s">
        <v>17955</v>
      </c>
      <c r="F183" t="s">
        <v>17955</v>
      </c>
      <c r="G183" t="s">
        <v>17955</v>
      </c>
      <c r="H183" t="s">
        <v>17955</v>
      </c>
      <c r="I183" t="s">
        <v>17954</v>
      </c>
      <c r="J183" t="s">
        <v>17955</v>
      </c>
      <c r="K183" t="s">
        <v>17955</v>
      </c>
      <c r="L183" t="s">
        <v>17955</v>
      </c>
      <c r="M183">
        <v>0</v>
      </c>
      <c r="N183">
        <v>0</v>
      </c>
      <c r="O183" t="s">
        <v>17955</v>
      </c>
      <c r="P183" s="9" t="s">
        <v>17955</v>
      </c>
      <c r="Q183" s="9" t="s">
        <v>17955</v>
      </c>
      <c r="R183" s="9" t="s">
        <v>17955</v>
      </c>
      <c r="S183" t="s">
        <v>17957</v>
      </c>
      <c r="T183" t="s">
        <v>17957</v>
      </c>
      <c r="U183" t="s">
        <v>17957</v>
      </c>
      <c r="V183" t="s">
        <v>1140</v>
      </c>
      <c r="W183" t="s">
        <v>1140</v>
      </c>
      <c r="X183" t="s">
        <v>1140</v>
      </c>
      <c r="Y183" t="s">
        <v>17957</v>
      </c>
      <c r="Z183" t="s">
        <v>17955</v>
      </c>
      <c r="AA183" t="s">
        <v>17955</v>
      </c>
      <c r="AB183" t="s">
        <v>17955</v>
      </c>
      <c r="AC183" t="s">
        <v>17955</v>
      </c>
      <c r="AD183" t="s">
        <v>17955</v>
      </c>
      <c r="AE183">
        <v>0</v>
      </c>
      <c r="AF183">
        <v>0</v>
      </c>
      <c r="AL183">
        <v>2022</v>
      </c>
    </row>
    <row r="184" spans="1:38" x14ac:dyDescent="0.3">
      <c r="A184" t="s">
        <v>103</v>
      </c>
      <c r="B184" t="s">
        <v>17</v>
      </c>
      <c r="C184" t="s">
        <v>14</v>
      </c>
      <c r="D184">
        <v>28</v>
      </c>
      <c r="E184">
        <v>6</v>
      </c>
      <c r="F184">
        <v>22</v>
      </c>
      <c r="G184">
        <v>0.21428571428571427</v>
      </c>
      <c r="H184">
        <v>0.7857142857142857</v>
      </c>
      <c r="I184" t="s">
        <v>17953</v>
      </c>
      <c r="J184">
        <v>6</v>
      </c>
      <c r="K184">
        <v>4</v>
      </c>
      <c r="L184">
        <v>18</v>
      </c>
      <c r="M184">
        <v>1</v>
      </c>
      <c r="N184">
        <v>3</v>
      </c>
      <c r="O184">
        <v>2</v>
      </c>
      <c r="P184" s="9">
        <v>0.16666666666666666</v>
      </c>
      <c r="Q184" s="9">
        <v>0.75</v>
      </c>
      <c r="R184" s="9">
        <v>0.1111111111111111</v>
      </c>
      <c r="S184" t="s">
        <v>1140</v>
      </c>
      <c r="T184" t="s">
        <v>1140</v>
      </c>
      <c r="U184" t="s">
        <v>1140</v>
      </c>
      <c r="V184" t="s">
        <v>1140</v>
      </c>
      <c r="W184" t="s">
        <v>1140</v>
      </c>
      <c r="X184" t="s">
        <v>1140</v>
      </c>
      <c r="Y184" t="s">
        <v>1140</v>
      </c>
      <c r="Z184">
        <v>0</v>
      </c>
      <c r="AA184">
        <v>0</v>
      </c>
      <c r="AB184">
        <v>5</v>
      </c>
      <c r="AC184">
        <v>4</v>
      </c>
      <c r="AD184">
        <v>2</v>
      </c>
      <c r="AE184">
        <v>11</v>
      </c>
      <c r="AF184">
        <v>0</v>
      </c>
      <c r="AL184">
        <v>2022</v>
      </c>
    </row>
    <row r="185" spans="1:38" x14ac:dyDescent="0.3">
      <c r="A185" t="s">
        <v>105</v>
      </c>
      <c r="B185" t="s">
        <v>17</v>
      </c>
      <c r="C185" t="s">
        <v>14</v>
      </c>
      <c r="D185">
        <v>155</v>
      </c>
      <c r="E185">
        <v>35</v>
      </c>
      <c r="F185">
        <v>120</v>
      </c>
      <c r="G185">
        <v>0.22580645161290322</v>
      </c>
      <c r="H185">
        <v>0.77419354838709675</v>
      </c>
      <c r="I185" t="s">
        <v>1191</v>
      </c>
      <c r="J185">
        <v>24</v>
      </c>
      <c r="K185">
        <v>60</v>
      </c>
      <c r="L185">
        <v>71</v>
      </c>
      <c r="M185">
        <v>0</v>
      </c>
      <c r="N185">
        <v>24</v>
      </c>
      <c r="O185">
        <v>11</v>
      </c>
      <c r="P185" s="9">
        <v>0</v>
      </c>
      <c r="Q185" s="9">
        <v>0.4</v>
      </c>
      <c r="R185" s="9">
        <v>0.15492957746478872</v>
      </c>
      <c r="S185" t="s">
        <v>1140</v>
      </c>
      <c r="T185" t="s">
        <v>1140</v>
      </c>
      <c r="U185" t="s">
        <v>1140</v>
      </c>
      <c r="V185" t="s">
        <v>1140</v>
      </c>
      <c r="W185" t="s">
        <v>1140</v>
      </c>
      <c r="X185" t="s">
        <v>1140</v>
      </c>
      <c r="Y185" t="s">
        <v>1140</v>
      </c>
      <c r="Z185" t="s">
        <v>17955</v>
      </c>
      <c r="AA185" t="s">
        <v>17955</v>
      </c>
      <c r="AB185" t="s">
        <v>17955</v>
      </c>
      <c r="AC185" t="s">
        <v>17955</v>
      </c>
      <c r="AD185" t="s">
        <v>17955</v>
      </c>
      <c r="AE185">
        <v>0</v>
      </c>
      <c r="AF185">
        <v>12</v>
      </c>
      <c r="AL185">
        <v>2022</v>
      </c>
    </row>
    <row r="186" spans="1:38" x14ac:dyDescent="0.3">
      <c r="A186" t="s">
        <v>107</v>
      </c>
      <c r="B186" t="s">
        <v>17</v>
      </c>
      <c r="C186" t="s">
        <v>14</v>
      </c>
      <c r="D186" t="s">
        <v>17955</v>
      </c>
      <c r="E186" t="s">
        <v>17955</v>
      </c>
      <c r="F186" t="s">
        <v>17955</v>
      </c>
      <c r="G186" t="s">
        <v>17955</v>
      </c>
      <c r="H186" t="s">
        <v>17955</v>
      </c>
      <c r="I186" t="s">
        <v>17954</v>
      </c>
      <c r="J186" t="s">
        <v>17955</v>
      </c>
      <c r="K186" t="s">
        <v>17955</v>
      </c>
      <c r="L186" t="s">
        <v>17955</v>
      </c>
      <c r="M186">
        <v>0</v>
      </c>
      <c r="N186">
        <v>0</v>
      </c>
      <c r="O186" t="s">
        <v>17955</v>
      </c>
      <c r="P186" s="9" t="s">
        <v>17955</v>
      </c>
      <c r="Q186" s="9" t="s">
        <v>17955</v>
      </c>
      <c r="R186" s="9" t="s">
        <v>17955</v>
      </c>
      <c r="S186" t="s">
        <v>17957</v>
      </c>
      <c r="T186" t="s">
        <v>17957</v>
      </c>
      <c r="U186" t="s">
        <v>17957</v>
      </c>
      <c r="V186" t="s">
        <v>1140</v>
      </c>
      <c r="W186" t="s">
        <v>1140</v>
      </c>
      <c r="X186" t="s">
        <v>1140</v>
      </c>
      <c r="Y186" t="s">
        <v>17957</v>
      </c>
      <c r="Z186" t="s">
        <v>17955</v>
      </c>
      <c r="AA186" t="s">
        <v>17955</v>
      </c>
      <c r="AB186" t="s">
        <v>17955</v>
      </c>
      <c r="AC186" t="s">
        <v>17955</v>
      </c>
      <c r="AD186" t="s">
        <v>17955</v>
      </c>
      <c r="AE186">
        <v>0</v>
      </c>
      <c r="AF186">
        <v>0</v>
      </c>
      <c r="AL186">
        <v>2022</v>
      </c>
    </row>
    <row r="187" spans="1:38" x14ac:dyDescent="0.3">
      <c r="A187" t="s">
        <v>109</v>
      </c>
      <c r="B187" t="s">
        <v>17</v>
      </c>
      <c r="C187" t="s">
        <v>14</v>
      </c>
      <c r="D187">
        <v>88</v>
      </c>
      <c r="E187">
        <v>15</v>
      </c>
      <c r="F187">
        <v>73</v>
      </c>
      <c r="G187">
        <v>0.17045454545454544</v>
      </c>
      <c r="H187">
        <v>0.82954545454545459</v>
      </c>
      <c r="I187" t="s">
        <v>1197</v>
      </c>
      <c r="J187">
        <v>12</v>
      </c>
      <c r="K187">
        <v>1</v>
      </c>
      <c r="L187">
        <v>75</v>
      </c>
      <c r="M187">
        <v>0</v>
      </c>
      <c r="N187">
        <v>0</v>
      </c>
      <c r="O187">
        <v>15</v>
      </c>
      <c r="P187" s="9">
        <v>0</v>
      </c>
      <c r="Q187" s="9">
        <v>0</v>
      </c>
      <c r="R187" s="9">
        <v>0.2</v>
      </c>
      <c r="S187" t="s">
        <v>1140</v>
      </c>
      <c r="T187" t="s">
        <v>1140</v>
      </c>
      <c r="U187" t="s">
        <v>1140</v>
      </c>
      <c r="V187" t="s">
        <v>1140</v>
      </c>
      <c r="W187" t="s">
        <v>1140</v>
      </c>
      <c r="X187" t="s">
        <v>1140</v>
      </c>
      <c r="Y187" t="s">
        <v>1140</v>
      </c>
      <c r="Z187">
        <v>0</v>
      </c>
      <c r="AA187">
        <v>6</v>
      </c>
      <c r="AB187">
        <v>14</v>
      </c>
      <c r="AC187">
        <v>10</v>
      </c>
      <c r="AD187">
        <v>3</v>
      </c>
      <c r="AE187">
        <v>33</v>
      </c>
      <c r="AF187">
        <v>13</v>
      </c>
      <c r="AL187">
        <v>2022</v>
      </c>
    </row>
    <row r="188" spans="1:38" x14ac:dyDescent="0.3">
      <c r="A188" t="s">
        <v>111</v>
      </c>
      <c r="B188" t="s">
        <v>17</v>
      </c>
      <c r="C188" t="s">
        <v>14</v>
      </c>
      <c r="D188">
        <v>18</v>
      </c>
      <c r="E188">
        <v>4</v>
      </c>
      <c r="F188">
        <v>14</v>
      </c>
      <c r="G188">
        <v>0.22222222222222221</v>
      </c>
      <c r="H188">
        <v>0.77777777777777779</v>
      </c>
      <c r="I188" t="s">
        <v>17953</v>
      </c>
      <c r="J188">
        <v>11</v>
      </c>
      <c r="K188">
        <v>2</v>
      </c>
      <c r="L188">
        <v>5</v>
      </c>
      <c r="M188">
        <v>0</v>
      </c>
      <c r="N188">
        <v>0</v>
      </c>
      <c r="O188">
        <v>4</v>
      </c>
      <c r="P188" s="9">
        <v>0</v>
      </c>
      <c r="Q188" s="9">
        <v>0</v>
      </c>
      <c r="R188" s="9">
        <v>0.8</v>
      </c>
      <c r="S188" t="s">
        <v>1140</v>
      </c>
      <c r="T188" t="s">
        <v>1140</v>
      </c>
      <c r="U188" t="s">
        <v>1140</v>
      </c>
      <c r="V188" t="s">
        <v>1140</v>
      </c>
      <c r="W188" t="s">
        <v>1140</v>
      </c>
      <c r="X188" t="s">
        <v>1140</v>
      </c>
      <c r="Y188" t="s">
        <v>1140</v>
      </c>
      <c r="Z188">
        <v>2</v>
      </c>
      <c r="AA188">
        <v>7</v>
      </c>
      <c r="AB188">
        <v>15</v>
      </c>
      <c r="AC188">
        <v>6</v>
      </c>
      <c r="AD188">
        <v>14</v>
      </c>
      <c r="AE188">
        <v>44</v>
      </c>
      <c r="AF188">
        <v>10</v>
      </c>
      <c r="AL188">
        <v>2022</v>
      </c>
    </row>
    <row r="189" spans="1:38" x14ac:dyDescent="0.3">
      <c r="A189" t="s">
        <v>113</v>
      </c>
      <c r="B189" t="s">
        <v>17</v>
      </c>
      <c r="C189" t="s">
        <v>14</v>
      </c>
      <c r="D189">
        <v>43</v>
      </c>
      <c r="E189">
        <v>15</v>
      </c>
      <c r="F189">
        <v>28</v>
      </c>
      <c r="G189">
        <v>0.34883720930232559</v>
      </c>
      <c r="H189">
        <v>0.65116279069767447</v>
      </c>
      <c r="I189" t="s">
        <v>17953</v>
      </c>
      <c r="J189">
        <v>25</v>
      </c>
      <c r="K189">
        <v>5</v>
      </c>
      <c r="L189">
        <v>13</v>
      </c>
      <c r="M189">
        <v>4</v>
      </c>
      <c r="N189">
        <v>8</v>
      </c>
      <c r="O189">
        <v>3</v>
      </c>
      <c r="P189" s="9">
        <v>0.26666666666666666</v>
      </c>
      <c r="Q189" s="9">
        <v>1.6</v>
      </c>
      <c r="R189" s="9">
        <v>0.23076923076923078</v>
      </c>
      <c r="S189" t="s">
        <v>1140</v>
      </c>
      <c r="T189" t="s">
        <v>1140</v>
      </c>
      <c r="U189" t="s">
        <v>1140</v>
      </c>
      <c r="V189" t="s">
        <v>17957</v>
      </c>
      <c r="W189" t="s">
        <v>1140</v>
      </c>
      <c r="X189" t="s">
        <v>1140</v>
      </c>
      <c r="Y189" t="s">
        <v>17957</v>
      </c>
      <c r="Z189" t="s">
        <v>17955</v>
      </c>
      <c r="AA189" t="s">
        <v>17955</v>
      </c>
      <c r="AB189" t="s">
        <v>17955</v>
      </c>
      <c r="AC189" t="s">
        <v>17955</v>
      </c>
      <c r="AD189" t="s">
        <v>17955</v>
      </c>
      <c r="AE189">
        <v>0</v>
      </c>
      <c r="AF189">
        <v>11</v>
      </c>
      <c r="AL189">
        <v>2022</v>
      </c>
    </row>
    <row r="190" spans="1:38" x14ac:dyDescent="0.3">
      <c r="A190" t="s">
        <v>115</v>
      </c>
      <c r="B190" t="s">
        <v>17</v>
      </c>
      <c r="C190" t="s">
        <v>14</v>
      </c>
      <c r="D190">
        <v>70</v>
      </c>
      <c r="E190">
        <v>10</v>
      </c>
      <c r="F190">
        <v>60</v>
      </c>
      <c r="G190">
        <v>0.14285714285714285</v>
      </c>
      <c r="H190">
        <v>0.85714285714285721</v>
      </c>
      <c r="I190" t="s">
        <v>1197</v>
      </c>
      <c r="J190">
        <v>28</v>
      </c>
      <c r="K190">
        <v>0</v>
      </c>
      <c r="L190">
        <v>42</v>
      </c>
      <c r="M190">
        <v>0</v>
      </c>
      <c r="N190">
        <v>8</v>
      </c>
      <c r="O190">
        <v>2</v>
      </c>
      <c r="P190" s="9">
        <v>0</v>
      </c>
      <c r="Q190" s="9" t="s">
        <v>17955</v>
      </c>
      <c r="R190" s="9">
        <v>4.7619047619047616E-2</v>
      </c>
      <c r="S190" t="s">
        <v>1140</v>
      </c>
      <c r="T190" t="s">
        <v>1140</v>
      </c>
      <c r="U190" t="s">
        <v>1140</v>
      </c>
      <c r="V190" t="s">
        <v>17957</v>
      </c>
      <c r="W190" t="s">
        <v>1140</v>
      </c>
      <c r="X190" t="s">
        <v>1140</v>
      </c>
      <c r="Y190" t="s">
        <v>17957</v>
      </c>
      <c r="Z190">
        <v>0</v>
      </c>
      <c r="AA190">
        <v>0</v>
      </c>
      <c r="AB190">
        <v>0</v>
      </c>
      <c r="AC190">
        <v>0</v>
      </c>
      <c r="AD190">
        <v>0</v>
      </c>
      <c r="AE190">
        <v>0</v>
      </c>
      <c r="AF190">
        <v>0</v>
      </c>
      <c r="AL190">
        <v>2022</v>
      </c>
    </row>
    <row r="191" spans="1:38" x14ac:dyDescent="0.3">
      <c r="A191" t="s">
        <v>117</v>
      </c>
      <c r="B191" t="s">
        <v>17</v>
      </c>
      <c r="C191" t="s">
        <v>14</v>
      </c>
      <c r="D191">
        <v>48</v>
      </c>
      <c r="E191">
        <v>6</v>
      </c>
      <c r="F191">
        <v>42</v>
      </c>
      <c r="G191">
        <v>0.125</v>
      </c>
      <c r="H191">
        <v>0.875</v>
      </c>
      <c r="I191" t="s">
        <v>17953</v>
      </c>
      <c r="J191">
        <v>15</v>
      </c>
      <c r="K191">
        <v>2</v>
      </c>
      <c r="L191">
        <v>31</v>
      </c>
      <c r="M191">
        <v>0</v>
      </c>
      <c r="N191">
        <v>2</v>
      </c>
      <c r="O191">
        <v>4</v>
      </c>
      <c r="P191" s="9">
        <v>0</v>
      </c>
      <c r="Q191" s="9">
        <v>1</v>
      </c>
      <c r="R191" s="9">
        <v>0.12903225806451613</v>
      </c>
      <c r="S191" t="s">
        <v>1140</v>
      </c>
      <c r="T191" t="s">
        <v>1140</v>
      </c>
      <c r="U191" t="s">
        <v>1140</v>
      </c>
      <c r="V191" t="s">
        <v>1140</v>
      </c>
      <c r="W191" t="s">
        <v>1140</v>
      </c>
      <c r="X191" t="s">
        <v>1140</v>
      </c>
      <c r="Y191" t="s">
        <v>1140</v>
      </c>
      <c r="Z191">
        <v>0</v>
      </c>
      <c r="AA191">
        <v>2</v>
      </c>
      <c r="AB191">
        <v>1</v>
      </c>
      <c r="AC191">
        <v>0</v>
      </c>
      <c r="AD191">
        <v>16</v>
      </c>
      <c r="AE191">
        <v>19</v>
      </c>
      <c r="AF191">
        <v>10</v>
      </c>
      <c r="AL191">
        <v>2022</v>
      </c>
    </row>
    <row r="192" spans="1:38" x14ac:dyDescent="0.3">
      <c r="A192" t="s">
        <v>119</v>
      </c>
      <c r="B192" t="s">
        <v>17</v>
      </c>
      <c r="C192" t="s">
        <v>14</v>
      </c>
      <c r="D192">
        <v>48</v>
      </c>
      <c r="E192">
        <v>8</v>
      </c>
      <c r="F192">
        <v>40</v>
      </c>
      <c r="G192">
        <v>0.16666666666666666</v>
      </c>
      <c r="H192">
        <v>0.83333333333333337</v>
      </c>
      <c r="I192" t="s">
        <v>17953</v>
      </c>
      <c r="J192">
        <v>26</v>
      </c>
      <c r="K192">
        <v>3</v>
      </c>
      <c r="L192">
        <v>19</v>
      </c>
      <c r="M192">
        <v>3</v>
      </c>
      <c r="N192">
        <v>3</v>
      </c>
      <c r="O192">
        <v>2</v>
      </c>
      <c r="P192" s="9">
        <v>0.375</v>
      </c>
      <c r="Q192" s="9">
        <v>1</v>
      </c>
      <c r="R192" s="9">
        <v>0.10526315789473684</v>
      </c>
      <c r="S192" t="s">
        <v>1140</v>
      </c>
      <c r="T192" t="s">
        <v>1140</v>
      </c>
      <c r="U192" t="s">
        <v>1140</v>
      </c>
      <c r="V192" t="s">
        <v>1140</v>
      </c>
      <c r="W192" t="s">
        <v>1140</v>
      </c>
      <c r="X192" t="s">
        <v>1140</v>
      </c>
      <c r="Y192" t="s">
        <v>1140</v>
      </c>
      <c r="Z192">
        <v>0</v>
      </c>
      <c r="AA192">
        <v>0</v>
      </c>
      <c r="AB192">
        <v>0</v>
      </c>
      <c r="AC192">
        <v>0</v>
      </c>
      <c r="AD192">
        <v>0</v>
      </c>
      <c r="AE192">
        <v>0</v>
      </c>
      <c r="AF192">
        <v>8</v>
      </c>
      <c r="AL192">
        <v>2022</v>
      </c>
    </row>
    <row r="193" spans="1:38" x14ac:dyDescent="0.3">
      <c r="A193" t="s">
        <v>121</v>
      </c>
      <c r="B193" t="s">
        <v>17</v>
      </c>
      <c r="C193" t="s">
        <v>14</v>
      </c>
      <c r="D193">
        <v>60</v>
      </c>
      <c r="E193">
        <v>10</v>
      </c>
      <c r="F193">
        <v>50</v>
      </c>
      <c r="G193">
        <v>0.16666666666666666</v>
      </c>
      <c r="H193">
        <v>0.83333333333333337</v>
      </c>
      <c r="I193" t="s">
        <v>1197</v>
      </c>
      <c r="J193">
        <v>20</v>
      </c>
      <c r="K193">
        <v>0</v>
      </c>
      <c r="L193">
        <v>40</v>
      </c>
      <c r="M193">
        <v>0</v>
      </c>
      <c r="N193">
        <v>0</v>
      </c>
      <c r="O193">
        <v>10</v>
      </c>
      <c r="P193" s="9">
        <v>0</v>
      </c>
      <c r="Q193" s="9" t="s">
        <v>17955</v>
      </c>
      <c r="R193" s="9">
        <v>0.25</v>
      </c>
      <c r="S193" t="s">
        <v>1140</v>
      </c>
      <c r="T193" t="s">
        <v>1140</v>
      </c>
      <c r="U193" t="s">
        <v>1140</v>
      </c>
      <c r="V193" t="s">
        <v>1140</v>
      </c>
      <c r="W193" t="s">
        <v>1140</v>
      </c>
      <c r="X193" t="s">
        <v>1140</v>
      </c>
      <c r="Y193" t="s">
        <v>1140</v>
      </c>
      <c r="Z193" t="s">
        <v>17955</v>
      </c>
      <c r="AA193" t="s">
        <v>17955</v>
      </c>
      <c r="AB193" t="s">
        <v>17955</v>
      </c>
      <c r="AC193" t="s">
        <v>17955</v>
      </c>
      <c r="AD193" t="s">
        <v>17955</v>
      </c>
      <c r="AE193">
        <v>0</v>
      </c>
      <c r="AF193">
        <v>14</v>
      </c>
      <c r="AL193">
        <v>2022</v>
      </c>
    </row>
    <row r="194" spans="1:38" x14ac:dyDescent="0.3">
      <c r="A194" t="s">
        <v>123</v>
      </c>
      <c r="B194" t="s">
        <v>17</v>
      </c>
      <c r="C194" t="s">
        <v>14</v>
      </c>
      <c r="D194">
        <v>20</v>
      </c>
      <c r="E194">
        <v>6</v>
      </c>
      <c r="F194">
        <v>14</v>
      </c>
      <c r="G194">
        <v>0.3</v>
      </c>
      <c r="H194">
        <v>0.7</v>
      </c>
      <c r="I194" t="s">
        <v>17953</v>
      </c>
      <c r="J194">
        <v>3</v>
      </c>
      <c r="K194">
        <v>1</v>
      </c>
      <c r="L194">
        <v>16</v>
      </c>
      <c r="M194">
        <v>0</v>
      </c>
      <c r="N194">
        <v>1</v>
      </c>
      <c r="O194">
        <v>5</v>
      </c>
      <c r="P194" s="9">
        <v>0</v>
      </c>
      <c r="Q194" s="9">
        <v>1</v>
      </c>
      <c r="R194" s="9">
        <v>0.3125</v>
      </c>
      <c r="S194" t="s">
        <v>1140</v>
      </c>
      <c r="T194" t="s">
        <v>1140</v>
      </c>
      <c r="U194" t="s">
        <v>1140</v>
      </c>
      <c r="V194" t="s">
        <v>1140</v>
      </c>
      <c r="W194" t="s">
        <v>1140</v>
      </c>
      <c r="X194" t="s">
        <v>1140</v>
      </c>
      <c r="Y194" t="s">
        <v>1140</v>
      </c>
      <c r="Z194" t="s">
        <v>17955</v>
      </c>
      <c r="AA194" t="s">
        <v>17955</v>
      </c>
      <c r="AB194" t="s">
        <v>17955</v>
      </c>
      <c r="AC194" t="s">
        <v>17955</v>
      </c>
      <c r="AD194" t="s">
        <v>17955</v>
      </c>
      <c r="AE194">
        <v>0</v>
      </c>
      <c r="AF194">
        <v>0</v>
      </c>
      <c r="AL194">
        <v>2022</v>
      </c>
    </row>
    <row r="195" spans="1:38" x14ac:dyDescent="0.3">
      <c r="A195" t="s">
        <v>125</v>
      </c>
      <c r="B195" t="s">
        <v>17</v>
      </c>
      <c r="C195" t="s">
        <v>126</v>
      </c>
      <c r="D195">
        <v>50</v>
      </c>
      <c r="E195">
        <v>0</v>
      </c>
      <c r="F195">
        <v>50</v>
      </c>
      <c r="G195">
        <v>0</v>
      </c>
      <c r="H195">
        <v>1</v>
      </c>
      <c r="I195" t="s">
        <v>1197</v>
      </c>
      <c r="J195">
        <v>0</v>
      </c>
      <c r="K195">
        <v>2</v>
      </c>
      <c r="L195">
        <v>48</v>
      </c>
      <c r="M195">
        <v>0</v>
      </c>
      <c r="N195">
        <v>0</v>
      </c>
      <c r="O195" t="s">
        <v>17955</v>
      </c>
      <c r="P195" s="9" t="s">
        <v>17955</v>
      </c>
      <c r="Q195" s="9">
        <v>0</v>
      </c>
      <c r="R195" s="9" t="s">
        <v>17955</v>
      </c>
      <c r="S195" t="s">
        <v>1140</v>
      </c>
      <c r="T195" t="s">
        <v>17957</v>
      </c>
      <c r="U195" t="s">
        <v>17957</v>
      </c>
      <c r="V195" t="s">
        <v>1140</v>
      </c>
      <c r="W195" t="s">
        <v>17957</v>
      </c>
      <c r="X195" t="s">
        <v>1140</v>
      </c>
      <c r="Y195" t="s">
        <v>17957</v>
      </c>
      <c r="Z195">
        <v>2</v>
      </c>
      <c r="AA195">
        <v>0</v>
      </c>
      <c r="AB195">
        <v>7</v>
      </c>
      <c r="AC195">
        <v>8</v>
      </c>
      <c r="AD195">
        <v>13</v>
      </c>
      <c r="AE195">
        <v>30</v>
      </c>
      <c r="AF195">
        <v>11</v>
      </c>
      <c r="AL195">
        <v>2022</v>
      </c>
    </row>
    <row r="196" spans="1:38" x14ac:dyDescent="0.3">
      <c r="A196" t="s">
        <v>128</v>
      </c>
      <c r="B196" t="s">
        <v>17</v>
      </c>
      <c r="C196" t="s">
        <v>14</v>
      </c>
      <c r="D196" t="s">
        <v>17955</v>
      </c>
      <c r="E196" t="s">
        <v>17955</v>
      </c>
      <c r="F196" t="s">
        <v>17955</v>
      </c>
      <c r="G196" t="s">
        <v>17955</v>
      </c>
      <c r="H196" t="s">
        <v>17955</v>
      </c>
      <c r="I196" t="s">
        <v>17954</v>
      </c>
      <c r="J196" t="s">
        <v>17955</v>
      </c>
      <c r="K196" t="s">
        <v>17955</v>
      </c>
      <c r="L196" t="s">
        <v>17955</v>
      </c>
      <c r="M196">
        <v>0</v>
      </c>
      <c r="N196">
        <v>0</v>
      </c>
      <c r="O196" t="s">
        <v>17955</v>
      </c>
      <c r="P196" s="9" t="s">
        <v>17955</v>
      </c>
      <c r="Q196" s="9" t="s">
        <v>17955</v>
      </c>
      <c r="R196" s="9" t="s">
        <v>17955</v>
      </c>
      <c r="S196" t="s">
        <v>17957</v>
      </c>
      <c r="T196" t="s">
        <v>17957</v>
      </c>
      <c r="U196" t="s">
        <v>17957</v>
      </c>
      <c r="V196" t="s">
        <v>1140</v>
      </c>
      <c r="W196" t="s">
        <v>1140</v>
      </c>
      <c r="X196" t="s">
        <v>1140</v>
      </c>
      <c r="Y196" t="s">
        <v>17957</v>
      </c>
      <c r="Z196" t="s">
        <v>17955</v>
      </c>
      <c r="AA196" t="s">
        <v>17955</v>
      </c>
      <c r="AB196" t="s">
        <v>17955</v>
      </c>
      <c r="AC196" t="s">
        <v>17955</v>
      </c>
      <c r="AD196" t="s">
        <v>17955</v>
      </c>
      <c r="AE196">
        <v>0</v>
      </c>
      <c r="AF196">
        <v>0</v>
      </c>
      <c r="AL196">
        <v>2022</v>
      </c>
    </row>
    <row r="197" spans="1:38" x14ac:dyDescent="0.3">
      <c r="A197" t="s">
        <v>130</v>
      </c>
      <c r="B197" t="s">
        <v>132</v>
      </c>
      <c r="C197" t="s">
        <v>14</v>
      </c>
      <c r="D197">
        <v>458</v>
      </c>
      <c r="E197">
        <v>40</v>
      </c>
      <c r="F197">
        <v>418</v>
      </c>
      <c r="G197">
        <v>8.7336244541484712E-2</v>
      </c>
      <c r="H197">
        <v>0.9126637554585153</v>
      </c>
      <c r="I197" t="s">
        <v>17952</v>
      </c>
      <c r="J197">
        <v>110</v>
      </c>
      <c r="K197">
        <v>15</v>
      </c>
      <c r="L197">
        <v>333</v>
      </c>
      <c r="M197">
        <v>5</v>
      </c>
      <c r="N197">
        <v>15</v>
      </c>
      <c r="O197">
        <v>20</v>
      </c>
      <c r="P197" s="9">
        <v>0.125</v>
      </c>
      <c r="Q197" s="9">
        <v>1</v>
      </c>
      <c r="R197" s="9">
        <v>6.006006006006006E-2</v>
      </c>
      <c r="S197" t="s">
        <v>1140</v>
      </c>
      <c r="T197" t="s">
        <v>1140</v>
      </c>
      <c r="U197" t="s">
        <v>1140</v>
      </c>
      <c r="V197" t="s">
        <v>1140</v>
      </c>
      <c r="W197" t="s">
        <v>1140</v>
      </c>
      <c r="X197" t="s">
        <v>1140</v>
      </c>
      <c r="Y197" t="s">
        <v>1140</v>
      </c>
      <c r="Z197">
        <v>11</v>
      </c>
      <c r="AA197">
        <v>23</v>
      </c>
      <c r="AB197">
        <v>46</v>
      </c>
      <c r="AC197">
        <v>24</v>
      </c>
      <c r="AD197">
        <v>14</v>
      </c>
      <c r="AE197">
        <v>118</v>
      </c>
      <c r="AF197">
        <v>27</v>
      </c>
      <c r="AL197">
        <v>2022</v>
      </c>
    </row>
    <row r="198" spans="1:38" x14ac:dyDescent="0.3">
      <c r="A198" t="s">
        <v>133</v>
      </c>
      <c r="B198" t="s">
        <v>132</v>
      </c>
      <c r="C198" t="s">
        <v>14</v>
      </c>
      <c r="D198">
        <v>346</v>
      </c>
      <c r="E198">
        <v>30</v>
      </c>
      <c r="F198">
        <v>316</v>
      </c>
      <c r="G198">
        <v>8.6705202312138727E-2</v>
      </c>
      <c r="H198">
        <v>0.91329479768786126</v>
      </c>
      <c r="I198" t="s">
        <v>1191</v>
      </c>
      <c r="J198">
        <v>100</v>
      </c>
      <c r="K198">
        <v>36</v>
      </c>
      <c r="L198">
        <v>210</v>
      </c>
      <c r="M198">
        <v>10</v>
      </c>
      <c r="N198">
        <v>25</v>
      </c>
      <c r="O198" t="s">
        <v>17955</v>
      </c>
      <c r="P198" s="9">
        <v>0.33333333333333331</v>
      </c>
      <c r="Q198" s="9">
        <v>0.69444444444444442</v>
      </c>
      <c r="R198" s="9" t="s">
        <v>17955</v>
      </c>
      <c r="S198" t="s">
        <v>1140</v>
      </c>
      <c r="T198" t="s">
        <v>17957</v>
      </c>
      <c r="U198" t="s">
        <v>17957</v>
      </c>
      <c r="V198" t="s">
        <v>1140</v>
      </c>
      <c r="W198" t="s">
        <v>17957</v>
      </c>
      <c r="X198" t="s">
        <v>1140</v>
      </c>
      <c r="Y198" t="s">
        <v>17957</v>
      </c>
      <c r="Z198">
        <v>24</v>
      </c>
      <c r="AA198">
        <v>47</v>
      </c>
      <c r="AB198">
        <v>58</v>
      </c>
      <c r="AC198">
        <v>31</v>
      </c>
      <c r="AD198">
        <v>30</v>
      </c>
      <c r="AE198">
        <v>190</v>
      </c>
      <c r="AF198">
        <v>29</v>
      </c>
      <c r="AL198">
        <v>2022</v>
      </c>
    </row>
    <row r="199" spans="1:38" x14ac:dyDescent="0.3">
      <c r="A199" t="s">
        <v>135</v>
      </c>
      <c r="B199" t="s">
        <v>132</v>
      </c>
      <c r="C199" t="s">
        <v>14</v>
      </c>
      <c r="D199">
        <v>593</v>
      </c>
      <c r="E199">
        <v>50</v>
      </c>
      <c r="F199">
        <v>543</v>
      </c>
      <c r="G199">
        <v>8.4317032040472181E-2</v>
      </c>
      <c r="H199">
        <v>0.91568296795952786</v>
      </c>
      <c r="I199" t="s">
        <v>17952</v>
      </c>
      <c r="J199">
        <v>217</v>
      </c>
      <c r="K199">
        <v>1</v>
      </c>
      <c r="L199">
        <v>375</v>
      </c>
      <c r="M199">
        <v>0</v>
      </c>
      <c r="N199">
        <v>0</v>
      </c>
      <c r="O199">
        <v>50</v>
      </c>
      <c r="P199" s="9">
        <v>0</v>
      </c>
      <c r="Q199" s="9">
        <v>0</v>
      </c>
      <c r="R199" s="9">
        <v>0.13333333333333333</v>
      </c>
      <c r="S199" t="s">
        <v>1140</v>
      </c>
      <c r="T199" t="s">
        <v>1140</v>
      </c>
      <c r="U199" t="s">
        <v>1140</v>
      </c>
      <c r="V199" t="s">
        <v>1140</v>
      </c>
      <c r="W199" t="s">
        <v>1140</v>
      </c>
      <c r="X199" t="s">
        <v>1140</v>
      </c>
      <c r="Y199" t="s">
        <v>1140</v>
      </c>
      <c r="Z199">
        <v>10</v>
      </c>
      <c r="AA199">
        <v>5</v>
      </c>
      <c r="AB199">
        <v>0</v>
      </c>
      <c r="AC199">
        <v>3</v>
      </c>
      <c r="AD199">
        <v>0</v>
      </c>
      <c r="AE199">
        <v>18</v>
      </c>
      <c r="AF199">
        <v>59</v>
      </c>
      <c r="AL199">
        <v>2022</v>
      </c>
    </row>
    <row r="200" spans="1:38" x14ac:dyDescent="0.3">
      <c r="A200" t="s">
        <v>137</v>
      </c>
      <c r="B200" t="s">
        <v>132</v>
      </c>
      <c r="C200" t="s">
        <v>14</v>
      </c>
      <c r="D200">
        <v>442</v>
      </c>
      <c r="E200">
        <v>0</v>
      </c>
      <c r="F200">
        <v>442</v>
      </c>
      <c r="G200">
        <v>0</v>
      </c>
      <c r="H200">
        <v>1</v>
      </c>
      <c r="I200" t="s">
        <v>17952</v>
      </c>
      <c r="J200">
        <v>108</v>
      </c>
      <c r="K200">
        <v>36</v>
      </c>
      <c r="L200">
        <v>298</v>
      </c>
      <c r="M200">
        <v>5</v>
      </c>
      <c r="N200">
        <v>10</v>
      </c>
      <c r="O200" t="s">
        <v>17955</v>
      </c>
      <c r="P200" s="9" t="s">
        <v>17955</v>
      </c>
      <c r="Q200" s="9">
        <v>0.27777777777777779</v>
      </c>
      <c r="R200" s="9" t="s">
        <v>17955</v>
      </c>
      <c r="S200" t="s">
        <v>1140</v>
      </c>
      <c r="T200" t="s">
        <v>17957</v>
      </c>
      <c r="U200" t="s">
        <v>17957</v>
      </c>
      <c r="V200" t="s">
        <v>1140</v>
      </c>
      <c r="W200" t="s">
        <v>17957</v>
      </c>
      <c r="X200" t="s">
        <v>1140</v>
      </c>
      <c r="Y200" t="s">
        <v>17957</v>
      </c>
      <c r="Z200">
        <v>39</v>
      </c>
      <c r="AA200">
        <v>48</v>
      </c>
      <c r="AB200">
        <v>72</v>
      </c>
      <c r="AC200">
        <v>39</v>
      </c>
      <c r="AD200">
        <v>14</v>
      </c>
      <c r="AE200">
        <v>212</v>
      </c>
      <c r="AF200">
        <v>0</v>
      </c>
      <c r="AL200">
        <v>2022</v>
      </c>
    </row>
    <row r="201" spans="1:38" x14ac:dyDescent="0.3">
      <c r="A201" t="s">
        <v>139</v>
      </c>
      <c r="B201" t="s">
        <v>132</v>
      </c>
      <c r="C201" t="s">
        <v>14</v>
      </c>
      <c r="D201">
        <v>189</v>
      </c>
      <c r="E201">
        <v>30</v>
      </c>
      <c r="F201">
        <v>159</v>
      </c>
      <c r="G201">
        <v>0.15873015873015872</v>
      </c>
      <c r="H201">
        <v>0.84126984126984128</v>
      </c>
      <c r="I201" t="s">
        <v>1191</v>
      </c>
      <c r="J201">
        <v>75</v>
      </c>
      <c r="K201">
        <v>29</v>
      </c>
      <c r="L201">
        <v>85</v>
      </c>
      <c r="M201">
        <v>10</v>
      </c>
      <c r="N201">
        <v>20</v>
      </c>
      <c r="O201" t="s">
        <v>17955</v>
      </c>
      <c r="P201" s="9">
        <v>0.33333333333333331</v>
      </c>
      <c r="Q201" s="9">
        <v>0.68965517241379315</v>
      </c>
      <c r="R201" s="9" t="s">
        <v>17955</v>
      </c>
      <c r="S201" t="s">
        <v>1140</v>
      </c>
      <c r="T201" t="s">
        <v>17957</v>
      </c>
      <c r="U201" t="s">
        <v>17957</v>
      </c>
      <c r="V201" t="s">
        <v>1140</v>
      </c>
      <c r="W201" t="s">
        <v>17957</v>
      </c>
      <c r="X201" t="s">
        <v>1140</v>
      </c>
      <c r="Y201" t="s">
        <v>17957</v>
      </c>
      <c r="Z201">
        <v>60</v>
      </c>
      <c r="AA201">
        <v>43</v>
      </c>
      <c r="AB201">
        <v>21</v>
      </c>
      <c r="AC201">
        <v>6</v>
      </c>
      <c r="AD201">
        <v>0</v>
      </c>
      <c r="AE201">
        <v>130</v>
      </c>
      <c r="AF201">
        <v>21</v>
      </c>
      <c r="AL201">
        <v>2022</v>
      </c>
    </row>
    <row r="202" spans="1:38" x14ac:dyDescent="0.3">
      <c r="A202" t="s">
        <v>141</v>
      </c>
      <c r="B202" t="s">
        <v>132</v>
      </c>
      <c r="C202" t="s">
        <v>14</v>
      </c>
      <c r="D202">
        <v>311</v>
      </c>
      <c r="E202">
        <v>50</v>
      </c>
      <c r="F202">
        <v>261</v>
      </c>
      <c r="G202">
        <v>0.16077170418006431</v>
      </c>
      <c r="H202">
        <v>0.83922829581993574</v>
      </c>
      <c r="I202" t="s">
        <v>1191</v>
      </c>
      <c r="J202">
        <v>55</v>
      </c>
      <c r="K202">
        <v>30</v>
      </c>
      <c r="L202">
        <v>226</v>
      </c>
      <c r="M202">
        <v>4</v>
      </c>
      <c r="N202">
        <v>23</v>
      </c>
      <c r="O202">
        <v>23</v>
      </c>
      <c r="P202" s="9">
        <v>0.08</v>
      </c>
      <c r="Q202" s="9">
        <v>0.76666666666666672</v>
      </c>
      <c r="R202" s="9">
        <v>0.10176991150442478</v>
      </c>
      <c r="S202" t="s">
        <v>1140</v>
      </c>
      <c r="T202" t="s">
        <v>1140</v>
      </c>
      <c r="U202" t="s">
        <v>1140</v>
      </c>
      <c r="V202" t="s">
        <v>1140</v>
      </c>
      <c r="W202" t="s">
        <v>1140</v>
      </c>
      <c r="X202" t="s">
        <v>1140</v>
      </c>
      <c r="Y202" t="s">
        <v>1140</v>
      </c>
      <c r="Z202">
        <v>16</v>
      </c>
      <c r="AA202">
        <v>19</v>
      </c>
      <c r="AB202">
        <v>6</v>
      </c>
      <c r="AC202">
        <v>12</v>
      </c>
      <c r="AD202">
        <v>1</v>
      </c>
      <c r="AE202">
        <v>54</v>
      </c>
      <c r="AF202">
        <v>22</v>
      </c>
      <c r="AL202">
        <v>2022</v>
      </c>
    </row>
    <row r="203" spans="1:38" x14ac:dyDescent="0.3">
      <c r="A203" t="s">
        <v>143</v>
      </c>
      <c r="B203" t="s">
        <v>132</v>
      </c>
      <c r="C203" t="s">
        <v>14</v>
      </c>
      <c r="D203">
        <v>670</v>
      </c>
      <c r="E203">
        <v>100</v>
      </c>
      <c r="F203">
        <v>570</v>
      </c>
      <c r="G203">
        <v>0.14925373134328357</v>
      </c>
      <c r="H203">
        <v>0.85074626865671643</v>
      </c>
      <c r="I203" t="s">
        <v>17952</v>
      </c>
      <c r="J203">
        <v>146</v>
      </c>
      <c r="K203">
        <v>40</v>
      </c>
      <c r="L203">
        <v>484</v>
      </c>
      <c r="M203">
        <v>4</v>
      </c>
      <c r="N203">
        <v>7</v>
      </c>
      <c r="O203">
        <v>89</v>
      </c>
      <c r="P203" s="9">
        <v>0.04</v>
      </c>
      <c r="Q203" s="9">
        <v>0.17499999999999999</v>
      </c>
      <c r="R203" s="9">
        <v>0.18388429752066116</v>
      </c>
      <c r="S203" t="s">
        <v>1140</v>
      </c>
      <c r="T203" t="s">
        <v>1140</v>
      </c>
      <c r="U203" t="s">
        <v>1140</v>
      </c>
      <c r="V203" t="s">
        <v>1140</v>
      </c>
      <c r="W203" t="s">
        <v>1140</v>
      </c>
      <c r="X203" t="s">
        <v>1140</v>
      </c>
      <c r="Y203" t="s">
        <v>1140</v>
      </c>
      <c r="Z203" t="s">
        <v>17955</v>
      </c>
      <c r="AA203" t="s">
        <v>17955</v>
      </c>
      <c r="AB203" t="s">
        <v>17955</v>
      </c>
      <c r="AC203" t="s">
        <v>17955</v>
      </c>
      <c r="AD203" t="s">
        <v>17955</v>
      </c>
      <c r="AE203">
        <v>0</v>
      </c>
      <c r="AF203">
        <v>19</v>
      </c>
      <c r="AL203">
        <v>2022</v>
      </c>
    </row>
    <row r="204" spans="1:38" x14ac:dyDescent="0.3">
      <c r="A204" t="s">
        <v>145</v>
      </c>
      <c r="B204" t="s">
        <v>132</v>
      </c>
      <c r="C204" t="s">
        <v>14</v>
      </c>
      <c r="D204">
        <v>785</v>
      </c>
      <c r="E204">
        <v>100</v>
      </c>
      <c r="F204">
        <v>685</v>
      </c>
      <c r="G204">
        <v>0.12738853503184713</v>
      </c>
      <c r="H204">
        <v>0.87261146496815289</v>
      </c>
      <c r="I204" t="s">
        <v>17952</v>
      </c>
      <c r="J204">
        <v>150</v>
      </c>
      <c r="K204">
        <v>80</v>
      </c>
      <c r="L204">
        <v>555</v>
      </c>
      <c r="M204">
        <v>5</v>
      </c>
      <c r="N204">
        <v>15</v>
      </c>
      <c r="O204">
        <v>80</v>
      </c>
      <c r="P204" s="9">
        <v>0.05</v>
      </c>
      <c r="Q204" s="9">
        <v>0.1875</v>
      </c>
      <c r="R204" s="9">
        <v>0.14414414414414414</v>
      </c>
      <c r="S204" t="s">
        <v>1140</v>
      </c>
      <c r="T204" t="s">
        <v>1140</v>
      </c>
      <c r="U204" t="s">
        <v>1140</v>
      </c>
      <c r="V204" t="s">
        <v>1140</v>
      </c>
      <c r="W204" t="s">
        <v>1140</v>
      </c>
      <c r="X204" t="s">
        <v>1140</v>
      </c>
      <c r="Y204" t="s">
        <v>1140</v>
      </c>
      <c r="Z204">
        <v>0</v>
      </c>
      <c r="AA204">
        <v>0</v>
      </c>
      <c r="AB204">
        <v>0</v>
      </c>
      <c r="AC204">
        <v>0</v>
      </c>
      <c r="AD204">
        <v>0</v>
      </c>
      <c r="AE204">
        <v>0</v>
      </c>
      <c r="AF204">
        <v>34</v>
      </c>
      <c r="AL204">
        <v>2022</v>
      </c>
    </row>
    <row r="205" spans="1:38" x14ac:dyDescent="0.3">
      <c r="A205" t="s">
        <v>147</v>
      </c>
      <c r="B205" t="s">
        <v>132</v>
      </c>
      <c r="C205" t="s">
        <v>14</v>
      </c>
      <c r="D205">
        <v>780</v>
      </c>
      <c r="E205">
        <v>150</v>
      </c>
      <c r="F205">
        <v>630</v>
      </c>
      <c r="G205">
        <v>0.19230769230769232</v>
      </c>
      <c r="H205">
        <v>0.80769230769230771</v>
      </c>
      <c r="I205" t="s">
        <v>17952</v>
      </c>
      <c r="J205">
        <v>74</v>
      </c>
      <c r="K205">
        <v>50</v>
      </c>
      <c r="L205">
        <v>656</v>
      </c>
      <c r="M205">
        <v>1</v>
      </c>
      <c r="N205">
        <v>73</v>
      </c>
      <c r="O205">
        <v>76</v>
      </c>
      <c r="P205" s="9">
        <v>6.6666666666666671E-3</v>
      </c>
      <c r="Q205" s="9">
        <v>1.46</v>
      </c>
      <c r="R205" s="9">
        <v>0.11585365853658537</v>
      </c>
      <c r="S205" t="s">
        <v>1140</v>
      </c>
      <c r="T205" t="s">
        <v>1140</v>
      </c>
      <c r="U205" t="s">
        <v>1140</v>
      </c>
      <c r="V205" t="s">
        <v>17957</v>
      </c>
      <c r="W205" t="s">
        <v>1140</v>
      </c>
      <c r="X205" t="s">
        <v>1140</v>
      </c>
      <c r="Y205" t="s">
        <v>17957</v>
      </c>
      <c r="Z205">
        <v>22</v>
      </c>
      <c r="AA205">
        <v>33</v>
      </c>
      <c r="AB205">
        <v>21</v>
      </c>
      <c r="AC205">
        <v>20</v>
      </c>
      <c r="AD205">
        <v>9</v>
      </c>
      <c r="AE205">
        <v>105</v>
      </c>
      <c r="AF205">
        <v>20</v>
      </c>
      <c r="AL205">
        <v>2022</v>
      </c>
    </row>
    <row r="206" spans="1:38" x14ac:dyDescent="0.3">
      <c r="A206" t="s">
        <v>149</v>
      </c>
      <c r="B206" t="s">
        <v>132</v>
      </c>
      <c r="C206" t="s">
        <v>14</v>
      </c>
      <c r="D206">
        <v>66</v>
      </c>
      <c r="E206">
        <v>12</v>
      </c>
      <c r="F206">
        <v>54</v>
      </c>
      <c r="G206">
        <v>0.18181818181818182</v>
      </c>
      <c r="H206">
        <v>0.81818181818181812</v>
      </c>
      <c r="I206" t="s">
        <v>1197</v>
      </c>
      <c r="J206">
        <v>10</v>
      </c>
      <c r="K206">
        <v>11</v>
      </c>
      <c r="L206">
        <v>45</v>
      </c>
      <c r="M206">
        <v>11</v>
      </c>
      <c r="N206">
        <v>45</v>
      </c>
      <c r="O206" t="s">
        <v>17955</v>
      </c>
      <c r="P206" s="9">
        <v>0.91666666666666663</v>
      </c>
      <c r="Q206" s="9">
        <v>4.0909090909090908</v>
      </c>
      <c r="R206" s="9" t="s">
        <v>17955</v>
      </c>
      <c r="S206" t="s">
        <v>1140</v>
      </c>
      <c r="T206" t="s">
        <v>17957</v>
      </c>
      <c r="U206" t="s">
        <v>17957</v>
      </c>
      <c r="V206" t="s">
        <v>17957</v>
      </c>
      <c r="W206" t="s">
        <v>17957</v>
      </c>
      <c r="X206" t="s">
        <v>17957</v>
      </c>
      <c r="Y206" t="s">
        <v>17957</v>
      </c>
      <c r="Z206" t="s">
        <v>17955</v>
      </c>
      <c r="AA206" t="s">
        <v>17955</v>
      </c>
      <c r="AB206" t="s">
        <v>17955</v>
      </c>
      <c r="AC206" t="s">
        <v>17955</v>
      </c>
      <c r="AD206" t="s">
        <v>17955</v>
      </c>
      <c r="AE206">
        <v>0</v>
      </c>
      <c r="AF206">
        <v>6</v>
      </c>
      <c r="AL206">
        <v>2022</v>
      </c>
    </row>
    <row r="207" spans="1:38" x14ac:dyDescent="0.3">
      <c r="A207" t="s">
        <v>151</v>
      </c>
      <c r="B207" t="s">
        <v>132</v>
      </c>
      <c r="C207" t="s">
        <v>14</v>
      </c>
      <c r="D207">
        <v>1300</v>
      </c>
      <c r="E207">
        <v>100</v>
      </c>
      <c r="F207">
        <v>1200</v>
      </c>
      <c r="G207">
        <v>7.6923076923076927E-2</v>
      </c>
      <c r="H207">
        <v>0.92307692307692313</v>
      </c>
      <c r="I207" t="s">
        <v>17954</v>
      </c>
      <c r="J207">
        <v>190</v>
      </c>
      <c r="K207">
        <v>220</v>
      </c>
      <c r="L207">
        <v>890</v>
      </c>
      <c r="M207">
        <v>6</v>
      </c>
      <c r="N207">
        <v>10</v>
      </c>
      <c r="O207">
        <v>84</v>
      </c>
      <c r="P207" s="9">
        <v>0.06</v>
      </c>
      <c r="Q207" s="9">
        <v>4.5454545454545456E-2</v>
      </c>
      <c r="R207" s="9">
        <v>9.4382022471910118E-2</v>
      </c>
      <c r="S207" t="s">
        <v>1140</v>
      </c>
      <c r="T207" t="s">
        <v>1140</v>
      </c>
      <c r="U207" t="s">
        <v>1140</v>
      </c>
      <c r="V207" t="s">
        <v>1140</v>
      </c>
      <c r="W207" t="s">
        <v>1140</v>
      </c>
      <c r="X207" t="s">
        <v>1140</v>
      </c>
      <c r="Y207" t="s">
        <v>1140</v>
      </c>
      <c r="Z207">
        <v>37</v>
      </c>
      <c r="AA207">
        <v>74</v>
      </c>
      <c r="AB207">
        <v>113</v>
      </c>
      <c r="AC207">
        <v>67</v>
      </c>
      <c r="AD207">
        <v>20</v>
      </c>
      <c r="AE207">
        <v>311</v>
      </c>
      <c r="AF207">
        <v>38</v>
      </c>
      <c r="AL207">
        <v>2022</v>
      </c>
    </row>
    <row r="208" spans="1:38" x14ac:dyDescent="0.3">
      <c r="A208" t="s">
        <v>153</v>
      </c>
      <c r="B208" t="s">
        <v>132</v>
      </c>
      <c r="C208" t="s">
        <v>14</v>
      </c>
      <c r="D208">
        <v>1309</v>
      </c>
      <c r="E208">
        <v>400</v>
      </c>
      <c r="F208">
        <v>909</v>
      </c>
      <c r="G208">
        <v>0.30557677616501144</v>
      </c>
      <c r="H208">
        <v>0.69442322383498856</v>
      </c>
      <c r="I208" t="s">
        <v>17954</v>
      </c>
      <c r="J208">
        <v>120</v>
      </c>
      <c r="K208">
        <v>150</v>
      </c>
      <c r="L208">
        <v>1039</v>
      </c>
      <c r="M208">
        <v>7</v>
      </c>
      <c r="N208">
        <v>15</v>
      </c>
      <c r="O208">
        <v>378</v>
      </c>
      <c r="P208" s="9">
        <v>1.7500000000000002E-2</v>
      </c>
      <c r="Q208" s="9">
        <v>0.1</v>
      </c>
      <c r="R208" s="9">
        <v>0.36381135707410972</v>
      </c>
      <c r="S208" t="s">
        <v>1140</v>
      </c>
      <c r="T208" t="s">
        <v>1140</v>
      </c>
      <c r="U208" t="s">
        <v>1140</v>
      </c>
      <c r="V208" t="s">
        <v>1140</v>
      </c>
      <c r="W208" t="s">
        <v>1140</v>
      </c>
      <c r="X208" t="s">
        <v>1140</v>
      </c>
      <c r="Y208" t="s">
        <v>1140</v>
      </c>
      <c r="Z208">
        <v>13</v>
      </c>
      <c r="AA208">
        <v>59</v>
      </c>
      <c r="AB208">
        <v>47</v>
      </c>
      <c r="AC208">
        <v>38</v>
      </c>
      <c r="AD208">
        <v>33</v>
      </c>
      <c r="AE208">
        <v>190</v>
      </c>
      <c r="AF208">
        <v>28</v>
      </c>
      <c r="AL208">
        <v>2022</v>
      </c>
    </row>
    <row r="209" spans="1:38" x14ac:dyDescent="0.3">
      <c r="A209" t="s">
        <v>155</v>
      </c>
      <c r="B209" t="s">
        <v>132</v>
      </c>
      <c r="C209" t="s">
        <v>14</v>
      </c>
      <c r="D209">
        <v>185</v>
      </c>
      <c r="E209">
        <v>40</v>
      </c>
      <c r="F209">
        <v>145</v>
      </c>
      <c r="G209">
        <v>0.21621621621621623</v>
      </c>
      <c r="H209">
        <v>0.78378378378378377</v>
      </c>
      <c r="I209" t="s">
        <v>1191</v>
      </c>
      <c r="J209">
        <v>10</v>
      </c>
      <c r="K209">
        <v>85</v>
      </c>
      <c r="L209">
        <v>90</v>
      </c>
      <c r="M209">
        <v>7</v>
      </c>
      <c r="N209">
        <v>3</v>
      </c>
      <c r="O209">
        <v>30</v>
      </c>
      <c r="P209" s="9">
        <v>0.17499999999999999</v>
      </c>
      <c r="Q209" s="9">
        <v>3.5294117647058823E-2</v>
      </c>
      <c r="R209" s="9">
        <v>0.33333333333333331</v>
      </c>
      <c r="S209" t="s">
        <v>1140</v>
      </c>
      <c r="T209" t="s">
        <v>1140</v>
      </c>
      <c r="U209" t="s">
        <v>1140</v>
      </c>
      <c r="V209" t="s">
        <v>1140</v>
      </c>
      <c r="W209" t="s">
        <v>1140</v>
      </c>
      <c r="X209" t="s">
        <v>1140</v>
      </c>
      <c r="Y209" t="s">
        <v>1140</v>
      </c>
      <c r="Z209">
        <v>0</v>
      </c>
      <c r="AA209">
        <v>0</v>
      </c>
      <c r="AB209">
        <v>0</v>
      </c>
      <c r="AC209">
        <v>4</v>
      </c>
      <c r="AD209">
        <v>0</v>
      </c>
      <c r="AE209">
        <v>4</v>
      </c>
      <c r="AF209">
        <v>0</v>
      </c>
      <c r="AL209">
        <v>2022</v>
      </c>
    </row>
    <row r="210" spans="1:38" x14ac:dyDescent="0.3">
      <c r="A210" t="s">
        <v>157</v>
      </c>
      <c r="B210" t="s">
        <v>132</v>
      </c>
      <c r="C210" t="s">
        <v>14</v>
      </c>
      <c r="D210" t="s">
        <v>17955</v>
      </c>
      <c r="E210" t="s">
        <v>17955</v>
      </c>
      <c r="F210" t="s">
        <v>17955</v>
      </c>
      <c r="G210" t="s">
        <v>17955</v>
      </c>
      <c r="H210" t="s">
        <v>17955</v>
      </c>
      <c r="I210" t="s">
        <v>17954</v>
      </c>
      <c r="J210" t="s">
        <v>17955</v>
      </c>
      <c r="K210" t="s">
        <v>17955</v>
      </c>
      <c r="L210" t="s">
        <v>17955</v>
      </c>
      <c r="M210">
        <v>0</v>
      </c>
      <c r="N210">
        <v>0</v>
      </c>
      <c r="O210" t="s">
        <v>17955</v>
      </c>
      <c r="P210" s="9" t="s">
        <v>17955</v>
      </c>
      <c r="Q210" s="9" t="s">
        <v>17955</v>
      </c>
      <c r="R210" s="9" t="s">
        <v>17955</v>
      </c>
      <c r="S210" t="s">
        <v>17957</v>
      </c>
      <c r="T210" t="s">
        <v>17957</v>
      </c>
      <c r="U210" t="s">
        <v>17957</v>
      </c>
      <c r="V210" t="s">
        <v>1140</v>
      </c>
      <c r="W210" t="s">
        <v>1140</v>
      </c>
      <c r="X210" t="s">
        <v>1140</v>
      </c>
      <c r="Y210" t="s">
        <v>17957</v>
      </c>
      <c r="Z210" t="s">
        <v>17955</v>
      </c>
      <c r="AA210" t="s">
        <v>17955</v>
      </c>
      <c r="AB210" t="s">
        <v>17955</v>
      </c>
      <c r="AC210" t="s">
        <v>17955</v>
      </c>
      <c r="AD210" t="s">
        <v>17955</v>
      </c>
      <c r="AE210">
        <v>0</v>
      </c>
      <c r="AF210">
        <v>0</v>
      </c>
      <c r="AL210">
        <v>2022</v>
      </c>
    </row>
    <row r="211" spans="1:38" x14ac:dyDescent="0.3">
      <c r="A211" t="s">
        <v>159</v>
      </c>
      <c r="B211" t="s">
        <v>132</v>
      </c>
      <c r="C211" t="s">
        <v>14</v>
      </c>
      <c r="D211">
        <v>932</v>
      </c>
      <c r="E211">
        <v>0</v>
      </c>
      <c r="F211">
        <v>932</v>
      </c>
      <c r="G211">
        <v>0</v>
      </c>
      <c r="H211">
        <v>1</v>
      </c>
      <c r="I211" t="s">
        <v>17952</v>
      </c>
      <c r="J211">
        <v>122</v>
      </c>
      <c r="K211" t="s">
        <v>17955</v>
      </c>
      <c r="L211" t="s">
        <v>17955</v>
      </c>
      <c r="M211">
        <v>0</v>
      </c>
      <c r="N211">
        <v>0</v>
      </c>
      <c r="O211" t="s">
        <v>17955</v>
      </c>
      <c r="P211" s="9" t="s">
        <v>17955</v>
      </c>
      <c r="Q211" s="9" t="s">
        <v>17955</v>
      </c>
      <c r="R211" s="9" t="s">
        <v>17955</v>
      </c>
      <c r="S211" t="s">
        <v>17957</v>
      </c>
      <c r="T211" t="s">
        <v>17957</v>
      </c>
      <c r="U211" t="s">
        <v>17957</v>
      </c>
      <c r="V211" t="s">
        <v>1140</v>
      </c>
      <c r="W211" t="s">
        <v>1140</v>
      </c>
      <c r="X211" t="s">
        <v>1140</v>
      </c>
      <c r="Y211" t="s">
        <v>17957</v>
      </c>
      <c r="Z211">
        <v>16</v>
      </c>
      <c r="AA211">
        <v>62</v>
      </c>
      <c r="AB211">
        <v>67</v>
      </c>
      <c r="AC211">
        <v>47</v>
      </c>
      <c r="AD211">
        <v>45</v>
      </c>
      <c r="AE211">
        <v>237</v>
      </c>
      <c r="AF211">
        <v>36</v>
      </c>
      <c r="AL211">
        <v>2022</v>
      </c>
    </row>
    <row r="212" spans="1:38" x14ac:dyDescent="0.3">
      <c r="A212" t="s">
        <v>161</v>
      </c>
      <c r="B212" t="s">
        <v>132</v>
      </c>
      <c r="C212" t="s">
        <v>14</v>
      </c>
      <c r="D212">
        <v>675</v>
      </c>
      <c r="E212">
        <v>50</v>
      </c>
      <c r="F212">
        <v>625</v>
      </c>
      <c r="G212">
        <v>7.407407407407407E-2</v>
      </c>
      <c r="H212">
        <v>0.92592592592592593</v>
      </c>
      <c r="I212" t="s">
        <v>17952</v>
      </c>
      <c r="J212">
        <v>145</v>
      </c>
      <c r="K212">
        <v>150</v>
      </c>
      <c r="L212">
        <v>380</v>
      </c>
      <c r="M212">
        <v>5</v>
      </c>
      <c r="N212">
        <v>5</v>
      </c>
      <c r="O212">
        <v>40</v>
      </c>
      <c r="P212" s="9">
        <v>0.1</v>
      </c>
      <c r="Q212" s="9">
        <v>3.3333333333333333E-2</v>
      </c>
      <c r="R212" s="9">
        <v>0.10526315789473684</v>
      </c>
      <c r="S212" t="s">
        <v>1140</v>
      </c>
      <c r="T212" t="s">
        <v>1140</v>
      </c>
      <c r="U212" t="s">
        <v>1140</v>
      </c>
      <c r="V212" t="s">
        <v>1140</v>
      </c>
      <c r="W212" t="s">
        <v>1140</v>
      </c>
      <c r="X212" t="s">
        <v>1140</v>
      </c>
      <c r="Y212" t="s">
        <v>1140</v>
      </c>
      <c r="Z212">
        <v>14</v>
      </c>
      <c r="AA212">
        <v>14</v>
      </c>
      <c r="AB212">
        <v>63</v>
      </c>
      <c r="AC212">
        <v>63</v>
      </c>
      <c r="AD212">
        <v>60</v>
      </c>
      <c r="AE212">
        <v>214</v>
      </c>
      <c r="AF212">
        <v>27</v>
      </c>
      <c r="AL212">
        <v>2022</v>
      </c>
    </row>
    <row r="213" spans="1:38" x14ac:dyDescent="0.3">
      <c r="A213" t="s">
        <v>163</v>
      </c>
      <c r="B213" t="s">
        <v>132</v>
      </c>
      <c r="C213" t="s">
        <v>14</v>
      </c>
      <c r="D213">
        <v>770</v>
      </c>
      <c r="E213">
        <v>200</v>
      </c>
      <c r="F213">
        <v>570</v>
      </c>
      <c r="G213">
        <v>0.25974025974025972</v>
      </c>
      <c r="H213">
        <v>0.74025974025974028</v>
      </c>
      <c r="I213" t="s">
        <v>17952</v>
      </c>
      <c r="J213">
        <v>94</v>
      </c>
      <c r="K213">
        <v>10</v>
      </c>
      <c r="L213">
        <v>666</v>
      </c>
      <c r="M213">
        <v>0</v>
      </c>
      <c r="N213">
        <v>10</v>
      </c>
      <c r="O213">
        <v>190</v>
      </c>
      <c r="P213" s="9">
        <v>0</v>
      </c>
      <c r="Q213" s="9">
        <v>1</v>
      </c>
      <c r="R213" s="9">
        <v>0.28528528528528529</v>
      </c>
      <c r="S213" t="s">
        <v>1140</v>
      </c>
      <c r="T213" t="s">
        <v>1140</v>
      </c>
      <c r="U213" t="s">
        <v>1140</v>
      </c>
      <c r="V213" t="s">
        <v>1140</v>
      </c>
      <c r="W213" t="s">
        <v>1140</v>
      </c>
      <c r="X213" t="s">
        <v>1140</v>
      </c>
      <c r="Y213" t="s">
        <v>1140</v>
      </c>
      <c r="Z213">
        <v>29</v>
      </c>
      <c r="AA213">
        <v>53</v>
      </c>
      <c r="AB213">
        <v>12</v>
      </c>
      <c r="AC213">
        <v>15</v>
      </c>
      <c r="AD213">
        <v>0</v>
      </c>
      <c r="AE213">
        <v>109</v>
      </c>
      <c r="AF213">
        <v>0</v>
      </c>
      <c r="AL213">
        <v>2022</v>
      </c>
    </row>
    <row r="214" spans="1:38" x14ac:dyDescent="0.3">
      <c r="A214" t="s">
        <v>165</v>
      </c>
      <c r="B214" t="s">
        <v>132</v>
      </c>
      <c r="C214" t="s">
        <v>14</v>
      </c>
      <c r="D214">
        <v>1923</v>
      </c>
      <c r="E214">
        <v>200</v>
      </c>
      <c r="F214">
        <v>1723</v>
      </c>
      <c r="G214">
        <v>0.10400416016640665</v>
      </c>
      <c r="H214">
        <v>0.89599583983359332</v>
      </c>
      <c r="I214" t="s">
        <v>17954</v>
      </c>
      <c r="J214">
        <v>155</v>
      </c>
      <c r="K214">
        <v>100</v>
      </c>
      <c r="L214">
        <v>1668</v>
      </c>
      <c r="M214">
        <v>12</v>
      </c>
      <c r="N214">
        <v>30</v>
      </c>
      <c r="O214">
        <v>158</v>
      </c>
      <c r="P214" s="9">
        <v>0.06</v>
      </c>
      <c r="Q214" s="9">
        <v>0.3</v>
      </c>
      <c r="R214" s="9">
        <v>9.4724220623501193E-2</v>
      </c>
      <c r="S214" t="s">
        <v>1140</v>
      </c>
      <c r="T214" t="s">
        <v>1140</v>
      </c>
      <c r="U214" t="s">
        <v>1140</v>
      </c>
      <c r="V214" t="s">
        <v>1140</v>
      </c>
      <c r="W214" t="s">
        <v>1140</v>
      </c>
      <c r="X214" t="s">
        <v>1140</v>
      </c>
      <c r="Y214" t="s">
        <v>1140</v>
      </c>
      <c r="Z214" t="s">
        <v>17955</v>
      </c>
      <c r="AA214" t="s">
        <v>17955</v>
      </c>
      <c r="AB214" t="s">
        <v>17955</v>
      </c>
      <c r="AC214" t="s">
        <v>17955</v>
      </c>
      <c r="AD214" t="s">
        <v>17955</v>
      </c>
      <c r="AE214">
        <v>0</v>
      </c>
      <c r="AF214">
        <v>26</v>
      </c>
      <c r="AL214">
        <v>2022</v>
      </c>
    </row>
    <row r="215" spans="1:38" x14ac:dyDescent="0.3">
      <c r="A215" t="s">
        <v>167</v>
      </c>
      <c r="B215" t="s">
        <v>132</v>
      </c>
      <c r="C215" t="s">
        <v>14</v>
      </c>
      <c r="D215">
        <v>80</v>
      </c>
      <c r="E215">
        <v>40</v>
      </c>
      <c r="F215">
        <v>40</v>
      </c>
      <c r="G215">
        <v>0.5</v>
      </c>
      <c r="H215">
        <v>0.5</v>
      </c>
      <c r="I215" t="s">
        <v>1197</v>
      </c>
      <c r="J215">
        <v>8</v>
      </c>
      <c r="K215" t="s">
        <v>17955</v>
      </c>
      <c r="L215" t="s">
        <v>17955</v>
      </c>
      <c r="M215">
        <v>0</v>
      </c>
      <c r="N215">
        <v>0</v>
      </c>
      <c r="O215">
        <v>40</v>
      </c>
      <c r="P215" s="9">
        <v>0</v>
      </c>
      <c r="Q215" s="9" t="s">
        <v>17955</v>
      </c>
      <c r="R215" s="9" t="s">
        <v>17955</v>
      </c>
      <c r="S215" t="s">
        <v>17957</v>
      </c>
      <c r="T215" t="s">
        <v>1140</v>
      </c>
      <c r="U215" t="s">
        <v>1140</v>
      </c>
      <c r="V215" t="s">
        <v>1140</v>
      </c>
      <c r="W215" t="s">
        <v>1140</v>
      </c>
      <c r="X215" t="s">
        <v>1140</v>
      </c>
      <c r="Y215" t="s">
        <v>17957</v>
      </c>
      <c r="Z215">
        <v>0</v>
      </c>
      <c r="AA215">
        <v>0</v>
      </c>
      <c r="AB215">
        <v>0</v>
      </c>
      <c r="AC215">
        <v>3</v>
      </c>
      <c r="AD215">
        <v>3</v>
      </c>
      <c r="AE215">
        <v>6</v>
      </c>
      <c r="AF215">
        <v>3</v>
      </c>
      <c r="AL215">
        <v>2022</v>
      </c>
    </row>
    <row r="216" spans="1:38" x14ac:dyDescent="0.3">
      <c r="A216" t="s">
        <v>169</v>
      </c>
      <c r="B216" t="s">
        <v>132</v>
      </c>
      <c r="C216" t="s">
        <v>14</v>
      </c>
      <c r="D216" t="s">
        <v>17955</v>
      </c>
      <c r="E216" t="s">
        <v>17955</v>
      </c>
      <c r="F216" t="s">
        <v>17955</v>
      </c>
      <c r="G216" t="s">
        <v>17955</v>
      </c>
      <c r="H216" t="s">
        <v>17955</v>
      </c>
      <c r="I216" t="s">
        <v>17954</v>
      </c>
      <c r="J216" t="s">
        <v>17955</v>
      </c>
      <c r="K216" t="s">
        <v>17955</v>
      </c>
      <c r="L216" t="s">
        <v>17955</v>
      </c>
      <c r="M216">
        <v>0</v>
      </c>
      <c r="N216">
        <v>0</v>
      </c>
      <c r="O216" t="s">
        <v>17955</v>
      </c>
      <c r="P216" s="9" t="s">
        <v>17955</v>
      </c>
      <c r="Q216" s="9" t="s">
        <v>17955</v>
      </c>
      <c r="R216" s="9" t="s">
        <v>17955</v>
      </c>
      <c r="S216" t="s">
        <v>17957</v>
      </c>
      <c r="T216" t="s">
        <v>17957</v>
      </c>
      <c r="U216" t="s">
        <v>17957</v>
      </c>
      <c r="V216" t="s">
        <v>1140</v>
      </c>
      <c r="W216" t="s">
        <v>1140</v>
      </c>
      <c r="X216" t="s">
        <v>1140</v>
      </c>
      <c r="Y216" t="s">
        <v>17957</v>
      </c>
      <c r="Z216" t="s">
        <v>17955</v>
      </c>
      <c r="AA216" t="s">
        <v>17955</v>
      </c>
      <c r="AB216" t="s">
        <v>17955</v>
      </c>
      <c r="AC216" t="s">
        <v>17955</v>
      </c>
      <c r="AD216" t="s">
        <v>17955</v>
      </c>
      <c r="AE216">
        <v>0</v>
      </c>
      <c r="AF216">
        <v>0</v>
      </c>
      <c r="AL216">
        <v>2022</v>
      </c>
    </row>
    <row r="217" spans="1:38" x14ac:dyDescent="0.3">
      <c r="A217" t="s">
        <v>171</v>
      </c>
      <c r="B217" t="s">
        <v>132</v>
      </c>
      <c r="C217" t="s">
        <v>14</v>
      </c>
      <c r="D217">
        <v>150</v>
      </c>
      <c r="E217">
        <v>60</v>
      </c>
      <c r="F217">
        <v>90</v>
      </c>
      <c r="G217">
        <v>0.4</v>
      </c>
      <c r="H217">
        <v>0.6</v>
      </c>
      <c r="I217" t="s">
        <v>1191</v>
      </c>
      <c r="J217">
        <v>40</v>
      </c>
      <c r="K217">
        <v>100</v>
      </c>
      <c r="L217">
        <v>10</v>
      </c>
      <c r="M217">
        <v>4</v>
      </c>
      <c r="N217">
        <v>10</v>
      </c>
      <c r="O217">
        <v>46</v>
      </c>
      <c r="P217" s="9">
        <v>6.6666666666666666E-2</v>
      </c>
      <c r="Q217" s="9">
        <v>0.1</v>
      </c>
      <c r="R217" s="9">
        <v>4.5999999999999996</v>
      </c>
      <c r="S217" t="s">
        <v>1140</v>
      </c>
      <c r="T217" t="s">
        <v>1140</v>
      </c>
      <c r="U217" t="s">
        <v>1140</v>
      </c>
      <c r="V217" t="s">
        <v>1140</v>
      </c>
      <c r="W217" t="s">
        <v>17957</v>
      </c>
      <c r="X217" t="s">
        <v>1140</v>
      </c>
      <c r="Y217" t="s">
        <v>17957</v>
      </c>
      <c r="Z217" t="s">
        <v>17955</v>
      </c>
      <c r="AA217" t="s">
        <v>17955</v>
      </c>
      <c r="AB217" t="s">
        <v>17955</v>
      </c>
      <c r="AC217" t="s">
        <v>17955</v>
      </c>
      <c r="AD217" t="s">
        <v>17955</v>
      </c>
      <c r="AE217">
        <v>0</v>
      </c>
      <c r="AF217">
        <v>11</v>
      </c>
      <c r="AL217">
        <v>2022</v>
      </c>
    </row>
    <row r="218" spans="1:38" x14ac:dyDescent="0.3">
      <c r="A218" t="s">
        <v>173</v>
      </c>
      <c r="B218" t="s">
        <v>175</v>
      </c>
      <c r="C218" t="s">
        <v>14</v>
      </c>
      <c r="D218">
        <v>285</v>
      </c>
      <c r="E218">
        <v>95</v>
      </c>
      <c r="F218">
        <v>190</v>
      </c>
      <c r="G218">
        <v>0.33333333333333331</v>
      </c>
      <c r="H218">
        <v>0.66666666666666674</v>
      </c>
      <c r="I218" t="s">
        <v>1191</v>
      </c>
      <c r="J218">
        <v>100</v>
      </c>
      <c r="K218">
        <v>5</v>
      </c>
      <c r="L218">
        <v>180</v>
      </c>
      <c r="M218">
        <v>0</v>
      </c>
      <c r="N218">
        <v>5</v>
      </c>
      <c r="O218">
        <v>90</v>
      </c>
      <c r="P218" s="9">
        <v>0</v>
      </c>
      <c r="Q218" s="9">
        <v>1</v>
      </c>
      <c r="R218" s="9">
        <v>0.5</v>
      </c>
      <c r="S218" t="s">
        <v>1140</v>
      </c>
      <c r="T218" t="s">
        <v>1140</v>
      </c>
      <c r="U218" t="s">
        <v>1140</v>
      </c>
      <c r="V218" t="s">
        <v>1140</v>
      </c>
      <c r="W218" t="s">
        <v>1140</v>
      </c>
      <c r="X218" t="s">
        <v>1140</v>
      </c>
      <c r="Y218" t="s">
        <v>1140</v>
      </c>
      <c r="Z218">
        <v>24</v>
      </c>
      <c r="AA218">
        <v>21</v>
      </c>
      <c r="AB218">
        <v>50</v>
      </c>
      <c r="AC218">
        <v>65</v>
      </c>
      <c r="AD218">
        <v>24</v>
      </c>
      <c r="AE218">
        <v>184</v>
      </c>
      <c r="AF218">
        <v>26</v>
      </c>
      <c r="AL218">
        <v>2022</v>
      </c>
    </row>
    <row r="219" spans="1:38" x14ac:dyDescent="0.3">
      <c r="A219" t="s">
        <v>176</v>
      </c>
      <c r="B219" t="s">
        <v>175</v>
      </c>
      <c r="C219" t="s">
        <v>14</v>
      </c>
      <c r="D219">
        <v>525</v>
      </c>
      <c r="E219">
        <v>70</v>
      </c>
      <c r="F219">
        <v>455</v>
      </c>
      <c r="G219">
        <v>0.13333333333333333</v>
      </c>
      <c r="H219">
        <v>0.8666666666666667</v>
      </c>
      <c r="I219" t="s">
        <v>17952</v>
      </c>
      <c r="J219">
        <v>100</v>
      </c>
      <c r="K219">
        <v>0</v>
      </c>
      <c r="L219">
        <v>425</v>
      </c>
      <c r="M219">
        <v>0</v>
      </c>
      <c r="N219">
        <v>1</v>
      </c>
      <c r="O219">
        <v>69</v>
      </c>
      <c r="P219" s="9">
        <v>0</v>
      </c>
      <c r="Q219" s="9" t="s">
        <v>17955</v>
      </c>
      <c r="R219" s="9">
        <v>0.16235294117647059</v>
      </c>
      <c r="S219" t="s">
        <v>1140</v>
      </c>
      <c r="T219" t="s">
        <v>1140</v>
      </c>
      <c r="U219" t="s">
        <v>1140</v>
      </c>
      <c r="V219" t="s">
        <v>17957</v>
      </c>
      <c r="W219" t="s">
        <v>1140</v>
      </c>
      <c r="X219" t="s">
        <v>1140</v>
      </c>
      <c r="Y219" t="s">
        <v>17957</v>
      </c>
      <c r="Z219">
        <v>42</v>
      </c>
      <c r="AA219">
        <v>85</v>
      </c>
      <c r="AB219">
        <v>69</v>
      </c>
      <c r="AC219">
        <v>31</v>
      </c>
      <c r="AD219">
        <v>9</v>
      </c>
      <c r="AE219">
        <v>236</v>
      </c>
      <c r="AF219">
        <v>29</v>
      </c>
      <c r="AL219">
        <v>2022</v>
      </c>
    </row>
    <row r="220" spans="1:38" x14ac:dyDescent="0.3">
      <c r="A220" t="s">
        <v>178</v>
      </c>
      <c r="B220" t="s">
        <v>175</v>
      </c>
      <c r="C220" t="s">
        <v>14</v>
      </c>
      <c r="D220">
        <v>530</v>
      </c>
      <c r="E220">
        <v>15</v>
      </c>
      <c r="F220">
        <v>515</v>
      </c>
      <c r="G220">
        <v>2.8301886792452831E-2</v>
      </c>
      <c r="H220">
        <v>0.97169811320754718</v>
      </c>
      <c r="I220" t="s">
        <v>17952</v>
      </c>
      <c r="J220">
        <v>200</v>
      </c>
      <c r="K220">
        <v>0</v>
      </c>
      <c r="L220">
        <v>330</v>
      </c>
      <c r="M220">
        <v>0</v>
      </c>
      <c r="N220">
        <v>0</v>
      </c>
      <c r="O220">
        <v>15</v>
      </c>
      <c r="P220" s="9">
        <v>0</v>
      </c>
      <c r="Q220" s="9" t="s">
        <v>17955</v>
      </c>
      <c r="R220" s="9">
        <v>4.5454545454545456E-2</v>
      </c>
      <c r="S220" t="s">
        <v>1140</v>
      </c>
      <c r="T220" t="s">
        <v>1140</v>
      </c>
      <c r="U220" t="s">
        <v>1140</v>
      </c>
      <c r="V220" t="s">
        <v>1140</v>
      </c>
      <c r="W220" t="s">
        <v>1140</v>
      </c>
      <c r="X220" t="s">
        <v>1140</v>
      </c>
      <c r="Y220" t="s">
        <v>1140</v>
      </c>
      <c r="Z220" t="s">
        <v>17955</v>
      </c>
      <c r="AA220" t="s">
        <v>17955</v>
      </c>
      <c r="AB220" t="s">
        <v>17955</v>
      </c>
      <c r="AC220" t="s">
        <v>17955</v>
      </c>
      <c r="AD220" t="s">
        <v>17955</v>
      </c>
      <c r="AE220">
        <v>0</v>
      </c>
      <c r="AF220">
        <v>24</v>
      </c>
      <c r="AL220">
        <v>2022</v>
      </c>
    </row>
    <row r="221" spans="1:38" x14ac:dyDescent="0.3">
      <c r="A221" t="s">
        <v>180</v>
      </c>
      <c r="B221" t="s">
        <v>175</v>
      </c>
      <c r="C221" t="s">
        <v>14</v>
      </c>
      <c r="D221">
        <v>108</v>
      </c>
      <c r="E221">
        <v>15</v>
      </c>
      <c r="F221">
        <v>93</v>
      </c>
      <c r="G221">
        <v>0.1388888888888889</v>
      </c>
      <c r="H221">
        <v>0.86111111111111116</v>
      </c>
      <c r="I221" t="s">
        <v>1191</v>
      </c>
      <c r="J221">
        <v>80</v>
      </c>
      <c r="K221">
        <v>0</v>
      </c>
      <c r="L221">
        <v>28</v>
      </c>
      <c r="M221">
        <v>0</v>
      </c>
      <c r="N221">
        <v>0</v>
      </c>
      <c r="O221">
        <v>15</v>
      </c>
      <c r="P221" s="9">
        <v>0</v>
      </c>
      <c r="Q221" s="9" t="s">
        <v>17955</v>
      </c>
      <c r="R221" s="9">
        <v>0.5357142857142857</v>
      </c>
      <c r="S221" t="s">
        <v>1140</v>
      </c>
      <c r="T221" t="s">
        <v>1140</v>
      </c>
      <c r="U221" t="s">
        <v>1140</v>
      </c>
      <c r="V221" t="s">
        <v>1140</v>
      </c>
      <c r="W221" t="s">
        <v>1140</v>
      </c>
      <c r="X221" t="s">
        <v>1140</v>
      </c>
      <c r="Y221" t="s">
        <v>1140</v>
      </c>
      <c r="Z221">
        <v>30</v>
      </c>
      <c r="AA221">
        <v>25</v>
      </c>
      <c r="AB221">
        <v>35</v>
      </c>
      <c r="AC221">
        <v>22</v>
      </c>
      <c r="AD221">
        <v>19</v>
      </c>
      <c r="AE221">
        <v>131</v>
      </c>
      <c r="AF221">
        <v>36</v>
      </c>
      <c r="AL221">
        <v>2022</v>
      </c>
    </row>
    <row r="222" spans="1:38" x14ac:dyDescent="0.3">
      <c r="A222" t="s">
        <v>182</v>
      </c>
      <c r="B222" t="s">
        <v>194</v>
      </c>
      <c r="C222" t="s">
        <v>14</v>
      </c>
      <c r="D222">
        <v>53</v>
      </c>
      <c r="E222">
        <v>1</v>
      </c>
      <c r="F222">
        <v>52</v>
      </c>
      <c r="G222">
        <v>1.8867924528301886E-2</v>
      </c>
      <c r="H222">
        <v>0.98113207547169812</v>
      </c>
      <c r="I222" t="s">
        <v>1197</v>
      </c>
      <c r="J222">
        <v>40</v>
      </c>
      <c r="K222">
        <v>0</v>
      </c>
      <c r="L222">
        <v>13</v>
      </c>
      <c r="M222">
        <v>0</v>
      </c>
      <c r="N222">
        <v>1</v>
      </c>
      <c r="O222" t="s">
        <v>17955</v>
      </c>
      <c r="P222" s="9">
        <v>0</v>
      </c>
      <c r="Q222" s="9" t="s">
        <v>17955</v>
      </c>
      <c r="R222" s="9" t="s">
        <v>17955</v>
      </c>
      <c r="S222" t="s">
        <v>1140</v>
      </c>
      <c r="T222" t="s">
        <v>17957</v>
      </c>
      <c r="U222" t="s">
        <v>17957</v>
      </c>
      <c r="V222" t="s">
        <v>17957</v>
      </c>
      <c r="W222" t="s">
        <v>17957</v>
      </c>
      <c r="X222" t="s">
        <v>1140</v>
      </c>
      <c r="Y222" t="s">
        <v>17957</v>
      </c>
      <c r="Z222" t="s">
        <v>17955</v>
      </c>
      <c r="AA222" t="s">
        <v>17955</v>
      </c>
      <c r="AB222" t="s">
        <v>17955</v>
      </c>
      <c r="AC222" t="s">
        <v>17955</v>
      </c>
      <c r="AD222" t="s">
        <v>17955</v>
      </c>
      <c r="AE222">
        <v>0</v>
      </c>
      <c r="AF222">
        <v>28</v>
      </c>
      <c r="AL222">
        <v>2022</v>
      </c>
    </row>
    <row r="223" spans="1:38" x14ac:dyDescent="0.3">
      <c r="A223" t="s">
        <v>184</v>
      </c>
      <c r="B223" t="s">
        <v>175</v>
      </c>
      <c r="C223" t="s">
        <v>14</v>
      </c>
      <c r="D223" t="s">
        <v>17955</v>
      </c>
      <c r="E223" t="s">
        <v>17955</v>
      </c>
      <c r="F223" t="s">
        <v>17955</v>
      </c>
      <c r="G223" t="s">
        <v>17955</v>
      </c>
      <c r="H223" t="s">
        <v>17955</v>
      </c>
      <c r="I223" t="s">
        <v>17954</v>
      </c>
      <c r="J223" t="s">
        <v>17955</v>
      </c>
      <c r="K223" t="s">
        <v>17955</v>
      </c>
      <c r="L223" t="s">
        <v>17955</v>
      </c>
      <c r="M223">
        <v>0</v>
      </c>
      <c r="N223">
        <v>0</v>
      </c>
      <c r="O223" t="s">
        <v>17955</v>
      </c>
      <c r="P223" s="9" t="s">
        <v>17955</v>
      </c>
      <c r="Q223" s="9" t="s">
        <v>17955</v>
      </c>
      <c r="R223" s="9" t="s">
        <v>17955</v>
      </c>
      <c r="S223" t="s">
        <v>17957</v>
      </c>
      <c r="T223" t="s">
        <v>17957</v>
      </c>
      <c r="U223" t="s">
        <v>17957</v>
      </c>
      <c r="V223" t="s">
        <v>1140</v>
      </c>
      <c r="W223" t="s">
        <v>1140</v>
      </c>
      <c r="X223" t="s">
        <v>1140</v>
      </c>
      <c r="Y223" t="s">
        <v>17957</v>
      </c>
      <c r="Z223" t="s">
        <v>17955</v>
      </c>
      <c r="AA223" t="s">
        <v>17955</v>
      </c>
      <c r="AB223" t="s">
        <v>17955</v>
      </c>
      <c r="AC223" t="s">
        <v>17955</v>
      </c>
      <c r="AD223" t="s">
        <v>17955</v>
      </c>
      <c r="AE223">
        <v>0</v>
      </c>
      <c r="AF223">
        <v>0</v>
      </c>
      <c r="AL223">
        <v>2022</v>
      </c>
    </row>
    <row r="224" spans="1:38" x14ac:dyDescent="0.3">
      <c r="A224" t="s">
        <v>186</v>
      </c>
      <c r="B224" t="s">
        <v>175</v>
      </c>
      <c r="C224" t="s">
        <v>14</v>
      </c>
      <c r="D224">
        <v>96</v>
      </c>
      <c r="E224">
        <v>5</v>
      </c>
      <c r="F224">
        <v>91</v>
      </c>
      <c r="G224">
        <v>5.2083333333333336E-2</v>
      </c>
      <c r="H224">
        <v>0.94791666666666663</v>
      </c>
      <c r="I224" t="s">
        <v>1197</v>
      </c>
      <c r="J224">
        <v>80</v>
      </c>
      <c r="K224">
        <v>0</v>
      </c>
      <c r="L224">
        <v>16</v>
      </c>
      <c r="M224">
        <v>0</v>
      </c>
      <c r="N224">
        <v>0</v>
      </c>
      <c r="O224">
        <v>5</v>
      </c>
      <c r="P224" s="9">
        <v>0</v>
      </c>
      <c r="Q224" s="9" t="s">
        <v>17955</v>
      </c>
      <c r="R224" s="9">
        <v>0.3125</v>
      </c>
      <c r="S224" t="s">
        <v>1140</v>
      </c>
      <c r="T224" t="s">
        <v>1140</v>
      </c>
      <c r="U224" t="s">
        <v>1140</v>
      </c>
      <c r="V224" t="s">
        <v>1140</v>
      </c>
      <c r="W224" t="s">
        <v>1140</v>
      </c>
      <c r="X224" t="s">
        <v>1140</v>
      </c>
      <c r="Y224" t="s">
        <v>1140</v>
      </c>
      <c r="Z224">
        <v>0</v>
      </c>
      <c r="AA224">
        <v>0</v>
      </c>
      <c r="AB224">
        <v>0</v>
      </c>
      <c r="AC224">
        <v>0</v>
      </c>
      <c r="AD224">
        <v>0</v>
      </c>
      <c r="AE224">
        <v>0</v>
      </c>
      <c r="AF224">
        <v>26</v>
      </c>
      <c r="AL224">
        <v>2022</v>
      </c>
    </row>
    <row r="225" spans="1:38" x14ac:dyDescent="0.3">
      <c r="A225" t="s">
        <v>188</v>
      </c>
      <c r="B225" t="s">
        <v>175</v>
      </c>
      <c r="C225" t="s">
        <v>14</v>
      </c>
      <c r="D225" t="s">
        <v>17955</v>
      </c>
      <c r="E225" t="s">
        <v>17955</v>
      </c>
      <c r="F225" t="s">
        <v>17955</v>
      </c>
      <c r="G225" t="s">
        <v>17955</v>
      </c>
      <c r="H225" t="s">
        <v>17955</v>
      </c>
      <c r="I225" t="s">
        <v>17954</v>
      </c>
      <c r="J225" t="s">
        <v>17955</v>
      </c>
      <c r="K225" t="s">
        <v>17955</v>
      </c>
      <c r="L225" t="s">
        <v>17955</v>
      </c>
      <c r="M225">
        <v>0</v>
      </c>
      <c r="N225">
        <v>0</v>
      </c>
      <c r="O225" t="s">
        <v>17955</v>
      </c>
      <c r="P225" s="9" t="s">
        <v>17955</v>
      </c>
      <c r="Q225" s="9" t="s">
        <v>17955</v>
      </c>
      <c r="R225" s="9" t="s">
        <v>17955</v>
      </c>
      <c r="S225" t="s">
        <v>17957</v>
      </c>
      <c r="T225" t="s">
        <v>17957</v>
      </c>
      <c r="U225" t="s">
        <v>17957</v>
      </c>
      <c r="V225" t="s">
        <v>1140</v>
      </c>
      <c r="W225" t="s">
        <v>1140</v>
      </c>
      <c r="X225" t="s">
        <v>1140</v>
      </c>
      <c r="Y225" t="s">
        <v>17957</v>
      </c>
      <c r="Z225" t="s">
        <v>17955</v>
      </c>
      <c r="AA225" t="s">
        <v>17955</v>
      </c>
      <c r="AB225" t="s">
        <v>17955</v>
      </c>
      <c r="AC225" t="s">
        <v>17955</v>
      </c>
      <c r="AD225" t="s">
        <v>17955</v>
      </c>
      <c r="AE225">
        <v>0</v>
      </c>
      <c r="AF225">
        <v>0</v>
      </c>
      <c r="AL225">
        <v>2022</v>
      </c>
    </row>
    <row r="226" spans="1:38" x14ac:dyDescent="0.3">
      <c r="A226" t="s">
        <v>190</v>
      </c>
      <c r="B226" t="s">
        <v>199</v>
      </c>
      <c r="C226" t="s">
        <v>14</v>
      </c>
      <c r="D226" t="s">
        <v>17955</v>
      </c>
      <c r="E226" t="s">
        <v>17955</v>
      </c>
      <c r="F226" t="s">
        <v>17955</v>
      </c>
      <c r="G226" t="s">
        <v>17955</v>
      </c>
      <c r="H226" t="s">
        <v>17955</v>
      </c>
      <c r="I226" t="s">
        <v>17954</v>
      </c>
      <c r="J226" t="s">
        <v>17955</v>
      </c>
      <c r="K226" t="s">
        <v>17955</v>
      </c>
      <c r="L226" t="s">
        <v>17955</v>
      </c>
      <c r="M226">
        <v>0</v>
      </c>
      <c r="N226">
        <v>0</v>
      </c>
      <c r="O226" t="s">
        <v>17955</v>
      </c>
      <c r="P226" s="9" t="s">
        <v>17955</v>
      </c>
      <c r="Q226" s="9" t="s">
        <v>17955</v>
      </c>
      <c r="R226" s="9" t="s">
        <v>17955</v>
      </c>
      <c r="S226" t="s">
        <v>17957</v>
      </c>
      <c r="T226" t="s">
        <v>17957</v>
      </c>
      <c r="U226" t="s">
        <v>17957</v>
      </c>
      <c r="V226" t="s">
        <v>1140</v>
      </c>
      <c r="W226" t="s">
        <v>1140</v>
      </c>
      <c r="X226" t="s">
        <v>1140</v>
      </c>
      <c r="Y226" t="s">
        <v>17957</v>
      </c>
      <c r="Z226" t="s">
        <v>17955</v>
      </c>
      <c r="AA226" t="s">
        <v>17955</v>
      </c>
      <c r="AB226" t="s">
        <v>17955</v>
      </c>
      <c r="AC226" t="s">
        <v>17955</v>
      </c>
      <c r="AD226" t="s">
        <v>17955</v>
      </c>
      <c r="AE226">
        <v>0</v>
      </c>
      <c r="AF226">
        <v>0</v>
      </c>
      <c r="AL226">
        <v>2022</v>
      </c>
    </row>
    <row r="227" spans="1:38" x14ac:dyDescent="0.3">
      <c r="A227" t="s">
        <v>192</v>
      </c>
      <c r="B227" t="s">
        <v>194</v>
      </c>
      <c r="C227" t="s">
        <v>126</v>
      </c>
      <c r="D227">
        <v>6</v>
      </c>
      <c r="E227">
        <v>0</v>
      </c>
      <c r="F227">
        <v>6</v>
      </c>
      <c r="G227">
        <v>0</v>
      </c>
      <c r="H227">
        <v>1</v>
      </c>
      <c r="I227" t="s">
        <v>17953</v>
      </c>
      <c r="J227">
        <v>0</v>
      </c>
      <c r="K227">
        <v>0</v>
      </c>
      <c r="L227">
        <v>6</v>
      </c>
      <c r="M227">
        <v>0</v>
      </c>
      <c r="N227">
        <v>0</v>
      </c>
      <c r="O227" t="s">
        <v>17955</v>
      </c>
      <c r="P227" s="9" t="s">
        <v>17955</v>
      </c>
      <c r="Q227" s="9" t="s">
        <v>17955</v>
      </c>
      <c r="R227" s="9" t="s">
        <v>17955</v>
      </c>
      <c r="S227" t="s">
        <v>1140</v>
      </c>
      <c r="T227" t="s">
        <v>17957</v>
      </c>
      <c r="U227" t="s">
        <v>17957</v>
      </c>
      <c r="V227" t="s">
        <v>1140</v>
      </c>
      <c r="W227" t="s">
        <v>17957</v>
      </c>
      <c r="X227" t="s">
        <v>1140</v>
      </c>
      <c r="Y227" t="s">
        <v>17957</v>
      </c>
      <c r="Z227">
        <v>0</v>
      </c>
      <c r="AA227">
        <v>5</v>
      </c>
      <c r="AB227">
        <v>12</v>
      </c>
      <c r="AC227">
        <v>8</v>
      </c>
      <c r="AD227">
        <v>1</v>
      </c>
      <c r="AE227">
        <v>26</v>
      </c>
      <c r="AF227">
        <v>5</v>
      </c>
      <c r="AL227">
        <v>2022</v>
      </c>
    </row>
    <row r="228" spans="1:38" x14ac:dyDescent="0.3">
      <c r="A228" t="s">
        <v>195</v>
      </c>
      <c r="B228" t="s">
        <v>17</v>
      </c>
      <c r="C228" t="s">
        <v>14</v>
      </c>
      <c r="D228">
        <v>5</v>
      </c>
      <c r="E228">
        <v>2</v>
      </c>
      <c r="F228">
        <v>3</v>
      </c>
      <c r="G228">
        <v>0.4</v>
      </c>
      <c r="H228">
        <v>0.6</v>
      </c>
      <c r="I228" t="s">
        <v>17953</v>
      </c>
      <c r="J228">
        <v>5</v>
      </c>
      <c r="K228">
        <v>4</v>
      </c>
      <c r="L228" t="s">
        <v>17955</v>
      </c>
      <c r="M228">
        <v>4</v>
      </c>
      <c r="N228">
        <v>1</v>
      </c>
      <c r="O228" t="s">
        <v>17955</v>
      </c>
      <c r="P228" s="9">
        <v>2</v>
      </c>
      <c r="Q228" s="9">
        <v>0.25</v>
      </c>
      <c r="R228" s="9" t="s">
        <v>17955</v>
      </c>
      <c r="S228" t="s">
        <v>17957</v>
      </c>
      <c r="T228" t="s">
        <v>17957</v>
      </c>
      <c r="U228" t="s">
        <v>17957</v>
      </c>
      <c r="V228" t="s">
        <v>1140</v>
      </c>
      <c r="W228" t="s">
        <v>1140</v>
      </c>
      <c r="X228" t="s">
        <v>1140</v>
      </c>
      <c r="Y228" t="s">
        <v>17957</v>
      </c>
      <c r="Z228" t="s">
        <v>17955</v>
      </c>
      <c r="AA228" t="s">
        <v>17955</v>
      </c>
      <c r="AB228" t="s">
        <v>17955</v>
      </c>
      <c r="AC228" t="s">
        <v>17955</v>
      </c>
      <c r="AD228" t="s">
        <v>17955</v>
      </c>
      <c r="AE228">
        <v>0</v>
      </c>
      <c r="AF228">
        <v>1</v>
      </c>
      <c r="AL228">
        <v>2022</v>
      </c>
    </row>
    <row r="229" spans="1:38" x14ac:dyDescent="0.3">
      <c r="A229" t="s">
        <v>197</v>
      </c>
      <c r="B229" t="s">
        <v>199</v>
      </c>
      <c r="C229" t="s">
        <v>126</v>
      </c>
      <c r="D229">
        <v>800</v>
      </c>
      <c r="E229">
        <v>0</v>
      </c>
      <c r="F229">
        <v>800</v>
      </c>
      <c r="G229">
        <v>0</v>
      </c>
      <c r="H229">
        <v>1</v>
      </c>
      <c r="I229" t="s">
        <v>17952</v>
      </c>
      <c r="J229">
        <v>0</v>
      </c>
      <c r="K229">
        <v>350</v>
      </c>
      <c r="L229">
        <v>450</v>
      </c>
      <c r="M229">
        <v>0</v>
      </c>
      <c r="N229">
        <v>0</v>
      </c>
      <c r="O229" t="s">
        <v>17955</v>
      </c>
      <c r="P229" s="9" t="s">
        <v>17955</v>
      </c>
      <c r="Q229" s="9">
        <v>0</v>
      </c>
      <c r="R229" s="9" t="s">
        <v>17955</v>
      </c>
      <c r="S229" t="s">
        <v>1140</v>
      </c>
      <c r="T229" t="s">
        <v>17957</v>
      </c>
      <c r="U229" t="s">
        <v>17957</v>
      </c>
      <c r="V229" t="s">
        <v>1140</v>
      </c>
      <c r="W229" t="s">
        <v>17957</v>
      </c>
      <c r="X229" t="s">
        <v>1140</v>
      </c>
      <c r="Y229" t="s">
        <v>17957</v>
      </c>
      <c r="Z229">
        <v>0</v>
      </c>
      <c r="AA229">
        <v>0</v>
      </c>
      <c r="AB229">
        <v>2</v>
      </c>
      <c r="AC229">
        <v>0</v>
      </c>
      <c r="AD229">
        <v>0</v>
      </c>
      <c r="AE229">
        <v>2</v>
      </c>
      <c r="AF229">
        <v>1</v>
      </c>
      <c r="AL229">
        <v>2022</v>
      </c>
    </row>
    <row r="230" spans="1:38" x14ac:dyDescent="0.3">
      <c r="A230" t="s">
        <v>200</v>
      </c>
      <c r="B230" t="s">
        <v>199</v>
      </c>
      <c r="C230" t="s">
        <v>126</v>
      </c>
      <c r="D230">
        <v>100</v>
      </c>
      <c r="E230">
        <v>0</v>
      </c>
      <c r="F230">
        <v>100</v>
      </c>
      <c r="G230">
        <v>0</v>
      </c>
      <c r="H230">
        <v>1</v>
      </c>
      <c r="I230" t="s">
        <v>1191</v>
      </c>
      <c r="J230">
        <v>0</v>
      </c>
      <c r="K230">
        <v>40</v>
      </c>
      <c r="L230">
        <v>60</v>
      </c>
      <c r="M230">
        <v>0</v>
      </c>
      <c r="N230">
        <v>0</v>
      </c>
      <c r="O230" t="s">
        <v>17955</v>
      </c>
      <c r="P230" s="9" t="s">
        <v>17955</v>
      </c>
      <c r="Q230" s="9">
        <v>0</v>
      </c>
      <c r="R230" s="9" t="s">
        <v>17955</v>
      </c>
      <c r="S230" t="s">
        <v>1140</v>
      </c>
      <c r="T230" t="s">
        <v>17957</v>
      </c>
      <c r="U230" t="s">
        <v>17957</v>
      </c>
      <c r="V230" t="s">
        <v>1140</v>
      </c>
      <c r="W230" t="s">
        <v>17957</v>
      </c>
      <c r="X230" t="s">
        <v>1140</v>
      </c>
      <c r="Y230" t="s">
        <v>17957</v>
      </c>
      <c r="Z230">
        <v>5</v>
      </c>
      <c r="AA230">
        <v>2</v>
      </c>
      <c r="AB230">
        <v>1</v>
      </c>
      <c r="AC230">
        <v>0</v>
      </c>
      <c r="AD230">
        <v>10</v>
      </c>
      <c r="AE230">
        <v>18</v>
      </c>
      <c r="AF230">
        <v>11</v>
      </c>
      <c r="AL230">
        <v>2022</v>
      </c>
    </row>
    <row r="231" spans="1:38" x14ac:dyDescent="0.3">
      <c r="A231" t="s">
        <v>202</v>
      </c>
      <c r="B231" t="s">
        <v>1119</v>
      </c>
      <c r="C231" t="s">
        <v>14</v>
      </c>
      <c r="D231" t="s">
        <v>17955</v>
      </c>
      <c r="E231" t="s">
        <v>17955</v>
      </c>
      <c r="F231" t="s">
        <v>17955</v>
      </c>
      <c r="G231" t="s">
        <v>17955</v>
      </c>
      <c r="H231" t="s">
        <v>17955</v>
      </c>
      <c r="I231" t="s">
        <v>17954</v>
      </c>
      <c r="J231" t="s">
        <v>17955</v>
      </c>
      <c r="K231" t="s">
        <v>17955</v>
      </c>
      <c r="L231" t="s">
        <v>17955</v>
      </c>
      <c r="M231">
        <v>0</v>
      </c>
      <c r="N231">
        <v>0</v>
      </c>
      <c r="O231" t="s">
        <v>17955</v>
      </c>
      <c r="P231" s="9" t="s">
        <v>17955</v>
      </c>
      <c r="Q231" s="9" t="s">
        <v>17955</v>
      </c>
      <c r="R231" s="9" t="s">
        <v>17955</v>
      </c>
      <c r="S231" t="s">
        <v>17957</v>
      </c>
      <c r="T231" t="s">
        <v>17957</v>
      </c>
      <c r="U231" t="s">
        <v>17957</v>
      </c>
      <c r="V231" t="s">
        <v>1140</v>
      </c>
      <c r="W231" t="s">
        <v>1140</v>
      </c>
      <c r="X231" t="s">
        <v>1140</v>
      </c>
      <c r="Y231" t="s">
        <v>17957</v>
      </c>
      <c r="Z231" t="s">
        <v>17955</v>
      </c>
      <c r="AA231" t="s">
        <v>17955</v>
      </c>
      <c r="AB231" t="s">
        <v>17955</v>
      </c>
      <c r="AC231" t="s">
        <v>17955</v>
      </c>
      <c r="AD231" t="s">
        <v>17955</v>
      </c>
      <c r="AE231">
        <v>0</v>
      </c>
      <c r="AF231">
        <v>0</v>
      </c>
      <c r="AL231">
        <v>2022</v>
      </c>
    </row>
    <row r="232" spans="1:38" x14ac:dyDescent="0.3">
      <c r="A232" t="s">
        <v>204</v>
      </c>
      <c r="B232" t="s">
        <v>1119</v>
      </c>
      <c r="C232" t="s">
        <v>14</v>
      </c>
      <c r="D232" t="s">
        <v>17955</v>
      </c>
      <c r="E232" t="s">
        <v>17955</v>
      </c>
      <c r="F232" t="s">
        <v>17955</v>
      </c>
      <c r="G232" t="s">
        <v>17955</v>
      </c>
      <c r="H232" t="s">
        <v>17955</v>
      </c>
      <c r="I232" t="s">
        <v>17954</v>
      </c>
      <c r="J232" t="s">
        <v>17955</v>
      </c>
      <c r="K232" t="s">
        <v>17955</v>
      </c>
      <c r="L232" t="s">
        <v>17955</v>
      </c>
      <c r="M232">
        <v>0</v>
      </c>
      <c r="N232">
        <v>0</v>
      </c>
      <c r="O232" t="s">
        <v>17955</v>
      </c>
      <c r="P232" s="9" t="s">
        <v>17955</v>
      </c>
      <c r="Q232" s="9" t="s">
        <v>17955</v>
      </c>
      <c r="R232" s="9" t="s">
        <v>17955</v>
      </c>
      <c r="S232" t="s">
        <v>17957</v>
      </c>
      <c r="T232" t="s">
        <v>17957</v>
      </c>
      <c r="U232" t="s">
        <v>17957</v>
      </c>
      <c r="V232" t="s">
        <v>1140</v>
      </c>
      <c r="W232" t="s">
        <v>1140</v>
      </c>
      <c r="X232" t="s">
        <v>1140</v>
      </c>
      <c r="Y232" t="s">
        <v>17957</v>
      </c>
      <c r="Z232" t="s">
        <v>17955</v>
      </c>
      <c r="AA232" t="s">
        <v>17955</v>
      </c>
      <c r="AB232" t="s">
        <v>17955</v>
      </c>
      <c r="AC232" t="s">
        <v>17955</v>
      </c>
      <c r="AD232" t="s">
        <v>17955</v>
      </c>
      <c r="AE232">
        <v>0</v>
      </c>
      <c r="AF232">
        <v>0</v>
      </c>
      <c r="AL232">
        <v>2022</v>
      </c>
    </row>
    <row r="233" spans="1:38" x14ac:dyDescent="0.3">
      <c r="A233" t="s">
        <v>206</v>
      </c>
      <c r="B233" t="s">
        <v>1119</v>
      </c>
      <c r="C233" t="s">
        <v>14</v>
      </c>
      <c r="D233" t="s">
        <v>17955</v>
      </c>
      <c r="E233" t="s">
        <v>17955</v>
      </c>
      <c r="F233" t="s">
        <v>17955</v>
      </c>
      <c r="G233" t="s">
        <v>17955</v>
      </c>
      <c r="H233" t="s">
        <v>17955</v>
      </c>
      <c r="I233" t="s">
        <v>17954</v>
      </c>
      <c r="J233" t="s">
        <v>17955</v>
      </c>
      <c r="K233" t="s">
        <v>17955</v>
      </c>
      <c r="L233" t="s">
        <v>17955</v>
      </c>
      <c r="M233">
        <v>0</v>
      </c>
      <c r="N233">
        <v>0</v>
      </c>
      <c r="O233" t="s">
        <v>17955</v>
      </c>
      <c r="P233" s="9" t="s">
        <v>17955</v>
      </c>
      <c r="Q233" s="9" t="s">
        <v>17955</v>
      </c>
      <c r="R233" s="9" t="s">
        <v>17955</v>
      </c>
      <c r="S233" t="s">
        <v>17957</v>
      </c>
      <c r="T233" t="s">
        <v>17957</v>
      </c>
      <c r="U233" t="s">
        <v>17957</v>
      </c>
      <c r="V233" t="s">
        <v>1140</v>
      </c>
      <c r="W233" t="s">
        <v>1140</v>
      </c>
      <c r="X233" t="s">
        <v>1140</v>
      </c>
      <c r="Y233" t="s">
        <v>17957</v>
      </c>
      <c r="Z233" t="s">
        <v>17955</v>
      </c>
      <c r="AA233" t="s">
        <v>17955</v>
      </c>
      <c r="AB233" t="s">
        <v>17955</v>
      </c>
      <c r="AC233" t="s">
        <v>17955</v>
      </c>
      <c r="AD233" t="s">
        <v>17955</v>
      </c>
      <c r="AE233">
        <v>0</v>
      </c>
      <c r="AF233">
        <v>0</v>
      </c>
      <c r="AL233">
        <v>2022</v>
      </c>
    </row>
    <row r="234" spans="1:38" x14ac:dyDescent="0.3">
      <c r="A234" t="s">
        <v>208</v>
      </c>
      <c r="B234" t="s">
        <v>199</v>
      </c>
      <c r="C234" t="s">
        <v>14</v>
      </c>
      <c r="D234">
        <v>57</v>
      </c>
      <c r="E234">
        <v>5</v>
      </c>
      <c r="F234">
        <v>52</v>
      </c>
      <c r="G234">
        <v>8.771929824561403E-2</v>
      </c>
      <c r="H234">
        <v>0.91228070175438591</v>
      </c>
      <c r="I234" t="s">
        <v>1197</v>
      </c>
      <c r="J234">
        <v>15</v>
      </c>
      <c r="K234">
        <v>36</v>
      </c>
      <c r="L234">
        <v>6</v>
      </c>
      <c r="M234">
        <v>6</v>
      </c>
      <c r="N234">
        <v>1</v>
      </c>
      <c r="O234" t="s">
        <v>17955</v>
      </c>
      <c r="P234" s="9">
        <v>1.2</v>
      </c>
      <c r="Q234" s="9">
        <v>2.7777777777777776E-2</v>
      </c>
      <c r="R234" s="9" t="s">
        <v>17955</v>
      </c>
      <c r="S234" t="s">
        <v>1140</v>
      </c>
      <c r="T234" t="s">
        <v>17957</v>
      </c>
      <c r="U234" t="s">
        <v>17957</v>
      </c>
      <c r="V234" t="s">
        <v>1140</v>
      </c>
      <c r="W234" t="s">
        <v>17957</v>
      </c>
      <c r="X234" t="s">
        <v>1140</v>
      </c>
      <c r="Y234" t="s">
        <v>17957</v>
      </c>
      <c r="Z234">
        <v>8</v>
      </c>
      <c r="AA234">
        <v>2</v>
      </c>
      <c r="AB234">
        <v>0</v>
      </c>
      <c r="AC234">
        <v>0</v>
      </c>
      <c r="AD234">
        <v>3</v>
      </c>
      <c r="AE234">
        <v>13</v>
      </c>
      <c r="AF234">
        <v>0</v>
      </c>
      <c r="AL234">
        <v>2022</v>
      </c>
    </row>
    <row r="235" spans="1:38" x14ac:dyDescent="0.3">
      <c r="A235" t="s">
        <v>210</v>
      </c>
      <c r="B235" t="s">
        <v>20</v>
      </c>
      <c r="C235" t="s">
        <v>126</v>
      </c>
      <c r="D235">
        <v>3</v>
      </c>
      <c r="E235">
        <v>0</v>
      </c>
      <c r="F235">
        <v>3</v>
      </c>
      <c r="G235">
        <v>0</v>
      </c>
      <c r="H235">
        <v>1</v>
      </c>
      <c r="I235" t="s">
        <v>17953</v>
      </c>
      <c r="J235">
        <v>0</v>
      </c>
      <c r="K235" t="s">
        <v>17955</v>
      </c>
      <c r="L235" t="s">
        <v>17955</v>
      </c>
      <c r="M235">
        <v>0</v>
      </c>
      <c r="N235">
        <v>0</v>
      </c>
      <c r="O235" t="s">
        <v>17955</v>
      </c>
      <c r="P235" s="9" t="s">
        <v>17955</v>
      </c>
      <c r="Q235" s="9" t="s">
        <v>17955</v>
      </c>
      <c r="R235" s="9" t="s">
        <v>17955</v>
      </c>
      <c r="S235" t="s">
        <v>17957</v>
      </c>
      <c r="T235" t="s">
        <v>17957</v>
      </c>
      <c r="U235" t="s">
        <v>17957</v>
      </c>
      <c r="V235" t="s">
        <v>1140</v>
      </c>
      <c r="W235" t="s">
        <v>1140</v>
      </c>
      <c r="X235" t="s">
        <v>1140</v>
      </c>
      <c r="Y235" t="s">
        <v>17957</v>
      </c>
      <c r="Z235">
        <v>0</v>
      </c>
      <c r="AA235">
        <v>1</v>
      </c>
      <c r="AB235">
        <v>3</v>
      </c>
      <c r="AC235">
        <v>8</v>
      </c>
      <c r="AD235">
        <v>2</v>
      </c>
      <c r="AE235">
        <v>14</v>
      </c>
      <c r="AF235">
        <v>5</v>
      </c>
      <c r="AL235">
        <v>2022</v>
      </c>
    </row>
    <row r="236" spans="1:38" x14ac:dyDescent="0.3">
      <c r="A236" t="s">
        <v>212</v>
      </c>
      <c r="B236" t="s">
        <v>17</v>
      </c>
      <c r="C236" t="s">
        <v>126</v>
      </c>
      <c r="D236">
        <v>3</v>
      </c>
      <c r="E236">
        <v>0</v>
      </c>
      <c r="F236">
        <v>3</v>
      </c>
      <c r="G236">
        <v>0</v>
      </c>
      <c r="H236">
        <v>1</v>
      </c>
      <c r="I236" t="s">
        <v>17953</v>
      </c>
      <c r="J236">
        <v>0</v>
      </c>
      <c r="K236">
        <v>0</v>
      </c>
      <c r="L236">
        <v>3</v>
      </c>
      <c r="M236">
        <v>0</v>
      </c>
      <c r="N236">
        <v>0</v>
      </c>
      <c r="O236" t="s">
        <v>17955</v>
      </c>
      <c r="P236" s="9" t="s">
        <v>17955</v>
      </c>
      <c r="Q236" s="9" t="s">
        <v>17955</v>
      </c>
      <c r="R236" s="9" t="s">
        <v>17955</v>
      </c>
      <c r="S236" t="s">
        <v>1140</v>
      </c>
      <c r="T236" t="s">
        <v>17957</v>
      </c>
      <c r="U236" t="s">
        <v>17957</v>
      </c>
      <c r="V236" t="s">
        <v>1140</v>
      </c>
      <c r="W236" t="s">
        <v>17957</v>
      </c>
      <c r="X236" t="s">
        <v>1140</v>
      </c>
      <c r="Y236" t="s">
        <v>17957</v>
      </c>
      <c r="Z236">
        <v>1</v>
      </c>
      <c r="AA236">
        <v>5</v>
      </c>
      <c r="AB236">
        <v>11</v>
      </c>
      <c r="AC236">
        <v>11</v>
      </c>
      <c r="AD236">
        <v>6</v>
      </c>
      <c r="AE236">
        <v>34</v>
      </c>
      <c r="AF236">
        <v>15</v>
      </c>
      <c r="AL236">
        <v>2022</v>
      </c>
    </row>
    <row r="237" spans="1:38" x14ac:dyDescent="0.3">
      <c r="A237" t="s">
        <v>214</v>
      </c>
      <c r="B237" t="s">
        <v>175</v>
      </c>
      <c r="C237" t="s">
        <v>126</v>
      </c>
      <c r="D237">
        <v>5</v>
      </c>
      <c r="E237">
        <v>0</v>
      </c>
      <c r="F237">
        <v>5</v>
      </c>
      <c r="G237">
        <v>0</v>
      </c>
      <c r="H237">
        <v>1</v>
      </c>
      <c r="I237" t="s">
        <v>17953</v>
      </c>
      <c r="J237">
        <v>0</v>
      </c>
      <c r="K237">
        <v>0</v>
      </c>
      <c r="L237">
        <v>5</v>
      </c>
      <c r="M237">
        <v>0</v>
      </c>
      <c r="N237">
        <v>0</v>
      </c>
      <c r="O237" t="s">
        <v>17955</v>
      </c>
      <c r="P237" s="9" t="s">
        <v>17955</v>
      </c>
      <c r="Q237" s="9" t="s">
        <v>17955</v>
      </c>
      <c r="R237" s="9" t="s">
        <v>17955</v>
      </c>
      <c r="S237" t="s">
        <v>1140</v>
      </c>
      <c r="T237" t="s">
        <v>17957</v>
      </c>
      <c r="U237" t="s">
        <v>17957</v>
      </c>
      <c r="V237" t="s">
        <v>1140</v>
      </c>
      <c r="W237" t="s">
        <v>17957</v>
      </c>
      <c r="X237" t="s">
        <v>1140</v>
      </c>
      <c r="Y237" t="s">
        <v>17957</v>
      </c>
      <c r="Z237">
        <v>1</v>
      </c>
      <c r="AA237">
        <v>4</v>
      </c>
      <c r="AB237">
        <v>4</v>
      </c>
      <c r="AC237">
        <v>3</v>
      </c>
      <c r="AD237">
        <v>6</v>
      </c>
      <c r="AE237">
        <v>18</v>
      </c>
      <c r="AF237">
        <v>2</v>
      </c>
      <c r="AL237">
        <v>2022</v>
      </c>
    </row>
    <row r="238" spans="1:38" x14ac:dyDescent="0.3">
      <c r="A238" t="s">
        <v>216</v>
      </c>
      <c r="B238" t="s">
        <v>199</v>
      </c>
      <c r="C238" t="s">
        <v>126</v>
      </c>
      <c r="D238">
        <v>7</v>
      </c>
      <c r="E238">
        <v>0</v>
      </c>
      <c r="F238">
        <v>7</v>
      </c>
      <c r="G238">
        <v>0</v>
      </c>
      <c r="H238">
        <v>1</v>
      </c>
      <c r="I238" t="s">
        <v>17953</v>
      </c>
      <c r="J238">
        <v>0</v>
      </c>
      <c r="K238">
        <v>6</v>
      </c>
      <c r="L238">
        <v>1</v>
      </c>
      <c r="M238">
        <v>0</v>
      </c>
      <c r="N238">
        <v>0</v>
      </c>
      <c r="O238" t="s">
        <v>17955</v>
      </c>
      <c r="P238" s="9" t="s">
        <v>17955</v>
      </c>
      <c r="Q238" s="9">
        <v>0</v>
      </c>
      <c r="R238" s="9" t="s">
        <v>17955</v>
      </c>
      <c r="S238" t="s">
        <v>1140</v>
      </c>
      <c r="T238" t="s">
        <v>17957</v>
      </c>
      <c r="U238" t="s">
        <v>17957</v>
      </c>
      <c r="V238" t="s">
        <v>1140</v>
      </c>
      <c r="W238" t="s">
        <v>17957</v>
      </c>
      <c r="X238" t="s">
        <v>1140</v>
      </c>
      <c r="Y238" t="s">
        <v>17957</v>
      </c>
      <c r="Z238">
        <v>0</v>
      </c>
      <c r="AA238">
        <v>1</v>
      </c>
      <c r="AB238">
        <v>0</v>
      </c>
      <c r="AC238">
        <v>3</v>
      </c>
      <c r="AD238">
        <v>3</v>
      </c>
      <c r="AE238">
        <v>7</v>
      </c>
      <c r="AF238">
        <v>0</v>
      </c>
      <c r="AL238">
        <v>2022</v>
      </c>
    </row>
    <row r="239" spans="1:38" x14ac:dyDescent="0.3">
      <c r="A239" t="s">
        <v>220</v>
      </c>
      <c r="B239" t="s">
        <v>194</v>
      </c>
      <c r="C239" t="s">
        <v>126</v>
      </c>
      <c r="D239">
        <v>0</v>
      </c>
      <c r="E239">
        <v>0</v>
      </c>
      <c r="F239">
        <v>0</v>
      </c>
      <c r="G239" t="s">
        <v>17955</v>
      </c>
      <c r="H239" t="s">
        <v>17955</v>
      </c>
      <c r="I239" t="s">
        <v>17955</v>
      </c>
      <c r="J239">
        <v>0</v>
      </c>
      <c r="K239" t="s">
        <v>17955</v>
      </c>
      <c r="L239" t="s">
        <v>17955</v>
      </c>
      <c r="M239">
        <v>0</v>
      </c>
      <c r="N239">
        <v>0</v>
      </c>
      <c r="O239" t="s">
        <v>17955</v>
      </c>
      <c r="P239" s="9" t="s">
        <v>17955</v>
      </c>
      <c r="Q239" s="9" t="s">
        <v>17955</v>
      </c>
      <c r="R239" s="9" t="s">
        <v>17955</v>
      </c>
      <c r="S239" t="s">
        <v>17957</v>
      </c>
      <c r="T239" t="s">
        <v>17957</v>
      </c>
      <c r="U239" t="s">
        <v>17957</v>
      </c>
      <c r="V239" t="s">
        <v>1140</v>
      </c>
      <c r="W239" t="s">
        <v>1140</v>
      </c>
      <c r="X239" t="s">
        <v>1140</v>
      </c>
      <c r="Y239" t="s">
        <v>17957</v>
      </c>
      <c r="Z239" t="s">
        <v>17955</v>
      </c>
      <c r="AA239" t="s">
        <v>17955</v>
      </c>
      <c r="AB239" t="s">
        <v>17955</v>
      </c>
      <c r="AC239" t="s">
        <v>17955</v>
      </c>
      <c r="AD239" t="s">
        <v>17955</v>
      </c>
      <c r="AE239">
        <v>0</v>
      </c>
      <c r="AF239">
        <v>1</v>
      </c>
      <c r="AL239">
        <v>2022</v>
      </c>
    </row>
    <row r="240" spans="1:38" x14ac:dyDescent="0.3">
      <c r="A240" t="s">
        <v>222</v>
      </c>
      <c r="B240" t="s">
        <v>194</v>
      </c>
      <c r="C240" t="s">
        <v>14</v>
      </c>
      <c r="D240" t="s">
        <v>17955</v>
      </c>
      <c r="E240" t="s">
        <v>17955</v>
      </c>
      <c r="F240" t="s">
        <v>17955</v>
      </c>
      <c r="G240" t="s">
        <v>17955</v>
      </c>
      <c r="H240" t="s">
        <v>17955</v>
      </c>
      <c r="I240" t="s">
        <v>17954</v>
      </c>
      <c r="J240" t="s">
        <v>17955</v>
      </c>
      <c r="K240" t="s">
        <v>17955</v>
      </c>
      <c r="L240" t="s">
        <v>17955</v>
      </c>
      <c r="M240">
        <v>0</v>
      </c>
      <c r="N240">
        <v>0</v>
      </c>
      <c r="O240" t="s">
        <v>17955</v>
      </c>
      <c r="P240" s="9" t="s">
        <v>17955</v>
      </c>
      <c r="Q240" s="9" t="s">
        <v>17955</v>
      </c>
      <c r="R240" s="9" t="s">
        <v>17955</v>
      </c>
      <c r="S240" t="s">
        <v>17957</v>
      </c>
      <c r="T240" t="s">
        <v>17957</v>
      </c>
      <c r="U240" t="s">
        <v>17957</v>
      </c>
      <c r="V240" t="s">
        <v>1140</v>
      </c>
      <c r="W240" t="s">
        <v>1140</v>
      </c>
      <c r="X240" t="s">
        <v>1140</v>
      </c>
      <c r="Y240" t="s">
        <v>17957</v>
      </c>
      <c r="Z240" t="s">
        <v>17955</v>
      </c>
      <c r="AA240" t="s">
        <v>17955</v>
      </c>
      <c r="AB240" t="s">
        <v>17955</v>
      </c>
      <c r="AC240" t="s">
        <v>17955</v>
      </c>
      <c r="AD240" t="s">
        <v>17955</v>
      </c>
      <c r="AE240">
        <v>0</v>
      </c>
      <c r="AF240">
        <v>0</v>
      </c>
      <c r="AL240">
        <v>2022</v>
      </c>
    </row>
    <row r="241" spans="1:38" x14ac:dyDescent="0.3">
      <c r="A241" t="s">
        <v>226</v>
      </c>
      <c r="B241" t="s">
        <v>194</v>
      </c>
      <c r="C241" t="s">
        <v>126</v>
      </c>
      <c r="D241">
        <v>9</v>
      </c>
      <c r="E241">
        <v>0</v>
      </c>
      <c r="F241">
        <v>9</v>
      </c>
      <c r="G241">
        <v>0</v>
      </c>
      <c r="H241">
        <v>1</v>
      </c>
      <c r="I241" t="s">
        <v>17953</v>
      </c>
      <c r="J241">
        <v>0</v>
      </c>
      <c r="K241">
        <v>0</v>
      </c>
      <c r="L241">
        <v>9</v>
      </c>
      <c r="M241">
        <v>0</v>
      </c>
      <c r="N241">
        <v>0</v>
      </c>
      <c r="O241" t="s">
        <v>17955</v>
      </c>
      <c r="P241" s="9" t="s">
        <v>17955</v>
      </c>
      <c r="Q241" s="9" t="s">
        <v>17955</v>
      </c>
      <c r="R241" s="9" t="s">
        <v>17955</v>
      </c>
      <c r="S241" t="s">
        <v>1140</v>
      </c>
      <c r="T241" t="s">
        <v>17957</v>
      </c>
      <c r="U241" t="s">
        <v>17957</v>
      </c>
      <c r="V241" t="s">
        <v>1140</v>
      </c>
      <c r="W241" t="s">
        <v>17957</v>
      </c>
      <c r="X241" t="s">
        <v>1140</v>
      </c>
      <c r="Y241" t="s">
        <v>17957</v>
      </c>
      <c r="Z241">
        <v>0</v>
      </c>
      <c r="AA241">
        <v>0</v>
      </c>
      <c r="AB241">
        <v>6</v>
      </c>
      <c r="AC241">
        <v>2</v>
      </c>
      <c r="AD241">
        <v>0</v>
      </c>
      <c r="AE241">
        <v>8</v>
      </c>
      <c r="AF241">
        <v>1</v>
      </c>
      <c r="AL241">
        <v>2022</v>
      </c>
    </row>
    <row r="242" spans="1:38" x14ac:dyDescent="0.3">
      <c r="A242" t="s">
        <v>228</v>
      </c>
      <c r="B242" t="s">
        <v>132</v>
      </c>
      <c r="C242" t="s">
        <v>126</v>
      </c>
      <c r="D242">
        <v>7</v>
      </c>
      <c r="E242">
        <v>0</v>
      </c>
      <c r="F242">
        <v>7</v>
      </c>
      <c r="G242">
        <v>0</v>
      </c>
      <c r="H242">
        <v>1</v>
      </c>
      <c r="I242" t="s">
        <v>17953</v>
      </c>
      <c r="J242">
        <v>0</v>
      </c>
      <c r="K242">
        <v>0</v>
      </c>
      <c r="L242">
        <v>7</v>
      </c>
      <c r="M242">
        <v>0</v>
      </c>
      <c r="N242">
        <v>0</v>
      </c>
      <c r="O242" t="s">
        <v>17955</v>
      </c>
      <c r="P242" s="9" t="s">
        <v>17955</v>
      </c>
      <c r="Q242" s="9" t="s">
        <v>17955</v>
      </c>
      <c r="R242" s="9" t="s">
        <v>17955</v>
      </c>
      <c r="S242" t="s">
        <v>1140</v>
      </c>
      <c r="T242" t="s">
        <v>17957</v>
      </c>
      <c r="U242" t="s">
        <v>17957</v>
      </c>
      <c r="V242" t="s">
        <v>1140</v>
      </c>
      <c r="W242" t="s">
        <v>17957</v>
      </c>
      <c r="X242" t="s">
        <v>1140</v>
      </c>
      <c r="Y242" t="s">
        <v>17957</v>
      </c>
      <c r="Z242">
        <v>0</v>
      </c>
      <c r="AA242">
        <v>0</v>
      </c>
      <c r="AB242">
        <v>0</v>
      </c>
      <c r="AC242">
        <v>0</v>
      </c>
      <c r="AD242">
        <v>0</v>
      </c>
      <c r="AE242">
        <v>0</v>
      </c>
      <c r="AF242">
        <v>4</v>
      </c>
      <c r="AL242">
        <v>2022</v>
      </c>
    </row>
    <row r="243" spans="1:38" x14ac:dyDescent="0.3">
      <c r="A243" t="s">
        <v>230</v>
      </c>
      <c r="B243" t="s">
        <v>194</v>
      </c>
      <c r="C243" t="s">
        <v>126</v>
      </c>
      <c r="D243" t="s">
        <v>17955</v>
      </c>
      <c r="E243" t="s">
        <v>17955</v>
      </c>
      <c r="F243" t="s">
        <v>17955</v>
      </c>
      <c r="G243" t="s">
        <v>17955</v>
      </c>
      <c r="H243" t="s">
        <v>17955</v>
      </c>
      <c r="I243" t="s">
        <v>17954</v>
      </c>
      <c r="J243" t="s">
        <v>17955</v>
      </c>
      <c r="K243" t="s">
        <v>17955</v>
      </c>
      <c r="L243" t="s">
        <v>17955</v>
      </c>
      <c r="M243">
        <v>0</v>
      </c>
      <c r="N243">
        <v>0</v>
      </c>
      <c r="O243" t="s">
        <v>17955</v>
      </c>
      <c r="P243" s="9" t="s">
        <v>17955</v>
      </c>
      <c r="Q243" s="9" t="s">
        <v>17955</v>
      </c>
      <c r="R243" s="9" t="s">
        <v>17955</v>
      </c>
      <c r="S243" t="s">
        <v>17957</v>
      </c>
      <c r="T243" t="s">
        <v>17957</v>
      </c>
      <c r="U243" t="s">
        <v>17957</v>
      </c>
      <c r="V243" t="s">
        <v>1140</v>
      </c>
      <c r="W243" t="s">
        <v>1140</v>
      </c>
      <c r="X243" t="s">
        <v>1140</v>
      </c>
      <c r="Y243" t="s">
        <v>17957</v>
      </c>
      <c r="Z243" t="s">
        <v>17955</v>
      </c>
      <c r="AA243" t="s">
        <v>17955</v>
      </c>
      <c r="AB243" t="s">
        <v>17955</v>
      </c>
      <c r="AC243" t="s">
        <v>17955</v>
      </c>
      <c r="AD243" t="s">
        <v>17955</v>
      </c>
      <c r="AE243">
        <v>0</v>
      </c>
      <c r="AF243">
        <v>0</v>
      </c>
      <c r="AL243">
        <v>2022</v>
      </c>
    </row>
    <row r="244" spans="1:38" x14ac:dyDescent="0.3">
      <c r="A244" t="s">
        <v>232</v>
      </c>
      <c r="B244" t="s">
        <v>194</v>
      </c>
      <c r="C244" t="s">
        <v>126</v>
      </c>
      <c r="D244" t="s">
        <v>17955</v>
      </c>
      <c r="E244" t="s">
        <v>17955</v>
      </c>
      <c r="F244" t="s">
        <v>17955</v>
      </c>
      <c r="G244" t="s">
        <v>17955</v>
      </c>
      <c r="H244" t="s">
        <v>17955</v>
      </c>
      <c r="I244" t="s">
        <v>17954</v>
      </c>
      <c r="J244" t="s">
        <v>17955</v>
      </c>
      <c r="K244" t="s">
        <v>17955</v>
      </c>
      <c r="L244" t="s">
        <v>17955</v>
      </c>
      <c r="M244">
        <v>0</v>
      </c>
      <c r="N244">
        <v>0</v>
      </c>
      <c r="O244" t="s">
        <v>17955</v>
      </c>
      <c r="P244" s="9" t="s">
        <v>17955</v>
      </c>
      <c r="Q244" s="9" t="s">
        <v>17955</v>
      </c>
      <c r="R244" s="9" t="s">
        <v>17955</v>
      </c>
      <c r="S244" t="s">
        <v>17957</v>
      </c>
      <c r="T244" t="s">
        <v>17957</v>
      </c>
      <c r="U244" t="s">
        <v>17957</v>
      </c>
      <c r="V244" t="s">
        <v>1140</v>
      </c>
      <c r="W244" t="s">
        <v>1140</v>
      </c>
      <c r="X244" t="s">
        <v>1140</v>
      </c>
      <c r="Y244" t="s">
        <v>17957</v>
      </c>
      <c r="Z244" t="s">
        <v>17955</v>
      </c>
      <c r="AA244" t="s">
        <v>17955</v>
      </c>
      <c r="AB244" t="s">
        <v>17955</v>
      </c>
      <c r="AC244" t="s">
        <v>17955</v>
      </c>
      <c r="AD244" t="s">
        <v>17955</v>
      </c>
      <c r="AE244">
        <v>0</v>
      </c>
      <c r="AF244">
        <v>0</v>
      </c>
      <c r="AL244">
        <v>2022</v>
      </c>
    </row>
    <row r="245" spans="1:38" x14ac:dyDescent="0.3">
      <c r="A245" t="s">
        <v>234</v>
      </c>
      <c r="B245" t="s">
        <v>194</v>
      </c>
      <c r="C245" t="s">
        <v>126</v>
      </c>
      <c r="D245">
        <v>5</v>
      </c>
      <c r="E245">
        <v>0</v>
      </c>
      <c r="F245">
        <v>5</v>
      </c>
      <c r="G245">
        <v>0</v>
      </c>
      <c r="H245">
        <v>1</v>
      </c>
      <c r="I245" t="s">
        <v>17953</v>
      </c>
      <c r="J245">
        <v>0</v>
      </c>
      <c r="K245">
        <v>1</v>
      </c>
      <c r="L245">
        <v>4</v>
      </c>
      <c r="M245">
        <v>0</v>
      </c>
      <c r="N245">
        <v>0</v>
      </c>
      <c r="O245" t="s">
        <v>17955</v>
      </c>
      <c r="P245" s="9" t="s">
        <v>17955</v>
      </c>
      <c r="Q245" s="9">
        <v>0</v>
      </c>
      <c r="R245" s="9" t="s">
        <v>17955</v>
      </c>
      <c r="S245" t="s">
        <v>1140</v>
      </c>
      <c r="T245" t="s">
        <v>17957</v>
      </c>
      <c r="U245" t="s">
        <v>17957</v>
      </c>
      <c r="V245" t="s">
        <v>1140</v>
      </c>
      <c r="W245" t="s">
        <v>17957</v>
      </c>
      <c r="X245" t="s">
        <v>1140</v>
      </c>
      <c r="Y245" t="s">
        <v>17957</v>
      </c>
      <c r="Z245" t="s">
        <v>17955</v>
      </c>
      <c r="AA245" t="s">
        <v>17955</v>
      </c>
      <c r="AB245" t="s">
        <v>17955</v>
      </c>
      <c r="AC245" t="s">
        <v>17955</v>
      </c>
      <c r="AD245" t="s">
        <v>17955</v>
      </c>
      <c r="AE245">
        <v>0</v>
      </c>
      <c r="AF245">
        <v>0</v>
      </c>
      <c r="AL245">
        <v>2022</v>
      </c>
    </row>
    <row r="246" spans="1:38" x14ac:dyDescent="0.3">
      <c r="A246" t="s">
        <v>236</v>
      </c>
      <c r="B246" t="s">
        <v>194</v>
      </c>
      <c r="C246" t="s">
        <v>126</v>
      </c>
      <c r="D246">
        <v>28</v>
      </c>
      <c r="E246">
        <v>0</v>
      </c>
      <c r="F246">
        <v>28</v>
      </c>
      <c r="G246">
        <v>0</v>
      </c>
      <c r="H246">
        <v>1</v>
      </c>
      <c r="I246" t="s">
        <v>17953</v>
      </c>
      <c r="J246">
        <v>0</v>
      </c>
      <c r="K246">
        <v>1</v>
      </c>
      <c r="L246">
        <v>27</v>
      </c>
      <c r="M246">
        <v>0</v>
      </c>
      <c r="N246">
        <v>0</v>
      </c>
      <c r="O246" t="s">
        <v>17955</v>
      </c>
      <c r="P246" s="9" t="s">
        <v>17955</v>
      </c>
      <c r="Q246" s="9">
        <v>0</v>
      </c>
      <c r="R246" s="9" t="s">
        <v>17955</v>
      </c>
      <c r="S246" t="s">
        <v>1140</v>
      </c>
      <c r="T246" t="s">
        <v>17957</v>
      </c>
      <c r="U246" t="s">
        <v>17957</v>
      </c>
      <c r="V246" t="s">
        <v>1140</v>
      </c>
      <c r="W246" t="s">
        <v>17957</v>
      </c>
      <c r="X246" t="s">
        <v>1140</v>
      </c>
      <c r="Y246" t="s">
        <v>17957</v>
      </c>
      <c r="Z246" t="s">
        <v>17955</v>
      </c>
      <c r="AA246" t="s">
        <v>17955</v>
      </c>
      <c r="AB246" t="s">
        <v>17955</v>
      </c>
      <c r="AC246" t="s">
        <v>17955</v>
      </c>
      <c r="AD246" t="s">
        <v>17955</v>
      </c>
      <c r="AE246">
        <v>0</v>
      </c>
      <c r="AF246">
        <v>1</v>
      </c>
      <c r="AL246">
        <v>2022</v>
      </c>
    </row>
    <row r="247" spans="1:38" x14ac:dyDescent="0.3">
      <c r="A247" t="s">
        <v>238</v>
      </c>
      <c r="B247" t="s">
        <v>194</v>
      </c>
      <c r="C247" t="s">
        <v>126</v>
      </c>
      <c r="D247">
        <v>92</v>
      </c>
      <c r="E247">
        <v>0</v>
      </c>
      <c r="F247">
        <v>92</v>
      </c>
      <c r="G247">
        <v>0</v>
      </c>
      <c r="H247">
        <v>1</v>
      </c>
      <c r="I247" t="s">
        <v>1197</v>
      </c>
      <c r="J247">
        <v>0</v>
      </c>
      <c r="K247">
        <v>0</v>
      </c>
      <c r="L247">
        <v>92</v>
      </c>
      <c r="M247">
        <v>0</v>
      </c>
      <c r="N247">
        <v>0</v>
      </c>
      <c r="O247" t="s">
        <v>17955</v>
      </c>
      <c r="P247" s="9" t="s">
        <v>17955</v>
      </c>
      <c r="Q247" s="9" t="s">
        <v>17955</v>
      </c>
      <c r="R247" s="9" t="s">
        <v>17955</v>
      </c>
      <c r="S247" t="s">
        <v>1140</v>
      </c>
      <c r="T247" t="s">
        <v>17957</v>
      </c>
      <c r="U247" t="s">
        <v>17957</v>
      </c>
      <c r="V247" t="s">
        <v>1140</v>
      </c>
      <c r="W247" t="s">
        <v>17957</v>
      </c>
      <c r="X247" t="s">
        <v>1140</v>
      </c>
      <c r="Y247" t="s">
        <v>17957</v>
      </c>
      <c r="Z247">
        <v>0</v>
      </c>
      <c r="AA247">
        <v>13</v>
      </c>
      <c r="AB247">
        <v>5</v>
      </c>
      <c r="AC247">
        <v>0</v>
      </c>
      <c r="AD247">
        <v>1</v>
      </c>
      <c r="AE247">
        <v>19</v>
      </c>
      <c r="AF247">
        <v>0</v>
      </c>
      <c r="AL247">
        <v>2022</v>
      </c>
    </row>
    <row r="248" spans="1:38" x14ac:dyDescent="0.3">
      <c r="A248" t="s">
        <v>240</v>
      </c>
      <c r="B248" t="s">
        <v>175</v>
      </c>
      <c r="C248" t="s">
        <v>126</v>
      </c>
      <c r="D248">
        <v>17</v>
      </c>
      <c r="E248">
        <v>0</v>
      </c>
      <c r="F248">
        <v>17</v>
      </c>
      <c r="G248">
        <v>0</v>
      </c>
      <c r="H248">
        <v>1</v>
      </c>
      <c r="I248" t="s">
        <v>17953</v>
      </c>
      <c r="J248">
        <v>0</v>
      </c>
      <c r="K248">
        <v>0</v>
      </c>
      <c r="L248">
        <v>17</v>
      </c>
      <c r="M248">
        <v>0</v>
      </c>
      <c r="N248">
        <v>0</v>
      </c>
      <c r="O248" t="s">
        <v>17955</v>
      </c>
      <c r="P248" s="9" t="s">
        <v>17955</v>
      </c>
      <c r="Q248" s="9" t="s">
        <v>17955</v>
      </c>
      <c r="R248" s="9" t="s">
        <v>17955</v>
      </c>
      <c r="S248" t="s">
        <v>1140</v>
      </c>
      <c r="T248" t="s">
        <v>17957</v>
      </c>
      <c r="U248" t="s">
        <v>17957</v>
      </c>
      <c r="V248" t="s">
        <v>1140</v>
      </c>
      <c r="W248" t="s">
        <v>17957</v>
      </c>
      <c r="X248" t="s">
        <v>1140</v>
      </c>
      <c r="Y248" t="s">
        <v>17957</v>
      </c>
      <c r="Z248">
        <v>0</v>
      </c>
      <c r="AA248">
        <v>0</v>
      </c>
      <c r="AB248">
        <v>6</v>
      </c>
      <c r="AC248">
        <v>2</v>
      </c>
      <c r="AD248">
        <v>0</v>
      </c>
      <c r="AE248">
        <v>8</v>
      </c>
      <c r="AF248">
        <v>0</v>
      </c>
      <c r="AL248">
        <v>2022</v>
      </c>
    </row>
    <row r="249" spans="1:38" x14ac:dyDescent="0.3">
      <c r="A249" t="s">
        <v>242</v>
      </c>
      <c r="B249" t="s">
        <v>20</v>
      </c>
      <c r="C249" t="s">
        <v>126</v>
      </c>
      <c r="D249">
        <v>120</v>
      </c>
      <c r="E249">
        <v>0</v>
      </c>
      <c r="F249">
        <v>120</v>
      </c>
      <c r="G249">
        <v>0</v>
      </c>
      <c r="H249">
        <v>1</v>
      </c>
      <c r="I249" t="s">
        <v>1191</v>
      </c>
      <c r="J249">
        <v>0</v>
      </c>
      <c r="K249">
        <v>0</v>
      </c>
      <c r="L249">
        <v>120</v>
      </c>
      <c r="M249">
        <v>0</v>
      </c>
      <c r="N249">
        <v>0</v>
      </c>
      <c r="O249" t="s">
        <v>17955</v>
      </c>
      <c r="P249" s="9" t="s">
        <v>17955</v>
      </c>
      <c r="Q249" s="9" t="s">
        <v>17955</v>
      </c>
      <c r="R249" s="9" t="s">
        <v>17955</v>
      </c>
      <c r="S249" t="s">
        <v>1140</v>
      </c>
      <c r="T249" t="s">
        <v>17957</v>
      </c>
      <c r="U249" t="s">
        <v>17957</v>
      </c>
      <c r="V249" t="s">
        <v>1140</v>
      </c>
      <c r="W249" t="s">
        <v>17957</v>
      </c>
      <c r="X249" t="s">
        <v>1140</v>
      </c>
      <c r="Y249" t="s">
        <v>17957</v>
      </c>
      <c r="Z249">
        <v>0</v>
      </c>
      <c r="AA249">
        <v>2</v>
      </c>
      <c r="AB249">
        <v>0</v>
      </c>
      <c r="AC249">
        <v>1</v>
      </c>
      <c r="AD249">
        <v>1</v>
      </c>
      <c r="AE249">
        <v>4</v>
      </c>
      <c r="AF249">
        <v>16</v>
      </c>
      <c r="AL249">
        <v>2022</v>
      </c>
    </row>
    <row r="250" spans="1:38" x14ac:dyDescent="0.3">
      <c r="A250" t="s">
        <v>244</v>
      </c>
      <c r="B250" t="s">
        <v>194</v>
      </c>
      <c r="C250" t="s">
        <v>126</v>
      </c>
      <c r="D250">
        <v>21</v>
      </c>
      <c r="E250">
        <v>0</v>
      </c>
      <c r="F250">
        <v>21</v>
      </c>
      <c r="G250">
        <v>0</v>
      </c>
      <c r="H250">
        <v>1</v>
      </c>
      <c r="I250" t="s">
        <v>17953</v>
      </c>
      <c r="J250">
        <v>0</v>
      </c>
      <c r="K250">
        <v>0</v>
      </c>
      <c r="L250">
        <v>21</v>
      </c>
      <c r="M250">
        <v>0</v>
      </c>
      <c r="N250">
        <v>0</v>
      </c>
      <c r="O250" t="s">
        <v>17955</v>
      </c>
      <c r="P250" s="9" t="s">
        <v>17955</v>
      </c>
      <c r="Q250" s="9" t="s">
        <v>17955</v>
      </c>
      <c r="R250" s="9" t="s">
        <v>17955</v>
      </c>
      <c r="S250" t="s">
        <v>1140</v>
      </c>
      <c r="T250" t="s">
        <v>17957</v>
      </c>
      <c r="U250" t="s">
        <v>17957</v>
      </c>
      <c r="V250" t="s">
        <v>1140</v>
      </c>
      <c r="W250" t="s">
        <v>17957</v>
      </c>
      <c r="X250" t="s">
        <v>1140</v>
      </c>
      <c r="Y250" t="s">
        <v>17957</v>
      </c>
      <c r="Z250">
        <v>0</v>
      </c>
      <c r="AA250">
        <v>0</v>
      </c>
      <c r="AB250">
        <v>0</v>
      </c>
      <c r="AC250">
        <v>0</v>
      </c>
      <c r="AD250">
        <v>0</v>
      </c>
      <c r="AE250">
        <v>0</v>
      </c>
      <c r="AF250">
        <v>3</v>
      </c>
      <c r="AL250">
        <v>2022</v>
      </c>
    </row>
    <row r="251" spans="1:38" x14ac:dyDescent="0.3">
      <c r="A251" t="s">
        <v>246</v>
      </c>
      <c r="B251" t="s">
        <v>194</v>
      </c>
      <c r="C251" t="s">
        <v>14</v>
      </c>
      <c r="D251" t="s">
        <v>17955</v>
      </c>
      <c r="E251" t="s">
        <v>17955</v>
      </c>
      <c r="F251" t="s">
        <v>17955</v>
      </c>
      <c r="G251" t="s">
        <v>17955</v>
      </c>
      <c r="H251" t="s">
        <v>17955</v>
      </c>
      <c r="I251" t="s">
        <v>17954</v>
      </c>
      <c r="J251" t="s">
        <v>17955</v>
      </c>
      <c r="K251" t="s">
        <v>17955</v>
      </c>
      <c r="L251" t="s">
        <v>17955</v>
      </c>
      <c r="M251">
        <v>0</v>
      </c>
      <c r="N251">
        <v>0</v>
      </c>
      <c r="O251" t="s">
        <v>17955</v>
      </c>
      <c r="P251" s="9" t="s">
        <v>17955</v>
      </c>
      <c r="Q251" s="9" t="s">
        <v>17955</v>
      </c>
      <c r="R251" s="9" t="s">
        <v>17955</v>
      </c>
      <c r="S251" t="s">
        <v>17957</v>
      </c>
      <c r="T251" t="s">
        <v>17957</v>
      </c>
      <c r="U251" t="s">
        <v>17957</v>
      </c>
      <c r="V251" t="s">
        <v>1140</v>
      </c>
      <c r="W251" t="s">
        <v>1140</v>
      </c>
      <c r="X251" t="s">
        <v>1140</v>
      </c>
      <c r="Y251" t="s">
        <v>17957</v>
      </c>
      <c r="Z251" t="s">
        <v>17955</v>
      </c>
      <c r="AA251" t="s">
        <v>17955</v>
      </c>
      <c r="AB251" t="s">
        <v>17955</v>
      </c>
      <c r="AC251" t="s">
        <v>17955</v>
      </c>
      <c r="AD251" t="s">
        <v>17955</v>
      </c>
      <c r="AE251">
        <v>0</v>
      </c>
      <c r="AF251">
        <v>0</v>
      </c>
      <c r="AL251">
        <v>2022</v>
      </c>
    </row>
    <row r="252" spans="1:38" x14ac:dyDescent="0.3">
      <c r="A252" t="s">
        <v>248</v>
      </c>
      <c r="B252" t="s">
        <v>194</v>
      </c>
      <c r="C252" t="s">
        <v>14</v>
      </c>
      <c r="D252" t="s">
        <v>17955</v>
      </c>
      <c r="E252" t="s">
        <v>17955</v>
      </c>
      <c r="F252" t="s">
        <v>17955</v>
      </c>
      <c r="G252" t="s">
        <v>17955</v>
      </c>
      <c r="H252" t="s">
        <v>17955</v>
      </c>
      <c r="I252" t="s">
        <v>17954</v>
      </c>
      <c r="J252" t="s">
        <v>17955</v>
      </c>
      <c r="K252" t="s">
        <v>17955</v>
      </c>
      <c r="L252" t="s">
        <v>17955</v>
      </c>
      <c r="M252">
        <v>0</v>
      </c>
      <c r="N252">
        <v>0</v>
      </c>
      <c r="O252" t="s">
        <v>17955</v>
      </c>
      <c r="P252" s="9" t="s">
        <v>17955</v>
      </c>
      <c r="Q252" s="9" t="s">
        <v>17955</v>
      </c>
      <c r="R252" s="9" t="s">
        <v>17955</v>
      </c>
      <c r="S252" t="s">
        <v>17957</v>
      </c>
      <c r="T252" t="s">
        <v>17957</v>
      </c>
      <c r="U252" t="s">
        <v>17957</v>
      </c>
      <c r="V252" t="s">
        <v>1140</v>
      </c>
      <c r="W252" t="s">
        <v>1140</v>
      </c>
      <c r="X252" t="s">
        <v>1140</v>
      </c>
      <c r="Y252" t="s">
        <v>17957</v>
      </c>
      <c r="Z252" t="s">
        <v>17955</v>
      </c>
      <c r="AA252" t="s">
        <v>17955</v>
      </c>
      <c r="AB252" t="s">
        <v>17955</v>
      </c>
      <c r="AC252" t="s">
        <v>17955</v>
      </c>
      <c r="AD252" t="s">
        <v>17955</v>
      </c>
      <c r="AE252">
        <v>0</v>
      </c>
      <c r="AF252">
        <v>0</v>
      </c>
      <c r="AL252">
        <v>2022</v>
      </c>
    </row>
    <row r="253" spans="1:38" x14ac:dyDescent="0.3">
      <c r="A253" t="s">
        <v>250</v>
      </c>
      <c r="B253" t="s">
        <v>194</v>
      </c>
      <c r="C253" t="s">
        <v>14</v>
      </c>
      <c r="D253" t="s">
        <v>17955</v>
      </c>
      <c r="E253" t="s">
        <v>17955</v>
      </c>
      <c r="F253" t="s">
        <v>17955</v>
      </c>
      <c r="G253" t="s">
        <v>17955</v>
      </c>
      <c r="H253" t="s">
        <v>17955</v>
      </c>
      <c r="I253" t="s">
        <v>17954</v>
      </c>
      <c r="J253" t="s">
        <v>17955</v>
      </c>
      <c r="K253" t="s">
        <v>17955</v>
      </c>
      <c r="L253" t="s">
        <v>17955</v>
      </c>
      <c r="M253">
        <v>0</v>
      </c>
      <c r="N253">
        <v>0</v>
      </c>
      <c r="O253" t="s">
        <v>17955</v>
      </c>
      <c r="P253" s="9" t="s">
        <v>17955</v>
      </c>
      <c r="Q253" s="9" t="s">
        <v>17955</v>
      </c>
      <c r="R253" s="9" t="s">
        <v>17955</v>
      </c>
      <c r="S253" t="s">
        <v>17957</v>
      </c>
      <c r="T253" t="s">
        <v>17957</v>
      </c>
      <c r="U253" t="s">
        <v>17957</v>
      </c>
      <c r="V253" t="s">
        <v>1140</v>
      </c>
      <c r="W253" t="s">
        <v>1140</v>
      </c>
      <c r="X253" t="s">
        <v>1140</v>
      </c>
      <c r="Y253" t="s">
        <v>17957</v>
      </c>
      <c r="Z253" t="s">
        <v>17955</v>
      </c>
      <c r="AA253" t="s">
        <v>17955</v>
      </c>
      <c r="AB253" t="s">
        <v>17955</v>
      </c>
      <c r="AC253" t="s">
        <v>17955</v>
      </c>
      <c r="AD253" t="s">
        <v>17955</v>
      </c>
      <c r="AE253">
        <v>0</v>
      </c>
      <c r="AF253">
        <v>0</v>
      </c>
      <c r="AL253">
        <v>2022</v>
      </c>
    </row>
    <row r="254" spans="1:38" x14ac:dyDescent="0.3">
      <c r="A254" t="s">
        <v>252</v>
      </c>
      <c r="B254" t="s">
        <v>175</v>
      </c>
      <c r="C254" t="s">
        <v>126</v>
      </c>
      <c r="D254">
        <v>300</v>
      </c>
      <c r="E254">
        <v>0</v>
      </c>
      <c r="F254">
        <v>300</v>
      </c>
      <c r="G254">
        <v>0</v>
      </c>
      <c r="H254">
        <v>1</v>
      </c>
      <c r="I254" t="s">
        <v>1191</v>
      </c>
      <c r="J254">
        <v>0</v>
      </c>
      <c r="K254">
        <v>50</v>
      </c>
      <c r="L254">
        <v>250</v>
      </c>
      <c r="M254">
        <v>0</v>
      </c>
      <c r="N254">
        <v>0</v>
      </c>
      <c r="O254" t="s">
        <v>17955</v>
      </c>
      <c r="P254" s="9" t="s">
        <v>17955</v>
      </c>
      <c r="Q254" s="9">
        <v>0</v>
      </c>
      <c r="R254" s="9" t="s">
        <v>17955</v>
      </c>
      <c r="S254" t="s">
        <v>1140</v>
      </c>
      <c r="T254" t="s">
        <v>17957</v>
      </c>
      <c r="U254" t="s">
        <v>17957</v>
      </c>
      <c r="V254" t="s">
        <v>1140</v>
      </c>
      <c r="W254" t="s">
        <v>17957</v>
      </c>
      <c r="X254" t="s">
        <v>1140</v>
      </c>
      <c r="Y254" t="s">
        <v>17957</v>
      </c>
      <c r="Z254" t="s">
        <v>17955</v>
      </c>
      <c r="AA254" t="s">
        <v>17955</v>
      </c>
      <c r="AB254" t="s">
        <v>17955</v>
      </c>
      <c r="AC254" t="s">
        <v>17955</v>
      </c>
      <c r="AD254" t="s">
        <v>17955</v>
      </c>
      <c r="AE254">
        <v>0</v>
      </c>
      <c r="AF254">
        <v>1</v>
      </c>
      <c r="AL254">
        <v>2022</v>
      </c>
    </row>
    <row r="255" spans="1:38" x14ac:dyDescent="0.3">
      <c r="A255" t="s">
        <v>254</v>
      </c>
      <c r="B255" t="s">
        <v>20</v>
      </c>
      <c r="C255" t="s">
        <v>14</v>
      </c>
      <c r="D255">
        <v>38</v>
      </c>
      <c r="E255">
        <v>3</v>
      </c>
      <c r="F255">
        <v>35</v>
      </c>
      <c r="G255">
        <v>7.8947368421052627E-2</v>
      </c>
      <c r="H255">
        <v>0.92105263157894735</v>
      </c>
      <c r="I255" t="s">
        <v>17953</v>
      </c>
      <c r="J255">
        <v>20</v>
      </c>
      <c r="K255">
        <v>0</v>
      </c>
      <c r="L255">
        <v>18</v>
      </c>
      <c r="M255">
        <v>0</v>
      </c>
      <c r="N255">
        <v>0</v>
      </c>
      <c r="O255">
        <v>3</v>
      </c>
      <c r="P255" s="9">
        <v>0</v>
      </c>
      <c r="Q255" s="9" t="s">
        <v>17955</v>
      </c>
      <c r="R255" s="9">
        <v>0.16666666666666666</v>
      </c>
      <c r="S255" t="s">
        <v>1140</v>
      </c>
      <c r="T255" t="s">
        <v>1140</v>
      </c>
      <c r="U255" t="s">
        <v>1140</v>
      </c>
      <c r="V255" t="s">
        <v>1140</v>
      </c>
      <c r="W255" t="s">
        <v>1140</v>
      </c>
      <c r="X255" t="s">
        <v>1140</v>
      </c>
      <c r="Y255" t="s">
        <v>1140</v>
      </c>
      <c r="Z255">
        <v>0</v>
      </c>
      <c r="AA255">
        <v>0</v>
      </c>
      <c r="AB255">
        <v>0</v>
      </c>
      <c r="AC255">
        <v>0</v>
      </c>
      <c r="AD255">
        <v>0</v>
      </c>
      <c r="AE255">
        <v>0</v>
      </c>
      <c r="AF255">
        <v>5</v>
      </c>
      <c r="AL255">
        <v>2022</v>
      </c>
    </row>
    <row r="256" spans="1:38" x14ac:dyDescent="0.3">
      <c r="A256" t="s">
        <v>256</v>
      </c>
      <c r="B256" t="s">
        <v>1118</v>
      </c>
      <c r="C256" t="s">
        <v>126</v>
      </c>
      <c r="D256" t="s">
        <v>17955</v>
      </c>
      <c r="E256" t="s">
        <v>17955</v>
      </c>
      <c r="F256" t="s">
        <v>17955</v>
      </c>
      <c r="G256" t="s">
        <v>17955</v>
      </c>
      <c r="H256" t="s">
        <v>17955</v>
      </c>
      <c r="I256" t="s">
        <v>17954</v>
      </c>
      <c r="J256" t="s">
        <v>17955</v>
      </c>
      <c r="K256" t="s">
        <v>17955</v>
      </c>
      <c r="L256" t="s">
        <v>17955</v>
      </c>
      <c r="M256">
        <v>0</v>
      </c>
      <c r="N256">
        <v>0</v>
      </c>
      <c r="O256" t="s">
        <v>17955</v>
      </c>
      <c r="P256" s="9" t="s">
        <v>17955</v>
      </c>
      <c r="Q256" s="9" t="s">
        <v>17955</v>
      </c>
      <c r="R256" s="9" t="s">
        <v>17955</v>
      </c>
      <c r="S256" t="s">
        <v>17957</v>
      </c>
      <c r="T256" t="s">
        <v>17957</v>
      </c>
      <c r="U256" t="s">
        <v>17957</v>
      </c>
      <c r="V256" t="s">
        <v>1140</v>
      </c>
      <c r="W256" t="s">
        <v>1140</v>
      </c>
      <c r="X256" t="s">
        <v>1140</v>
      </c>
      <c r="Y256" t="s">
        <v>17957</v>
      </c>
      <c r="Z256" t="s">
        <v>17955</v>
      </c>
      <c r="AA256" t="s">
        <v>17955</v>
      </c>
      <c r="AB256" t="s">
        <v>17955</v>
      </c>
      <c r="AC256" t="s">
        <v>17955</v>
      </c>
      <c r="AD256" t="s">
        <v>17955</v>
      </c>
      <c r="AE256">
        <v>0</v>
      </c>
      <c r="AF256">
        <v>0</v>
      </c>
      <c r="AL256">
        <v>2022</v>
      </c>
    </row>
    <row r="257" spans="1:38" x14ac:dyDescent="0.3">
      <c r="A257" t="s">
        <v>258</v>
      </c>
      <c r="B257" t="s">
        <v>194</v>
      </c>
      <c r="C257" t="s">
        <v>126</v>
      </c>
      <c r="D257">
        <v>21</v>
      </c>
      <c r="E257">
        <v>0</v>
      </c>
      <c r="F257">
        <v>21</v>
      </c>
      <c r="G257">
        <v>0</v>
      </c>
      <c r="H257">
        <v>1</v>
      </c>
      <c r="I257" t="s">
        <v>17953</v>
      </c>
      <c r="J257">
        <v>0</v>
      </c>
      <c r="K257">
        <v>0</v>
      </c>
      <c r="L257">
        <v>21</v>
      </c>
      <c r="M257">
        <v>0</v>
      </c>
      <c r="N257">
        <v>0</v>
      </c>
      <c r="O257" t="s">
        <v>17955</v>
      </c>
      <c r="P257" s="9" t="s">
        <v>17955</v>
      </c>
      <c r="Q257" s="9" t="s">
        <v>17955</v>
      </c>
      <c r="R257" s="9" t="s">
        <v>17955</v>
      </c>
      <c r="S257" t="s">
        <v>1140</v>
      </c>
      <c r="T257" t="s">
        <v>17957</v>
      </c>
      <c r="U257" t="s">
        <v>17957</v>
      </c>
      <c r="V257" t="s">
        <v>1140</v>
      </c>
      <c r="W257" t="s">
        <v>17957</v>
      </c>
      <c r="X257" t="s">
        <v>1140</v>
      </c>
      <c r="Y257" t="s">
        <v>17957</v>
      </c>
      <c r="Z257" t="s">
        <v>17955</v>
      </c>
      <c r="AA257" t="s">
        <v>17955</v>
      </c>
      <c r="AB257" t="s">
        <v>17955</v>
      </c>
      <c r="AC257" t="s">
        <v>17955</v>
      </c>
      <c r="AD257" t="s">
        <v>17955</v>
      </c>
      <c r="AE257">
        <v>0</v>
      </c>
      <c r="AF257">
        <v>1</v>
      </c>
      <c r="AL257">
        <v>2022</v>
      </c>
    </row>
    <row r="258" spans="1:38" x14ac:dyDescent="0.3">
      <c r="A258" t="s">
        <v>260</v>
      </c>
      <c r="B258" t="s">
        <v>194</v>
      </c>
      <c r="C258" t="s">
        <v>126</v>
      </c>
      <c r="D258">
        <v>11</v>
      </c>
      <c r="E258">
        <v>0</v>
      </c>
      <c r="F258">
        <v>11</v>
      </c>
      <c r="G258">
        <v>0</v>
      </c>
      <c r="H258">
        <v>1</v>
      </c>
      <c r="I258" t="s">
        <v>17953</v>
      </c>
      <c r="J258">
        <v>0</v>
      </c>
      <c r="K258">
        <v>2</v>
      </c>
      <c r="L258">
        <v>9</v>
      </c>
      <c r="M258">
        <v>0</v>
      </c>
      <c r="N258">
        <v>0</v>
      </c>
      <c r="O258" t="s">
        <v>17955</v>
      </c>
      <c r="P258" s="9" t="s">
        <v>17955</v>
      </c>
      <c r="Q258" s="9">
        <v>0</v>
      </c>
      <c r="R258" s="9" t="s">
        <v>17955</v>
      </c>
      <c r="S258" t="s">
        <v>1140</v>
      </c>
      <c r="T258" t="s">
        <v>17957</v>
      </c>
      <c r="U258" t="s">
        <v>17957</v>
      </c>
      <c r="V258" t="s">
        <v>1140</v>
      </c>
      <c r="W258" t="s">
        <v>17957</v>
      </c>
      <c r="X258" t="s">
        <v>1140</v>
      </c>
      <c r="Y258" t="s">
        <v>17957</v>
      </c>
      <c r="Z258">
        <v>0</v>
      </c>
      <c r="AA258">
        <v>0</v>
      </c>
      <c r="AB258">
        <v>0</v>
      </c>
      <c r="AC258">
        <v>0</v>
      </c>
      <c r="AD258">
        <v>0</v>
      </c>
      <c r="AE258">
        <v>0</v>
      </c>
      <c r="AF258">
        <v>1</v>
      </c>
      <c r="AL258">
        <v>2022</v>
      </c>
    </row>
    <row r="259" spans="1:38" x14ac:dyDescent="0.3">
      <c r="A259" t="s">
        <v>262</v>
      </c>
      <c r="B259" t="s">
        <v>1118</v>
      </c>
      <c r="C259" t="s">
        <v>126</v>
      </c>
      <c r="D259" t="s">
        <v>17955</v>
      </c>
      <c r="E259" t="s">
        <v>17955</v>
      </c>
      <c r="F259" t="s">
        <v>17955</v>
      </c>
      <c r="G259" t="s">
        <v>17955</v>
      </c>
      <c r="H259" t="s">
        <v>17955</v>
      </c>
      <c r="I259" t="s">
        <v>17954</v>
      </c>
      <c r="J259" t="s">
        <v>17955</v>
      </c>
      <c r="K259" t="s">
        <v>17955</v>
      </c>
      <c r="L259" t="s">
        <v>17955</v>
      </c>
      <c r="M259">
        <v>0</v>
      </c>
      <c r="N259">
        <v>0</v>
      </c>
      <c r="O259" t="s">
        <v>17955</v>
      </c>
      <c r="P259" s="9" t="s">
        <v>17955</v>
      </c>
      <c r="Q259" s="9" t="s">
        <v>17955</v>
      </c>
      <c r="R259" s="9" t="s">
        <v>17955</v>
      </c>
      <c r="S259" t="s">
        <v>17957</v>
      </c>
      <c r="T259" t="s">
        <v>17957</v>
      </c>
      <c r="U259" t="s">
        <v>17957</v>
      </c>
      <c r="V259" t="s">
        <v>1140</v>
      </c>
      <c r="W259" t="s">
        <v>1140</v>
      </c>
      <c r="X259" t="s">
        <v>1140</v>
      </c>
      <c r="Y259" t="s">
        <v>17957</v>
      </c>
      <c r="Z259" t="s">
        <v>17955</v>
      </c>
      <c r="AA259" t="s">
        <v>17955</v>
      </c>
      <c r="AB259" t="s">
        <v>17955</v>
      </c>
      <c r="AC259" t="s">
        <v>17955</v>
      </c>
      <c r="AD259" t="s">
        <v>17955</v>
      </c>
      <c r="AE259">
        <v>0</v>
      </c>
      <c r="AF259">
        <v>0</v>
      </c>
      <c r="AL259">
        <v>2022</v>
      </c>
    </row>
    <row r="260" spans="1:38" x14ac:dyDescent="0.3">
      <c r="A260" t="s">
        <v>264</v>
      </c>
      <c r="B260" t="s">
        <v>20</v>
      </c>
      <c r="C260" t="s">
        <v>126</v>
      </c>
      <c r="D260">
        <v>0</v>
      </c>
      <c r="E260">
        <v>0</v>
      </c>
      <c r="F260">
        <v>0</v>
      </c>
      <c r="G260" t="s">
        <v>17955</v>
      </c>
      <c r="H260" t="s">
        <v>17955</v>
      </c>
      <c r="I260" t="s">
        <v>17955</v>
      </c>
      <c r="J260">
        <v>0</v>
      </c>
      <c r="K260">
        <v>0</v>
      </c>
      <c r="L260" t="s">
        <v>17955</v>
      </c>
      <c r="M260">
        <v>0</v>
      </c>
      <c r="N260">
        <v>0</v>
      </c>
      <c r="O260" t="s">
        <v>17955</v>
      </c>
      <c r="P260" s="9" t="s">
        <v>17955</v>
      </c>
      <c r="Q260" s="9" t="s">
        <v>17955</v>
      </c>
      <c r="R260" s="9" t="s">
        <v>17955</v>
      </c>
      <c r="S260" t="s">
        <v>17957</v>
      </c>
      <c r="T260" t="s">
        <v>17957</v>
      </c>
      <c r="U260" t="s">
        <v>17957</v>
      </c>
      <c r="V260" t="s">
        <v>1140</v>
      </c>
      <c r="W260" t="s">
        <v>1140</v>
      </c>
      <c r="X260" t="s">
        <v>1140</v>
      </c>
      <c r="Y260" t="s">
        <v>17957</v>
      </c>
      <c r="Z260" t="s">
        <v>17955</v>
      </c>
      <c r="AA260" t="s">
        <v>17955</v>
      </c>
      <c r="AB260" t="s">
        <v>17955</v>
      </c>
      <c r="AC260" t="s">
        <v>17955</v>
      </c>
      <c r="AD260" t="s">
        <v>17955</v>
      </c>
      <c r="AE260">
        <v>0</v>
      </c>
      <c r="AF260">
        <v>0</v>
      </c>
      <c r="AL260">
        <v>2022</v>
      </c>
    </row>
    <row r="261" spans="1:38" x14ac:dyDescent="0.3">
      <c r="A261" t="s">
        <v>266</v>
      </c>
      <c r="B261" t="s">
        <v>175</v>
      </c>
      <c r="C261" t="s">
        <v>126</v>
      </c>
      <c r="D261">
        <v>25</v>
      </c>
      <c r="E261">
        <v>0</v>
      </c>
      <c r="F261">
        <v>25</v>
      </c>
      <c r="G261">
        <v>0</v>
      </c>
      <c r="H261">
        <v>1</v>
      </c>
      <c r="I261" t="s">
        <v>17953</v>
      </c>
      <c r="J261">
        <v>0</v>
      </c>
      <c r="K261">
        <v>6</v>
      </c>
      <c r="L261">
        <v>19</v>
      </c>
      <c r="M261">
        <v>0</v>
      </c>
      <c r="N261">
        <v>0</v>
      </c>
      <c r="O261" t="s">
        <v>17955</v>
      </c>
      <c r="P261" s="9" t="s">
        <v>17955</v>
      </c>
      <c r="Q261" s="9">
        <v>0</v>
      </c>
      <c r="R261" s="9" t="s">
        <v>17955</v>
      </c>
      <c r="S261" t="s">
        <v>1140</v>
      </c>
      <c r="T261" t="s">
        <v>17957</v>
      </c>
      <c r="U261" t="s">
        <v>17957</v>
      </c>
      <c r="V261" t="s">
        <v>1140</v>
      </c>
      <c r="W261" t="s">
        <v>17957</v>
      </c>
      <c r="X261" t="s">
        <v>1140</v>
      </c>
      <c r="Y261" t="s">
        <v>17957</v>
      </c>
      <c r="Z261">
        <v>0</v>
      </c>
      <c r="AA261">
        <v>3</v>
      </c>
      <c r="AB261">
        <v>2</v>
      </c>
      <c r="AC261">
        <v>0</v>
      </c>
      <c r="AD261">
        <v>0</v>
      </c>
      <c r="AE261">
        <v>5</v>
      </c>
      <c r="AF261">
        <v>2</v>
      </c>
      <c r="AL261">
        <v>2022</v>
      </c>
    </row>
    <row r="262" spans="1:38" x14ac:dyDescent="0.3">
      <c r="A262" t="s">
        <v>268</v>
      </c>
      <c r="B262" t="s">
        <v>194</v>
      </c>
      <c r="C262" t="s">
        <v>126</v>
      </c>
      <c r="D262">
        <v>26</v>
      </c>
      <c r="E262">
        <v>0</v>
      </c>
      <c r="F262">
        <v>26</v>
      </c>
      <c r="G262">
        <v>0</v>
      </c>
      <c r="H262">
        <v>1</v>
      </c>
      <c r="I262" t="s">
        <v>17953</v>
      </c>
      <c r="J262">
        <v>0</v>
      </c>
      <c r="K262">
        <v>8</v>
      </c>
      <c r="L262">
        <v>18</v>
      </c>
      <c r="M262">
        <v>0</v>
      </c>
      <c r="N262">
        <v>0</v>
      </c>
      <c r="O262" t="s">
        <v>17955</v>
      </c>
      <c r="P262" s="9" t="s">
        <v>17955</v>
      </c>
      <c r="Q262" s="9">
        <v>0</v>
      </c>
      <c r="R262" s="9" t="s">
        <v>17955</v>
      </c>
      <c r="S262" t="s">
        <v>1140</v>
      </c>
      <c r="T262" t="s">
        <v>17957</v>
      </c>
      <c r="U262" t="s">
        <v>17957</v>
      </c>
      <c r="V262" t="s">
        <v>1140</v>
      </c>
      <c r="W262" t="s">
        <v>17957</v>
      </c>
      <c r="X262" t="s">
        <v>1140</v>
      </c>
      <c r="Y262" t="s">
        <v>17957</v>
      </c>
      <c r="Z262">
        <v>2</v>
      </c>
      <c r="AA262">
        <v>3</v>
      </c>
      <c r="AB262">
        <v>3</v>
      </c>
      <c r="AC262">
        <v>0</v>
      </c>
      <c r="AD262">
        <v>2</v>
      </c>
      <c r="AE262">
        <v>10</v>
      </c>
      <c r="AF262">
        <v>2</v>
      </c>
      <c r="AL262">
        <v>2022</v>
      </c>
    </row>
    <row r="263" spans="1:38" x14ac:dyDescent="0.3">
      <c r="A263" t="s">
        <v>270</v>
      </c>
      <c r="B263" t="s">
        <v>194</v>
      </c>
      <c r="C263" t="s">
        <v>14</v>
      </c>
      <c r="D263" t="s">
        <v>17955</v>
      </c>
      <c r="E263" t="s">
        <v>17955</v>
      </c>
      <c r="F263" t="s">
        <v>17955</v>
      </c>
      <c r="G263" t="s">
        <v>17955</v>
      </c>
      <c r="H263" t="s">
        <v>17955</v>
      </c>
      <c r="I263" t="s">
        <v>17954</v>
      </c>
      <c r="J263" t="s">
        <v>17955</v>
      </c>
      <c r="K263" t="s">
        <v>17955</v>
      </c>
      <c r="L263" t="s">
        <v>17955</v>
      </c>
      <c r="M263">
        <v>0</v>
      </c>
      <c r="N263">
        <v>0</v>
      </c>
      <c r="O263" t="s">
        <v>17955</v>
      </c>
      <c r="P263" s="9" t="s">
        <v>17955</v>
      </c>
      <c r="Q263" s="9" t="s">
        <v>17955</v>
      </c>
      <c r="R263" s="9" t="s">
        <v>17955</v>
      </c>
      <c r="S263" t="s">
        <v>17957</v>
      </c>
      <c r="T263" t="s">
        <v>17957</v>
      </c>
      <c r="U263" t="s">
        <v>17957</v>
      </c>
      <c r="V263" t="s">
        <v>1140</v>
      </c>
      <c r="W263" t="s">
        <v>1140</v>
      </c>
      <c r="X263" t="s">
        <v>1140</v>
      </c>
      <c r="Y263" t="s">
        <v>17957</v>
      </c>
      <c r="Z263" t="s">
        <v>17955</v>
      </c>
      <c r="AA263" t="s">
        <v>17955</v>
      </c>
      <c r="AB263" t="s">
        <v>17955</v>
      </c>
      <c r="AC263" t="s">
        <v>17955</v>
      </c>
      <c r="AD263" t="s">
        <v>17955</v>
      </c>
      <c r="AE263">
        <v>0</v>
      </c>
      <c r="AF263">
        <v>0</v>
      </c>
      <c r="AL263">
        <v>2022</v>
      </c>
    </row>
    <row r="264" spans="1:38" x14ac:dyDescent="0.3">
      <c r="A264" t="s">
        <v>272</v>
      </c>
      <c r="B264" t="s">
        <v>194</v>
      </c>
      <c r="C264" t="s">
        <v>14</v>
      </c>
      <c r="D264">
        <v>43</v>
      </c>
      <c r="E264">
        <v>5</v>
      </c>
      <c r="F264">
        <v>38</v>
      </c>
      <c r="G264">
        <v>0.11627906976744186</v>
      </c>
      <c r="H264">
        <v>0.88372093023255816</v>
      </c>
      <c r="I264" t="s">
        <v>17953</v>
      </c>
      <c r="J264">
        <v>16</v>
      </c>
      <c r="K264">
        <v>15</v>
      </c>
      <c r="L264">
        <v>12</v>
      </c>
      <c r="M264">
        <v>6</v>
      </c>
      <c r="N264">
        <v>4</v>
      </c>
      <c r="O264" t="s">
        <v>17955</v>
      </c>
      <c r="P264" s="9">
        <v>1.2</v>
      </c>
      <c r="Q264" s="9">
        <v>0.26666666666666666</v>
      </c>
      <c r="R264" s="9" t="s">
        <v>17955</v>
      </c>
      <c r="S264" t="s">
        <v>1140</v>
      </c>
      <c r="T264" t="s">
        <v>17957</v>
      </c>
      <c r="U264" t="s">
        <v>17957</v>
      </c>
      <c r="V264" t="s">
        <v>1140</v>
      </c>
      <c r="W264" t="s">
        <v>17957</v>
      </c>
      <c r="X264" t="s">
        <v>1140</v>
      </c>
      <c r="Y264" t="s">
        <v>17957</v>
      </c>
      <c r="Z264" t="s">
        <v>17955</v>
      </c>
      <c r="AA264" t="s">
        <v>17955</v>
      </c>
      <c r="AB264" t="s">
        <v>17955</v>
      </c>
      <c r="AC264" t="s">
        <v>17955</v>
      </c>
      <c r="AD264" t="s">
        <v>17955</v>
      </c>
      <c r="AE264">
        <v>0</v>
      </c>
      <c r="AF264">
        <v>4</v>
      </c>
      <c r="AL264">
        <v>2022</v>
      </c>
    </row>
    <row r="265" spans="1:38" x14ac:dyDescent="0.3">
      <c r="A265" t="s">
        <v>274</v>
      </c>
      <c r="B265" t="s">
        <v>1118</v>
      </c>
      <c r="C265" t="s">
        <v>126</v>
      </c>
      <c r="D265" t="s">
        <v>17955</v>
      </c>
      <c r="E265" t="s">
        <v>17955</v>
      </c>
      <c r="F265" t="s">
        <v>17955</v>
      </c>
      <c r="G265" t="s">
        <v>17955</v>
      </c>
      <c r="H265" t="s">
        <v>17955</v>
      </c>
      <c r="I265" t="s">
        <v>17954</v>
      </c>
      <c r="J265" t="s">
        <v>17955</v>
      </c>
      <c r="K265" t="s">
        <v>17955</v>
      </c>
      <c r="L265" t="s">
        <v>17955</v>
      </c>
      <c r="M265">
        <v>0</v>
      </c>
      <c r="N265">
        <v>0</v>
      </c>
      <c r="O265" t="s">
        <v>17955</v>
      </c>
      <c r="P265" s="9" t="s">
        <v>17955</v>
      </c>
      <c r="Q265" s="9" t="s">
        <v>17955</v>
      </c>
      <c r="R265" s="9" t="s">
        <v>17955</v>
      </c>
      <c r="S265" t="s">
        <v>17957</v>
      </c>
      <c r="T265" t="s">
        <v>17957</v>
      </c>
      <c r="U265" t="s">
        <v>17957</v>
      </c>
      <c r="V265" t="s">
        <v>1140</v>
      </c>
      <c r="W265" t="s">
        <v>1140</v>
      </c>
      <c r="X265" t="s">
        <v>1140</v>
      </c>
      <c r="Y265" t="s">
        <v>17957</v>
      </c>
      <c r="Z265" t="s">
        <v>17955</v>
      </c>
      <c r="AA265" t="s">
        <v>17955</v>
      </c>
      <c r="AB265" t="s">
        <v>17955</v>
      </c>
      <c r="AC265" t="s">
        <v>17955</v>
      </c>
      <c r="AD265" t="s">
        <v>17955</v>
      </c>
      <c r="AE265">
        <v>0</v>
      </c>
      <c r="AF265">
        <v>0</v>
      </c>
      <c r="AL265">
        <v>2022</v>
      </c>
    </row>
    <row r="266" spans="1:38" x14ac:dyDescent="0.3">
      <c r="A266" t="s">
        <v>276</v>
      </c>
      <c r="B266" t="s">
        <v>132</v>
      </c>
      <c r="C266" t="s">
        <v>14</v>
      </c>
      <c r="D266">
        <v>20</v>
      </c>
      <c r="E266">
        <v>0</v>
      </c>
      <c r="F266">
        <v>20</v>
      </c>
      <c r="G266">
        <v>0</v>
      </c>
      <c r="H266">
        <v>1</v>
      </c>
      <c r="I266" t="s">
        <v>17953</v>
      </c>
      <c r="J266">
        <v>20</v>
      </c>
      <c r="K266">
        <v>0</v>
      </c>
      <c r="L266" t="s">
        <v>17955</v>
      </c>
      <c r="M266">
        <v>0</v>
      </c>
      <c r="N266">
        <v>0</v>
      </c>
      <c r="O266" t="s">
        <v>17955</v>
      </c>
      <c r="P266" s="9" t="s">
        <v>17955</v>
      </c>
      <c r="Q266" s="9" t="s">
        <v>17955</v>
      </c>
      <c r="R266" s="9" t="s">
        <v>17955</v>
      </c>
      <c r="S266" t="s">
        <v>17957</v>
      </c>
      <c r="T266" t="s">
        <v>17957</v>
      </c>
      <c r="U266" t="s">
        <v>17957</v>
      </c>
      <c r="V266" t="s">
        <v>1140</v>
      </c>
      <c r="W266" t="s">
        <v>1140</v>
      </c>
      <c r="X266" t="s">
        <v>1140</v>
      </c>
      <c r="Y266" t="s">
        <v>17957</v>
      </c>
      <c r="Z266">
        <v>0</v>
      </c>
      <c r="AA266">
        <v>0</v>
      </c>
      <c r="AB266">
        <v>14</v>
      </c>
      <c r="AC266">
        <v>6</v>
      </c>
      <c r="AD266">
        <v>0</v>
      </c>
      <c r="AE266">
        <v>20</v>
      </c>
      <c r="AF266">
        <v>7</v>
      </c>
      <c r="AL266">
        <v>2022</v>
      </c>
    </row>
    <row r="267" spans="1:38" x14ac:dyDescent="0.3">
      <c r="A267" t="s">
        <v>278</v>
      </c>
      <c r="B267" t="s">
        <v>1118</v>
      </c>
      <c r="C267" t="s">
        <v>14</v>
      </c>
      <c r="D267" t="s">
        <v>17955</v>
      </c>
      <c r="E267" t="s">
        <v>17955</v>
      </c>
      <c r="F267" t="s">
        <v>17955</v>
      </c>
      <c r="G267" t="s">
        <v>17955</v>
      </c>
      <c r="H267" t="s">
        <v>17955</v>
      </c>
      <c r="I267" t="s">
        <v>17954</v>
      </c>
      <c r="J267" t="s">
        <v>17955</v>
      </c>
      <c r="K267" t="s">
        <v>17955</v>
      </c>
      <c r="L267" t="s">
        <v>17955</v>
      </c>
      <c r="M267">
        <v>0</v>
      </c>
      <c r="N267">
        <v>0</v>
      </c>
      <c r="O267" t="s">
        <v>17955</v>
      </c>
      <c r="P267" s="9" t="s">
        <v>17955</v>
      </c>
      <c r="Q267" s="9" t="s">
        <v>17955</v>
      </c>
      <c r="R267" s="9" t="s">
        <v>17955</v>
      </c>
      <c r="S267" t="s">
        <v>17957</v>
      </c>
      <c r="T267" t="s">
        <v>17957</v>
      </c>
      <c r="U267" t="s">
        <v>17957</v>
      </c>
      <c r="V267" t="s">
        <v>1140</v>
      </c>
      <c r="W267" t="s">
        <v>1140</v>
      </c>
      <c r="X267" t="s">
        <v>1140</v>
      </c>
      <c r="Y267" t="s">
        <v>17957</v>
      </c>
      <c r="Z267" t="s">
        <v>17955</v>
      </c>
      <c r="AA267" t="s">
        <v>17955</v>
      </c>
      <c r="AB267" t="s">
        <v>17955</v>
      </c>
      <c r="AC267" t="s">
        <v>17955</v>
      </c>
      <c r="AD267" t="s">
        <v>17955</v>
      </c>
      <c r="AE267">
        <v>0</v>
      </c>
      <c r="AF267">
        <v>0</v>
      </c>
      <c r="AL267">
        <v>2022</v>
      </c>
    </row>
    <row r="268" spans="1:38" x14ac:dyDescent="0.3">
      <c r="A268" t="s">
        <v>280</v>
      </c>
      <c r="B268" t="s">
        <v>194</v>
      </c>
      <c r="C268" t="s">
        <v>126</v>
      </c>
      <c r="D268">
        <v>0</v>
      </c>
      <c r="E268">
        <v>0</v>
      </c>
      <c r="F268">
        <v>0</v>
      </c>
      <c r="G268" t="s">
        <v>17955</v>
      </c>
      <c r="H268" t="s">
        <v>17955</v>
      </c>
      <c r="I268" t="s">
        <v>17955</v>
      </c>
      <c r="J268">
        <v>0</v>
      </c>
      <c r="K268">
        <v>0</v>
      </c>
      <c r="L268" t="s">
        <v>17955</v>
      </c>
      <c r="M268">
        <v>0</v>
      </c>
      <c r="N268">
        <v>0</v>
      </c>
      <c r="O268" t="s">
        <v>17955</v>
      </c>
      <c r="P268" s="9" t="s">
        <v>17955</v>
      </c>
      <c r="Q268" s="9" t="s">
        <v>17955</v>
      </c>
      <c r="R268" s="9" t="s">
        <v>17955</v>
      </c>
      <c r="S268" t="s">
        <v>17957</v>
      </c>
      <c r="T268" t="s">
        <v>17957</v>
      </c>
      <c r="U268" t="s">
        <v>17957</v>
      </c>
      <c r="V268" t="s">
        <v>1140</v>
      </c>
      <c r="W268" t="s">
        <v>1140</v>
      </c>
      <c r="X268" t="s">
        <v>1140</v>
      </c>
      <c r="Y268" t="s">
        <v>17957</v>
      </c>
      <c r="Z268" t="s">
        <v>17955</v>
      </c>
      <c r="AA268" t="s">
        <v>17955</v>
      </c>
      <c r="AB268" t="s">
        <v>17955</v>
      </c>
      <c r="AC268" t="s">
        <v>17955</v>
      </c>
      <c r="AD268" t="s">
        <v>17955</v>
      </c>
      <c r="AE268">
        <v>0</v>
      </c>
      <c r="AF268">
        <v>0</v>
      </c>
      <c r="AL268">
        <v>2022</v>
      </c>
    </row>
    <row r="269" spans="1:38" x14ac:dyDescent="0.3">
      <c r="A269" t="s">
        <v>282</v>
      </c>
      <c r="B269" t="s">
        <v>1119</v>
      </c>
      <c r="C269" t="s">
        <v>126</v>
      </c>
      <c r="D269" t="s">
        <v>17955</v>
      </c>
      <c r="E269" t="s">
        <v>17955</v>
      </c>
      <c r="F269" t="s">
        <v>17955</v>
      </c>
      <c r="G269" t="s">
        <v>17955</v>
      </c>
      <c r="H269" t="s">
        <v>17955</v>
      </c>
      <c r="I269" t="s">
        <v>17954</v>
      </c>
      <c r="J269" t="s">
        <v>17955</v>
      </c>
      <c r="K269" t="s">
        <v>17955</v>
      </c>
      <c r="L269" t="s">
        <v>17955</v>
      </c>
      <c r="M269">
        <v>0</v>
      </c>
      <c r="N269">
        <v>0</v>
      </c>
      <c r="O269" t="s">
        <v>17955</v>
      </c>
      <c r="P269" s="9" t="s">
        <v>17955</v>
      </c>
      <c r="Q269" s="9" t="s">
        <v>17955</v>
      </c>
      <c r="R269" s="9" t="s">
        <v>17955</v>
      </c>
      <c r="S269" t="s">
        <v>17957</v>
      </c>
      <c r="T269" t="s">
        <v>17957</v>
      </c>
      <c r="U269" t="s">
        <v>17957</v>
      </c>
      <c r="V269" t="s">
        <v>1140</v>
      </c>
      <c r="W269" t="s">
        <v>1140</v>
      </c>
      <c r="X269" t="s">
        <v>1140</v>
      </c>
      <c r="Y269" t="s">
        <v>17957</v>
      </c>
      <c r="Z269" t="s">
        <v>17955</v>
      </c>
      <c r="AA269" t="s">
        <v>17955</v>
      </c>
      <c r="AB269" t="s">
        <v>17955</v>
      </c>
      <c r="AC269" t="s">
        <v>17955</v>
      </c>
      <c r="AD269" t="s">
        <v>17955</v>
      </c>
      <c r="AE269">
        <v>0</v>
      </c>
      <c r="AF269">
        <v>0</v>
      </c>
      <c r="AL269">
        <v>2022</v>
      </c>
    </row>
    <row r="270" spans="1:38" x14ac:dyDescent="0.3">
      <c r="A270" t="s">
        <v>284</v>
      </c>
      <c r="B270" t="s">
        <v>175</v>
      </c>
      <c r="C270" t="s">
        <v>126</v>
      </c>
      <c r="D270">
        <v>0</v>
      </c>
      <c r="E270">
        <v>0</v>
      </c>
      <c r="F270">
        <v>0</v>
      </c>
      <c r="G270" t="s">
        <v>17955</v>
      </c>
      <c r="H270" t="s">
        <v>17955</v>
      </c>
      <c r="I270" t="s">
        <v>17955</v>
      </c>
      <c r="J270">
        <v>0</v>
      </c>
      <c r="K270">
        <v>0</v>
      </c>
      <c r="L270" t="s">
        <v>17955</v>
      </c>
      <c r="M270">
        <v>0</v>
      </c>
      <c r="N270">
        <v>0</v>
      </c>
      <c r="O270" t="s">
        <v>17955</v>
      </c>
      <c r="P270" s="9" t="s">
        <v>17955</v>
      </c>
      <c r="Q270" s="9" t="s">
        <v>17955</v>
      </c>
      <c r="R270" s="9" t="s">
        <v>17955</v>
      </c>
      <c r="S270" t="s">
        <v>17957</v>
      </c>
      <c r="T270" t="s">
        <v>17957</v>
      </c>
      <c r="U270" t="s">
        <v>17957</v>
      </c>
      <c r="V270" t="s">
        <v>1140</v>
      </c>
      <c r="W270" t="s">
        <v>1140</v>
      </c>
      <c r="X270" t="s">
        <v>1140</v>
      </c>
      <c r="Y270" t="s">
        <v>17957</v>
      </c>
      <c r="Z270" t="s">
        <v>17955</v>
      </c>
      <c r="AA270" t="s">
        <v>17955</v>
      </c>
      <c r="AB270" t="s">
        <v>17955</v>
      </c>
      <c r="AC270" t="s">
        <v>17955</v>
      </c>
      <c r="AD270" t="s">
        <v>17955</v>
      </c>
      <c r="AE270">
        <v>0</v>
      </c>
      <c r="AF270">
        <v>3</v>
      </c>
      <c r="AL270">
        <v>2022</v>
      </c>
    </row>
    <row r="271" spans="1:38" x14ac:dyDescent="0.3">
      <c r="A271" t="s">
        <v>286</v>
      </c>
      <c r="B271" t="s">
        <v>175</v>
      </c>
      <c r="C271" t="s">
        <v>126</v>
      </c>
      <c r="D271">
        <v>0</v>
      </c>
      <c r="E271">
        <v>0</v>
      </c>
      <c r="F271">
        <v>0</v>
      </c>
      <c r="G271" t="s">
        <v>17955</v>
      </c>
      <c r="H271" t="s">
        <v>17955</v>
      </c>
      <c r="I271" t="s">
        <v>17955</v>
      </c>
      <c r="J271">
        <v>0</v>
      </c>
      <c r="K271">
        <v>0</v>
      </c>
      <c r="L271" t="s">
        <v>17955</v>
      </c>
      <c r="M271">
        <v>0</v>
      </c>
      <c r="N271">
        <v>0</v>
      </c>
      <c r="O271" t="s">
        <v>17955</v>
      </c>
      <c r="P271" s="9" t="s">
        <v>17955</v>
      </c>
      <c r="Q271" s="9" t="s">
        <v>17955</v>
      </c>
      <c r="R271" s="9" t="s">
        <v>17955</v>
      </c>
      <c r="S271" t="s">
        <v>17957</v>
      </c>
      <c r="T271" t="s">
        <v>17957</v>
      </c>
      <c r="U271" t="s">
        <v>17957</v>
      </c>
      <c r="V271" t="s">
        <v>1140</v>
      </c>
      <c r="W271" t="s">
        <v>1140</v>
      </c>
      <c r="X271" t="s">
        <v>1140</v>
      </c>
      <c r="Y271" t="s">
        <v>17957</v>
      </c>
      <c r="Z271" t="s">
        <v>17955</v>
      </c>
      <c r="AA271" t="s">
        <v>17955</v>
      </c>
      <c r="AB271" t="s">
        <v>17955</v>
      </c>
      <c r="AC271" t="s">
        <v>17955</v>
      </c>
      <c r="AD271" t="s">
        <v>17955</v>
      </c>
      <c r="AE271">
        <v>0</v>
      </c>
      <c r="AF271">
        <v>5</v>
      </c>
      <c r="AL271">
        <v>2022</v>
      </c>
    </row>
    <row r="272" spans="1:38" x14ac:dyDescent="0.3">
      <c r="A272" t="s">
        <v>288</v>
      </c>
      <c r="B272" t="s">
        <v>1118</v>
      </c>
      <c r="C272" t="s">
        <v>126</v>
      </c>
      <c r="D272" t="s">
        <v>17955</v>
      </c>
      <c r="E272" t="s">
        <v>17955</v>
      </c>
      <c r="F272" t="s">
        <v>17955</v>
      </c>
      <c r="G272" t="s">
        <v>17955</v>
      </c>
      <c r="H272" t="s">
        <v>17955</v>
      </c>
      <c r="I272" t="s">
        <v>17954</v>
      </c>
      <c r="J272" t="s">
        <v>17955</v>
      </c>
      <c r="K272" t="s">
        <v>17955</v>
      </c>
      <c r="L272" t="s">
        <v>17955</v>
      </c>
      <c r="M272">
        <v>0</v>
      </c>
      <c r="N272">
        <v>0</v>
      </c>
      <c r="O272" t="s">
        <v>17955</v>
      </c>
      <c r="P272" s="9" t="s">
        <v>17955</v>
      </c>
      <c r="Q272" s="9" t="s">
        <v>17955</v>
      </c>
      <c r="R272" s="9" t="s">
        <v>17955</v>
      </c>
      <c r="S272" t="s">
        <v>17957</v>
      </c>
      <c r="T272" t="s">
        <v>17957</v>
      </c>
      <c r="U272" t="s">
        <v>17957</v>
      </c>
      <c r="V272" t="s">
        <v>1140</v>
      </c>
      <c r="W272" t="s">
        <v>1140</v>
      </c>
      <c r="X272" t="s">
        <v>1140</v>
      </c>
      <c r="Y272" t="s">
        <v>17957</v>
      </c>
      <c r="Z272" t="s">
        <v>17955</v>
      </c>
      <c r="AA272" t="s">
        <v>17955</v>
      </c>
      <c r="AB272" t="s">
        <v>17955</v>
      </c>
      <c r="AC272" t="s">
        <v>17955</v>
      </c>
      <c r="AD272" t="s">
        <v>17955</v>
      </c>
      <c r="AE272">
        <v>0</v>
      </c>
      <c r="AF272">
        <v>0</v>
      </c>
      <c r="AL272">
        <v>2022</v>
      </c>
    </row>
    <row r="273" spans="1:38" x14ac:dyDescent="0.3">
      <c r="A273" t="s">
        <v>290</v>
      </c>
      <c r="B273" t="s">
        <v>194</v>
      </c>
      <c r="C273" t="s">
        <v>14</v>
      </c>
      <c r="D273">
        <v>79</v>
      </c>
      <c r="E273">
        <v>1</v>
      </c>
      <c r="F273">
        <v>78</v>
      </c>
      <c r="G273">
        <v>1.2658227848101266E-2</v>
      </c>
      <c r="H273">
        <v>0.98734177215189878</v>
      </c>
      <c r="I273" t="s">
        <v>1197</v>
      </c>
      <c r="J273">
        <v>65</v>
      </c>
      <c r="K273">
        <v>0</v>
      </c>
      <c r="L273">
        <v>14</v>
      </c>
      <c r="M273">
        <v>0</v>
      </c>
      <c r="N273">
        <v>0</v>
      </c>
      <c r="O273">
        <v>1</v>
      </c>
      <c r="P273" s="9">
        <v>0</v>
      </c>
      <c r="Q273" s="9" t="s">
        <v>17955</v>
      </c>
      <c r="R273" s="9">
        <v>7.1428571428571425E-2</v>
      </c>
      <c r="S273" t="s">
        <v>1140</v>
      </c>
      <c r="T273" t="s">
        <v>1140</v>
      </c>
      <c r="U273" t="s">
        <v>1140</v>
      </c>
      <c r="V273" t="s">
        <v>1140</v>
      </c>
      <c r="W273" t="s">
        <v>1140</v>
      </c>
      <c r="X273" t="s">
        <v>1140</v>
      </c>
      <c r="Y273" t="s">
        <v>1140</v>
      </c>
      <c r="Z273" t="s">
        <v>17955</v>
      </c>
      <c r="AA273" t="s">
        <v>17955</v>
      </c>
      <c r="AB273" t="s">
        <v>17955</v>
      </c>
      <c r="AC273" t="s">
        <v>17955</v>
      </c>
      <c r="AD273" t="s">
        <v>17955</v>
      </c>
      <c r="AE273">
        <v>0</v>
      </c>
      <c r="AF273">
        <v>0</v>
      </c>
      <c r="AL273">
        <v>2022</v>
      </c>
    </row>
    <row r="274" spans="1:38" x14ac:dyDescent="0.3">
      <c r="A274" t="s">
        <v>292</v>
      </c>
      <c r="B274" t="s">
        <v>194</v>
      </c>
      <c r="C274" t="s">
        <v>126</v>
      </c>
      <c r="D274">
        <v>4</v>
      </c>
      <c r="E274">
        <v>0</v>
      </c>
      <c r="F274">
        <v>4</v>
      </c>
      <c r="G274">
        <v>0</v>
      </c>
      <c r="H274">
        <v>1</v>
      </c>
      <c r="I274" t="s">
        <v>17953</v>
      </c>
      <c r="J274">
        <v>0</v>
      </c>
      <c r="K274">
        <v>0</v>
      </c>
      <c r="L274">
        <v>4</v>
      </c>
      <c r="M274">
        <v>0</v>
      </c>
      <c r="N274">
        <v>0</v>
      </c>
      <c r="O274" t="s">
        <v>17955</v>
      </c>
      <c r="P274" s="9" t="s">
        <v>17955</v>
      </c>
      <c r="Q274" s="9" t="s">
        <v>17955</v>
      </c>
      <c r="R274" s="9" t="s">
        <v>17955</v>
      </c>
      <c r="S274" t="s">
        <v>1140</v>
      </c>
      <c r="T274" t="s">
        <v>17957</v>
      </c>
      <c r="U274" t="s">
        <v>17957</v>
      </c>
      <c r="V274" t="s">
        <v>1140</v>
      </c>
      <c r="W274" t="s">
        <v>17957</v>
      </c>
      <c r="X274" t="s">
        <v>1140</v>
      </c>
      <c r="Y274" t="s">
        <v>17957</v>
      </c>
      <c r="Z274">
        <v>0</v>
      </c>
      <c r="AA274">
        <v>0</v>
      </c>
      <c r="AB274">
        <v>1</v>
      </c>
      <c r="AC274">
        <v>3</v>
      </c>
      <c r="AD274">
        <v>2</v>
      </c>
      <c r="AE274">
        <v>6</v>
      </c>
      <c r="AF274">
        <v>3</v>
      </c>
      <c r="AL274">
        <v>2022</v>
      </c>
    </row>
    <row r="275" spans="1:38" x14ac:dyDescent="0.3">
      <c r="A275" t="s">
        <v>294</v>
      </c>
      <c r="B275" t="s">
        <v>175</v>
      </c>
      <c r="C275" t="s">
        <v>126</v>
      </c>
      <c r="D275" t="s">
        <v>17955</v>
      </c>
      <c r="E275" t="s">
        <v>17955</v>
      </c>
      <c r="F275" t="s">
        <v>17955</v>
      </c>
      <c r="G275" t="s">
        <v>17955</v>
      </c>
      <c r="H275" t="s">
        <v>17955</v>
      </c>
      <c r="I275" t="s">
        <v>17954</v>
      </c>
      <c r="J275" t="s">
        <v>17955</v>
      </c>
      <c r="K275" t="s">
        <v>17955</v>
      </c>
      <c r="L275" t="s">
        <v>17955</v>
      </c>
      <c r="M275">
        <v>0</v>
      </c>
      <c r="N275">
        <v>0</v>
      </c>
      <c r="O275" t="s">
        <v>17955</v>
      </c>
      <c r="P275" s="9" t="s">
        <v>17955</v>
      </c>
      <c r="Q275" s="9" t="s">
        <v>17955</v>
      </c>
      <c r="R275" s="9" t="s">
        <v>17955</v>
      </c>
      <c r="S275" t="s">
        <v>17957</v>
      </c>
      <c r="T275" t="s">
        <v>17957</v>
      </c>
      <c r="U275" t="s">
        <v>17957</v>
      </c>
      <c r="V275" t="s">
        <v>1140</v>
      </c>
      <c r="W275" t="s">
        <v>1140</v>
      </c>
      <c r="X275" t="s">
        <v>1140</v>
      </c>
      <c r="Y275" t="s">
        <v>17957</v>
      </c>
      <c r="Z275" t="s">
        <v>17955</v>
      </c>
      <c r="AA275" t="s">
        <v>17955</v>
      </c>
      <c r="AB275" t="s">
        <v>17955</v>
      </c>
      <c r="AC275" t="s">
        <v>17955</v>
      </c>
      <c r="AD275" t="s">
        <v>17955</v>
      </c>
      <c r="AE275">
        <v>0</v>
      </c>
      <c r="AF275">
        <v>0</v>
      </c>
      <c r="AL275">
        <v>2022</v>
      </c>
    </row>
    <row r="276" spans="1:38" x14ac:dyDescent="0.3">
      <c r="A276" t="s">
        <v>296</v>
      </c>
      <c r="B276" t="s">
        <v>199</v>
      </c>
      <c r="C276" t="s">
        <v>14</v>
      </c>
      <c r="D276">
        <v>200</v>
      </c>
      <c r="E276">
        <v>15</v>
      </c>
      <c r="F276">
        <v>185</v>
      </c>
      <c r="G276">
        <v>7.4999999999999997E-2</v>
      </c>
      <c r="H276">
        <v>0.92500000000000004</v>
      </c>
      <c r="I276" t="s">
        <v>1191</v>
      </c>
      <c r="J276">
        <v>20</v>
      </c>
      <c r="K276">
        <v>200</v>
      </c>
      <c r="L276" t="s">
        <v>17955</v>
      </c>
      <c r="M276">
        <v>20</v>
      </c>
      <c r="N276">
        <v>5</v>
      </c>
      <c r="O276" t="s">
        <v>17955</v>
      </c>
      <c r="P276" s="9">
        <v>1.3333333333333333</v>
      </c>
      <c r="Q276" s="9">
        <v>2.5000000000000001E-2</v>
      </c>
      <c r="R276" s="9" t="s">
        <v>17955</v>
      </c>
      <c r="S276" t="s">
        <v>17957</v>
      </c>
      <c r="T276" t="s">
        <v>17957</v>
      </c>
      <c r="U276" t="s">
        <v>17957</v>
      </c>
      <c r="V276" t="s">
        <v>1140</v>
      </c>
      <c r="W276" t="s">
        <v>1140</v>
      </c>
      <c r="X276" t="s">
        <v>1140</v>
      </c>
      <c r="Y276" t="s">
        <v>17957</v>
      </c>
      <c r="Z276">
        <v>5</v>
      </c>
      <c r="AA276">
        <v>1</v>
      </c>
      <c r="AB276">
        <v>2</v>
      </c>
      <c r="AC276">
        <v>0</v>
      </c>
      <c r="AD276">
        <v>0</v>
      </c>
      <c r="AE276">
        <v>8</v>
      </c>
      <c r="AF276">
        <v>3</v>
      </c>
      <c r="AL276">
        <v>2022</v>
      </c>
    </row>
    <row r="277" spans="1:38" x14ac:dyDescent="0.3">
      <c r="A277" t="s">
        <v>298</v>
      </c>
      <c r="B277" t="s">
        <v>20</v>
      </c>
      <c r="C277" t="s">
        <v>14</v>
      </c>
      <c r="D277" t="s">
        <v>17955</v>
      </c>
      <c r="E277" t="s">
        <v>17955</v>
      </c>
      <c r="F277" t="s">
        <v>17955</v>
      </c>
      <c r="G277" t="s">
        <v>17955</v>
      </c>
      <c r="H277" t="s">
        <v>17955</v>
      </c>
      <c r="I277" t="s">
        <v>17954</v>
      </c>
      <c r="J277" t="s">
        <v>17955</v>
      </c>
      <c r="K277" t="s">
        <v>17955</v>
      </c>
      <c r="L277" t="s">
        <v>17955</v>
      </c>
      <c r="M277">
        <v>0</v>
      </c>
      <c r="N277">
        <v>0</v>
      </c>
      <c r="O277" t="s">
        <v>17955</v>
      </c>
      <c r="P277" s="9" t="s">
        <v>17955</v>
      </c>
      <c r="Q277" s="9" t="s">
        <v>17955</v>
      </c>
      <c r="R277" s="9" t="s">
        <v>17955</v>
      </c>
      <c r="S277" t="s">
        <v>17957</v>
      </c>
      <c r="T277" t="s">
        <v>17957</v>
      </c>
      <c r="U277" t="s">
        <v>17957</v>
      </c>
      <c r="V277" t="s">
        <v>1140</v>
      </c>
      <c r="W277" t="s">
        <v>1140</v>
      </c>
      <c r="X277" t="s">
        <v>1140</v>
      </c>
      <c r="Y277" t="s">
        <v>17957</v>
      </c>
      <c r="Z277" t="s">
        <v>17955</v>
      </c>
      <c r="AA277" t="s">
        <v>17955</v>
      </c>
      <c r="AB277" t="s">
        <v>17955</v>
      </c>
      <c r="AC277" t="s">
        <v>17955</v>
      </c>
      <c r="AD277" t="s">
        <v>17955</v>
      </c>
      <c r="AE277">
        <v>0</v>
      </c>
      <c r="AF277">
        <v>0</v>
      </c>
      <c r="AL277">
        <v>2022</v>
      </c>
    </row>
    <row r="278" spans="1:38" x14ac:dyDescent="0.3">
      <c r="A278" t="s">
        <v>1200</v>
      </c>
      <c r="B278" t="s">
        <v>194</v>
      </c>
      <c r="C278" t="s">
        <v>14</v>
      </c>
      <c r="D278">
        <v>28</v>
      </c>
      <c r="E278">
        <v>7</v>
      </c>
      <c r="F278">
        <v>21</v>
      </c>
      <c r="G278">
        <v>0.25</v>
      </c>
      <c r="H278">
        <v>0.75</v>
      </c>
      <c r="I278" t="s">
        <v>17953</v>
      </c>
      <c r="J278">
        <v>4</v>
      </c>
      <c r="K278">
        <v>17</v>
      </c>
      <c r="L278">
        <v>7</v>
      </c>
      <c r="M278">
        <v>9</v>
      </c>
      <c r="N278">
        <v>7</v>
      </c>
      <c r="O278" t="s">
        <v>17955</v>
      </c>
      <c r="P278" s="9">
        <v>1.2857142857142858</v>
      </c>
      <c r="Q278" s="9">
        <v>0.41176470588235292</v>
      </c>
      <c r="R278" s="9" t="s">
        <v>17955</v>
      </c>
      <c r="S278" t="s">
        <v>1140</v>
      </c>
      <c r="T278" t="s">
        <v>17957</v>
      </c>
      <c r="U278" t="s">
        <v>17957</v>
      </c>
      <c r="V278" t="s">
        <v>1140</v>
      </c>
      <c r="W278" t="s">
        <v>17957</v>
      </c>
      <c r="X278" t="s">
        <v>17957</v>
      </c>
      <c r="Z278" t="s">
        <v>17955</v>
      </c>
      <c r="AA278" t="s">
        <v>17955</v>
      </c>
      <c r="AB278" t="s">
        <v>17955</v>
      </c>
      <c r="AC278" t="s">
        <v>17955</v>
      </c>
      <c r="AD278" t="s">
        <v>17955</v>
      </c>
      <c r="AE278">
        <v>0</v>
      </c>
      <c r="AF278">
        <v>5</v>
      </c>
      <c r="AL278">
        <v>2022</v>
      </c>
    </row>
    <row r="279" spans="1:38" x14ac:dyDescent="0.3">
      <c r="A279" t="s">
        <v>224</v>
      </c>
      <c r="B279" t="s">
        <v>20</v>
      </c>
      <c r="C279" t="s">
        <v>126</v>
      </c>
      <c r="D279" t="s">
        <v>17955</v>
      </c>
      <c r="E279" t="s">
        <v>17955</v>
      </c>
      <c r="F279" t="s">
        <v>17955</v>
      </c>
      <c r="G279" t="s">
        <v>17955</v>
      </c>
      <c r="H279" t="s">
        <v>17955</v>
      </c>
      <c r="I279" t="s">
        <v>17954</v>
      </c>
      <c r="J279" t="s">
        <v>17955</v>
      </c>
      <c r="K279" t="s">
        <v>17955</v>
      </c>
      <c r="L279" t="s">
        <v>17955</v>
      </c>
      <c r="M279">
        <v>0</v>
      </c>
      <c r="N279">
        <v>0</v>
      </c>
      <c r="O279" t="s">
        <v>17955</v>
      </c>
      <c r="P279" s="9" t="s">
        <v>17955</v>
      </c>
      <c r="Q279" s="9" t="s">
        <v>17955</v>
      </c>
      <c r="R279" s="9" t="s">
        <v>17955</v>
      </c>
      <c r="S279" t="s">
        <v>17957</v>
      </c>
      <c r="T279" t="s">
        <v>17957</v>
      </c>
      <c r="U279" t="s">
        <v>17957</v>
      </c>
      <c r="V279" t="s">
        <v>1140</v>
      </c>
      <c r="W279" t="s">
        <v>1140</v>
      </c>
      <c r="X279" t="s">
        <v>1140</v>
      </c>
      <c r="Z279" t="s">
        <v>17955</v>
      </c>
      <c r="AA279" t="s">
        <v>17955</v>
      </c>
      <c r="AB279" t="s">
        <v>17955</v>
      </c>
      <c r="AC279" t="s">
        <v>17955</v>
      </c>
      <c r="AD279" t="s">
        <v>17955</v>
      </c>
      <c r="AE279">
        <v>0</v>
      </c>
      <c r="AF279">
        <v>0</v>
      </c>
      <c r="AL279">
        <v>2022</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063F-05BF-4DE2-AF18-3BCAFD16024E}">
  <sheetPr codeName="Sheet29">
    <tabColor rgb="FFF2F0F5"/>
  </sheetPr>
  <dimension ref="B2:AG47"/>
  <sheetViews>
    <sheetView zoomScale="85" zoomScaleNormal="85" workbookViewId="0">
      <selection activeCell="AH31" sqref="AH31"/>
    </sheetView>
  </sheetViews>
  <sheetFormatPr defaultRowHeight="14.4" x14ac:dyDescent="0.3"/>
  <cols>
    <col min="2" max="2" width="36.5546875" bestFit="1" customWidth="1"/>
    <col min="3" max="3" width="16.44140625" bestFit="1" customWidth="1"/>
    <col min="4" max="6" width="12.44140625" bestFit="1" customWidth="1"/>
    <col min="7" max="7" width="13.44140625" bestFit="1" customWidth="1"/>
    <col min="8" max="8" width="20.88671875" bestFit="1" customWidth="1"/>
    <col min="9" max="9" width="16.109375" bestFit="1" customWidth="1"/>
    <col min="10" max="10" width="18.109375" bestFit="1" customWidth="1"/>
    <col min="11" max="11" width="26.5546875" bestFit="1" customWidth="1"/>
    <col min="12" max="28" width="3.109375" bestFit="1" customWidth="1"/>
    <col min="29" max="29" width="28.88671875" bestFit="1" customWidth="1"/>
    <col min="30" max="30" width="16.44140625" bestFit="1" customWidth="1"/>
    <col min="31" max="32" width="5.109375" bestFit="1" customWidth="1"/>
    <col min="33" max="33" width="11.44140625" bestFit="1" customWidth="1"/>
    <col min="34" max="34" width="25.6640625" bestFit="1" customWidth="1"/>
    <col min="35" max="35" width="30.33203125" bestFit="1" customWidth="1"/>
    <col min="36" max="36" width="4.109375" bestFit="1" customWidth="1"/>
    <col min="37" max="37" width="3.109375" bestFit="1" customWidth="1"/>
    <col min="38" max="39" width="4.109375" bestFit="1" customWidth="1"/>
    <col min="40" max="40" width="3.109375" bestFit="1" customWidth="1"/>
    <col min="41" max="42" width="4.109375" bestFit="1" customWidth="1"/>
    <col min="43" max="43" width="3.109375" bestFit="1" customWidth="1"/>
    <col min="44" max="44" width="4.109375" bestFit="1" customWidth="1"/>
    <col min="45" max="46" width="3.109375" bestFit="1" customWidth="1"/>
    <col min="47" max="47" width="4.109375" bestFit="1" customWidth="1"/>
    <col min="48" max="52" width="3.109375" bestFit="1" customWidth="1"/>
    <col min="53" max="53" width="2.109375" bestFit="1" customWidth="1"/>
    <col min="54" max="57" width="3.109375" bestFit="1" customWidth="1"/>
    <col min="58" max="58" width="2.109375" bestFit="1" customWidth="1"/>
    <col min="59" max="59" width="3.109375" bestFit="1" customWidth="1"/>
    <col min="60" max="60" width="2.109375" bestFit="1" customWidth="1"/>
    <col min="61" max="65" width="3.109375" bestFit="1" customWidth="1"/>
    <col min="66" max="66" width="4.5546875" bestFit="1" customWidth="1"/>
    <col min="67" max="67" width="19" bestFit="1" customWidth="1"/>
    <col min="68" max="68" width="2.109375" bestFit="1" customWidth="1"/>
    <col min="69" max="69" width="3.109375" bestFit="1" customWidth="1"/>
    <col min="70" max="71" width="4.109375" bestFit="1" customWidth="1"/>
    <col min="72" max="72" width="3.109375" bestFit="1" customWidth="1"/>
    <col min="73" max="73" width="4.109375" bestFit="1" customWidth="1"/>
    <col min="74" max="74" width="3.109375" bestFit="1" customWidth="1"/>
    <col min="75" max="76" width="4.109375" bestFit="1" customWidth="1"/>
    <col min="77" max="77" width="3.109375" bestFit="1" customWidth="1"/>
    <col min="78" max="79" width="4.109375" bestFit="1" customWidth="1"/>
    <col min="80" max="80" width="3.109375" bestFit="1" customWidth="1"/>
    <col min="81" max="81" width="4.109375" bestFit="1" customWidth="1"/>
    <col min="82" max="83" width="3.109375" bestFit="1" customWidth="1"/>
    <col min="84" max="84" width="4.109375" bestFit="1" customWidth="1"/>
    <col min="85" max="89" width="3.109375" bestFit="1" customWidth="1"/>
    <col min="90" max="90" width="2.109375" bestFit="1" customWidth="1"/>
    <col min="91" max="94" width="3.109375" bestFit="1" customWidth="1"/>
    <col min="95" max="95" width="2.109375" bestFit="1" customWidth="1"/>
    <col min="96" max="96" width="3.109375" bestFit="1" customWidth="1"/>
    <col min="97" max="97" width="2.109375" bestFit="1" customWidth="1"/>
    <col min="98" max="102" width="3.109375" bestFit="1" customWidth="1"/>
    <col min="103" max="103" width="4.5546875" bestFit="1" customWidth="1"/>
    <col min="104" max="104" width="17" bestFit="1" customWidth="1"/>
    <col min="105" max="105" width="3.109375" bestFit="1" customWidth="1"/>
    <col min="106" max="107" width="4.109375" bestFit="1" customWidth="1"/>
    <col min="108" max="108" width="3.109375" bestFit="1" customWidth="1"/>
    <col min="109" max="109" width="4.109375" bestFit="1" customWidth="1"/>
    <col min="110" max="110" width="3.109375" bestFit="1" customWidth="1"/>
    <col min="111" max="112" width="4.109375" bestFit="1" customWidth="1"/>
    <col min="113" max="113" width="3.109375" bestFit="1" customWidth="1"/>
    <col min="114" max="115" width="4.109375" bestFit="1" customWidth="1"/>
    <col min="116" max="116" width="3.109375" bestFit="1" customWidth="1"/>
    <col min="117" max="118" width="4.109375" bestFit="1" customWidth="1"/>
    <col min="119" max="120" width="3.109375" bestFit="1" customWidth="1"/>
    <col min="121" max="122" width="4.109375" bestFit="1" customWidth="1"/>
    <col min="123" max="123" width="3.109375" bestFit="1" customWidth="1"/>
    <col min="124" max="125" width="4.109375" bestFit="1" customWidth="1"/>
    <col min="126" max="130" width="3.109375" bestFit="1" customWidth="1"/>
    <col min="131" max="131" width="2.109375" bestFit="1" customWidth="1"/>
    <col min="132" max="134" width="3.109375" bestFit="1" customWidth="1"/>
    <col min="135" max="135" width="2.109375" bestFit="1" customWidth="1"/>
    <col min="136" max="136" width="3.109375" bestFit="1" customWidth="1"/>
    <col min="137" max="137" width="2.109375" bestFit="1" customWidth="1"/>
    <col min="138" max="139" width="3.109375" bestFit="1" customWidth="1"/>
    <col min="140" max="140" width="2.109375" bestFit="1" customWidth="1"/>
    <col min="141" max="144" width="3.109375" bestFit="1" customWidth="1"/>
    <col min="145" max="145" width="2.109375" bestFit="1" customWidth="1"/>
    <col min="146" max="147" width="3.109375" bestFit="1" customWidth="1"/>
    <col min="148" max="148" width="4.5546875" bestFit="1" customWidth="1"/>
    <col min="149" max="149" width="19" bestFit="1" customWidth="1"/>
    <col min="150" max="150" width="3.109375" bestFit="1" customWidth="1"/>
    <col min="151" max="152" width="4.109375" bestFit="1" customWidth="1"/>
    <col min="153" max="153" width="3.109375" bestFit="1" customWidth="1"/>
    <col min="154" max="154" width="4.109375" bestFit="1" customWidth="1"/>
    <col min="155" max="155" width="3.109375" bestFit="1" customWidth="1"/>
    <col min="156" max="157" width="4.109375" bestFit="1" customWidth="1"/>
    <col min="158" max="158" width="3.109375" bestFit="1" customWidth="1"/>
    <col min="159" max="160" width="4.109375" bestFit="1" customWidth="1"/>
    <col min="161" max="161" width="3.109375" bestFit="1" customWidth="1"/>
    <col min="162" max="163" width="4.109375" bestFit="1" customWidth="1"/>
    <col min="164" max="165" width="3.109375" bestFit="1" customWidth="1"/>
    <col min="166" max="167" width="4.109375" bestFit="1" customWidth="1"/>
    <col min="168" max="168" width="3.109375" bestFit="1" customWidth="1"/>
    <col min="169" max="170" width="4.109375" bestFit="1" customWidth="1"/>
    <col min="171" max="175" width="3.109375" bestFit="1" customWidth="1"/>
    <col min="176" max="176" width="2.109375" bestFit="1" customWidth="1"/>
    <col min="177" max="179" width="3.109375" bestFit="1" customWidth="1"/>
    <col min="180" max="180" width="2.109375" bestFit="1" customWidth="1"/>
    <col min="181" max="181" width="3.109375" bestFit="1" customWidth="1"/>
    <col min="182" max="182" width="2.109375" bestFit="1" customWidth="1"/>
    <col min="183" max="184" width="3.109375" bestFit="1" customWidth="1"/>
    <col min="185" max="185" width="2.109375" bestFit="1" customWidth="1"/>
    <col min="186" max="189" width="3.109375" bestFit="1" customWidth="1"/>
    <col min="190" max="190" width="2.109375" bestFit="1" customWidth="1"/>
    <col min="191" max="192" width="3.109375" bestFit="1" customWidth="1"/>
    <col min="193" max="193" width="4.5546875" bestFit="1" customWidth="1"/>
    <col min="194" max="194" width="22.109375" bestFit="1" customWidth="1"/>
    <col min="195" max="195" width="24" bestFit="1" customWidth="1"/>
    <col min="196" max="196" width="17.5546875" bestFit="1" customWidth="1"/>
    <col min="197" max="219" width="3.109375" bestFit="1" customWidth="1"/>
    <col min="220" max="220" width="4.109375" bestFit="1" customWidth="1"/>
    <col min="221" max="222" width="3.109375" bestFit="1" customWidth="1"/>
    <col min="223" max="223" width="4.109375" bestFit="1" customWidth="1"/>
    <col min="224" max="227" width="3.109375" bestFit="1" customWidth="1"/>
    <col min="228" max="228" width="4.109375" bestFit="1" customWidth="1"/>
    <col min="229" max="230" width="3.109375" bestFit="1" customWidth="1"/>
    <col min="231" max="277" width="4.109375" bestFit="1" customWidth="1"/>
    <col min="278" max="278" width="5.109375" bestFit="1" customWidth="1"/>
    <col min="279" max="283" width="4.109375" bestFit="1" customWidth="1"/>
    <col min="284" max="288" width="5.109375" bestFit="1" customWidth="1"/>
    <col min="289" max="289" width="4.5546875" bestFit="1" customWidth="1"/>
    <col min="290" max="290" width="25.5546875" bestFit="1" customWidth="1"/>
    <col min="291" max="291" width="20.5546875" bestFit="1" customWidth="1"/>
    <col min="292" max="292" width="22.5546875" bestFit="1" customWidth="1"/>
  </cols>
  <sheetData>
    <row r="2" spans="2:10" x14ac:dyDescent="0.3">
      <c r="B2" s="1" t="s">
        <v>1126</v>
      </c>
      <c r="C2" t="s">
        <v>14</v>
      </c>
    </row>
    <row r="4" spans="2:10" x14ac:dyDescent="0.3">
      <c r="B4" s="1" t="s">
        <v>1195</v>
      </c>
      <c r="C4" s="1" t="s">
        <v>17961</v>
      </c>
    </row>
    <row r="5" spans="2:10" x14ac:dyDescent="0.3">
      <c r="B5" s="1" t="s">
        <v>1192</v>
      </c>
      <c r="C5">
        <v>2021</v>
      </c>
      <c r="D5">
        <v>2022</v>
      </c>
      <c r="E5">
        <v>2023</v>
      </c>
      <c r="F5" t="s">
        <v>1193</v>
      </c>
    </row>
    <row r="6" spans="2:10" x14ac:dyDescent="0.3">
      <c r="B6" s="2" t="s">
        <v>17</v>
      </c>
      <c r="C6" s="10">
        <v>0.15875302923702311</v>
      </c>
      <c r="D6" s="10">
        <v>0.21821350945979795</v>
      </c>
      <c r="E6" s="10">
        <v>0.2025885160543415</v>
      </c>
      <c r="F6" s="10">
        <v>0.20432483447062613</v>
      </c>
    </row>
    <row r="7" spans="2:10" x14ac:dyDescent="0.3">
      <c r="B7" s="2" t="s">
        <v>194</v>
      </c>
      <c r="C7" s="10" t="e">
        <v>#DIV/0!</v>
      </c>
      <c r="D7" s="10">
        <v>9.9451305535961251E-2</v>
      </c>
      <c r="E7" s="10">
        <v>0.12953850695157515</v>
      </c>
      <c r="F7" s="10">
        <v>0.11449490624376822</v>
      </c>
    </row>
    <row r="8" spans="2:10" x14ac:dyDescent="0.3">
      <c r="B8" s="2" t="s">
        <v>175</v>
      </c>
      <c r="C8" s="10">
        <v>0.15175075585552583</v>
      </c>
      <c r="D8" s="10">
        <v>0.13718815513626834</v>
      </c>
      <c r="E8" s="10">
        <v>0.13583532585352398</v>
      </c>
      <c r="F8" s="10">
        <v>0.13969482649529649</v>
      </c>
    </row>
    <row r="9" spans="2:10" x14ac:dyDescent="0.3">
      <c r="B9" s="2" t="s">
        <v>20</v>
      </c>
      <c r="C9" s="10">
        <v>0.18794920847330143</v>
      </c>
      <c r="D9" s="10">
        <v>0.21563312185558772</v>
      </c>
      <c r="E9" s="10">
        <v>0.21295738614487592</v>
      </c>
      <c r="F9" s="10">
        <v>0.20964459050081991</v>
      </c>
      <c r="G9" s="1" t="s">
        <v>1126</v>
      </c>
      <c r="H9" t="s">
        <v>14</v>
      </c>
    </row>
    <row r="10" spans="2:10" x14ac:dyDescent="0.3">
      <c r="B10" s="2" t="s">
        <v>132</v>
      </c>
      <c r="C10" s="10">
        <v>0.16673658145535616</v>
      </c>
      <c r="D10" s="10">
        <v>0.15825815227951848</v>
      </c>
      <c r="E10" s="10">
        <v>0.10710052524319769</v>
      </c>
      <c r="F10" s="10">
        <v>0.14684231793228239</v>
      </c>
    </row>
    <row r="11" spans="2:10" x14ac:dyDescent="0.3">
      <c r="B11" s="2" t="s">
        <v>199</v>
      </c>
      <c r="C11" s="10">
        <v>8.1359649122807021E-2</v>
      </c>
      <c r="D11" s="10">
        <v>8.1359649122807021E-2</v>
      </c>
      <c r="E11" s="10">
        <v>5.4239766081871345E-2</v>
      </c>
      <c r="F11" s="10">
        <v>7.2319688109161798E-2</v>
      </c>
      <c r="G11" s="1" t="s">
        <v>1192</v>
      </c>
      <c r="H11" t="s">
        <v>17958</v>
      </c>
      <c r="I11" t="s">
        <v>17959</v>
      </c>
      <c r="J11" t="s">
        <v>17960</v>
      </c>
    </row>
    <row r="12" spans="2:10" x14ac:dyDescent="0.3">
      <c r="B12" s="2" t="s">
        <v>1193</v>
      </c>
      <c r="C12" s="10">
        <v>0.16998398163618089</v>
      </c>
      <c r="D12" s="10">
        <v>0.1862005822581784</v>
      </c>
      <c r="E12" s="10">
        <v>0.16634849873783275</v>
      </c>
      <c r="F12" s="10">
        <v>0.17749501710139176</v>
      </c>
      <c r="G12" s="2" t="s">
        <v>17</v>
      </c>
      <c r="H12" s="10">
        <v>925</v>
      </c>
      <c r="I12" s="10">
        <v>444</v>
      </c>
      <c r="J12" s="10">
        <v>1820</v>
      </c>
    </row>
    <row r="13" spans="2:10" x14ac:dyDescent="0.3">
      <c r="G13" s="3">
        <v>2021</v>
      </c>
      <c r="H13" s="10">
        <v>124</v>
      </c>
      <c r="I13" s="10">
        <v>18</v>
      </c>
      <c r="J13" s="10">
        <v>204</v>
      </c>
    </row>
    <row r="14" spans="2:10" x14ac:dyDescent="0.3">
      <c r="G14" s="3">
        <v>2022</v>
      </c>
      <c r="H14" s="10">
        <v>500</v>
      </c>
      <c r="I14" s="10">
        <v>294</v>
      </c>
      <c r="J14" s="10">
        <v>1018</v>
      </c>
    </row>
    <row r="15" spans="2:10" x14ac:dyDescent="0.3">
      <c r="G15" s="3">
        <v>2023</v>
      </c>
      <c r="H15" s="10">
        <v>301</v>
      </c>
      <c r="I15" s="10">
        <v>132</v>
      </c>
      <c r="J15" s="10">
        <v>598</v>
      </c>
    </row>
    <row r="16" spans="2:10" x14ac:dyDescent="0.3">
      <c r="G16" s="2" t="s">
        <v>175</v>
      </c>
      <c r="H16" s="10">
        <v>2001</v>
      </c>
      <c r="I16" s="10">
        <v>21</v>
      </c>
      <c r="J16" s="10">
        <v>3733</v>
      </c>
    </row>
    <row r="17" spans="7:10" x14ac:dyDescent="0.3">
      <c r="G17" s="3">
        <v>2021</v>
      </c>
      <c r="H17" s="10">
        <v>271</v>
      </c>
      <c r="I17" s="10">
        <v>6</v>
      </c>
      <c r="J17" s="10">
        <v>778</v>
      </c>
    </row>
    <row r="18" spans="7:10" x14ac:dyDescent="0.3">
      <c r="G18" s="3">
        <v>2022</v>
      </c>
      <c r="H18" s="10">
        <v>1120</v>
      </c>
      <c r="I18" s="10">
        <v>10</v>
      </c>
      <c r="J18" s="10">
        <v>1958</v>
      </c>
    </row>
    <row r="19" spans="7:10" x14ac:dyDescent="0.3">
      <c r="G19" s="3">
        <v>2023</v>
      </c>
      <c r="H19" s="10">
        <v>610</v>
      </c>
      <c r="I19" s="10">
        <v>5</v>
      </c>
      <c r="J19" s="10">
        <v>997</v>
      </c>
    </row>
    <row r="20" spans="7:10" x14ac:dyDescent="0.3">
      <c r="G20" s="2" t="s">
        <v>20</v>
      </c>
      <c r="H20" s="10">
        <v>4552</v>
      </c>
      <c r="I20" s="10">
        <v>706</v>
      </c>
      <c r="J20" s="10">
        <v>10274</v>
      </c>
    </row>
    <row r="21" spans="7:10" x14ac:dyDescent="0.3">
      <c r="G21" s="3">
        <v>2021</v>
      </c>
      <c r="H21" s="10">
        <v>735</v>
      </c>
      <c r="I21" s="10">
        <v>103</v>
      </c>
      <c r="J21" s="10">
        <v>1999</v>
      </c>
    </row>
    <row r="22" spans="7:10" x14ac:dyDescent="0.3">
      <c r="G22" s="3">
        <v>2022</v>
      </c>
      <c r="H22" s="10">
        <v>2396</v>
      </c>
      <c r="I22" s="10">
        <v>334</v>
      </c>
      <c r="J22" s="10">
        <v>5454</v>
      </c>
    </row>
    <row r="23" spans="7:10" x14ac:dyDescent="0.3">
      <c r="G23" s="3">
        <v>2023</v>
      </c>
      <c r="H23" s="10">
        <v>1421</v>
      </c>
      <c r="I23" s="10">
        <v>269</v>
      </c>
      <c r="J23" s="10">
        <v>2821</v>
      </c>
    </row>
    <row r="24" spans="7:10" x14ac:dyDescent="0.3">
      <c r="G24" s="2" t="s">
        <v>132</v>
      </c>
      <c r="H24" s="10">
        <v>7488</v>
      </c>
      <c r="I24" s="10">
        <v>4837</v>
      </c>
      <c r="J24" s="10">
        <v>33235</v>
      </c>
    </row>
    <row r="25" spans="7:10" x14ac:dyDescent="0.3">
      <c r="G25" s="3">
        <v>2021</v>
      </c>
      <c r="H25" s="10">
        <v>1676</v>
      </c>
      <c r="I25" s="10">
        <v>1407</v>
      </c>
      <c r="J25" s="10">
        <v>8359</v>
      </c>
    </row>
    <row r="26" spans="7:10" x14ac:dyDescent="0.3">
      <c r="G26" s="3">
        <v>2022</v>
      </c>
      <c r="H26" s="10">
        <v>3898</v>
      </c>
      <c r="I26" s="10">
        <v>2286</v>
      </c>
      <c r="J26" s="10">
        <v>16020</v>
      </c>
    </row>
    <row r="27" spans="7:10" x14ac:dyDescent="0.3">
      <c r="G27" s="3">
        <v>2023</v>
      </c>
      <c r="H27" s="10">
        <v>1914</v>
      </c>
      <c r="I27" s="10">
        <v>1144</v>
      </c>
      <c r="J27" s="10">
        <v>8856</v>
      </c>
    </row>
    <row r="28" spans="7:10" x14ac:dyDescent="0.3">
      <c r="G28" s="2" t="s">
        <v>199</v>
      </c>
      <c r="H28" s="10">
        <v>143</v>
      </c>
      <c r="I28" s="10">
        <v>956</v>
      </c>
      <c r="J28" s="10">
        <v>27</v>
      </c>
    </row>
    <row r="29" spans="7:10" x14ac:dyDescent="0.3">
      <c r="G29" s="3">
        <v>2021</v>
      </c>
      <c r="H29" s="10">
        <v>35</v>
      </c>
      <c r="I29" s="10">
        <v>236</v>
      </c>
      <c r="J29" s="10">
        <v>6</v>
      </c>
    </row>
    <row r="30" spans="7:10" x14ac:dyDescent="0.3">
      <c r="G30" s="3">
        <v>2022</v>
      </c>
      <c r="H30" s="10">
        <v>70</v>
      </c>
      <c r="I30" s="10">
        <v>472</v>
      </c>
      <c r="J30" s="10">
        <v>12</v>
      </c>
    </row>
    <row r="31" spans="7:10" x14ac:dyDescent="0.3">
      <c r="G31" s="3">
        <v>2023</v>
      </c>
      <c r="H31" s="10">
        <v>38</v>
      </c>
      <c r="I31" s="10">
        <v>248</v>
      </c>
      <c r="J31" s="10">
        <v>9</v>
      </c>
    </row>
    <row r="32" spans="7:10" x14ac:dyDescent="0.3">
      <c r="G32" s="2" t="s">
        <v>1193</v>
      </c>
      <c r="H32" s="10">
        <v>15109</v>
      </c>
      <c r="I32" s="10">
        <v>6964</v>
      </c>
      <c r="J32" s="10">
        <v>49089</v>
      </c>
    </row>
    <row r="37" spans="29:33" x14ac:dyDescent="0.3">
      <c r="AC37" s="1" t="s">
        <v>17962</v>
      </c>
      <c r="AD37" t="s" vm="1">
        <v>17963</v>
      </c>
    </row>
    <row r="39" spans="29:33" x14ac:dyDescent="0.3">
      <c r="AC39" s="1" t="s">
        <v>17964</v>
      </c>
      <c r="AD39" s="1" t="s">
        <v>17961</v>
      </c>
    </row>
    <row r="40" spans="29:33" x14ac:dyDescent="0.3">
      <c r="AC40" s="1" t="s">
        <v>1192</v>
      </c>
      <c r="AD40">
        <v>2021</v>
      </c>
      <c r="AE40">
        <v>2022</v>
      </c>
      <c r="AF40">
        <v>2023</v>
      </c>
      <c r="AG40" t="s">
        <v>1193</v>
      </c>
    </row>
    <row r="41" spans="29:33" x14ac:dyDescent="0.3">
      <c r="AC41" s="2" t="s">
        <v>17</v>
      </c>
      <c r="AD41" s="10">
        <v>18</v>
      </c>
      <c r="AE41" s="10">
        <v>38</v>
      </c>
      <c r="AF41" s="10">
        <v>20</v>
      </c>
      <c r="AG41" s="10">
        <v>76</v>
      </c>
    </row>
    <row r="42" spans="29:33" x14ac:dyDescent="0.3">
      <c r="AC42" s="2" t="s">
        <v>194</v>
      </c>
      <c r="AD42" s="10">
        <v>33</v>
      </c>
      <c r="AE42" s="10">
        <v>57</v>
      </c>
      <c r="AF42" s="10">
        <v>29</v>
      </c>
      <c r="AG42" s="10">
        <v>119</v>
      </c>
    </row>
    <row r="43" spans="29:33" x14ac:dyDescent="0.3">
      <c r="AC43" s="2" t="s">
        <v>175</v>
      </c>
      <c r="AD43" s="10">
        <v>11</v>
      </c>
      <c r="AE43" s="10">
        <v>28</v>
      </c>
      <c r="AF43" s="10">
        <v>15</v>
      </c>
      <c r="AG43" s="10">
        <v>54</v>
      </c>
    </row>
    <row r="44" spans="29:33" x14ac:dyDescent="0.3">
      <c r="AC44" s="2" t="s">
        <v>20</v>
      </c>
      <c r="AD44" s="10">
        <v>42</v>
      </c>
      <c r="AE44" s="10">
        <v>89</v>
      </c>
      <c r="AF44" s="10">
        <v>44</v>
      </c>
      <c r="AG44" s="10">
        <v>175</v>
      </c>
    </row>
    <row r="45" spans="29:33" x14ac:dyDescent="0.3">
      <c r="AC45" s="2" t="s">
        <v>132</v>
      </c>
      <c r="AD45" s="10">
        <v>23</v>
      </c>
      <c r="AE45" s="10">
        <v>46</v>
      </c>
      <c r="AF45" s="10">
        <v>22</v>
      </c>
      <c r="AG45" s="10">
        <v>91</v>
      </c>
    </row>
    <row r="46" spans="29:33" x14ac:dyDescent="0.3">
      <c r="AC46" s="2" t="s">
        <v>199</v>
      </c>
      <c r="AD46" s="10">
        <v>11</v>
      </c>
      <c r="AE46" s="10">
        <v>20</v>
      </c>
      <c r="AF46" s="10">
        <v>9</v>
      </c>
      <c r="AG46" s="10">
        <v>40</v>
      </c>
    </row>
    <row r="47" spans="29:33" x14ac:dyDescent="0.3">
      <c r="AC47" s="2" t="s">
        <v>1193</v>
      </c>
      <c r="AD47" s="10">
        <v>138</v>
      </c>
      <c r="AE47" s="10">
        <v>278</v>
      </c>
      <c r="AF47" s="10">
        <v>139</v>
      </c>
      <c r="AG47" s="10">
        <v>555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EACE0-5C5F-4DA9-A85A-16FF63209FA1}">
  <sheetPr codeName="Sheet24"/>
  <dimension ref="G7:I14"/>
  <sheetViews>
    <sheetView workbookViewId="0">
      <selection activeCell="H10" sqref="H10"/>
    </sheetView>
  </sheetViews>
  <sheetFormatPr defaultRowHeight="14.4" x14ac:dyDescent="0.3"/>
  <cols>
    <col min="7" max="7" width="11" customWidth="1"/>
  </cols>
  <sheetData>
    <row r="7" spans="7:9" x14ac:dyDescent="0.3">
      <c r="G7" s="6" t="s">
        <v>1188</v>
      </c>
      <c r="H7" s="6" t="s">
        <v>1189</v>
      </c>
      <c r="I7" s="6" t="s">
        <v>1190</v>
      </c>
    </row>
    <row r="8" spans="7:9" x14ac:dyDescent="0.3">
      <c r="G8" s="7"/>
      <c r="H8" s="7"/>
      <c r="I8" s="7"/>
    </row>
    <row r="10" spans="7:9" x14ac:dyDescent="0.3">
      <c r="G10" s="7"/>
      <c r="H10" s="7"/>
      <c r="I10" s="7"/>
    </row>
    <row r="12" spans="7:9" x14ac:dyDescent="0.3">
      <c r="G12" s="7"/>
      <c r="H12" s="7"/>
      <c r="I12" s="7"/>
    </row>
    <row r="14" spans="7:9" x14ac:dyDescent="0.3">
      <c r="G14" s="7"/>
      <c r="H14" s="7"/>
      <c r="I14" s="7"/>
    </row>
  </sheetData>
  <conditionalFormatting sqref="G8:I15">
    <cfRule type="dataBar" priority="1">
      <dataBar>
        <cfvo type="min"/>
        <cfvo type="max"/>
        <color rgb="FF638EC6"/>
      </dataBar>
      <extLst>
        <ext xmlns:x14="http://schemas.microsoft.com/office/spreadsheetml/2009/9/main" uri="{B025F937-C7B1-47D3-B67F-A62EFF666E3E}">
          <x14:id>{1DDEFEC1-D60F-4B17-BA33-1E193F629BCF}</x14:id>
        </ext>
      </extLst>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1DDEFEC1-D60F-4B17-BA33-1E193F629BCF}">
            <x14:dataBar minLength="0" maxLength="100" gradient="0">
              <x14:cfvo type="autoMin"/>
              <x14:cfvo type="autoMax"/>
              <x14:negativeFillColor rgb="FFFF0000"/>
              <x14:axisColor rgb="FF000000"/>
            </x14:dataBar>
          </x14:cfRule>
          <xm:sqref>G8:I15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F8865-B1DC-41F2-ABDF-8FF8B4054618}">
  <sheetPr codeName="Sheet2">
    <tabColor rgb="FF0070C0"/>
  </sheetPr>
  <dimension ref="A1:AE49"/>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spans="11:11" ht="14.4" x14ac:dyDescent="0.3">
      <c r="K1" s="8"/>
    </row>
    <row r="2" spans="11:11" ht="14.4" x14ac:dyDescent="0.3"/>
    <row r="3" spans="11:11" ht="14.4" x14ac:dyDescent="0.3"/>
    <row r="4" spans="11:11" ht="14.4" x14ac:dyDescent="0.3"/>
    <row r="5" spans="11:11" ht="14.4" x14ac:dyDescent="0.3"/>
    <row r="6" spans="11:11" ht="14.4" x14ac:dyDescent="0.3"/>
    <row r="7" spans="11:11" ht="14.4" x14ac:dyDescent="0.3"/>
    <row r="8" spans="11:11" ht="14.4" x14ac:dyDescent="0.3"/>
    <row r="9" spans="11:11" ht="14.4" x14ac:dyDescent="0.3"/>
    <row r="10" spans="11:11" ht="14.4" x14ac:dyDescent="0.3"/>
    <row r="11" spans="11:11" ht="14.4" x14ac:dyDescent="0.3"/>
    <row r="12" spans="11:11" ht="14.4" x14ac:dyDescent="0.3"/>
    <row r="13" spans="11:11" ht="14.4" x14ac:dyDescent="0.3"/>
    <row r="14" spans="11:11" ht="14.4" x14ac:dyDescent="0.3"/>
    <row r="15" spans="11:11" ht="14.4" x14ac:dyDescent="0.3"/>
    <row r="16" spans="11:11"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sheetData>
  <sheetProtection selectLockedCells="1" autoFilter="0" pivotTables="0" selectUnlockedCell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C5EF-964A-40ED-88B2-CADC9094892D}">
  <sheetPr codeName="Sheet3">
    <tabColor rgb="FF0070C0"/>
  </sheetPr>
  <dimension ref="A1:AE49"/>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customFormat="1" ht="14.4" x14ac:dyDescent="0.3"/>
    <row r="2" customFormat="1" ht="14.4" x14ac:dyDescent="0.3"/>
    <row r="3" customFormat="1" ht="14.4" x14ac:dyDescent="0.3"/>
    <row r="4" customFormat="1" ht="14.4" x14ac:dyDescent="0.3"/>
    <row r="5" customFormat="1" ht="14.4" x14ac:dyDescent="0.3"/>
    <row r="6" customFormat="1" ht="14.4" x14ac:dyDescent="0.3"/>
    <row r="7" customFormat="1" ht="14.4" x14ac:dyDescent="0.3"/>
    <row r="8" customFormat="1" ht="14.4" x14ac:dyDescent="0.3"/>
    <row r="9" customFormat="1" ht="14.4" x14ac:dyDescent="0.3"/>
    <row r="10" customFormat="1" ht="14.4" x14ac:dyDescent="0.3"/>
    <row r="11" customFormat="1" ht="14.4" x14ac:dyDescent="0.3"/>
    <row r="12" customFormat="1" ht="14.4" x14ac:dyDescent="0.3"/>
    <row r="13" customFormat="1" ht="14.4" x14ac:dyDescent="0.3"/>
    <row r="14" customFormat="1" ht="14.4" x14ac:dyDescent="0.3"/>
    <row r="15" customFormat="1" ht="14.4" x14ac:dyDescent="0.3"/>
    <row r="16" customFormat="1" ht="14.4" x14ac:dyDescent="0.3"/>
    <row r="17" customFormat="1" ht="14.4" x14ac:dyDescent="0.3"/>
    <row r="18" customFormat="1" ht="14.4" x14ac:dyDescent="0.3"/>
    <row r="19" customFormat="1" ht="14.4" x14ac:dyDescent="0.3"/>
    <row r="20" customFormat="1" ht="14.4" x14ac:dyDescent="0.3"/>
    <row r="21" customFormat="1" ht="14.4" x14ac:dyDescent="0.3"/>
    <row r="22" customFormat="1" ht="14.4" x14ac:dyDescent="0.3"/>
    <row r="23" customFormat="1" ht="14.4" x14ac:dyDescent="0.3"/>
    <row r="24" customFormat="1" ht="14.4" x14ac:dyDescent="0.3"/>
    <row r="25" customFormat="1" ht="14.4" x14ac:dyDescent="0.3"/>
    <row r="26" customFormat="1" ht="14.4" x14ac:dyDescent="0.3"/>
    <row r="27" customFormat="1" ht="14.4" x14ac:dyDescent="0.3"/>
    <row r="28" customFormat="1" ht="14.4" x14ac:dyDescent="0.3"/>
    <row r="29" customFormat="1" ht="14.4" x14ac:dyDescent="0.3"/>
    <row r="30" customFormat="1" ht="14.4" x14ac:dyDescent="0.3"/>
    <row r="31" customFormat="1" ht="14.4" x14ac:dyDescent="0.3"/>
    <row r="32" customFormat="1" ht="14.4" x14ac:dyDescent="0.3"/>
    <row r="33" customFormat="1" ht="14.4" x14ac:dyDescent="0.3"/>
    <row r="34" customFormat="1" ht="14.4" x14ac:dyDescent="0.3"/>
    <row r="35" customFormat="1" ht="14.4" x14ac:dyDescent="0.3"/>
    <row r="36" customFormat="1" ht="14.4" x14ac:dyDescent="0.3"/>
    <row r="37" customFormat="1" ht="14.4" x14ac:dyDescent="0.3"/>
    <row r="38" customFormat="1" ht="14.4" x14ac:dyDescent="0.3"/>
    <row r="39" customFormat="1" ht="14.4" x14ac:dyDescent="0.3"/>
    <row r="40" customFormat="1" ht="14.4" x14ac:dyDescent="0.3"/>
    <row r="41" customFormat="1" ht="14.4" x14ac:dyDescent="0.3"/>
    <row r="42" customFormat="1" ht="14.4" x14ac:dyDescent="0.3"/>
    <row r="43" customFormat="1" ht="14.4" x14ac:dyDescent="0.3"/>
    <row r="44" customFormat="1" ht="14.4" x14ac:dyDescent="0.3"/>
    <row r="45" customFormat="1" ht="14.4" x14ac:dyDescent="0.3"/>
    <row r="46" customFormat="1" ht="14.4" x14ac:dyDescent="0.3"/>
    <row r="47" customFormat="1" ht="14.4" x14ac:dyDescent="0.3"/>
    <row r="48" customFormat="1" ht="14.4" x14ac:dyDescent="0.3"/>
    <row r="49" customFormat="1" ht="14.4" x14ac:dyDescent="0.3"/>
  </sheetData>
  <sheetProtection selectLockedCells="1" autoFilter="0" pivotTables="0"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E047-01BD-4952-87C7-48C0501218E9}">
  <sheetPr codeName="Sheet4">
    <tabColor rgb="FF0070C0"/>
  </sheetPr>
  <dimension ref="A1:AE73"/>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spans="1:10" ht="14.4" x14ac:dyDescent="0.3">
      <c r="A1" t="s">
        <v>1198</v>
      </c>
      <c r="J1" s="8"/>
    </row>
    <row r="2" spans="1:10" ht="14.4" x14ac:dyDescent="0.3"/>
    <row r="3" spans="1:10" ht="14.4" x14ac:dyDescent="0.3"/>
    <row r="4" spans="1:10" ht="14.4" x14ac:dyDescent="0.3"/>
    <row r="5" spans="1:10" ht="14.4" x14ac:dyDescent="0.3"/>
    <row r="6" spans="1:10" ht="14.4" x14ac:dyDescent="0.3"/>
    <row r="7" spans="1:10" ht="14.4" x14ac:dyDescent="0.3"/>
    <row r="8" spans="1:10" ht="14.4" x14ac:dyDescent="0.3"/>
    <row r="9" spans="1:10" ht="14.4" x14ac:dyDescent="0.3"/>
    <row r="10" spans="1:10" ht="14.4" x14ac:dyDescent="0.3"/>
    <row r="11" spans="1:10" ht="14.4" x14ac:dyDescent="0.3"/>
    <row r="12" spans="1:10" ht="14.4" x14ac:dyDescent="0.3"/>
    <row r="13" spans="1:10" ht="14.4" x14ac:dyDescent="0.3"/>
    <row r="14" spans="1:10" ht="14.4" x14ac:dyDescent="0.3"/>
    <row r="15" spans="1:10" ht="14.4" x14ac:dyDescent="0.3"/>
    <row r="16" spans="1:10"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sheetProtection selectLockedCells="1" autoFilter="0" pivotTables="0"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2B82C-3C13-4EB3-80CA-F43F9FCF37D1}">
  <sheetPr codeName="Sheet5">
    <tabColor rgb="FF0070C0"/>
  </sheetPr>
  <dimension ref="A1:AE73"/>
  <sheetViews>
    <sheetView showGridLines="0" showRowColHeaders="0" zoomScale="70" zoomScaleNormal="70" workbookViewId="0"/>
  </sheetViews>
  <sheetFormatPr defaultColWidth="0" defaultRowHeight="15" customHeight="1" zeroHeight="1" x14ac:dyDescent="0.3"/>
  <cols>
    <col min="1" max="31" width="9.109375" customWidth="1"/>
    <col min="32" max="16384" width="9.109375" hidden="1"/>
  </cols>
  <sheetData>
    <row r="1" ht="14.4" x14ac:dyDescent="0.3"/>
    <row r="2" ht="14.4" x14ac:dyDescent="0.3"/>
    <row r="3" ht="14.4" x14ac:dyDescent="0.3"/>
    <row r="4" ht="14.4" x14ac:dyDescent="0.3"/>
    <row r="5" ht="14.4" x14ac:dyDescent="0.3"/>
    <row r="6" ht="14.4" x14ac:dyDescent="0.3"/>
    <row r="7" ht="14.4" x14ac:dyDescent="0.3"/>
    <row r="8" ht="14.4" x14ac:dyDescent="0.3"/>
    <row r="9" ht="14.4" x14ac:dyDescent="0.3"/>
    <row r="10" ht="14.4" x14ac:dyDescent="0.3"/>
    <row r="11" ht="14.4" x14ac:dyDescent="0.3"/>
    <row r="12" ht="14.4" x14ac:dyDescent="0.3"/>
    <row r="13" ht="14.4" x14ac:dyDescent="0.3"/>
    <row r="14" ht="14.4" x14ac:dyDescent="0.3"/>
    <row r="15" ht="14.4" x14ac:dyDescent="0.3"/>
    <row r="16"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spans="7:7" ht="14.4" x14ac:dyDescent="0.3">
      <c r="G49" t="s">
        <v>1175</v>
      </c>
    </row>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sheetProtection selectLockedCells="1" autoFilter="0" pivotTables="0"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C436F-424B-4465-A8D8-B64763177805}">
  <sheetPr codeName="Sheet6">
    <tabColor rgb="FF0070C0"/>
  </sheetPr>
  <dimension ref="A1:AE49"/>
  <sheetViews>
    <sheetView showGridLines="0" showRowColHeaders="0" topLeftCell="A5" zoomScale="70" zoomScaleNormal="70" workbookViewId="0"/>
  </sheetViews>
  <sheetFormatPr defaultColWidth="0" defaultRowHeight="15" customHeight="1" zeroHeight="1" x14ac:dyDescent="0.3"/>
  <cols>
    <col min="1" max="31" width="9.109375" customWidth="1"/>
    <col min="32" max="16384" width="9.109375" hidden="1"/>
  </cols>
  <sheetData>
    <row r="1" spans="1:1" ht="14.4" x14ac:dyDescent="0.3">
      <c r="A1" t="s">
        <v>1198</v>
      </c>
    </row>
    <row r="2" spans="1:1" ht="14.4" x14ac:dyDescent="0.3"/>
    <row r="3" spans="1:1" ht="14.4" x14ac:dyDescent="0.3"/>
    <row r="4" spans="1:1" ht="14.4" x14ac:dyDescent="0.3"/>
    <row r="5" spans="1:1" ht="14.4" x14ac:dyDescent="0.3"/>
    <row r="6" spans="1:1" ht="14.4" x14ac:dyDescent="0.3"/>
    <row r="7" spans="1:1" ht="14.4" x14ac:dyDescent="0.3"/>
    <row r="8" spans="1:1" ht="14.4" x14ac:dyDescent="0.3"/>
    <row r="9" spans="1:1" ht="14.4" x14ac:dyDescent="0.3"/>
    <row r="10" spans="1:1" ht="14.4" x14ac:dyDescent="0.3"/>
    <row r="11" spans="1:1" ht="14.4" x14ac:dyDescent="0.3"/>
    <row r="12" spans="1:1" ht="14.4" x14ac:dyDescent="0.3"/>
    <row r="13" spans="1:1" ht="14.4" x14ac:dyDescent="0.3"/>
    <row r="14" spans="1:1" ht="14.4" x14ac:dyDescent="0.3"/>
    <row r="15" spans="1:1" ht="14.4" x14ac:dyDescent="0.3"/>
    <row r="16" spans="1:1"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sheetData>
  <sheetProtection selectLockedCells="1" autoFilter="0" pivotTables="0" selectUnlockedCell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E7542-250D-40F7-8021-9701503DB9F4}">
  <sheetPr codeName="Sheet7">
    <tabColor rgb="FFF2F0F5"/>
  </sheetPr>
  <dimension ref="A1:K144"/>
  <sheetViews>
    <sheetView showGridLines="0" zoomScale="80" zoomScaleNormal="80" workbookViewId="0">
      <selection activeCell="H21" sqref="H21"/>
    </sheetView>
  </sheetViews>
  <sheetFormatPr defaultColWidth="0" defaultRowHeight="14.4" x14ac:dyDescent="0.3"/>
  <cols>
    <col min="1" max="1" width="38.44140625" bestFit="1" customWidth="1"/>
    <col min="2" max="2" width="12.88671875" bestFit="1" customWidth="1"/>
    <col min="3" max="3" width="8.5546875" bestFit="1" customWidth="1"/>
    <col min="4" max="4" width="20" bestFit="1" customWidth="1"/>
    <col min="5" max="5" width="8.88671875" customWidth="1"/>
    <col min="6" max="6" width="13.33203125" bestFit="1" customWidth="1"/>
    <col min="7" max="7" width="19.6640625" bestFit="1" customWidth="1"/>
    <col min="8" max="8" width="26.109375" bestFit="1" customWidth="1"/>
    <col min="9" max="9" width="10.5546875" bestFit="1" customWidth="1"/>
    <col min="10" max="10" width="18.5546875" hidden="1" customWidth="1"/>
    <col min="11" max="11" width="21.6640625" hidden="1" customWidth="1"/>
    <col min="12" max="16384" width="8.88671875" hidden="1"/>
  </cols>
  <sheetData>
    <row r="1" spans="1:4" x14ac:dyDescent="0.3">
      <c r="A1" t="s">
        <v>1121</v>
      </c>
      <c r="B1" t="s">
        <v>1120</v>
      </c>
      <c r="C1" t="s">
        <v>1122</v>
      </c>
      <c r="D1" t="s">
        <v>1123</v>
      </c>
    </row>
    <row r="2" spans="1:4" x14ac:dyDescent="0.3">
      <c r="A2" t="str">
        <f>General2023[[#This Row],[organisation_name]]</f>
        <v>Break-even</v>
      </c>
      <c r="B2">
        <f>IF(General2023[[#This Row],[sector]]="", 0, 1)</f>
        <v>1</v>
      </c>
      <c r="C2" t="s">
        <v>17</v>
      </c>
      <c r="D2" t="str">
        <f>VLOOKUP(Tabel12[[#This Row],[Organisation]],General2021!B2:C140,2,FALSE)</f>
        <v>association</v>
      </c>
    </row>
    <row r="3" spans="1:4" x14ac:dyDescent="0.3">
      <c r="A3" t="str">
        <f>General2023[[#This Row],[organisation_name]]</f>
        <v>DAV Kronos</v>
      </c>
      <c r="B3">
        <f>IF(General2023[[#This Row],[sector]]="", 0, 1)</f>
        <v>1</v>
      </c>
      <c r="C3" t="s">
        <v>20</v>
      </c>
      <c r="D3" t="str">
        <f>VLOOKUP(Tabel12[[#This Row],[Organisation]],General2021!B3:C141,2,FALSE)</f>
        <v>association</v>
      </c>
    </row>
    <row r="4" spans="1:4" x14ac:dyDescent="0.3">
      <c r="A4" t="str">
        <f>General2023[[#This Row],[organisation_name]]</f>
        <v>DBV Arriba</v>
      </c>
      <c r="B4">
        <f>IF(General2023[[#This Row],[sector]]="", 0, 1)</f>
        <v>1</v>
      </c>
      <c r="C4" t="s">
        <v>20</v>
      </c>
      <c r="D4" t="str">
        <f>VLOOKUP(Tabel12[[#This Row],[Organisation]],General2021!B4:C142,2,FALSE)</f>
        <v>association</v>
      </c>
    </row>
    <row r="5" spans="1:4" x14ac:dyDescent="0.3">
      <c r="A5" t="str">
        <f>General2023[[#This Row],[organisation_name]]</f>
        <v>DSTV Aloha</v>
      </c>
      <c r="B5">
        <f>IF(General2023[[#This Row],[sector]]="", 0, 1)</f>
        <v>1</v>
      </c>
      <c r="C5" t="s">
        <v>20</v>
      </c>
      <c r="D5" t="str">
        <f>VLOOKUP(Tabel12[[#This Row],[Organisation]],General2021!B5:C143,2,FALSE)</f>
        <v>association</v>
      </c>
    </row>
    <row r="6" spans="1:4" x14ac:dyDescent="0.3">
      <c r="A6" t="str">
        <f>General2023[[#This Row],[organisation_name]]</f>
        <v>DSV de Skeuvel</v>
      </c>
      <c r="B6">
        <f>IF(General2023[[#This Row],[sector]]="", 0, 1)</f>
        <v>1</v>
      </c>
      <c r="C6" t="s">
        <v>20</v>
      </c>
      <c r="D6" t="str">
        <f>VLOOKUP(Tabel12[[#This Row],[Organisation]],General2021!B6:C144,2,FALSE)</f>
        <v>association</v>
      </c>
    </row>
    <row r="7" spans="1:4" x14ac:dyDescent="0.3">
      <c r="A7" t="str">
        <f>General2023[[#This Row],[organisation_name]]</f>
        <v>DTTV Thibats</v>
      </c>
      <c r="B7">
        <f>IF(General2023[[#This Row],[sector]]="", 0, 1)</f>
        <v>1</v>
      </c>
      <c r="C7" t="s">
        <v>20</v>
      </c>
      <c r="D7" t="str">
        <f>VLOOKUP(Tabel12[[#This Row],[Organisation]],General2021!B7:C145,2,FALSE)</f>
        <v>association</v>
      </c>
    </row>
    <row r="8" spans="1:4" x14ac:dyDescent="0.3">
      <c r="A8" t="str">
        <f>General2023[[#This Row],[organisation_name]]</f>
        <v>DWV Hardboard</v>
      </c>
      <c r="B8">
        <f>IF(General2023[[#This Row],[sector]]="", 0, 1)</f>
        <v>1</v>
      </c>
      <c r="C8" t="s">
        <v>20</v>
      </c>
      <c r="D8" t="str">
        <f>VLOOKUP(Tabel12[[#This Row],[Organisation]],General2021!B8:C146,2,FALSE)</f>
        <v>association</v>
      </c>
    </row>
    <row r="9" spans="1:4" x14ac:dyDescent="0.3">
      <c r="A9" t="str">
        <f>General2023[[#This Row],[organisation_name]]</f>
        <v>DWV Klein Verzet</v>
      </c>
      <c r="B9">
        <f>IF(General2023[[#This Row],[sector]]="", 0, 1)</f>
        <v>1</v>
      </c>
      <c r="C9" t="s">
        <v>20</v>
      </c>
      <c r="D9" t="str">
        <f>VLOOKUP(Tabel12[[#This Row],[Organisation]],General2021!B9:C147,2,FALSE)</f>
        <v>association</v>
      </c>
    </row>
    <row r="10" spans="1:4" x14ac:dyDescent="0.3">
      <c r="A10" t="str">
        <f>General2023[[#This Row],[organisation_name]]</f>
        <v>DBV DIOK</v>
      </c>
      <c r="B10">
        <f>IF(General2023[[#This Row],[sector]]="", 0, 1)</f>
        <v>1</v>
      </c>
      <c r="C10" t="s">
        <v>20</v>
      </c>
      <c r="D10" t="str">
        <f>VLOOKUP(Tabel12[[#This Row],[Organisation]],General2021!B10:C148,2,FALSE)</f>
        <v>association</v>
      </c>
    </row>
    <row r="11" spans="1:4" x14ac:dyDescent="0.3">
      <c r="A11" t="str">
        <f>General2023[[#This Row],[organisation_name]]</f>
        <v>DBV de Stretchers</v>
      </c>
      <c r="B11">
        <f>IF(General2023[[#This Row],[sector]]="", 0, 1)</f>
        <v>1</v>
      </c>
      <c r="C11" t="s">
        <v>20</v>
      </c>
      <c r="D11" t="str">
        <f>VLOOKUP(Tabel12[[#This Row],[Organisation]],General2021!B11:C149,2,FALSE)</f>
        <v>association</v>
      </c>
    </row>
    <row r="12" spans="1:4" x14ac:dyDescent="0.3">
      <c r="A12" t="str">
        <f>General2023[[#This Row],[organisation_name]]</f>
        <v>DHC Drienerlo</v>
      </c>
      <c r="B12">
        <f>IF(General2023[[#This Row],[sector]]="", 0, 1)</f>
        <v>1</v>
      </c>
      <c r="C12" t="s">
        <v>20</v>
      </c>
      <c r="D12" t="str">
        <f>VLOOKUP(Tabel12[[#This Row],[Organisation]],General2021!B12:C150,2,FALSE)</f>
        <v>association</v>
      </c>
    </row>
    <row r="13" spans="1:4" x14ac:dyDescent="0.3">
      <c r="A13" t="str">
        <f>General2023[[#This Row],[organisation_name]]</f>
        <v>DKV Euros</v>
      </c>
      <c r="B13">
        <f>IF(General2023[[#This Row],[sector]]="", 0, 1)</f>
        <v>0</v>
      </c>
      <c r="C13" t="s">
        <v>20</v>
      </c>
      <c r="D13" t="str">
        <f>VLOOKUP(Tabel12[[#This Row],[Organisation]],General2021!B13:C151,2,FALSE)</f>
        <v>association</v>
      </c>
    </row>
    <row r="14" spans="1:4" x14ac:dyDescent="0.3">
      <c r="A14" t="str">
        <f>General2023[[#This Row],[organisation_name]]</f>
        <v>DRV Euros</v>
      </c>
      <c r="B14">
        <f>IF(General2023[[#This Row],[sector]]="", 0, 1)</f>
        <v>1</v>
      </c>
      <c r="C14" t="s">
        <v>20</v>
      </c>
      <c r="D14" t="str">
        <f>VLOOKUP(Tabel12[[#This Row],[Organisation]],General2021!B14:C152,2,FALSE)</f>
        <v>association</v>
      </c>
    </row>
    <row r="15" spans="1:4" x14ac:dyDescent="0.3">
      <c r="A15" t="str">
        <f>General2023[[#This Row],[organisation_name]]</f>
        <v>DRV Hippocampus</v>
      </c>
      <c r="B15">
        <f>IF(General2023[[#This Row],[sector]]="", 0, 1)</f>
        <v>1</v>
      </c>
      <c r="C15" t="s">
        <v>20</v>
      </c>
      <c r="D15" t="str">
        <f>VLOOKUP(Tabel12[[#This Row],[Organisation]],General2021!B15:C153,2,FALSE)</f>
        <v>association</v>
      </c>
    </row>
    <row r="16" spans="1:4" x14ac:dyDescent="0.3">
      <c r="A16" t="str">
        <f>General2023[[#This Row],[organisation_name]]</f>
        <v>DSSV Tartaros</v>
      </c>
      <c r="B16">
        <f>IF(General2023[[#This Row],[sector]]="", 0, 1)</f>
        <v>1</v>
      </c>
      <c r="C16" t="s">
        <v>20</v>
      </c>
      <c r="D16" t="str">
        <f>VLOOKUP(Tabel12[[#This Row],[Organisation]],General2021!B16:C154,2,FALSE)</f>
        <v>association</v>
      </c>
    </row>
    <row r="17" spans="1:8" x14ac:dyDescent="0.3">
      <c r="A17" t="str">
        <f>General2023[[#This Row],[organisation_name]]</f>
        <v>DZV Euros</v>
      </c>
      <c r="B17">
        <f>IF(General2023[[#This Row],[sector]]="", 0, 1)</f>
        <v>1</v>
      </c>
      <c r="C17" t="s">
        <v>20</v>
      </c>
      <c r="D17" t="str">
        <f>VLOOKUP(Tabel12[[#This Row],[Organisation]],General2021!B17:C155,2,FALSE)</f>
        <v>association</v>
      </c>
      <c r="F17" s="1" t="s">
        <v>1192</v>
      </c>
      <c r="G17" t="s">
        <v>17966</v>
      </c>
      <c r="H17" t="s">
        <v>17965</v>
      </c>
    </row>
    <row r="18" spans="1:8" x14ac:dyDescent="0.3">
      <c r="A18" t="str">
        <f>General2023[[#This Row],[organisation_name]]</f>
        <v>EEEHV Cabezota</v>
      </c>
      <c r="B18">
        <f>IF(General2023[[#This Row],[sector]]="", 0, 1)</f>
        <v>1</v>
      </c>
      <c r="C18" t="s">
        <v>20</v>
      </c>
      <c r="D18" t="str">
        <f>VLOOKUP(Tabel12[[#This Row],[Organisation]],General2021!B18:C156,2,FALSE)</f>
        <v>association</v>
      </c>
      <c r="F18" s="2" t="s">
        <v>17</v>
      </c>
      <c r="G18" s="10">
        <v>15</v>
      </c>
      <c r="H18" s="10">
        <v>18</v>
      </c>
    </row>
    <row r="19" spans="1:8" x14ac:dyDescent="0.3">
      <c r="A19" t="str">
        <f>General2023[[#This Row],[organisation_name]]</f>
        <v>ESBV Buitenwesten</v>
      </c>
      <c r="B19">
        <f>IF(General2023[[#This Row],[sector]]="", 0, 1)</f>
        <v>1</v>
      </c>
      <c r="C19" t="s">
        <v>20</v>
      </c>
      <c r="D19" t="str">
        <f>VLOOKUP(Tabel12[[#This Row],[Organisation]],General2021!B19:C157,2,FALSE)</f>
        <v>association</v>
      </c>
      <c r="F19" s="2" t="s">
        <v>194</v>
      </c>
      <c r="G19" s="10">
        <v>27</v>
      </c>
      <c r="H19" s="10">
        <v>34</v>
      </c>
    </row>
    <row r="20" spans="1:8" x14ac:dyDescent="0.3">
      <c r="A20" t="str">
        <f>General2023[[#This Row],[organisation_name]]</f>
        <v>HSV High-Tech-Hitters</v>
      </c>
      <c r="B20">
        <f>IF(General2023[[#This Row],[sector]]="", 0, 1)</f>
        <v>1</v>
      </c>
      <c r="C20" t="s">
        <v>20</v>
      </c>
      <c r="D20" t="str">
        <f>VLOOKUP(Tabel12[[#This Row],[Organisation]],General2021!B20:C158,2,FALSE)</f>
        <v>association</v>
      </c>
      <c r="F20" s="2" t="s">
        <v>175</v>
      </c>
      <c r="G20" s="10">
        <v>9</v>
      </c>
      <c r="H20" s="10">
        <v>11</v>
      </c>
    </row>
    <row r="21" spans="1:8" x14ac:dyDescent="0.3">
      <c r="A21" t="str">
        <f>General2023[[#This Row],[organisation_name]]</f>
        <v>Linea Recta</v>
      </c>
      <c r="B21">
        <f>IF(General2023[[#This Row],[sector]]="", 0, 1)</f>
        <v>1</v>
      </c>
      <c r="C21" t="s">
        <v>20</v>
      </c>
      <c r="D21" t="str">
        <f>VLOOKUP(Tabel12[[#This Row],[Organisation]],General2021!B21:C159,2,FALSE)</f>
        <v>association</v>
      </c>
      <c r="F21" s="2" t="s">
        <v>20</v>
      </c>
      <c r="G21" s="10">
        <v>34</v>
      </c>
      <c r="H21" s="10">
        <v>43</v>
      </c>
    </row>
    <row r="22" spans="1:8" x14ac:dyDescent="0.3">
      <c r="A22" t="str">
        <f>General2023[[#This Row],[organisation_name]]</f>
        <v>Messed Up</v>
      </c>
      <c r="B22">
        <f>IF(General2023[[#This Row],[sector]]="", 0, 1)</f>
        <v>1</v>
      </c>
      <c r="C22" t="s">
        <v>20</v>
      </c>
      <c r="D22" t="str">
        <f>VLOOKUP(Tabel12[[#This Row],[Organisation]],General2021!B22:C160,2,FALSE)</f>
        <v>association</v>
      </c>
      <c r="F22" s="2" t="s">
        <v>132</v>
      </c>
      <c r="G22" s="10">
        <v>20</v>
      </c>
      <c r="H22" s="10">
        <v>22</v>
      </c>
    </row>
    <row r="23" spans="1:8" x14ac:dyDescent="0.3">
      <c r="A23" t="str">
        <f>General2023[[#This Row],[organisation_name]]</f>
        <v>Motor Sport Groep</v>
      </c>
      <c r="B23">
        <f>IF(General2023[[#This Row],[sector]]="", 0, 1)</f>
        <v>1</v>
      </c>
      <c r="C23" t="s">
        <v>20</v>
      </c>
      <c r="D23" t="str">
        <f>VLOOKUP(Tabel12[[#This Row],[Organisation]],General2021!B23:C161,2,FALSE)</f>
        <v>association</v>
      </c>
      <c r="F23" s="2" t="s">
        <v>199</v>
      </c>
      <c r="G23" s="10">
        <v>8</v>
      </c>
      <c r="H23" s="10">
        <v>11</v>
      </c>
    </row>
    <row r="24" spans="1:8" x14ac:dyDescent="0.3">
      <c r="A24" t="str">
        <f>General2023[[#This Row],[organisation_name]]</f>
        <v>SKV Vakgericht</v>
      </c>
      <c r="B24">
        <f>IF(General2023[[#This Row],[sector]]="", 0, 1)</f>
        <v>1</v>
      </c>
      <c r="C24" t="s">
        <v>20</v>
      </c>
      <c r="D24" t="str">
        <f>VLOOKUP(Tabel12[[#This Row],[Organisation]],General2021!B24:C162,2,FALSE)</f>
        <v>association</v>
      </c>
      <c r="F24" s="2" t="s">
        <v>1193</v>
      </c>
      <c r="G24" s="10">
        <v>113</v>
      </c>
      <c r="H24" s="10">
        <v>139</v>
      </c>
    </row>
    <row r="25" spans="1:8" x14ac:dyDescent="0.3">
      <c r="A25" t="str">
        <f>General2023[[#This Row],[organisation_name]]</f>
        <v>SHBV Sagittarius</v>
      </c>
      <c r="B25">
        <f>IF(General2023[[#This Row],[sector]]="", 0, 1)</f>
        <v>1</v>
      </c>
      <c r="C25" t="s">
        <v>20</v>
      </c>
      <c r="D25" t="str">
        <f>VLOOKUP(Tabel12[[#This Row],[Organisation]],General2021!B25:C163,2,FALSE)</f>
        <v>association</v>
      </c>
    </row>
    <row r="26" spans="1:8" x14ac:dyDescent="0.3">
      <c r="A26" t="str">
        <f>General2023[[#This Row],[organisation_name]]</f>
        <v>ADSKV Slagvaardig</v>
      </c>
      <c r="B26">
        <f>IF(General2023[[#This Row],[sector]]="", 0, 1)</f>
        <v>0</v>
      </c>
      <c r="C26" t="s">
        <v>20</v>
      </c>
      <c r="D26" t="str">
        <f>VLOOKUP(Tabel12[[#This Row],[Organisation]],General2021!B26:C164,2,FALSE)</f>
        <v>association</v>
      </c>
    </row>
    <row r="27" spans="1:8" x14ac:dyDescent="0.3">
      <c r="A27" t="str">
        <f>General2023[[#This Row],[organisation_name]]</f>
        <v>SYHV The Slapping Studs</v>
      </c>
      <c r="B27">
        <f>IF(General2023[[#This Row],[sector]]="", 0, 1)</f>
        <v>1</v>
      </c>
      <c r="C27" t="s">
        <v>20</v>
      </c>
      <c r="D27" t="e">
        <f>VLOOKUP(Tabel12[[#This Row],[Organisation]],General2021!B27:C165,2,FALSE)</f>
        <v>#N/A</v>
      </c>
    </row>
    <row r="28" spans="1:8" x14ac:dyDescent="0.3">
      <c r="A28" t="str">
        <f>General2023[[#This Row],[organisation_name]]</f>
        <v>TC Ludica</v>
      </c>
      <c r="B28">
        <f>IF(General2023[[#This Row],[sector]]="", 0, 1)</f>
        <v>1</v>
      </c>
      <c r="C28" t="s">
        <v>20</v>
      </c>
      <c r="D28" t="str">
        <f>VLOOKUP(Tabel12[[#This Row],[Organisation]],General2021!B28:C166,2,FALSE)</f>
        <v>association</v>
      </c>
    </row>
    <row r="29" spans="1:8" x14ac:dyDescent="0.3">
      <c r="A29" t="str">
        <f>General2023[[#This Row],[organisation_name]]</f>
        <v>TSAC</v>
      </c>
      <c r="B29">
        <f>IF(General2023[[#This Row],[sector]]="", 0, 1)</f>
        <v>1</v>
      </c>
      <c r="C29" t="s">
        <v>20</v>
      </c>
      <c r="D29" t="str">
        <f>VLOOKUP(Tabel12[[#This Row],[Organisation]],General2021!B29:C167,2,FALSE)</f>
        <v>association</v>
      </c>
    </row>
    <row r="30" spans="1:8" x14ac:dyDescent="0.3">
      <c r="A30" t="str">
        <f>General2023[[#This Row],[organisation_name]]</f>
        <v>VAS Arashi</v>
      </c>
      <c r="B30">
        <f>IF(General2023[[#This Row],[sector]]="", 0, 1)</f>
        <v>1</v>
      </c>
      <c r="C30" t="s">
        <v>20</v>
      </c>
      <c r="D30" t="str">
        <f>VLOOKUP(Tabel12[[#This Row],[Organisation]],General2021!B30:C168,2,FALSE)</f>
        <v>association</v>
      </c>
    </row>
    <row r="31" spans="1:8" x14ac:dyDescent="0.3">
      <c r="A31" t="str">
        <f>General2023[[#This Row],[organisation_name]]</f>
        <v>VV Drienerlo</v>
      </c>
      <c r="B31">
        <f>IF(General2023[[#This Row],[sector]]="", 0, 1)</f>
        <v>1</v>
      </c>
      <c r="C31" t="s">
        <v>20</v>
      </c>
      <c r="D31" t="str">
        <f>VLOOKUP(Tabel12[[#This Row],[Organisation]],General2021!B31:C169,2,FALSE)</f>
        <v>association</v>
      </c>
    </row>
    <row r="32" spans="1:8" x14ac:dyDescent="0.3">
      <c r="A32" t="str">
        <f>General2023[[#This Row],[organisation_name]]</f>
        <v>VV Harambee</v>
      </c>
      <c r="B32">
        <f>IF(General2023[[#This Row],[sector]]="", 0, 1)</f>
        <v>1</v>
      </c>
      <c r="C32" t="s">
        <v>20</v>
      </c>
      <c r="D32" t="str">
        <f>VLOOKUP(Tabel12[[#This Row],[Organisation]],General2021!B32:C170,2,FALSE)</f>
        <v>association</v>
      </c>
    </row>
    <row r="33" spans="1:4" x14ac:dyDescent="0.3">
      <c r="A33" t="str">
        <f>General2023[[#This Row],[organisation_name]]</f>
        <v>ZPV Piranha</v>
      </c>
      <c r="B33">
        <f>IF(General2023[[#This Row],[sector]]="", 0, 1)</f>
        <v>1</v>
      </c>
      <c r="C33" t="s">
        <v>20</v>
      </c>
      <c r="D33" t="str">
        <f>VLOOKUP(Tabel12[[#This Row],[Organisation]],General2021!B33:C171,2,FALSE)</f>
        <v>association</v>
      </c>
    </row>
    <row r="34" spans="1:4" x14ac:dyDescent="0.3">
      <c r="A34" t="str">
        <f>General2023[[#This Row],[organisation_name]]</f>
        <v>Twentse Thestrals</v>
      </c>
      <c r="B34">
        <f>IF(General2023[[#This Row],[sector]]="", 0, 1)</f>
        <v>0</v>
      </c>
      <c r="C34" t="s">
        <v>20</v>
      </c>
      <c r="D34" t="str">
        <f>VLOOKUP(Tabel12[[#This Row],[Organisation]],General2021!B34:C172,2,FALSE)</f>
        <v>association</v>
      </c>
    </row>
    <row r="35" spans="1:4" x14ac:dyDescent="0.3">
      <c r="A35" t="str">
        <f>General2023[[#This Row],[organisation_name]]</f>
        <v>Primo Ballerino</v>
      </c>
      <c r="B35">
        <f>IF(General2023[[#This Row],[sector]]="", 0, 1)</f>
        <v>1</v>
      </c>
      <c r="C35" t="s">
        <v>17</v>
      </c>
      <c r="D35" t="str">
        <f>VLOOKUP(Tabel12[[#This Row],[Organisation]],General2021!B35:C173,2,FALSE)</f>
        <v>association</v>
      </c>
    </row>
    <row r="36" spans="1:4" x14ac:dyDescent="0.3">
      <c r="A36" t="str">
        <f>General2023[[#This Row],[organisation_name]]</f>
        <v>Phoenix Lacrosse</v>
      </c>
      <c r="B36">
        <f>IF(General2023[[#This Row],[sector]]="", 0, 1)</f>
        <v>1</v>
      </c>
      <c r="C36" t="s">
        <v>20</v>
      </c>
      <c r="D36" t="str">
        <f>VLOOKUP(Tabel12[[#This Row],[Organisation]],General2021!B36:C174,2,FALSE)</f>
        <v>association</v>
      </c>
    </row>
    <row r="37" spans="1:4" x14ac:dyDescent="0.3">
      <c r="A37" t="str">
        <f>General2023[[#This Row],[organisation_name]]</f>
        <v>SKV Hercules</v>
      </c>
      <c r="B37">
        <f>IF(General2023[[#This Row],[sector]]="", 0, 1)</f>
        <v>1</v>
      </c>
      <c r="C37" t="s">
        <v>20</v>
      </c>
      <c r="D37" t="str">
        <f>VLOOKUP(Tabel12[[#This Row],[Organisation]],General2021!B37:C175,2,FALSE)</f>
        <v>association</v>
      </c>
    </row>
    <row r="38" spans="1:4" x14ac:dyDescent="0.3">
      <c r="A38" t="str">
        <f>General2023[[#This Row],[organisation_name]]</f>
        <v>A la Kart</v>
      </c>
      <c r="B38">
        <f>IF(General2023[[#This Row],[sector]]="", 0, 1)</f>
        <v>0</v>
      </c>
      <c r="C38" t="s">
        <v>20</v>
      </c>
      <c r="D38" t="str">
        <f>VLOOKUP(Tabel12[[#This Row],[Organisation]],General2021!B38:C176,2,FALSE)</f>
        <v>association</v>
      </c>
    </row>
    <row r="39" spans="1:4" x14ac:dyDescent="0.3">
      <c r="A39" t="str">
        <f>General2023[[#This Row],[organisation_name]]</f>
        <v>BSV de Stoottroepen</v>
      </c>
      <c r="B39">
        <f>IF(General2023[[#This Row],[sector]]="", 0, 1)</f>
        <v>0</v>
      </c>
      <c r="C39" t="s">
        <v>1117</v>
      </c>
      <c r="D39" t="str">
        <f>VLOOKUP(Tabel12[[#This Row],[Organisation]],General2021!B39:C177,2,FALSE)</f>
        <v>association</v>
      </c>
    </row>
    <row r="40" spans="1:4" x14ac:dyDescent="0.3">
      <c r="A40" t="str">
        <f>General2023[[#This Row],[organisation_name]]</f>
        <v>SV Muurvast</v>
      </c>
      <c r="B40">
        <f>IF(General2023[[#This Row],[sector]]="", 0, 1)</f>
        <v>0</v>
      </c>
      <c r="C40" t="s">
        <v>20</v>
      </c>
      <c r="D40" t="str">
        <f>VLOOKUP(Tabel12[[#This Row],[Organisation]],General2021!B40:C178,2,FALSE)</f>
        <v>association</v>
      </c>
    </row>
    <row r="41" spans="1:4" x14ac:dyDescent="0.3">
      <c r="A41" t="str">
        <f>General2023[[#This Row],[organisation_name]]</f>
        <v>DKV De Zeeuven Reen</v>
      </c>
      <c r="B41">
        <f>IF(General2023[[#This Row],[sector]]="", 0, 1)</f>
        <v>0</v>
      </c>
      <c r="C41" t="s">
        <v>20</v>
      </c>
      <c r="D41" t="str">
        <f>VLOOKUP(Tabel12[[#This Row],[Organisation]],General2021!B41:C179,2,FALSE)</f>
        <v>association</v>
      </c>
    </row>
    <row r="42" spans="1:4" x14ac:dyDescent="0.3">
      <c r="A42" t="str">
        <f>General2023[[#This Row],[organisation_name]]</f>
        <v>BlueShell</v>
      </c>
      <c r="B42">
        <f>IF(General2023[[#This Row],[sector]]="", 0, 1)</f>
        <v>1</v>
      </c>
      <c r="C42" t="s">
        <v>20</v>
      </c>
      <c r="D42" t="str">
        <f>VLOOKUP(Tabel12[[#This Row],[Organisation]],General2021!B42:C180,2,FALSE)</f>
        <v>association</v>
      </c>
    </row>
    <row r="43" spans="1:4" x14ac:dyDescent="0.3">
      <c r="A43" t="str">
        <f>General2023[[#This Row],[organisation_name]]</f>
        <v>4 happy feet</v>
      </c>
      <c r="B43">
        <f>IF(General2023[[#This Row],[sector]]="", 0, 1)</f>
        <v>1</v>
      </c>
      <c r="C43" t="s">
        <v>17</v>
      </c>
      <c r="D43" t="str">
        <f>VLOOKUP(Tabel12[[#This Row],[Organisation]],General2021!B43:C181,2,FALSE)</f>
        <v>association</v>
      </c>
    </row>
    <row r="44" spans="1:4" x14ac:dyDescent="0.3">
      <c r="A44" t="str">
        <f>General2023[[#This Row],[organisation_name]]</f>
        <v>AFVD Foton</v>
      </c>
      <c r="B44">
        <f>IF(General2023[[#This Row],[sector]]="", 0, 1)</f>
        <v>0</v>
      </c>
      <c r="C44" t="s">
        <v>17</v>
      </c>
      <c r="D44" t="str">
        <f>VLOOKUP(Tabel12[[#This Row],[Organisation]],General2021!B44:C182,2,FALSE)</f>
        <v>association</v>
      </c>
    </row>
    <row r="45" spans="1:4" x14ac:dyDescent="0.3">
      <c r="A45" t="str">
        <f>General2023[[#This Row],[organisation_name]]</f>
        <v>Arabesque</v>
      </c>
      <c r="B45">
        <f>IF(General2023[[#This Row],[sector]]="", 0, 1)</f>
        <v>1</v>
      </c>
      <c r="C45" t="s">
        <v>17</v>
      </c>
      <c r="D45" t="str">
        <f>VLOOKUP(Tabel12[[#This Row],[Organisation]],General2021!B45:C183,2,FALSE)</f>
        <v>association</v>
      </c>
    </row>
    <row r="46" spans="1:4" x14ac:dyDescent="0.3">
      <c r="A46" t="str">
        <f>General2023[[#This Row],[organisation_name]]</f>
        <v>Belletrie Bibliotheek</v>
      </c>
      <c r="B46">
        <f>IF(General2023[[#This Row],[sector]]="", 0, 1)</f>
        <v>1</v>
      </c>
      <c r="C46" t="s">
        <v>17</v>
      </c>
      <c r="D46" t="str">
        <f>VLOOKUP(Tabel12[[#This Row],[Organisation]],General2021!B46:C184,2,FALSE)</f>
        <v>association</v>
      </c>
    </row>
    <row r="47" spans="1:4" x14ac:dyDescent="0.3">
      <c r="A47" t="str">
        <f>General2023[[#This Row],[organisation_name]]</f>
        <v>Contramime</v>
      </c>
      <c r="B47">
        <f>IF(General2023[[#This Row],[sector]]="", 0, 1)</f>
        <v>0</v>
      </c>
      <c r="C47" t="s">
        <v>17</v>
      </c>
      <c r="D47" t="str">
        <f>VLOOKUP(Tabel12[[#This Row],[Organisation]],General2021!B47:C185,2,FALSE)</f>
        <v>association</v>
      </c>
    </row>
    <row r="48" spans="1:4" x14ac:dyDescent="0.3">
      <c r="A48" t="str">
        <f>General2023[[#This Row],[organisation_name]]</f>
        <v>Fanaat</v>
      </c>
      <c r="B48">
        <f>IF(General2023[[#This Row],[sector]]="", 0, 1)</f>
        <v>1</v>
      </c>
      <c r="C48" t="s">
        <v>17</v>
      </c>
      <c r="D48" t="str">
        <f>VLOOKUP(Tabel12[[#This Row],[Organisation]],General2021!B48:C186,2,FALSE)</f>
        <v>association</v>
      </c>
    </row>
    <row r="49" spans="1:4" x14ac:dyDescent="0.3">
      <c r="A49" t="str">
        <f>General2023[[#This Row],[organisation_name]]</f>
        <v>Musica Silvestra Orkest</v>
      </c>
      <c r="B49">
        <f>IF(General2023[[#This Row],[sector]]="", 0, 1)</f>
        <v>1</v>
      </c>
      <c r="C49" t="s">
        <v>17</v>
      </c>
      <c r="D49" t="str">
        <f>VLOOKUP(Tabel12[[#This Row],[Organisation]],General2021!B49:C187,2,FALSE)</f>
        <v>association</v>
      </c>
    </row>
    <row r="50" spans="1:4" x14ac:dyDescent="0.3">
      <c r="A50" t="str">
        <f>General2023[[#This Row],[organisation_name]]</f>
        <v>Musilon</v>
      </c>
      <c r="B50">
        <f>IF(General2023[[#This Row],[sector]]="", 0, 1)</f>
        <v>1</v>
      </c>
      <c r="C50" t="s">
        <v>17</v>
      </c>
      <c r="D50" t="str">
        <f>VLOOKUP(Tabel12[[#This Row],[Organisation]],General2021!B50:C188,2,FALSE)</f>
        <v>association</v>
      </c>
    </row>
    <row r="51" spans="1:4" x14ac:dyDescent="0.3">
      <c r="A51" t="str">
        <f>General2023[[#This Row],[organisation_name]]</f>
        <v>Nest</v>
      </c>
      <c r="B51">
        <f>IF(General2023[[#This Row],[sector]]="", 0, 1)</f>
        <v>1</v>
      </c>
      <c r="C51" t="s">
        <v>17</v>
      </c>
      <c r="D51" t="str">
        <f>VLOOKUP(Tabel12[[#This Row],[Organisation]],General2021!B51:C189,2,FALSE)</f>
        <v>association</v>
      </c>
    </row>
    <row r="52" spans="1:4" x14ac:dyDescent="0.3">
      <c r="A52" t="str">
        <f>General2023[[#This Row],[organisation_name]]</f>
        <v>Pro Deo</v>
      </c>
      <c r="B52">
        <f>IF(General2023[[#This Row],[sector]]="", 0, 1)</f>
        <v>1</v>
      </c>
      <c r="C52" t="s">
        <v>17</v>
      </c>
      <c r="D52" t="str">
        <f>VLOOKUP(Tabel12[[#This Row],[Organisation]],General2021!B52:C190,2,FALSE)</f>
        <v>association</v>
      </c>
    </row>
    <row r="53" spans="1:4" x14ac:dyDescent="0.3">
      <c r="A53" t="str">
        <f>General2023[[#This Row],[organisation_name]]</f>
        <v>SDV Chasse</v>
      </c>
      <c r="B53">
        <f>IF(General2023[[#This Row],[sector]]="", 0, 1)</f>
        <v>1</v>
      </c>
      <c r="C53" t="s">
        <v>17</v>
      </c>
      <c r="D53" t="str">
        <f>VLOOKUP(Tabel12[[#This Row],[Organisation]],General2021!B53:C191,2,FALSE)</f>
        <v>association</v>
      </c>
    </row>
    <row r="54" spans="1:4" x14ac:dyDescent="0.3">
      <c r="A54" t="str">
        <f>General2023[[#This Row],[organisation_name]]</f>
        <v>SHOT</v>
      </c>
      <c r="B54">
        <f>IF(General2023[[#This Row],[sector]]="", 0, 1)</f>
        <v>1</v>
      </c>
      <c r="C54" t="s">
        <v>17</v>
      </c>
      <c r="D54" t="str">
        <f>VLOOKUP(Tabel12[[#This Row],[Organisation]],General2021!B54:C192,2,FALSE)</f>
        <v>association</v>
      </c>
    </row>
    <row r="55" spans="1:4" x14ac:dyDescent="0.3">
      <c r="A55" t="str">
        <f>General2023[[#This Row],[organisation_name]]</f>
        <v>Stubiba</v>
      </c>
      <c r="B55">
        <f>IF(General2023[[#This Row],[sector]]="", 0, 1)</f>
        <v>1</v>
      </c>
      <c r="C55" t="s">
        <v>17</v>
      </c>
      <c r="D55" t="str">
        <f>VLOOKUP(Tabel12[[#This Row],[Organisation]],General2021!B55:C193,2,FALSE)</f>
        <v>association</v>
      </c>
    </row>
    <row r="56" spans="1:4" x14ac:dyDescent="0.3">
      <c r="A56" t="str">
        <f>General2023[[#This Row],[organisation_name]]</f>
        <v>Inspe</v>
      </c>
      <c r="B56">
        <f>IF(General2023[[#This Row],[sector]]="", 0, 1)</f>
        <v>1</v>
      </c>
      <c r="C56" t="s">
        <v>17</v>
      </c>
      <c r="D56" t="str">
        <f>VLOOKUP(Tabel12[[#This Row],[Organisation]],General2021!B56:C194,2,FALSE)</f>
        <v>foundation</v>
      </c>
    </row>
    <row r="57" spans="1:4" x14ac:dyDescent="0.3">
      <c r="A57" t="str">
        <f>General2023[[#This Row],[organisation_name]]</f>
        <v>Stukafest</v>
      </c>
      <c r="B57">
        <f>IF(General2023[[#This Row],[sector]]="", 0, 1)</f>
        <v>0</v>
      </c>
      <c r="C57" t="s">
        <v>17</v>
      </c>
      <c r="D57" t="str">
        <f>VLOOKUP(Tabel12[[#This Row],[Organisation]],General2021!B57:C195,2,FALSE)</f>
        <v>association</v>
      </c>
    </row>
    <row r="58" spans="1:4" x14ac:dyDescent="0.3">
      <c r="A58" t="str">
        <f>General2023[[#This Row],[organisation_name]]</f>
        <v>Abacus</v>
      </c>
      <c r="B58">
        <f>IF(General2023[[#This Row],[sector]]="", 0, 1)</f>
        <v>1</v>
      </c>
      <c r="C58" t="s">
        <v>132</v>
      </c>
      <c r="D58" t="str">
        <f>VLOOKUP(Tabel12[[#This Row],[Organisation]],General2021!B58:C196,2,FALSE)</f>
        <v>association</v>
      </c>
    </row>
    <row r="59" spans="1:4" x14ac:dyDescent="0.3">
      <c r="A59" t="str">
        <f>General2023[[#This Row],[organisation_name]]</f>
        <v>Alembic</v>
      </c>
      <c r="B59">
        <f>IF(General2023[[#This Row],[sector]]="", 0, 1)</f>
        <v>1</v>
      </c>
      <c r="C59" t="s">
        <v>132</v>
      </c>
      <c r="D59" t="str">
        <f>VLOOKUP(Tabel12[[#This Row],[Organisation]],General2021!B59:C197,2,FALSE)</f>
        <v>association</v>
      </c>
    </row>
    <row r="60" spans="1:4" x14ac:dyDescent="0.3">
      <c r="A60" t="str">
        <f>General2023[[#This Row],[organisation_name]]</f>
        <v>Arago</v>
      </c>
      <c r="B60">
        <f>IF(General2023[[#This Row],[sector]]="", 0, 1)</f>
        <v>1</v>
      </c>
      <c r="C60" t="s">
        <v>132</v>
      </c>
      <c r="D60" t="str">
        <f>VLOOKUP(Tabel12[[#This Row],[Organisation]],General2021!B60:C198,2,FALSE)</f>
        <v>association</v>
      </c>
    </row>
    <row r="61" spans="1:4" x14ac:dyDescent="0.3">
      <c r="A61" t="str">
        <f>General2023[[#This Row],[organisation_name]]</f>
        <v>Astatine</v>
      </c>
      <c r="B61">
        <f>IF(General2023[[#This Row],[sector]]="", 0, 1)</f>
        <v>1</v>
      </c>
      <c r="C61" t="s">
        <v>132</v>
      </c>
      <c r="D61" t="str">
        <f>VLOOKUP(Tabel12[[#This Row],[Organisation]],General2021!B61:C199,2,FALSE)</f>
        <v>association</v>
      </c>
    </row>
    <row r="62" spans="1:4" x14ac:dyDescent="0.3">
      <c r="A62" t="str">
        <f>General2023[[#This Row],[organisation_name]]</f>
        <v>Atlantis</v>
      </c>
      <c r="B62">
        <f>IF(General2023[[#This Row],[sector]]="", 0, 1)</f>
        <v>1</v>
      </c>
      <c r="C62" t="s">
        <v>132</v>
      </c>
      <c r="D62" t="str">
        <f>VLOOKUP(Tabel12[[#This Row],[Organisation]],General2021!B62:C200,2,FALSE)</f>
        <v>association</v>
      </c>
    </row>
    <row r="63" spans="1:4" x14ac:dyDescent="0.3">
      <c r="A63" t="str">
        <f>General2023[[#This Row],[organisation_name]]</f>
        <v>Communique</v>
      </c>
      <c r="B63">
        <f>IF(General2023[[#This Row],[sector]]="", 0, 1)</f>
        <v>1</v>
      </c>
      <c r="C63" t="s">
        <v>132</v>
      </c>
      <c r="D63" t="str">
        <f>VLOOKUP(Tabel12[[#This Row],[Organisation]],General2021!B63:C201,2,FALSE)</f>
        <v>association</v>
      </c>
    </row>
    <row r="64" spans="1:4" x14ac:dyDescent="0.3">
      <c r="A64" t="str">
        <f>General2023[[#This Row],[organisation_name]]</f>
        <v>ConcepT</v>
      </c>
      <c r="B64">
        <f>IF(General2023[[#This Row],[sector]]="", 0, 1)</f>
        <v>1</v>
      </c>
      <c r="C64" t="s">
        <v>132</v>
      </c>
      <c r="D64" t="str">
        <f>VLOOKUP(Tabel12[[#This Row],[Organisation]],General2021!B64:C202,2,FALSE)</f>
        <v>association</v>
      </c>
    </row>
    <row r="65" spans="1:4" x14ac:dyDescent="0.3">
      <c r="A65" t="str">
        <f>General2023[[#This Row],[organisation_name]]</f>
        <v>Daedalus</v>
      </c>
      <c r="B65">
        <f>IF(General2023[[#This Row],[sector]]="", 0, 1)</f>
        <v>1</v>
      </c>
      <c r="C65" t="s">
        <v>132</v>
      </c>
      <c r="D65" t="str">
        <f>VLOOKUP(Tabel12[[#This Row],[Organisation]],General2021!B65:C203,2,FALSE)</f>
        <v>association</v>
      </c>
    </row>
    <row r="66" spans="1:4" x14ac:dyDescent="0.3">
      <c r="A66" t="str">
        <f>General2023[[#This Row],[organisation_name]]</f>
        <v>Dimensie</v>
      </c>
      <c r="B66">
        <f>IF(General2023[[#This Row],[sector]]="", 0, 1)</f>
        <v>1</v>
      </c>
      <c r="C66" t="s">
        <v>132</v>
      </c>
      <c r="D66" t="str">
        <f>VLOOKUP(Tabel12[[#This Row],[Organisation]],General2021!B66:C204,2,FALSE)</f>
        <v>association</v>
      </c>
    </row>
    <row r="67" spans="1:4" x14ac:dyDescent="0.3">
      <c r="A67" t="str">
        <f>General2023[[#This Row],[organisation_name]]</f>
        <v>Ideefiks</v>
      </c>
      <c r="B67">
        <f>IF(General2023[[#This Row],[sector]]="", 0, 1)</f>
        <v>1</v>
      </c>
      <c r="C67" t="s">
        <v>132</v>
      </c>
      <c r="D67" t="str">
        <f>VLOOKUP(Tabel12[[#This Row],[Organisation]],General2021!B67:C205,2,FALSE)</f>
        <v>association</v>
      </c>
    </row>
    <row r="68" spans="1:4" x14ac:dyDescent="0.3">
      <c r="A68" t="str">
        <f>General2023[[#This Row],[organisation_name]]</f>
        <v>Inter-Actief</v>
      </c>
      <c r="B68">
        <f>IF(General2023[[#This Row],[sector]]="", 0, 1)</f>
        <v>1</v>
      </c>
      <c r="C68" t="s">
        <v>132</v>
      </c>
      <c r="D68" t="str">
        <f>VLOOKUP(Tabel12[[#This Row],[Organisation]],General2021!B68:C206,2,FALSE)</f>
        <v>association</v>
      </c>
    </row>
    <row r="69" spans="1:4" x14ac:dyDescent="0.3">
      <c r="A69" t="str">
        <f>General2023[[#This Row],[organisation_name]]</f>
        <v>Isaac Newton</v>
      </c>
      <c r="B69">
        <f>IF(General2023[[#This Row],[sector]]="", 0, 1)</f>
        <v>1</v>
      </c>
      <c r="C69" t="s">
        <v>132</v>
      </c>
      <c r="D69" t="str">
        <f>VLOOKUP(Tabel12[[#This Row],[Organisation]],General2021!B69:C207,2,FALSE)</f>
        <v>association</v>
      </c>
    </row>
    <row r="70" spans="1:4" x14ac:dyDescent="0.3">
      <c r="A70" t="str">
        <f>General2023[[#This Row],[organisation_name]]</f>
        <v>Komma</v>
      </c>
      <c r="B70">
        <f>IF(General2023[[#This Row],[sector]]="", 0, 1)</f>
        <v>1</v>
      </c>
      <c r="C70" t="s">
        <v>132</v>
      </c>
      <c r="D70" t="str">
        <f>VLOOKUP(Tabel12[[#This Row],[Organisation]],General2021!B70:C208,2,FALSE)</f>
        <v>association</v>
      </c>
    </row>
    <row r="71" spans="1:4" x14ac:dyDescent="0.3">
      <c r="A71" t="str">
        <f>General2023[[#This Row],[organisation_name]]</f>
        <v>Paradoks</v>
      </c>
      <c r="B71">
        <f>IF(General2023[[#This Row],[sector]]="", 0, 1)</f>
        <v>0</v>
      </c>
      <c r="C71" t="s">
        <v>132</v>
      </c>
      <c r="D71" t="str">
        <f>VLOOKUP(Tabel12[[#This Row],[Organisation]],General2021!B71:C209,2,FALSE)</f>
        <v>association</v>
      </c>
    </row>
    <row r="72" spans="1:4" x14ac:dyDescent="0.3">
      <c r="A72" t="str">
        <f>General2023[[#This Row],[organisation_name]]</f>
        <v>Proto</v>
      </c>
      <c r="B72">
        <f>IF(General2023[[#This Row],[sector]]="", 0, 1)</f>
        <v>1</v>
      </c>
      <c r="C72" t="s">
        <v>132</v>
      </c>
      <c r="D72" t="str">
        <f>VLOOKUP(Tabel12[[#This Row],[Organisation]],General2021!B72:C210,2,FALSE)</f>
        <v>association</v>
      </c>
    </row>
    <row r="73" spans="1:4" x14ac:dyDescent="0.3">
      <c r="A73" t="str">
        <f>General2023[[#This Row],[organisation_name]]</f>
        <v>Scintilla</v>
      </c>
      <c r="B73">
        <f>IF(General2023[[#This Row],[sector]]="", 0, 1)</f>
        <v>1</v>
      </c>
      <c r="C73" t="s">
        <v>132</v>
      </c>
      <c r="D73" t="str">
        <f>VLOOKUP(Tabel12[[#This Row],[Organisation]],General2021!B73:C211,2,FALSE)</f>
        <v>association</v>
      </c>
    </row>
    <row r="74" spans="1:4" x14ac:dyDescent="0.3">
      <c r="A74" t="str">
        <f>General2023[[#This Row],[organisation_name]]</f>
        <v>Sirius</v>
      </c>
      <c r="B74">
        <f>IF(General2023[[#This Row],[sector]]="", 0, 1)</f>
        <v>1</v>
      </c>
      <c r="C74" t="s">
        <v>132</v>
      </c>
      <c r="D74" t="str">
        <f>VLOOKUP(Tabel12[[#This Row],[Organisation]],General2021!B74:C212,2,FALSE)</f>
        <v>association</v>
      </c>
    </row>
    <row r="75" spans="1:4" x14ac:dyDescent="0.3">
      <c r="A75" t="str">
        <f>General2023[[#This Row],[organisation_name]]</f>
        <v>Stress</v>
      </c>
      <c r="B75">
        <f>IF(General2023[[#This Row],[sector]]="", 0, 1)</f>
        <v>1</v>
      </c>
      <c r="C75" t="s">
        <v>132</v>
      </c>
      <c r="D75" t="str">
        <f>VLOOKUP(Tabel12[[#This Row],[Organisation]],General2021!B75:C213,2,FALSE)</f>
        <v>association</v>
      </c>
    </row>
    <row r="76" spans="1:4" x14ac:dyDescent="0.3">
      <c r="A76" t="str">
        <f>General2023[[#This Row],[organisation_name]]</f>
        <v>SV Onwijs</v>
      </c>
      <c r="B76">
        <f>IF(General2023[[#This Row],[sector]]="", 0, 1)</f>
        <v>1</v>
      </c>
      <c r="C76" t="s">
        <v>132</v>
      </c>
      <c r="D76" t="str">
        <f>VLOOKUP(Tabel12[[#This Row],[Organisation]],General2021!B76:C214,2,FALSE)</f>
        <v>association</v>
      </c>
    </row>
    <row r="77" spans="1:4" x14ac:dyDescent="0.3">
      <c r="A77" t="str">
        <f>General2023[[#This Row],[organisation_name]]</f>
        <v>ITC-SAB</v>
      </c>
      <c r="B77">
        <f>IF(General2023[[#This Row],[sector]]="", 0, 1)</f>
        <v>0</v>
      </c>
      <c r="C77" t="s">
        <v>132</v>
      </c>
      <c r="D77" t="str">
        <f>VLOOKUP(Tabel12[[#This Row],[Organisation]],General2021!B77:C215,2,FALSE)</f>
        <v>association</v>
      </c>
    </row>
    <row r="78" spans="1:4" x14ac:dyDescent="0.3">
      <c r="A78" t="str">
        <f>General2023[[#This Row],[organisation_name]]</f>
        <v>Honoursvereniging Ockham</v>
      </c>
      <c r="B78">
        <f>IF(General2023[[#This Row],[sector]]="", 0, 1)</f>
        <v>1</v>
      </c>
      <c r="C78" t="s">
        <v>132</v>
      </c>
      <c r="D78" t="str">
        <f>VLOOKUP(Tabel12[[#This Row],[Organisation]],General2021!B78:C216,2,FALSE)</f>
        <v>association</v>
      </c>
    </row>
    <row r="79" spans="1:4" x14ac:dyDescent="0.3">
      <c r="A79" t="str">
        <f>General2023[[#This Row],[organisation_name]]</f>
        <v>AEGEE Enschede</v>
      </c>
      <c r="B79">
        <f>IF(General2023[[#This Row],[sector]]="", 0, 1)</f>
        <v>1</v>
      </c>
      <c r="C79" t="s">
        <v>175</v>
      </c>
      <c r="D79" t="str">
        <f>VLOOKUP(Tabel12[[#This Row],[Organisation]],General2021!B79:C217,2,FALSE)</f>
        <v>association</v>
      </c>
    </row>
    <row r="80" spans="1:4" x14ac:dyDescent="0.3">
      <c r="A80" t="str">
        <f>General2023[[#This Row],[organisation_name]]</f>
        <v>ASV Taste</v>
      </c>
      <c r="B80">
        <f>IF(General2023[[#This Row],[sector]]="", 0, 1)</f>
        <v>1</v>
      </c>
      <c r="C80" t="s">
        <v>175</v>
      </c>
      <c r="D80" t="str">
        <f>VLOOKUP(Tabel12[[#This Row],[Organisation]],General2021!B80:C218,2,FALSE)</f>
        <v>association</v>
      </c>
    </row>
    <row r="81" spans="1:4" x14ac:dyDescent="0.3">
      <c r="A81" t="str">
        <f>General2023[[#This Row],[organisation_name]]</f>
        <v>Audentis et Virtutis</v>
      </c>
      <c r="B81">
        <f>IF(General2023[[#This Row],[sector]]="", 0, 1)</f>
        <v>1</v>
      </c>
      <c r="C81" t="s">
        <v>175</v>
      </c>
      <c r="D81" t="str">
        <f>VLOOKUP(Tabel12[[#This Row],[Organisation]],General2021!B81:C219,2,FALSE)</f>
        <v>association</v>
      </c>
    </row>
    <row r="82" spans="1:4" x14ac:dyDescent="0.3">
      <c r="A82" t="str">
        <f>General2023[[#This Row],[organisation_name]]</f>
        <v>CSV Alpha</v>
      </c>
      <c r="B82">
        <f>IF(General2023[[#This Row],[sector]]="", 0, 1)</f>
        <v>1</v>
      </c>
      <c r="C82" t="s">
        <v>175</v>
      </c>
      <c r="D82" t="str">
        <f>VLOOKUP(Tabel12[[#This Row],[Organisation]],General2021!B82:C220,2,FALSE)</f>
        <v>association</v>
      </c>
    </row>
    <row r="83" spans="1:4" x14ac:dyDescent="0.3">
      <c r="A83" t="str">
        <f>General2023[[#This Row],[organisation_name]]</f>
        <v>Reformatorische Studenten Kring</v>
      </c>
      <c r="B83">
        <f>IF(General2023[[#This Row],[sector]]="", 0, 1)</f>
        <v>1</v>
      </c>
      <c r="C83" t="s">
        <v>175</v>
      </c>
      <c r="D83" t="str">
        <f>VLOOKUP(Tabel12[[#This Row],[Organisation]],General2021!B83:C221,2,FALSE)</f>
        <v>association</v>
      </c>
    </row>
    <row r="84" spans="1:4" x14ac:dyDescent="0.3">
      <c r="A84" t="str">
        <f>General2023[[#This Row],[organisation_name]]</f>
        <v>SV De Gevreesde Koe VB</v>
      </c>
      <c r="B84">
        <f>IF(General2023[[#This Row],[sector]]="", 0, 1)</f>
        <v>0</v>
      </c>
      <c r="C84" t="s">
        <v>175</v>
      </c>
      <c r="D84" t="str">
        <f>VLOOKUP(Tabel12[[#This Row],[Organisation]],General2021!B84:C222,2,FALSE)</f>
        <v>association</v>
      </c>
    </row>
    <row r="85" spans="1:4" x14ac:dyDescent="0.3">
      <c r="A85" t="str">
        <f>General2023[[#This Row],[organisation_name]]</f>
        <v>Navigators studentenvereniging Enschede</v>
      </c>
      <c r="B85">
        <f>IF(General2023[[#This Row],[sector]]="", 0, 1)</f>
        <v>1</v>
      </c>
      <c r="C85" t="s">
        <v>175</v>
      </c>
      <c r="D85" t="str">
        <f>VLOOKUP(Tabel12[[#This Row],[Organisation]],General2021!B85:C223,2,FALSE)</f>
        <v>association</v>
      </c>
    </row>
    <row r="86" spans="1:4" x14ac:dyDescent="0.3">
      <c r="A86" t="str">
        <f>General2023[[#This Row],[organisation_name]]</f>
        <v>Jongeren - en Studentenvereniging Exaltio</v>
      </c>
      <c r="B86">
        <f>IF(General2023[[#This Row],[sector]]="", 0, 1)</f>
        <v>1</v>
      </c>
      <c r="C86" t="s">
        <v>175</v>
      </c>
      <c r="D86" t="str">
        <f>VLOOKUP(Tabel12[[#This Row],[Organisation]],General2021!B86:C224,2,FALSE)</f>
        <v>association</v>
      </c>
    </row>
    <row r="87" spans="1:4" x14ac:dyDescent="0.3">
      <c r="A87" t="str">
        <f>General2023[[#This Row],[organisation_name]]</f>
        <v>ISA AT UT</v>
      </c>
      <c r="B87">
        <f>IF(General2023[[#This Row],[sector]]="", 0, 1)</f>
        <v>0</v>
      </c>
      <c r="C87" t="s">
        <v>199</v>
      </c>
      <c r="D87" t="str">
        <f>VLOOKUP(Tabel12[[#This Row],[Organisation]],General2021!B87:C225,2,FALSE)</f>
        <v>association</v>
      </c>
    </row>
    <row r="88" spans="1:4" x14ac:dyDescent="0.3">
      <c r="A88" t="str">
        <f>General2023[[#This Row],[organisation_name]]</f>
        <v>Student Union</v>
      </c>
      <c r="B88">
        <f>IF(General2023[[#This Row],[sector]]="", 0, 1)</f>
        <v>1</v>
      </c>
      <c r="C88" t="s">
        <v>194</v>
      </c>
      <c r="D88" t="str">
        <f>VLOOKUP(Tabel12[[#This Row],[Organisation]],General2021!B88:C226,2,FALSE)</f>
        <v>foundation</v>
      </c>
    </row>
    <row r="89" spans="1:4" x14ac:dyDescent="0.3">
      <c r="A89" t="str">
        <f>General2023[[#This Row],[organisation_name]]</f>
        <v>LA Voz</v>
      </c>
      <c r="B89">
        <f>IF(General2023[[#This Row],[sector]]="", 0, 1)</f>
        <v>1</v>
      </c>
      <c r="C89" t="s">
        <v>1119</v>
      </c>
      <c r="D89" t="str">
        <f>VLOOKUP(Tabel12[[#This Row],[Organisation]],General2021!B89:C227,2,FALSE)</f>
        <v>association</v>
      </c>
    </row>
    <row r="90" spans="1:4" x14ac:dyDescent="0.3">
      <c r="A90" t="str">
        <f>General2023[[#This Row],[organisation_name]]</f>
        <v>ESN Twente</v>
      </c>
      <c r="B90">
        <f>IF(General2023[[#This Row],[sector]]="", 0, 1)</f>
        <v>1</v>
      </c>
      <c r="C90" t="s">
        <v>199</v>
      </c>
      <c r="D90" t="str">
        <f>VLOOKUP(Tabel12[[#This Row],[Organisation]],General2021!B90:C228,2,FALSE)</f>
        <v>foundation</v>
      </c>
    </row>
    <row r="91" spans="1:4" x14ac:dyDescent="0.3">
      <c r="A91" t="str">
        <f>General2023[[#This Row],[organisation_name]]</f>
        <v>ICF-E</v>
      </c>
      <c r="B91">
        <f>IF(General2023[[#This Row],[sector]]="", 0, 1)</f>
        <v>1</v>
      </c>
      <c r="C91" t="s">
        <v>199</v>
      </c>
      <c r="D91" t="str">
        <f>VLOOKUP(Tabel12[[#This Row],[Organisation]],General2021!B91:C229,2,FALSE)</f>
        <v>foundation</v>
      </c>
    </row>
    <row r="92" spans="1:4" x14ac:dyDescent="0.3">
      <c r="A92" t="str">
        <f>General2023[[#This Row],[organisation_name]]</f>
        <v>PSA</v>
      </c>
      <c r="B92">
        <f>IF(General2023[[#This Row],[sector]]="", 0, 1)</f>
        <v>0</v>
      </c>
      <c r="C92" t="s">
        <v>1119</v>
      </c>
      <c r="D92" t="str">
        <f>VLOOKUP(Tabel12[[#This Row],[Organisation]],General2021!B92:C230,2,FALSE)</f>
        <v>association</v>
      </c>
    </row>
    <row r="93" spans="1:4" x14ac:dyDescent="0.3">
      <c r="A93" t="str">
        <f>General2023[[#This Row],[organisation_name]]</f>
        <v>SUUT</v>
      </c>
      <c r="B93">
        <f>IF(General2023[[#This Row],[sector]]="", 0, 1)</f>
        <v>1</v>
      </c>
      <c r="C93" t="s">
        <v>1119</v>
      </c>
      <c r="D93" t="str">
        <f>VLOOKUP(Tabel12[[#This Row],[Organisation]],General2021!B93:C231,2,FALSE)</f>
        <v>association</v>
      </c>
    </row>
    <row r="94" spans="1:4" x14ac:dyDescent="0.3">
      <c r="A94" t="str">
        <f>General2023[[#This Row],[organisation_name]]</f>
        <v>RSA</v>
      </c>
      <c r="B94">
        <f>IF(General2023[[#This Row],[sector]]="", 0, 1)</f>
        <v>0</v>
      </c>
      <c r="C94" t="s">
        <v>1119</v>
      </c>
      <c r="D94" t="str">
        <f>VLOOKUP(Tabel12[[#This Row],[Organisation]],General2021!B94:C232,2,FALSE)</f>
        <v>association</v>
      </c>
    </row>
    <row r="95" spans="1:4" x14ac:dyDescent="0.3">
      <c r="A95" t="str">
        <f>General2023[[#This Row],[organisation_name]]</f>
        <v>UT Muslims</v>
      </c>
      <c r="B95">
        <f>IF(General2023[[#This Row],[sector]]="", 0, 1)</f>
        <v>1</v>
      </c>
      <c r="C95" t="s">
        <v>199</v>
      </c>
      <c r="D95" t="str">
        <f>VLOOKUP(Tabel12[[#This Row],[Organisation]],General2021!B95:C233,2,FALSE)</f>
        <v>association</v>
      </c>
    </row>
    <row r="96" spans="1:4" x14ac:dyDescent="0.3">
      <c r="A96" t="str">
        <f>General2023[[#This Row],[organisation_name]]</f>
        <v>SUT</v>
      </c>
      <c r="B96">
        <f>IF(General2023[[#This Row],[sector]]="", 0, 1)</f>
        <v>1</v>
      </c>
      <c r="C96" t="s">
        <v>20</v>
      </c>
      <c r="D96" t="str">
        <f>VLOOKUP(Tabel12[[#This Row],[Organisation]],General2021!B96:C234,2,FALSE)</f>
        <v>foundation</v>
      </c>
    </row>
    <row r="97" spans="1:4" x14ac:dyDescent="0.3">
      <c r="A97" t="str">
        <f>General2023[[#This Row],[organisation_name]]</f>
        <v>Cultuurkoepel Apollo</v>
      </c>
      <c r="B97">
        <f>IF(General2023[[#This Row],[sector]]="", 0, 1)</f>
        <v>1</v>
      </c>
      <c r="C97" t="s">
        <v>17</v>
      </c>
      <c r="D97" t="str">
        <f>VLOOKUP(Tabel12[[#This Row],[Organisation]],General2021!B97:C235,2,FALSE)</f>
        <v>foundation</v>
      </c>
    </row>
    <row r="98" spans="1:4" x14ac:dyDescent="0.3">
      <c r="A98" t="str">
        <f>General2023[[#This Row],[organisation_name]]</f>
        <v>PKVV Fact</v>
      </c>
      <c r="B98">
        <f>IF(General2023[[#This Row],[sector]]="", 0, 1)</f>
        <v>1</v>
      </c>
      <c r="C98" t="s">
        <v>175</v>
      </c>
      <c r="D98" t="str">
        <f>VLOOKUP(Tabel12[[#This Row],[Organisation]],General2021!B98:C236,2,FALSE)</f>
        <v>foundation</v>
      </c>
    </row>
    <row r="99" spans="1:4" x14ac:dyDescent="0.3">
      <c r="A99" t="str">
        <f>General2023[[#This Row],[organisation_name]]</f>
        <v>UniTe</v>
      </c>
      <c r="B99">
        <f>IF(General2023[[#This Row],[sector]]="", 0, 1)</f>
        <v>1</v>
      </c>
      <c r="C99" t="s">
        <v>199</v>
      </c>
      <c r="D99" t="str">
        <f>VLOOKUP(Tabel12[[#This Row],[Organisation]],General2021!B99:C237,2,FALSE)</f>
        <v>foundation</v>
      </c>
    </row>
    <row r="100" spans="1:4" x14ac:dyDescent="0.3">
      <c r="A100" t="str">
        <f>General2023[[#This Row],[organisation_name]]</f>
        <v>Bedrijvendagen</v>
      </c>
      <c r="B100">
        <f>IF(General2023[[#This Row],[sector]]="", 0, 1)</f>
        <v>1</v>
      </c>
      <c r="C100" t="s">
        <v>194</v>
      </c>
      <c r="D100" t="str">
        <f>VLOOKUP(Tabel12[[#This Row],[Organisation]],General2021!B100:C238,2,FALSE)</f>
        <v>foundation</v>
      </c>
    </row>
    <row r="101" spans="1:4" x14ac:dyDescent="0.3">
      <c r="A101" t="str">
        <f>General2023[[#This Row],[organisation_name]]</f>
        <v>Duitenberg</v>
      </c>
      <c r="B101">
        <f>IF(General2023[[#This Row],[sector]]="", 0, 1)</f>
        <v>1</v>
      </c>
      <c r="C101" t="s">
        <v>194</v>
      </c>
      <c r="D101" t="str">
        <f>VLOOKUP(Tabel12[[#This Row],[Organisation]],General2021!B101:C239,2,FALSE)</f>
        <v>association</v>
      </c>
    </row>
    <row r="102" spans="1:4" x14ac:dyDescent="0.3">
      <c r="A102" t="str">
        <f>General2023[[#This Row],[organisation_name]]</f>
        <v>Integrand Twente</v>
      </c>
      <c r="B102">
        <f>IF(General2023[[#This Row],[sector]]="", 0, 1)</f>
        <v>1</v>
      </c>
      <c r="C102" t="s">
        <v>194</v>
      </c>
      <c r="D102" t="str">
        <f>VLOOKUP(Tabel12[[#This Row],[Organisation]],General2021!B102:C240,2,FALSE)</f>
        <v>foundation</v>
      </c>
    </row>
    <row r="103" spans="1:4" x14ac:dyDescent="0.3">
      <c r="A103" t="str">
        <f>General2023[[#This Row],[organisation_name]]</f>
        <v>KIVI Students Twente</v>
      </c>
      <c r="B103">
        <f>IF(General2023[[#This Row],[sector]]="", 0, 1)</f>
        <v>1</v>
      </c>
      <c r="C103" t="s">
        <v>194</v>
      </c>
      <c r="D103" t="str">
        <f>VLOOKUP(Tabel12[[#This Row],[Organisation]],General2021!B103:C241,2,FALSE)</f>
        <v>foundation</v>
      </c>
    </row>
    <row r="104" spans="1:4" x14ac:dyDescent="0.3">
      <c r="A104" t="str">
        <f>General2023[[#This Row],[organisation_name]]</f>
        <v>Unipartners</v>
      </c>
      <c r="B104">
        <f>IF(General2023[[#This Row],[sector]]="", 0, 1)</f>
        <v>0</v>
      </c>
      <c r="C104" t="s">
        <v>194</v>
      </c>
      <c r="D104" t="str">
        <f>VLOOKUP(Tabel12[[#This Row],[Organisation]],General2021!B104:C242,2,FALSE)</f>
        <v>foundation</v>
      </c>
    </row>
    <row r="105" spans="1:4" x14ac:dyDescent="0.3">
      <c r="A105" t="str">
        <f>General2023[[#This Row],[organisation_name]]</f>
        <v>DSIF</v>
      </c>
      <c r="B105">
        <f>IF(General2023[[#This Row],[sector]]="", 0, 1)</f>
        <v>1</v>
      </c>
      <c r="C105" t="s">
        <v>194</v>
      </c>
      <c r="D105" t="str">
        <f>VLOOKUP(Tabel12[[#This Row],[Organisation]],General2021!B105:C243,2,FALSE)</f>
        <v>foundation</v>
      </c>
    </row>
    <row r="106" spans="1:4" x14ac:dyDescent="0.3">
      <c r="A106" t="str">
        <f>General2023[[#This Row],[organisation_name]]</f>
        <v>Hive01</v>
      </c>
      <c r="B106">
        <f>IF(General2023[[#This Row],[sector]]="", 0, 1)</f>
        <v>1</v>
      </c>
      <c r="C106" t="s">
        <v>194</v>
      </c>
      <c r="D106" t="str">
        <f>VLOOKUP(Tabel12[[#This Row],[Organisation]],General2021!B106:C244,2,FALSE)</f>
        <v>foundation</v>
      </c>
    </row>
    <row r="107" spans="1:4" x14ac:dyDescent="0.3">
      <c r="A107" t="str">
        <f>General2023[[#This Row],[organisation_name]]</f>
        <v>Green Team Twente</v>
      </c>
      <c r="B107">
        <f>IF(General2023[[#This Row],[sector]]="", 0, 1)</f>
        <v>1</v>
      </c>
      <c r="C107" t="s">
        <v>194</v>
      </c>
      <c r="D107" t="str">
        <f>VLOOKUP(Tabel12[[#This Row],[Organisation]],General2021!B107:C245,2,FALSE)</f>
        <v>foundation</v>
      </c>
    </row>
    <row r="108" spans="1:4" x14ac:dyDescent="0.3">
      <c r="A108" t="str">
        <f>General2023[[#This Row],[organisation_name]]</f>
        <v>IAPC</v>
      </c>
      <c r="B108">
        <f>IF(General2023[[#This Row],[sector]]="", 0, 1)</f>
        <v>1</v>
      </c>
      <c r="C108" t="s">
        <v>194</v>
      </c>
      <c r="D108" t="str">
        <f>VLOOKUP(Tabel12[[#This Row],[Organisation]],General2021!B108:C246,2,FALSE)</f>
        <v>foundation</v>
      </c>
    </row>
    <row r="109" spans="1:4" x14ac:dyDescent="0.3">
      <c r="A109" t="str">
        <f>General2023[[#This Row],[organisation_name]]</f>
        <v>Stichting Borrelbeheer Zilvering</v>
      </c>
      <c r="B109">
        <f>IF(General2023[[#This Row],[sector]]="", 0, 1)</f>
        <v>1</v>
      </c>
      <c r="C109" t="s">
        <v>194</v>
      </c>
      <c r="D109" t="str">
        <f>VLOOKUP(Tabel12[[#This Row],[Organisation]],General2021!B109:C247,2,FALSE)</f>
        <v>foundation</v>
      </c>
    </row>
    <row r="110" spans="1:4" x14ac:dyDescent="0.3">
      <c r="A110" t="str">
        <f>General2023[[#This Row],[organisation_name]]</f>
        <v>Stichting Batavierenrace</v>
      </c>
      <c r="B110">
        <f>IF(General2023[[#This Row],[sector]]="", 0, 1)</f>
        <v>1</v>
      </c>
      <c r="C110" t="s">
        <v>194</v>
      </c>
      <c r="D110" t="str">
        <f>VLOOKUP(Tabel12[[#This Row],[Organisation]],General2021!B110:C248,2,FALSE)</f>
        <v>foundation</v>
      </c>
    </row>
    <row r="111" spans="1:4" x14ac:dyDescent="0.3">
      <c r="A111" t="str">
        <f>General2023[[#This Row],[organisation_name]]</f>
        <v>Stichting Solar Team Twente</v>
      </c>
      <c r="B111">
        <f>IF(General2023[[#This Row],[sector]]="", 0, 1)</f>
        <v>1</v>
      </c>
      <c r="C111" t="s">
        <v>175</v>
      </c>
      <c r="D111" t="str">
        <f>VLOOKUP(Tabel12[[#This Row],[Organisation]],General2021!B111:C249,2,FALSE)</f>
        <v>foundation</v>
      </c>
    </row>
    <row r="112" spans="1:4" x14ac:dyDescent="0.3">
      <c r="A112" t="str">
        <f>General2023[[#This Row],[organisation_name]]</f>
        <v>Studenten Net Twente</v>
      </c>
      <c r="B112">
        <f>IF(General2023[[#This Row],[sector]]="", 0, 1)</f>
        <v>1</v>
      </c>
      <c r="C112" t="s">
        <v>194</v>
      </c>
      <c r="D112" t="str">
        <f>VLOOKUP(Tabel12[[#This Row],[Organisation]],General2021!B112:C250,2,FALSE)</f>
        <v>association</v>
      </c>
    </row>
    <row r="113" spans="1:4" x14ac:dyDescent="0.3">
      <c r="A113" t="str">
        <f>General2023[[#This Row],[organisation_name]]</f>
        <v>Vereniging Campus kabel</v>
      </c>
      <c r="B113">
        <f>IF(General2023[[#This Row],[sector]]="", 0, 1)</f>
        <v>0</v>
      </c>
      <c r="C113" t="s">
        <v>194</v>
      </c>
      <c r="D113" t="str">
        <f>VLOOKUP(Tabel12[[#This Row],[Organisation]],General2021!B113:C251,2,FALSE)</f>
        <v>association</v>
      </c>
    </row>
    <row r="114" spans="1:4" x14ac:dyDescent="0.3">
      <c r="A114" t="str">
        <f>General2023[[#This Row],[organisation_name]]</f>
        <v>Werkgroep OntwikkelingsTechnieken</v>
      </c>
      <c r="B114">
        <f>IF(General2023[[#This Row],[sector]]="", 0, 1)</f>
        <v>1</v>
      </c>
      <c r="C114" t="s">
        <v>194</v>
      </c>
      <c r="D114" t="str">
        <f>VLOOKUP(Tabel12[[#This Row],[Organisation]],General2021!B114:C252,2,FALSE)</f>
        <v>association</v>
      </c>
    </row>
    <row r="115" spans="1:4" x14ac:dyDescent="0.3">
      <c r="A115" t="str">
        <f>General2023[[#This Row],[organisation_name]]</f>
        <v>Borrelbeheer TAP</v>
      </c>
      <c r="B115">
        <f>IF(General2023[[#This Row],[sector]]="", 0, 1)</f>
        <v>1</v>
      </c>
      <c r="C115" t="s">
        <v>1118</v>
      </c>
      <c r="D115" t="str">
        <f>VLOOKUP(Tabel12[[#This Row],[Organisation]],General2021!B115:C253,2,FALSE)</f>
        <v>foundation</v>
      </c>
    </row>
    <row r="116" spans="1:4" x14ac:dyDescent="0.3">
      <c r="A116" t="str">
        <f>General2023[[#This Row],[organisation_name]]</f>
        <v>Studentenstam Radix</v>
      </c>
      <c r="B116">
        <f>IF(General2023[[#This Row],[sector]]="", 0, 1)</f>
        <v>1</v>
      </c>
      <c r="C116" t="s">
        <v>1118</v>
      </c>
      <c r="D116" t="str">
        <f>VLOOKUP(Tabel12[[#This Row],[Organisation]],General2021!B116:C254,2,FALSE)</f>
        <v>association</v>
      </c>
    </row>
    <row r="117" spans="1:4" x14ac:dyDescent="0.3">
      <c r="A117" t="str">
        <f>General2023[[#This Row],[organisation_name]]</f>
        <v>IEEE Student Branch</v>
      </c>
      <c r="B117">
        <f>IF(General2023[[#This Row],[sector]]="", 0, 1)</f>
        <v>0</v>
      </c>
      <c r="C117" t="s">
        <v>1118</v>
      </c>
      <c r="D117" t="str">
        <f>VLOOKUP(Tabel12[[#This Row],[Organisation]],General2021!B117:C255,2,FALSE)</f>
        <v>foundation</v>
      </c>
    </row>
    <row r="118" spans="1:4" x14ac:dyDescent="0.3">
      <c r="A118" t="str">
        <f>General2023[[#This Row],[organisation_name]]</f>
        <v>Stichting Solar Boat Twente</v>
      </c>
      <c r="B118">
        <f>IF(General2023[[#This Row],[sector]]="", 0, 1)</f>
        <v>1</v>
      </c>
      <c r="C118" t="s">
        <v>20</v>
      </c>
      <c r="D118" t="str">
        <f>VLOOKUP(Tabel12[[#This Row],[Organisation]],General2021!B118:C256,2,FALSE)</f>
        <v>foundation</v>
      </c>
    </row>
    <row r="119" spans="1:4" x14ac:dyDescent="0.3">
      <c r="A119" t="str">
        <f>General2023[[#This Row],[organisation_name]]</f>
        <v>Stichting Robo Team Twente</v>
      </c>
      <c r="B119">
        <f>IF(General2023[[#This Row],[sector]]="", 0, 1)</f>
        <v>1</v>
      </c>
      <c r="C119" t="s">
        <v>1118</v>
      </c>
      <c r="D119" t="str">
        <f>VLOOKUP(Tabel12[[#This Row],[Organisation]],General2021!B119:C257,2,FALSE)</f>
        <v>foundation</v>
      </c>
    </row>
    <row r="120" spans="1:4" x14ac:dyDescent="0.3">
      <c r="A120" t="str">
        <f>General2023[[#This Row],[organisation_name]]</f>
        <v>Stichting Electric Superbike Twente</v>
      </c>
      <c r="B120">
        <f>IF(General2023[[#This Row],[sector]]="", 0, 1)</f>
        <v>1</v>
      </c>
      <c r="C120" t="s">
        <v>1118</v>
      </c>
      <c r="D120" t="str">
        <f>VLOOKUP(Tabel12[[#This Row],[Organisation]],General2021!B120:C258,2,FALSE)</f>
        <v>foundation</v>
      </c>
    </row>
    <row r="121" spans="1:4" x14ac:dyDescent="0.3">
      <c r="A121" t="str">
        <f>General2023[[#This Row],[organisation_name]]</f>
        <v>De sevende camer</v>
      </c>
      <c r="B121">
        <f>IF(General2023[[#This Row],[sector]]="", 0, 1)</f>
        <v>1</v>
      </c>
      <c r="C121" t="s">
        <v>194</v>
      </c>
      <c r="D121" t="str">
        <f>VLOOKUP(Tabel12[[#This Row],[Organisation]],General2021!B121:C259,2,FALSE)</f>
        <v>foundation</v>
      </c>
    </row>
    <row r="122" spans="1:4" x14ac:dyDescent="0.3">
      <c r="A122" t="str">
        <f>General2023[[#This Row],[organisation_name]]</f>
        <v>The negotiation project</v>
      </c>
      <c r="B122">
        <f>IF(General2023[[#This Row],[sector]]="", 0, 1)</f>
        <v>1</v>
      </c>
      <c r="C122" t="s">
        <v>1118</v>
      </c>
      <c r="D122" t="str">
        <f>VLOOKUP(Tabel12[[#This Row],[Organisation]],General2021!B122:C260,2,FALSE)</f>
        <v>foundation</v>
      </c>
    </row>
    <row r="123" spans="1:4" x14ac:dyDescent="0.3">
      <c r="A123" t="str">
        <f>General2023[[#This Row],[organisation_name]]</f>
        <v>Drone Team Twente</v>
      </c>
      <c r="B123">
        <f>IF(General2023[[#This Row],[sector]]="", 0, 1)</f>
        <v>1</v>
      </c>
      <c r="C123" t="s">
        <v>1118</v>
      </c>
      <c r="D123" t="str">
        <f>VLOOKUP(Tabel12[[#This Row],[Organisation]],General2021!B123:C261,2,FALSE)</f>
        <v>foundation</v>
      </c>
    </row>
    <row r="124" spans="1:4" x14ac:dyDescent="0.3">
      <c r="A124" t="str">
        <f>General2023[[#This Row],[organisation_name]]</f>
        <v>Sustain</v>
      </c>
      <c r="B124">
        <f>IF(General2023[[#This Row],[sector]]="", 0, 1)</f>
        <v>0</v>
      </c>
      <c r="C124" t="s">
        <v>194</v>
      </c>
      <c r="D124" t="str">
        <f>VLOOKUP(Tabel12[[#This Row],[Organisation]],General2021!B124:C262,2,FALSE)</f>
        <v>association</v>
      </c>
    </row>
    <row r="125" spans="1:4" x14ac:dyDescent="0.3">
      <c r="A125" t="str">
        <f>General2023[[#This Row],[organisation_name]]</f>
        <v>Space Society</v>
      </c>
      <c r="B125">
        <f>IF(General2023[[#This Row],[sector]]="", 0, 1)</f>
        <v>1</v>
      </c>
      <c r="C125" t="s">
        <v>194</v>
      </c>
      <c r="D125" t="str">
        <f>VLOOKUP(Tabel12[[#This Row],[Organisation]],General2021!B125:C263,2,FALSE)</f>
        <v>association</v>
      </c>
    </row>
    <row r="126" spans="1:4" x14ac:dyDescent="0.3">
      <c r="A126" t="str">
        <f>General2023[[#This Row],[organisation_name]]</f>
        <v>Drienerlose Stichting Torenhoog</v>
      </c>
      <c r="B126">
        <f>IF(General2023[[#This Row],[sector]]="", 0, 1)</f>
        <v>0</v>
      </c>
      <c r="C126" t="s">
        <v>1118</v>
      </c>
      <c r="D126" t="str">
        <f>VLOOKUP(Tabel12[[#This Row],[Organisation]],General2021!B126:C264,2,FALSE)</f>
        <v>foundation</v>
      </c>
    </row>
    <row r="127" spans="1:4" x14ac:dyDescent="0.3">
      <c r="A127" t="str">
        <f>General2023[[#This Row],[organisation_name]]</f>
        <v>Vereniging Overleg Studieverenigingen</v>
      </c>
      <c r="B127">
        <f>IF(General2023[[#This Row],[sector]]="", 0, 1)</f>
        <v>1</v>
      </c>
      <c r="C127" t="s">
        <v>1118</v>
      </c>
      <c r="D127" t="str">
        <f>VLOOKUP(Tabel12[[#This Row],[Organisation]],General2021!B127:C265,2,FALSE)</f>
        <v>association</v>
      </c>
    </row>
    <row r="128" spans="1:4" x14ac:dyDescent="0.3">
      <c r="A128" t="str">
        <f>General2023[[#This Row],[organisation_name]]</f>
        <v>IrNUT</v>
      </c>
      <c r="B128">
        <f>IF(General2023[[#This Row],[sector]]="", 0, 1)</f>
        <v>0</v>
      </c>
      <c r="C128" t="s">
        <v>1118</v>
      </c>
      <c r="D128" t="str">
        <f>VLOOKUP(Tabel12[[#This Row],[Organisation]],General2021!B128:C266,2,FALSE)</f>
        <v>association</v>
      </c>
    </row>
    <row r="129" spans="1:4" x14ac:dyDescent="0.3">
      <c r="A129" t="str">
        <f>General2023[[#This Row],[organisation_name]]</f>
        <v>Stichting Societeit Antigoon</v>
      </c>
      <c r="B129">
        <f>IF(General2023[[#This Row],[sector]]="", 0, 1)</f>
        <v>1</v>
      </c>
      <c r="C129" t="s">
        <v>132</v>
      </c>
      <c r="D129" t="str">
        <f>VLOOKUP(Tabel12[[#This Row],[Organisation]],General2021!B129:C267,2,FALSE)</f>
        <v>foundation</v>
      </c>
    </row>
    <row r="130" spans="1:4" x14ac:dyDescent="0.3">
      <c r="A130" t="str">
        <f>General2023[[#This Row],[organisation_name]]</f>
        <v>Stichting Societeit TRAM</v>
      </c>
      <c r="B130">
        <f>IF(General2023[[#This Row],[sector]]="", 0, 1)</f>
        <v>1</v>
      </c>
      <c r="C130" t="s">
        <v>1119</v>
      </c>
      <c r="D130" t="str">
        <f>VLOOKUP(Tabel12[[#This Row],[Organisation]],General2021!B130:C268,2,FALSE)</f>
        <v>foundation</v>
      </c>
    </row>
    <row r="131" spans="1:4" x14ac:dyDescent="0.3">
      <c r="A131" t="str">
        <f>General2023[[#This Row],[organisation_name]]</f>
        <v>Stichting Societeit Flux</v>
      </c>
      <c r="B131">
        <f>IF(General2023[[#This Row],[sector]]="", 0, 1)</f>
        <v>1</v>
      </c>
      <c r="C131" t="s">
        <v>1118</v>
      </c>
      <c r="D131" t="str">
        <f>VLOOKUP(Tabel12[[#This Row],[Organisation]],General2021!B131:C269,2,FALSE)</f>
        <v>foundation</v>
      </c>
    </row>
    <row r="132" spans="1:4" x14ac:dyDescent="0.3">
      <c r="A132" t="str">
        <f>General2023[[#This Row],[organisation_name]]</f>
        <v>Stichting Societeit Asterion</v>
      </c>
      <c r="B132">
        <f>IF(General2023[[#This Row],[sector]]="", 0, 1)</f>
        <v>1</v>
      </c>
      <c r="C132" t="s">
        <v>1118</v>
      </c>
      <c r="D132" t="str">
        <f>VLOOKUP(Tabel12[[#This Row],[Organisation]],General2021!B132:C270,2,FALSE)</f>
        <v>foundation</v>
      </c>
    </row>
    <row r="133" spans="1:4" x14ac:dyDescent="0.3">
      <c r="A133" t="str">
        <f>General2023[[#This Row],[organisation_name]]</f>
        <v>Stichting Kantine Sportcentrum</v>
      </c>
      <c r="B133">
        <f>IF(General2023[[#This Row],[sector]]="", 0, 1)</f>
        <v>0</v>
      </c>
      <c r="C133" t="s">
        <v>1118</v>
      </c>
      <c r="D133" t="str">
        <f>VLOOKUP(Tabel12[[#This Row],[Organisation]],General2021!B133:C271,2,FALSE)</f>
        <v>foundation</v>
      </c>
    </row>
    <row r="134" spans="1:4" x14ac:dyDescent="0.3">
      <c r="A134" t="str">
        <f>General2023[[#This Row],[organisation_name]]</f>
        <v>VGST</v>
      </c>
      <c r="B134">
        <f>IF(General2023[[#This Row],[sector]]="", 0, 1)</f>
        <v>1</v>
      </c>
      <c r="C134" t="s">
        <v>1118</v>
      </c>
      <c r="D134" t="str">
        <f>VLOOKUP(Tabel12[[#This Row],[Organisation]],General2021!B134:C272,2,FALSE)</f>
        <v>association</v>
      </c>
    </row>
    <row r="135" spans="1:4" x14ac:dyDescent="0.3">
      <c r="A135" t="str">
        <f>General2023[[#This Row],[organisation_name]]</f>
        <v>Stichting t Fluitje</v>
      </c>
      <c r="B135">
        <f>IF(General2023[[#This Row],[sector]]="", 0, 1)</f>
        <v>1</v>
      </c>
      <c r="C135" t="s">
        <v>1118</v>
      </c>
      <c r="D135" t="str">
        <f>VLOOKUP(Tabel12[[#This Row],[Organisation]],General2021!B135:C273,2,FALSE)</f>
        <v>foundation</v>
      </c>
    </row>
    <row r="136" spans="1:4" x14ac:dyDescent="0.3">
      <c r="A136" t="str">
        <f>General2023[[#This Row],[organisation_name]]</f>
        <v>Enactus Twente</v>
      </c>
      <c r="B136">
        <f>IF(General2023[[#This Row],[sector]]="", 0, 1)</f>
        <v>0</v>
      </c>
      <c r="C136" t="s">
        <v>175</v>
      </c>
      <c r="D136" t="str">
        <f>VLOOKUP(Tabel12[[#This Row],[Organisation]],General2021!B136:C274,2,FALSE)</f>
        <v>foundation</v>
      </c>
    </row>
    <row r="137" spans="1:4" x14ac:dyDescent="0.3">
      <c r="A137" t="str">
        <f>General2023[[#This Row],[organisation_name]]</f>
        <v>Eurasian Student Organisation</v>
      </c>
      <c r="B137">
        <f>IF(General2023[[#This Row],[sector]]="", 0, 1)</f>
        <v>1</v>
      </c>
      <c r="C137" t="s">
        <v>194</v>
      </c>
      <c r="D137" t="str">
        <f>VLOOKUP(Tabel12[[#This Row],[Organisation]],General2021!B137:C275,2,FALSE)</f>
        <v>association</v>
      </c>
    </row>
    <row r="138" spans="1:4" x14ac:dyDescent="0.3">
      <c r="A138" t="str">
        <f>General2023[[#This Row],[organisation_name]]</f>
        <v>Ultimate Frisbee Twente</v>
      </c>
      <c r="B138">
        <f>IF(General2023[[#This Row],[sector]]="", 0, 1)</f>
        <v>0</v>
      </c>
      <c r="C138" t="s">
        <v>20</v>
      </c>
      <c r="D138" t="str">
        <f>VLOOKUP(Tabel12[[#This Row],[Organisation]],General2021!B138:C276,2,FALSE)</f>
        <v>association</v>
      </c>
    </row>
    <row r="139" spans="1:4" x14ac:dyDescent="0.3">
      <c r="A139" t="str">
        <f>General2023[[#This Row],[organisation_name]]</f>
        <v>Ambitious Women UT</v>
      </c>
      <c r="B139">
        <f>IF(General2023[[#This Row],[sector]]="", 0, 1)</f>
        <v>1</v>
      </c>
      <c r="C139" t="s">
        <v>199</v>
      </c>
      <c r="D139" t="e">
        <f>VLOOKUP(Tabel12[[#This Row],[Organisation]],General2021!B139:C277,2,FALSE)</f>
        <v>#N/A</v>
      </c>
    </row>
    <row r="140" spans="1:4" x14ac:dyDescent="0.3">
      <c r="A140" t="str">
        <f>General2023[[#This Row],[organisation_name]]</f>
        <v>IAESTE Twente</v>
      </c>
      <c r="B140">
        <f>IF(General2023[[#This Row],[sector]]="", 0, 1)</f>
        <v>0</v>
      </c>
      <c r="C140" t="s">
        <v>20</v>
      </c>
      <c r="D140" t="e">
        <f>VLOOKUP(Tabel12[[#This Row],[Organisation]],General2021!B140:C278,2,FALSE)</f>
        <v>#N/A</v>
      </c>
    </row>
    <row r="143" spans="1:4" x14ac:dyDescent="0.3">
      <c r="B143">
        <f>SUM(B2:B140)</f>
        <v>113</v>
      </c>
    </row>
    <row r="144" spans="1:4" x14ac:dyDescent="0.3">
      <c r="B144">
        <f>103/139</f>
        <v>0.74100719424460426</v>
      </c>
    </row>
  </sheetData>
  <sheetProtection selectLockedCells="1" autoFilter="0" pivotTables="0" selectUnlockedCells="1"/>
  <pageMargins left="0.7" right="0.7" top="0.75" bottom="0.75" header="0.3" footer="0.3"/>
  <pageSetup paperSize="9" orientation="portrait" r:id="rId2"/>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d 5 0 3 d d 7 - 3 1 c b - 4 8 a 4 - b 1 3 a - 6 3 7 2 c 1 e 9 9 7 2 1 "   x m l n s = " h t t p : / / s c h e m a s . m i c r o s o f t . c o m / D a t a M a s h u p " > A A A A A A c F A A B Q S w M E F A A C A A g A T n M v W K + V X 8 q k A A A A 9 Q A A A B I A H A B D b 2 5 m a W c v U G F j a 2 F n Z S 5 4 b W w g o h g A K K A U A A A A A A A A A A A A A A A A A A A A A A A A A A A A h Y + x D o I w G I R f h X S n r d U Y J K U M r m B M T I x r U y o 0 w o + h x f J u D j 6 S r y B G U T f H + + 4 u u b t f b z w d m j q 4 6 M 6 a F h I 0 w x Q F G l R b G C g T 1 L t j G K F U 8 K 1 U J 1 n q Y A y D j Q d r E l Q 5 d 4 4 J 8 d 5 j P 8 d t V x J G 6 Y w c 8 m y n K t 3 I 0 I B 1 E p R G n 1 b x v 4 U E 3 7 / G C I Z X S x w t G K a c T I z n B r 4 + G + c + 3 R / I 1 3 3 t + k 4 L q M N N x s k k O X l f E A 9 Q S w M E F A A C A A g A T n M 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5 z L 1 h X v p x v A Q I A A H E H A A A T A B w A R m 9 y b X V s Y X M v U 2 V j d G l v b j E u b S C i G A A o o B Q A A A A A A A A A A A A A A A A A A A A A A A A A A A C l V d 1 r 2 z A Q f w / k f x D e S 0 q 9 s I S y l 1 F K c T P Y S x l r Y I x S h i K f b V H 5 t E l y S D D 5 3 y d H d u I 4 / k h Y w C T W 7 + N 0 d 1 J O A z N c I n l x 3 7 M v 4 9 F 4 p B O q I C R P 1 N D 5 p / m c 3 B M B Z j w i 9 v M i M 8 X A r i w 2 D M Q 0 y J Q C N D + l e l 9 J + T 6 5 y V + f a Q r 3 X q X 1 3 n a v g U R j S W / j E c e 6 S 0 u s 2 X / E m t V j + c 7 i g x c k F G M b Y L n 9 A 5 7 1 W t K V g O l S U d S R V G k g R Z Z i A e q J i + f n u S d V T J F r W p T k N 9 o g n k + M 5 R A D G 7 P z S e 4 V 9 Z K K V O s U t / v l / c s Z + T l L V 6 C I j E g K x S / d l B 0 J 1 L Z h D c M 8 w r G f + h 1 s L m h o D A O e N e K Q 5 z d b W 7 W m g m B X Q s e U J X 5 c L B 7 J U h o q m j 4 F Y N q A p 8 y w p B 2 q D B / d D i 1 s d / P 5 b l q 0 7 m D q w H P M + R 7 Q E + M f R Z c r 2 z J K L 2 c I 3 w d r M p a g j U v s g u K 1 k t t b 0 6 P p 6 u a p J K W b I q P S v p v j S j j E w r J L H b y v m R A R F 4 J Q + y j 4 m 3 E F q T 1 8 + q H 7 p E d c W f M t U E W Y T L k x c M H 1 0 M A k h t e q T M L V 1 a L I / m u Y 5 F r V 3 e 1 l i v 3 9 K V h n t M Y R P 1 o H p W U v i c k 1 D 4 k 2 S m J M Q m A K q G 6 5 O G c C w e P E X C F A a c 9 h J D J A 1 s c + u D P r z v H i 7 b j 9 d w t + 2 R q f r u 5 u j m O o M R 3 q 8 8 g W c c U R w m K u d M 5 A N 0 t K 6 i S v 5 p B / m J z 1 Y O X M + w d Q S w E C L Q A U A A I A C A B O c y 9 Y r 5 V f y q Q A A A D 1 A A A A E g A A A A A A A A A A A A A A A A A A A A A A Q 2 9 u Z m l n L 1 B h Y 2 t h Z 2 U u e G 1 s U E s B A i 0 A F A A C A A g A T n M v W A / K 6 a u k A A A A 6 Q A A A B M A A A A A A A A A A A A A A A A A 8 A A A A F t D b 2 5 0 Z W 5 0 X 1 R 5 c G V z X S 5 4 b W x Q S w E C L Q A U A A I A C A B O c y 9 Y V 7 6 c b w E C A A B x B w A A E w A A A A A A A A A A A A A A A A D h A Q A A R m 9 y b X V s Y X M v U 2 V j d G l v b j E u b V B L B Q Y A A A A A A w A D A M I A A A A v 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5 K g A A A A A A A B c q 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S X R l b T 4 8 S X R l b U x v Y 2 F 0 a W 9 u P j x J d G V t V H l w Z T 5 G b 3 J t d W x h P C 9 J d G V t V H l w Z T 4 8 S X R l b V B h d G g + U 2 V j d G l v b j E v R G F 0 Y T 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E y L T A 3 V D E y O j I 2 O j Q 5 L j Q y M T E x N j R a I i A v P j x F b n R y e S B U e X B l P S J G a W x s U 3 R h d H V z I i B W Y W x 1 Z T 0 i c 0 N v b X B s Z X R l I i A v P j w v U 3 R h Y m x l R W 5 0 c m l l c z 4 8 L 0 l 0 Z W 0 + P E l 0 Z W 0 + P E l 0 Z W 1 M b 2 N h d G l v b j 4 8 S X R l b V R 5 c G U + R m 9 y b X V s Y T w v S X R l b V R 5 c G U + P E l 0 Z W 1 Q Y X R o P l N l Y 3 R p b 2 4 x L 0 R h d G E y M D I y L 1 N v d X J j Z T w v S X R l b V B h d G g + P C 9 J d G V t T G 9 j Y X R p b 2 4 + P F N 0 Y W J s Z U V u d H J p Z X M g L z 4 8 L 0 l 0 Z W 0 + P E l 0 Z W 0 + P E l 0 Z W 1 M b 2 N h d G l v b j 4 8 S X R l b V R 5 c G U + R m 9 y b X V s Y T w v S X R l b V R 5 c G U + P E l 0 Z W 1 Q Y X R o P l N l Y 3 R p b 2 4 x L 0 R h d G E y M D I 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x M i 0 w N 1 Q x M j o y N j o 1 O S 4 3 M D A y M T A 2 W i I g L z 4 8 R W 5 0 c n k g V H l w Z T 0 i R m l s b F N 0 Y X R 1 c y I g V m F s d W U 9 I n N D b 2 1 w b G V 0 Z S I g L z 4 8 L 1 N 0 Y W J s Z U V u d H J p Z X M + P C 9 J d G V t P j x J d G V t P j x J d G V t T G 9 j Y X R p b 2 4 + P E l 0 Z W 1 U e X B l P k Z v c m 1 1 b G E 8 L 0 l 0 Z W 1 U e X B l P j x J d G V t U G F 0 a D 5 T Z W N 0 a W 9 u M S 9 E Y X R h M j A y M S 9 T b 3 V y Y 2 U 8 L 0 l 0 Z W 1 Q Y X R o P j w v S X R l b U x v Y 2 F 0 a W 9 u P j x T d G F i b G V F b n R y a W V z I C 8 + P C 9 J d G V t P j x J d G V t P j x J d G V t T G 9 j Y X R p b 2 4 + P E l 0 Z W 1 U e X B l P k Z v c m 1 1 b G E 8 L 0 l 0 Z W 1 U e X B l P j x J d G V t U G F 0 a D 5 T Z W N 0 a W 9 u M S 9 E Y X R h M j A y M S 9 D a G F u Z 2 V k J T I w V H l w Z T w v S X R l b V B h d G g + P C 9 J d G V t T G 9 j Y X R p b 2 4 + P F N 0 Y W J s Z U V u d H J p Z X M g L z 4 8 L 0 l 0 Z W 0 + P E l 0 Z W 0 + P E l 0 Z W 1 M b 2 N h d G l v b j 4 8 S X R l b V R 5 c G U + R m 9 y b X V s Y T w v S X R l b V R 5 c G U + P E l 0 Z W 1 Q Y X R o P l N l Y 3 R p b 2 4 x L 0 N v b W J p b m V k M j A y M T I w M j 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2 9 t Y m l u Z W Q y M D I x M j A y M i I g L z 4 8 R W 5 0 c n k g V H l w Z T 0 i R m l s b G V k Q 2 9 t c G x l d G V S Z X N 1 b H R U b 1 d v c m t z a G V l d C I g V m F s d W U 9 I m w x I i A v P j x F b n R y e S B U e X B l P S J G a W x s Q 2 9 1 b n Q i I F Z h b H V l P S J s M j c 4 I i A v P j x F b n R y e S B U e X B l P S J G a W x s R X J y b 3 J D b 2 R l I i B W Y W x 1 Z T 0 i c 1 V u a 2 5 v d 2 4 i I C 8 + P E V u d H J 5 I F R 5 c G U 9 I k Z p b G x F c n J v c k N v d W 5 0 I i B W Y W x 1 Z T 0 i b D M i I C 8 + P E V u d H J 5 I F R 5 c G U 9 I k Z p b G x M Y X N 0 V X B k Y X R l Z C I g V m F s d W U 9 I m Q y M D I 0 L T A x L T E 1 V D E z O j I 2 O j I 5 L j A x N D k 5 M T R a I i A v P j x F b n R y e S B U e X B l P S J G a W x s Q 2 9 s d W 1 u V H l w Z X M i I F Z h b H V l P S J z Q U F B Q U F B Q U F B Q U F B Q U F B Q U F B Q U F B Q U F B Q U F B Q U F B Q U F B Q U F B Q U F B Q U F B Q U R B d 0 1 E Q X d B P S I g L z 4 8 R W 5 0 c n k g V H l w Z T 0 i R m l s b E N v b H V t b k 5 h b W V z I i B W Y W x 1 Z T 0 i c 1 s m c X V v d D t v c m d h b m l z Y X R p b 2 5 f b m F t Z S Z x d W 9 0 O y w m c X V v d D t T Z W N 0 b 3 I g J n F 1 b 3 Q 7 L C Z x d W 9 0 O 3 R 5 c G U g J n F 1 b 3 Q 7 L C Z x d W 9 0 O 0 5 1 b W J l c i B v Z i B t Z W 1 i Z X J z J n F 1 b 3 Q 7 L C Z x d W 9 0 O 0 5 1 b W J l c i B v Z i B h Y 3 R p d m U g b W V t Y m V y c y Z x d W 9 0 O y w m c X V v d D t O d W 1 i Z X I g b 2 Y g I G l u Y W N 0 a X Z l I G 1 l b W J l c n M m c X V v d D s s J n F 1 b 3 Q 7 U G V y Y 2 V u d G F n Z S B h Y 3 R p d m U g b W V t Y m V y c y Z x d W 9 0 O y w m c X V v d D t Q Z X J j Z W 5 0 Y W d l I G l u Y W N 0 a X Z l I G 1 l b W J l c n M m c X V v d D s s J n F 1 b 3 Q 7 S W 5 0 Z X J 2 Y W w g b n V t Y m V y I G 9 m I G 1 l b W J l c n M m c X V v d D s s J n F 1 b 3 Q 7 T m 9 u L U V F Q S B U b 3 R h b C Z x d W 9 0 O y w m c X V v d D t F R U E g d G 9 0 Y W w m c X V v d D s s J n F 1 b 3 Q 7 R H V 0 Y 2 g g d G 9 0 Y W w m c X V v d D s s J n F 1 b 3 Q 7 T m 9 u L U V F Q S B B Y 3 R p d m U g J n F 1 b 3 Q 7 L C Z x d W 9 0 O 0 V F Q S B B Y 3 R p d m U m c X V v d D s s J n F 1 b 3 Q 7 R H V 0 Y 2 g g Q W N 0 a X Z l J n F 1 b 3 Q 7 L C Z x d W 9 0 O 1 J h d G l v I E F j d G l 2 Z S B O b 2 4 t R U V B J n F 1 b 3 Q 7 L C Z x d W 9 0 O 1 J h d G l v I E F j d G l 2 Z S B F R U E m c X V v d D s s J n F 1 b 3 Q 7 U m F 0 a W 8 g Q W N 0 a X Z l I E R 1 d G N o J n F 1 b 3 Q 7 L C Z x d W 9 0 O 1 R l c 3 Q g d G 9 0 Y W w g b n V t Y m V y I G 9 m I G 1 l b W J l c n M m c X V v d D s s J n F 1 b 3 Q 7 V G V z d C B 0 b 3 R h b C B u d W 1 i Z X I g b 2 Y g Y W N 0 a X Z l I G 1 l b W J l c n M m c X V v d D s s J n F 1 b 3 Q 7 V G V z d C B 0 b 3 R h b C B u d W 1 i Z X I g a W 5 h Y 3 R p d m U g b W V t Y m V y c y Z x d W 9 0 O y w m c X V v d D t U Z X N 0 I G 1 h e C B F R U E g Y W N 0 a X Z l J n F 1 b 3 Q 7 L C Z x d W 9 0 O 1 R l c 3 Q g b W F 4 I E R 1 d G N o I G F j d G l 2 Z S Z x d W 9 0 O y w m c X V v d D t U Z X N 0 I G 1 h e C B u b 2 4 t R U V B I G F j d G l 2 Z S Z x d W 9 0 O y w m c X V v d D t G d W x s Z m l s b C B h b G w g c m V x d W l y Z W 1 l b n R z P y Z x d W 9 0 O y w m c X V v d D t O d W 1 i Z X I g b 2 Y g Z m l y c 3 Q g e W V h c i B j b 2 1 p d H R l Z S B t Z W 1 i Z X J z J n F 1 b 3 Q 7 L C Z x d W 9 0 O 0 5 1 b W J l c i B v Z i B z Z W N v b m Q g e W V h c i B j b 2 1 p d H R l Z S B t Z W 1 i Z X J z J n F 1 b 3 Q 7 L C Z x d W 9 0 O 0 5 1 b W J l c i B v Z i B 0 a G l y Z C B 5 Z W F y I G N v b W l 0 d G V l I G 1 l b W J l c n M m c X V v d D s s J n F 1 b 3 Q 7 T n V t Y m V y I G 9 m I G Z v d X J 0 a C B 5 Z W F y I G N v b W l 0 d G V l I G 1 l b W J l c n M m c X V v d D s s J n F 1 b 3 Q 7 T n V t Y m V y I G 9 m I D Q r I H l l Y X I g Y 2 9 t a X R 0 Z W U g b W V t Y m V y c y Z x d W 9 0 O y w m c X V v d D t U b 3 R h b C B j b 2 1 t a X R 0 Z W U g b W V t Y m V y c y Z x d W 9 0 O y w m c X V v d D t O d W 1 i Z X I g b 2 Y g Q 2 9 t a X R 0 Z W V z J n F 1 b 3 Q 7 L C Z x d W 9 0 O 0 5 1 b W J l c i B v Z i B j b 3 Z p Z C B z d H J v b m c g Z G V j c m V h c 2 U m c X V v d D s s J n F 1 b 3 Q 7 T n V t Y m V y I G 9 m I G N v d m l k I H N s a W d o d C B k Z W N y Z W F z Z S Z x d W 9 0 O y w m c X V v d D t O d W 1 i Z X I g b 2 Y g Y 2 9 2 a W Q g b m 8 g a W 5 m b H V l b m N l J n F 1 b 3 Q 7 L C Z x d W 9 0 O 0 5 1 b W J l c i B v Z m N v d m l k I H N s a W N o d C B p b m N y Z W F z Z S Z x d W 9 0 O y w m c X V v d D t O d W 1 i Z X I g b 2 Y g Y 2 9 2 a W Q g c 3 R y b 2 5 n I G l u Y 3 J l Y X N l J n F 1 b 3 Q 7 L C Z x d W 9 0 O 1 l l Y X I m c X V v d D t d I i A v P j x F b n R y e S B U e X B l P S J G a W x s U 3 R h d H V z I i B W Y W x 1 Z T 0 i c 0 N v b X B s Z X R l I i A v P j x F b n R y e S B U e X B l P S J R d W V y e U l E I i B W Y W x 1 Z T 0 i c z Z k M z c 3 N T Y 2 L T k 0 Y W M t N G U 4 Z S 0 4 O W M z L T l i O W E 3 M T g 5 Y j E z O C I g L z 4 8 R W 5 0 c n k g V H l w Z T 0 i Q W R k Z W R U b 0 R h d G F N b 2 R l b C I g V m F s d W U 9 I m w w I i A v P j x F b n R y e S B U e X B l P S J S Z W x h d G l v b n N o a X B J b m Z v Q 2 9 u d G F p b m V y I i B W Y W x 1 Z T 0 i c 3 s m c X V v d D t j b 2 x 1 b W 5 D b 3 V u d C Z x d W 9 0 O z o z O C w m c X V v d D t r Z X l D b 2 x 1 b W 5 O Y W 1 l c y Z x d W 9 0 O z p b X S w m c X V v d D t x d W V y e V J l b G F 0 a W 9 u c 2 h p c H M m c X V v d D s 6 W 1 0 s J n F 1 b 3 Q 7 Y 2 9 s d W 1 u S W R l b n R p d G l l c y Z x d W 9 0 O z p b J n F 1 b 3 Q 7 U 2 V j d G l v b j E v Q 2 9 t Y m l u Z W Q y M D I x M j A y M i 9 T b 3 V y Y 2 U u e 2 9 y Z 2 F u a X N h d G l v b l 9 u Y W 1 l L D B 9 J n F 1 b 3 Q 7 L C Z x d W 9 0 O 1 N l Y 3 R p b 2 4 x L 0 N v b W J p b m V k M j A y M T I w M j I v U 2 9 1 c m N l L n t T Z W N 0 b 3 I g L D F 9 J n F 1 b 3 Q 7 L C Z x d W 9 0 O 1 N l Y 3 R p b 2 4 x L 0 N v b W J p b m V k M j A y M T I w M j I v U 2 9 1 c m N l L n t 0 e X B l I C w y f S Z x d W 9 0 O y w m c X V v d D t T Z W N 0 a W 9 u M S 9 D b 2 1 i a W 5 l Z D I w M j E y M D I y L 1 N v d X J j Z S 5 7 T n V t Y m V y I G 9 m I G 1 l b W J l c n M s M 3 0 m c X V v d D s s J n F 1 b 3 Q 7 U 2 V j d G l v b j E v Q 2 9 t Y m l u Z W Q y M D I x M j A y M i 9 T b 3 V y Y 2 U u e 0 5 1 b W J l c i B v Z i B h Y 3 R p d m U g b W V t Y m V y c y w 0 f S Z x d W 9 0 O y w m c X V v d D t T Z W N 0 a W 9 u M S 9 D b 2 1 i a W 5 l Z D I w M j E y M D I y L 1 N v d X J j Z S 5 7 T n V t Y m V y I G 9 m I C B p b m F j d G l 2 Z S B t Z W 1 i Z X J z L D V 9 J n F 1 b 3 Q 7 L C Z x d W 9 0 O 1 N l Y 3 R p b 2 4 x L 0 N v b W J p b m V k M j A y M T I w M j I v U 2 9 1 c m N l L n t Q Z X J j Z W 5 0 Y W d l I G F j d G l 2 Z S B t Z W 1 i Z X J z L D Z 9 J n F 1 b 3 Q 7 L C Z x d W 9 0 O 1 N l Y 3 R p b 2 4 x L 0 N v b W J p b m V k M j A y M T I w M j I v U 2 9 1 c m N l L n t Q Z X J j Z W 5 0 Y W d l I G l u Y W N 0 a X Z l I G 1 l b W J l c n M s N 3 0 m c X V v d D s s J n F 1 b 3 Q 7 U 2 V j d G l v b j E v Q 2 9 t Y m l u Z W Q y M D I x M j A y M i 9 T b 3 V y Y 2 U u e 0 l u d G V y d m F s I G 5 1 b W J l c i B v Z i B t Z W 1 i Z X J z L D h 9 J n F 1 b 3 Q 7 L C Z x d W 9 0 O 1 N l Y 3 R p b 2 4 x L 0 N v b W J p b m V k M j A y M T I w M j I v U 2 9 1 c m N l L n t O b 2 4 t R U V B I F R v d G F s L D l 9 J n F 1 b 3 Q 7 L C Z x d W 9 0 O 1 N l Y 3 R p b 2 4 x L 0 N v b W J p b m V k M j A y M T I w M j I v U 2 9 1 c m N l L n t F R U E g d G 9 0 Y W w s M T B 9 J n F 1 b 3 Q 7 L C Z x d W 9 0 O 1 N l Y 3 R p b 2 4 x L 0 N v b W J p b m V k M j A y M T I w M j I v U 2 9 1 c m N l L n t E d X R j a C B 0 b 3 R h b C w x M X 0 m c X V v d D s s J n F 1 b 3 Q 7 U 2 V j d G l v b j E v Q 2 9 t Y m l u Z W Q y M D I x M j A y M i 9 T b 3 V y Y 2 U u e 0 5 v b i 1 F R U E g Q W N 0 a X Z l I C w x M n 0 m c X V v d D s s J n F 1 b 3 Q 7 U 2 V j d G l v b j E v Q 2 9 t Y m l u Z W Q y M D I x M j A y M i 9 T b 3 V y Y 2 U u e 0 V F Q S B B Y 3 R p d m U s M T N 9 J n F 1 b 3 Q 7 L C Z x d W 9 0 O 1 N l Y 3 R p b 2 4 x L 0 N v b W J p b m V k M j A y M T I w M j I v U 2 9 1 c m N l L n t E d X R j a C B B Y 3 R p d m U s M T R 9 J n F 1 b 3 Q 7 L C Z x d W 9 0 O 1 N l Y 3 R p b 2 4 x L 0 N v b W J p b m V k M j A y M T I w M j I v U 2 9 1 c m N l L n t S Y X R p b y B B Y 3 R p d m U g T m 9 u L U V F Q S w x N X 0 m c X V v d D s s J n F 1 b 3 Q 7 U 2 V j d G l v b j E v Q 2 9 t Y m l u Z W Q y M D I x M j A y M i 9 T b 3 V y Y 2 U u e 1 J h d G l v I E F j d G l 2 Z S B F R U E s M T Z 9 J n F 1 b 3 Q 7 L C Z x d W 9 0 O 1 N l Y 3 R p b 2 4 x L 0 N v b W J p b m V k M j A y M T I w M j I v U 2 9 1 c m N l L n t S Y X R p b y B B Y 3 R p d m U g R H V 0 Y 2 g s M T d 9 J n F 1 b 3 Q 7 L C Z x d W 9 0 O 1 N l Y 3 R p b 2 4 x L 0 N v b W J p b m V k M j A y M T I w M j I v U 2 9 1 c m N l L n t U Z X N 0 I H R v d G F s I G 5 1 b W J l c i B v Z i B t Z W 1 i Z X J z L D E 4 f S Z x d W 9 0 O y w m c X V v d D t T Z W N 0 a W 9 u M S 9 D b 2 1 i a W 5 l Z D I w M j E y M D I y L 1 N v d X J j Z S 5 7 V G V z d C B 0 b 3 R h b C B u d W 1 i Z X I g b 2 Y g Y W N 0 a X Z l I G 1 l b W J l c n M s M T l 9 J n F 1 b 3 Q 7 L C Z x d W 9 0 O 1 N l Y 3 R p b 2 4 x L 0 N v b W J p b m V k M j A y M T I w M j I v U 2 9 1 c m N l L n t U Z X N 0 I H R v d G F s I G 5 1 b W J l c i B p b m F j d G l 2 Z S B t Z W 1 i Z X J z L D I w f S Z x d W 9 0 O y w m c X V v d D t T Z W N 0 a W 9 u M S 9 D b 2 1 i a W 5 l Z D I w M j E y M D I y L 1 N v d X J j Z S 5 7 V G V z d C B t Y X g g R U V B I G F j d G l 2 Z S w y M X 0 m c X V v d D s s J n F 1 b 3 Q 7 U 2 V j d G l v b j E v Q 2 9 t Y m l u Z W Q y M D I x M j A y M i 9 T b 3 V y Y 2 U u e 1 R l c 3 Q g b W F 4 I E R 1 d G N o I G F j d G l 2 Z S w y M n 0 m c X V v d D s s J n F 1 b 3 Q 7 U 2 V j d G l v b j E v Q 2 9 t Y m l u Z W Q y M D I x M j A y M i 9 T b 3 V y Y 2 U u e 1 R l c 3 Q g b W F 4 I G 5 v b i 1 F R U E g Y W N 0 a X Z l L D I z f S Z x d W 9 0 O y w m c X V v d D t T Z W N 0 a W 9 u M S 9 D b 2 1 i a W 5 l Z D I w M j E y M D I y L 1 N v d X J j Z S 5 7 R n V s b G Z p b G w g Y W x s I H J l c X V p c m V t Z W 5 0 c z 8 s M j R 9 J n F 1 b 3 Q 7 L C Z x d W 9 0 O 1 N l Y 3 R p b 2 4 x L 0 N v b W J p b m V k M j A y M T I w M j I v U 2 9 1 c m N l L n t O d W 1 i Z X I g b 2 Y g Z m l y c 3 Q g e W V h c i B j b 2 1 p d H R l Z S B t Z W 1 i Z X J z L D I 1 f S Z x d W 9 0 O y w m c X V v d D t T Z W N 0 a W 9 u M S 9 D b 2 1 i a W 5 l Z D I w M j E y M D I y L 1 N v d X J j Z S 5 7 T n V t Y m V y I G 9 m I H N l Y 2 9 u Z C B 5 Z W F y I G N v b W l 0 d G V l I G 1 l b W J l c n M s M j Z 9 J n F 1 b 3 Q 7 L C Z x d W 9 0 O 1 N l Y 3 R p b 2 4 x L 0 N v b W J p b m V k M j A y M T I w M j I v U 2 9 1 c m N l L n t O d W 1 i Z X I g b 2 Y g d G h p c m Q g e W V h c i B j b 2 1 p d H R l Z S B t Z W 1 i Z X J z L D I 3 f S Z x d W 9 0 O y w m c X V v d D t T Z W N 0 a W 9 u M S 9 D b 2 1 i a W 5 l Z D I w M j E y M D I y L 1 N v d X J j Z S 5 7 T n V t Y m V y I G 9 m I G Z v d X J 0 a C B 5 Z W F y I G N v b W l 0 d G V l I G 1 l b W J l c n M s M j h 9 J n F 1 b 3 Q 7 L C Z x d W 9 0 O 1 N l Y 3 R p b 2 4 x L 0 N v b W J p b m V k M j A y M T I w M j I v U 2 9 1 c m N l L n t O d W 1 i Z X I g b 2 Y g N C s g e W V h c i B j b 2 1 p d H R l Z S B t Z W 1 i Z X J z L D I 5 f S Z x d W 9 0 O y w m c X V v d D t T Z W N 0 a W 9 u M S 9 D b 2 1 i a W 5 l Z D I w M j E y M D I y L 1 N v d X J j Z S 5 7 V G 9 0 Y W w g Y 2 9 t b W l 0 d G V l I G 1 l b W J l c n M s M z B 9 J n F 1 b 3 Q 7 L C Z x d W 9 0 O 1 N l Y 3 R p b 2 4 x L 0 N v b W J p b m V k M j A y M T I w M j I v U 2 9 1 c m N l L n t O d W 1 i Z X I g b 2 Y g Q 2 9 t a X R 0 Z W V z L D M x f S Z x d W 9 0 O y w m c X V v d D t T Z W N 0 a W 9 u M S 9 D b 2 1 i a W 5 l Z D I w M j E y M D I y L 1 N v d X J j Z S 5 7 T n V t Y m V y I G 9 m I G N v d m l k I H N 0 c m 9 u Z y B k Z W N y Z W F z Z S w z M n 0 m c X V v d D s s J n F 1 b 3 Q 7 U 2 V j d G l v b j E v Q 2 9 t Y m l u Z W Q y M D I x M j A y M i 9 T b 3 V y Y 2 U u e 0 5 1 b W J l c i B v Z i B j b 3 Z p Z C B z b G l n a H Q g Z G V j c m V h c 2 U s M z N 9 J n F 1 b 3 Q 7 L C Z x d W 9 0 O 1 N l Y 3 R p b 2 4 x L 0 N v b W J p b m V k M j A y M T I w M j I v U 2 9 1 c m N l L n t O d W 1 i Z X I g b 2 Y g Y 2 9 2 a W Q g b m 8 g a W 5 m b H V l b m N l L D M 0 f S Z x d W 9 0 O y w m c X V v d D t T Z W N 0 a W 9 u M S 9 D b 2 1 i a W 5 l Z D I w M j E y M D I y L 1 N v d X J j Z S 5 7 T n V t Y m V y I G 9 m Y 2 9 2 a W Q g c 2 x p Y 2 h 0 I G l u Y 3 J l Y X N l L D M 1 f S Z x d W 9 0 O y w m c X V v d D t T Z W N 0 a W 9 u M S 9 D b 2 1 i a W 5 l Z D I w M j E y M D I y L 1 N v d X J j Z S 5 7 T n V t Y m V y I G 9 m I G N v d m l k I H N 0 c m 9 u Z y B p b m N y Z W F z Z S w z N n 0 m c X V v d D s s J n F 1 b 3 Q 7 U 2 V j d G l v b j E v Q 2 9 t Y m l u Z W Q y M D I x M j A y M i 9 T b 3 V y Y 2 U u e 1 l l Y X I s M z d 9 J n F 1 b 3 Q 7 X S w m c X V v d D t D b 2 x 1 b W 5 D b 3 V u d C Z x d W 9 0 O z o z O C w m c X V v d D t L Z X l D b 2 x 1 b W 5 O Y W 1 l c y Z x d W 9 0 O z p b X S w m c X V v d D t D b 2 x 1 b W 5 J Z G V u d G l 0 a W V z J n F 1 b 3 Q 7 O l s m c X V v d D t T Z W N 0 a W 9 u M S 9 D b 2 1 i a W 5 l Z D I w M j E y M D I y L 1 N v d X J j Z S 5 7 b 3 J n Y W 5 p c 2 F 0 a W 9 u X 2 5 h b W U s M H 0 m c X V v d D s s J n F 1 b 3 Q 7 U 2 V j d G l v b j E v Q 2 9 t Y m l u Z W Q y M D I x M j A y M i 9 T b 3 V y Y 2 U u e 1 N l Y 3 R v c i A s M X 0 m c X V v d D s s J n F 1 b 3 Q 7 U 2 V j d G l v b j E v Q 2 9 t Y m l u Z W Q y M D I x M j A y M i 9 T b 3 V y Y 2 U u e 3 R 5 c G U g L D J 9 J n F 1 b 3 Q 7 L C Z x d W 9 0 O 1 N l Y 3 R p b 2 4 x L 0 N v b W J p b m V k M j A y M T I w M j I v U 2 9 1 c m N l L n t O d W 1 i Z X I g b 2 Y g b W V t Y m V y c y w z f S Z x d W 9 0 O y w m c X V v d D t T Z W N 0 a W 9 u M S 9 D b 2 1 i a W 5 l Z D I w M j E y M D I y L 1 N v d X J j Z S 5 7 T n V t Y m V y I G 9 m I G F j d G l 2 Z S B t Z W 1 i Z X J z L D R 9 J n F 1 b 3 Q 7 L C Z x d W 9 0 O 1 N l Y 3 R p b 2 4 x L 0 N v b W J p b m V k M j A y M T I w M j I v U 2 9 1 c m N l L n t O d W 1 i Z X I g b 2 Y g I G l u Y W N 0 a X Z l I G 1 l b W J l c n M s N X 0 m c X V v d D s s J n F 1 b 3 Q 7 U 2 V j d G l v b j E v Q 2 9 t Y m l u Z W Q y M D I x M j A y M i 9 T b 3 V y Y 2 U u e 1 B l c m N l b n R h Z 2 U g Y W N 0 a X Z l I G 1 l b W J l c n M s N n 0 m c X V v d D s s J n F 1 b 3 Q 7 U 2 V j d G l v b j E v Q 2 9 t Y m l u Z W Q y M D I x M j A y M i 9 T b 3 V y Y 2 U u e 1 B l c m N l b n R h Z 2 U g a W 5 h Y 3 R p d m U g b W V t Y m V y c y w 3 f S Z x d W 9 0 O y w m c X V v d D t T Z W N 0 a W 9 u M S 9 D b 2 1 i a W 5 l Z D I w M j E y M D I y L 1 N v d X J j Z S 5 7 S W 5 0 Z X J 2 Y W w g b n V t Y m V y I G 9 m I G 1 l b W J l c n M s O H 0 m c X V v d D s s J n F 1 b 3 Q 7 U 2 V j d G l v b j E v Q 2 9 t Y m l u Z W Q y M D I x M j A y M i 9 T b 3 V y Y 2 U u e 0 5 v b i 1 F R U E g V G 9 0 Y W w s O X 0 m c X V v d D s s J n F 1 b 3 Q 7 U 2 V j d G l v b j E v Q 2 9 t Y m l u Z W Q y M D I x M j A y M i 9 T b 3 V y Y 2 U u e 0 V F Q S B 0 b 3 R h b C w x M H 0 m c X V v d D s s J n F 1 b 3 Q 7 U 2 V j d G l v b j E v Q 2 9 t Y m l u Z W Q y M D I x M j A y M i 9 T b 3 V y Y 2 U u e 0 R 1 d G N o I H R v d G F s L D E x f S Z x d W 9 0 O y w m c X V v d D t T Z W N 0 a W 9 u M S 9 D b 2 1 i a W 5 l Z D I w M j E y M D I y L 1 N v d X J j Z S 5 7 T m 9 u L U V F Q S B B Y 3 R p d m U g L D E y f S Z x d W 9 0 O y w m c X V v d D t T Z W N 0 a W 9 u M S 9 D b 2 1 i a W 5 l Z D I w M j E y M D I y L 1 N v d X J j Z S 5 7 R U V B I E F j d G l 2 Z S w x M 3 0 m c X V v d D s s J n F 1 b 3 Q 7 U 2 V j d G l v b j E v Q 2 9 t Y m l u Z W Q y M D I x M j A y M i 9 T b 3 V y Y 2 U u e 0 R 1 d G N o I E F j d G l 2 Z S w x N H 0 m c X V v d D s s J n F 1 b 3 Q 7 U 2 V j d G l v b j E v Q 2 9 t Y m l u Z W Q y M D I x M j A y M i 9 T b 3 V y Y 2 U u e 1 J h d G l v I E F j d G l 2 Z S B O b 2 4 t R U V B L D E 1 f S Z x d W 9 0 O y w m c X V v d D t T Z W N 0 a W 9 u M S 9 D b 2 1 i a W 5 l Z D I w M j E y M D I y L 1 N v d X J j Z S 5 7 U m F 0 a W 8 g Q W N 0 a X Z l I E V F Q S w x N n 0 m c X V v d D s s J n F 1 b 3 Q 7 U 2 V j d G l v b j E v Q 2 9 t Y m l u Z W Q y M D I x M j A y M i 9 T b 3 V y Y 2 U u e 1 J h d G l v I E F j d G l 2 Z S B E d X R j a C w x N 3 0 m c X V v d D s s J n F 1 b 3 Q 7 U 2 V j d G l v b j E v Q 2 9 t Y m l u Z W Q y M D I x M j A y M i 9 T b 3 V y Y 2 U u e 1 R l c 3 Q g d G 9 0 Y W w g b n V t Y m V y I G 9 m I G 1 l b W J l c n M s M T h 9 J n F 1 b 3 Q 7 L C Z x d W 9 0 O 1 N l Y 3 R p b 2 4 x L 0 N v b W J p b m V k M j A y M T I w M j I v U 2 9 1 c m N l L n t U Z X N 0 I H R v d G F s I G 5 1 b W J l c i B v Z i B h Y 3 R p d m U g b W V t Y m V y c y w x O X 0 m c X V v d D s s J n F 1 b 3 Q 7 U 2 V j d G l v b j E v Q 2 9 t Y m l u Z W Q y M D I x M j A y M i 9 T b 3 V y Y 2 U u e 1 R l c 3 Q g d G 9 0 Y W w g b n V t Y m V y I G l u Y W N 0 a X Z l I G 1 l b W J l c n M s M j B 9 J n F 1 b 3 Q 7 L C Z x d W 9 0 O 1 N l Y 3 R p b 2 4 x L 0 N v b W J p b m V k M j A y M T I w M j I v U 2 9 1 c m N l L n t U Z X N 0 I G 1 h e C B F R U E g Y W N 0 a X Z l L D I x f S Z x d W 9 0 O y w m c X V v d D t T Z W N 0 a W 9 u M S 9 D b 2 1 i a W 5 l Z D I w M j E y M D I y L 1 N v d X J j Z S 5 7 V G V z d C B t Y X g g R H V 0 Y 2 g g Y W N 0 a X Z l L D I y f S Z x d W 9 0 O y w m c X V v d D t T Z W N 0 a W 9 u M S 9 D b 2 1 i a W 5 l Z D I w M j E y M D I y L 1 N v d X J j Z S 5 7 V G V z d C B t Y X g g b m 9 u L U V F Q S B h Y 3 R p d m U s M j N 9 J n F 1 b 3 Q 7 L C Z x d W 9 0 O 1 N l Y 3 R p b 2 4 x L 0 N v b W J p b m V k M j A y M T I w M j I v U 2 9 1 c m N l L n t G d W x s Z m l s b C B h b G w g c m V x d W l y Z W 1 l b n R z P y w y N H 0 m c X V v d D s s J n F 1 b 3 Q 7 U 2 V j d G l v b j E v Q 2 9 t Y m l u Z W Q y M D I x M j A y M i 9 T b 3 V y Y 2 U u e 0 5 1 b W J l c i B v Z i B m a X J z d C B 5 Z W F y I G N v b W l 0 d G V l I G 1 l b W J l c n M s M j V 9 J n F 1 b 3 Q 7 L C Z x d W 9 0 O 1 N l Y 3 R p b 2 4 x L 0 N v b W J p b m V k M j A y M T I w M j I v U 2 9 1 c m N l L n t O d W 1 i Z X I g b 2 Y g c 2 V j b 2 5 k I H l l Y X I g Y 2 9 t a X R 0 Z W U g b W V t Y m V y c y w y N n 0 m c X V v d D s s J n F 1 b 3 Q 7 U 2 V j d G l v b j E v Q 2 9 t Y m l u Z W Q y M D I x M j A y M i 9 T b 3 V y Y 2 U u e 0 5 1 b W J l c i B v Z i B 0 a G l y Z C B 5 Z W F y I G N v b W l 0 d G V l I G 1 l b W J l c n M s M j d 9 J n F 1 b 3 Q 7 L C Z x d W 9 0 O 1 N l Y 3 R p b 2 4 x L 0 N v b W J p b m V k M j A y M T I w M j I v U 2 9 1 c m N l L n t O d W 1 i Z X I g b 2 Y g Z m 9 1 c n R o I H l l Y X I g Y 2 9 t a X R 0 Z W U g b W V t Y m V y c y w y O H 0 m c X V v d D s s J n F 1 b 3 Q 7 U 2 V j d G l v b j E v Q 2 9 t Y m l u Z W Q y M D I x M j A y M i 9 T b 3 V y Y 2 U u e 0 5 1 b W J l c i B v Z i A 0 K y B 5 Z W F y I G N v b W l 0 d G V l I G 1 l b W J l c n M s M j l 9 J n F 1 b 3 Q 7 L C Z x d W 9 0 O 1 N l Y 3 R p b 2 4 x L 0 N v b W J p b m V k M j A y M T I w M j I v U 2 9 1 c m N l L n t U b 3 R h b C B j b 2 1 t a X R 0 Z W U g b W V t Y m V y c y w z M H 0 m c X V v d D s s J n F 1 b 3 Q 7 U 2 V j d G l v b j E v Q 2 9 t Y m l u Z W Q y M D I x M j A y M i 9 T b 3 V y Y 2 U u e 0 5 1 b W J l c i B v Z i B D b 2 1 p d H R l Z X M s M z F 9 J n F 1 b 3 Q 7 L C Z x d W 9 0 O 1 N l Y 3 R p b 2 4 x L 0 N v b W J p b m V k M j A y M T I w M j I v U 2 9 1 c m N l L n t O d W 1 i Z X I g b 2 Y g Y 2 9 2 a W Q g c 3 R y b 2 5 n I G R l Y 3 J l Y X N l L D M y f S Z x d W 9 0 O y w m c X V v d D t T Z W N 0 a W 9 u M S 9 D b 2 1 i a W 5 l Z D I w M j E y M D I y L 1 N v d X J j Z S 5 7 T n V t Y m V y I G 9 m I G N v d m l k I H N s a W d o d C B k Z W N y Z W F z Z S w z M 3 0 m c X V v d D s s J n F 1 b 3 Q 7 U 2 V j d G l v b j E v Q 2 9 t Y m l u Z W Q y M D I x M j A y M i 9 T b 3 V y Y 2 U u e 0 5 1 b W J l c i B v Z i B j b 3 Z p Z C B u b y B p b m Z s d W V u Y 2 U s M z R 9 J n F 1 b 3 Q 7 L C Z x d W 9 0 O 1 N l Y 3 R p b 2 4 x L 0 N v b W J p b m V k M j A y M T I w M j I v U 2 9 1 c m N l L n t O d W 1 i Z X I g b 2 Z j b 3 Z p Z C B z b G l j a H Q g a W 5 j c m V h c 2 U s M z V 9 J n F 1 b 3 Q 7 L C Z x d W 9 0 O 1 N l Y 3 R p b 2 4 x L 0 N v b W J p b m V k M j A y M T I w M j I v U 2 9 1 c m N l L n t O d W 1 i Z X I g b 2 Y g Y 2 9 2 a W Q g c 3 R y b 2 5 n I G l u Y 3 J l Y X N l L D M 2 f S Z x d W 9 0 O y w m c X V v d D t T Z W N 0 a W 9 u M S 9 D b 2 1 i a W 5 l Z D I w M j E y M D I y L 1 N v d X J j Z S 5 7 W W V h c i w z N 3 0 m c X V v d D t d L C Z x d W 9 0 O 1 J l b G F 0 a W 9 u c 2 h p c E l u Z m 8 m c X V v d D s 6 W 1 1 9 I i A v P j w v U 3 R h Y m x l R W 5 0 c m l l c z 4 8 L 0 l 0 Z W 0 + P E l 0 Z W 0 + P E l 0 Z W 1 M b 2 N h d G l v b j 4 8 S X R l b V R 5 c G U + R m 9 y b X V s Y T w v S X R l b V R 5 c G U + P E l 0 Z W 1 Q Y X R o P l N l Y 3 R p b 2 4 x L 0 N v b W J p b m V k M j A y M T I w M j I v U 2 9 1 c m N l P C 9 J d G V t U G F 0 a D 4 8 L 0 l 0 Z W 1 M b 2 N h d G l v b j 4 8 U 3 R h Y m x l R W 5 0 c m l l c y A v P j w v S X R l b T 4 8 L 0 l 0 Z W 1 z P j w v T G 9 j Y W x Q Y W N r Y W d l T W V 0 Y W R h d G F G a W x l P h Y A A A B Q S w U G A A A A A A A A A A A A A A A A A A A A A A A A 2 g A A A A E A A A D Q j J 3 f A R X R E Y x 6 A M B P w p f r A Q A A A E j L s F F b B h p G l j t T P w h 6 l 9 c A A A A A A g A A A A A A A 2 Y A A M A A A A A Q A A A A B Z n U L x e K F k 8 r M Z 5 E G i c X E Q A A A A A E g A A A o A A A A B A A A A A n e x m D G 1 S 3 F 7 U U E W 6 T D L 6 / U A A A A F i r y 6 9 Y E M 5 n x H 2 C 2 a S 8 4 H v W G F 4 t / C N O I z m H w B D G E w Y 7 G 7 a 0 E 7 B 4 J N / R 1 a k 6 4 j C 9 n b 7 3 R j I R d H P + 5 l w i S k X R A 5 m n J n X D L M W 8 5 S n 1 j 5 c A U r a 5 F A A A A L 0 p / V V g y U 7 g H V n X 4 W j V j q j Q d B 6 w < / D a t a M a s h u p > 
</file>

<file path=customXml/itemProps1.xml><?xml version="1.0" encoding="utf-8"?>
<ds:datastoreItem xmlns:ds="http://schemas.openxmlformats.org/officeDocument/2006/customXml" ds:itemID="{FE7A136B-D53C-4BE3-9FED-48554F3775B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Main Dashboard</vt:lpstr>
      <vt:lpstr>Reading Guide</vt:lpstr>
      <vt:lpstr>Conclusions</vt:lpstr>
      <vt:lpstr>Response Rate</vt:lpstr>
      <vt:lpstr>Active members</vt:lpstr>
      <vt:lpstr>Internationals</vt:lpstr>
      <vt:lpstr>Committees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 vincent</dc:creator>
  <cp:lastModifiedBy>Leeuwen, Tessa van (UT-SU)</cp:lastModifiedBy>
  <dcterms:created xsi:type="dcterms:W3CDTF">2021-09-20T12:06:50Z</dcterms:created>
  <dcterms:modified xsi:type="dcterms:W3CDTF">2024-02-22T16:06:31Z</dcterms:modified>
</cp:coreProperties>
</file>